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omments9.xml" ContentType="application/vnd.openxmlformats-officedocument.spreadsheetml.comments+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omments7.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595" yWindow="135" windowWidth="20730" windowHeight="11760" activeTab="2"/>
  </bookViews>
  <sheets>
    <sheet name="7PSourceSummary" sheetId="23" r:id="rId1"/>
    <sheet name="forRPM" sheetId="25" r:id="rId2"/>
    <sheet name="SC-New" sheetId="6" r:id="rId3"/>
    <sheet name="SC-NR" sheetId="7" r:id="rId4"/>
    <sheet name="Common Units" sheetId="24" r:id="rId5"/>
    <sheet name="Accomplishments" sheetId="29" r:id="rId6"/>
    <sheet name="M_Input_Out" sheetId="28" r:id="rId7"/>
    <sheet name="M_Input" sheetId="3" r:id="rId8"/>
    <sheet name="Segmented" sheetId="5" r:id="rId9"/>
    <sheet name="Composite" sheetId="2" r:id="rId10"/>
    <sheet name="RawRTF" sheetId="17" r:id="rId11"/>
    <sheet name="Eff. Standards &amp; Certifications" sheetId="18" r:id="rId12"/>
    <sheet name="SFAssumptions" sheetId="9" r:id="rId13"/>
    <sheet name="MFAssumptions" sheetId="19" r:id="rId14"/>
    <sheet name="MHAssumptions" sheetId="20" r:id="rId15"/>
    <sheet name="SavingsData&amp;Analysis" sheetId="10" r:id="rId16"/>
    <sheet name="CostData&amp;Analysis" sheetId="12" r:id="rId17"/>
    <sheet name="Northwest Retail Cost Data" sheetId="13" r:id="rId18"/>
    <sheet name="SFBaselines and Measures" sheetId="14" r:id="rId19"/>
    <sheet name="MFBaselines and Measures" sheetId="26" r:id="rId20"/>
    <sheet name="MHBaselines and Measures" sheetId="27" r:id="rId21"/>
    <sheet name="SF Measure Development" sheetId="15" r:id="rId22"/>
    <sheet name="MF Measure Development" sheetId="21" r:id="rId23"/>
    <sheet name="MH Measure Development" sheetId="22" r:id="rId24"/>
    <sheet name="DOE EERE Data" sheetId="16" r:id="rId25"/>
    <sheet name="DOE Res Data" sheetId="30" r:id="rId26"/>
  </sheets>
  <externalReferences>
    <externalReference r:id="rId27"/>
    <externalReference r:id="rId28"/>
    <externalReference r:id="rId29"/>
    <externalReference r:id="rId30"/>
  </externalReferences>
  <definedNames>
    <definedName name="_xlnm._FilterDatabase" localSheetId="16" hidden="1">'CostData&amp;Analysis'!$A$29:$P$23529</definedName>
    <definedName name="_xlnm._FilterDatabase" localSheetId="17" hidden="1">'Northwest Retail Cost Data'!$B$4:$M$275</definedName>
    <definedName name="_xlnm._FilterDatabase" localSheetId="15" hidden="1">'SavingsData&amp;Analysis'!$A$22:$AN$432</definedName>
    <definedName name="_Key1" localSheetId="0" hidden="1">#REF!</definedName>
    <definedName name="_Key1" localSheetId="16" hidden="1">#REF!</definedName>
    <definedName name="_Key1" localSheetId="24" hidden="1">#REF!</definedName>
    <definedName name="_Key1" localSheetId="11" hidden="1">#REF!</definedName>
    <definedName name="_Key1" localSheetId="1" hidden="1">#REF!</definedName>
    <definedName name="_Key1" localSheetId="22" hidden="1">#REF!</definedName>
    <definedName name="_Key1" localSheetId="13" hidden="1">#REF!</definedName>
    <definedName name="_Key1" localSheetId="19" hidden="1">#REF!</definedName>
    <definedName name="_Key1" localSheetId="23" hidden="1">#REF!</definedName>
    <definedName name="_Key1" localSheetId="14" hidden="1">#REF!</definedName>
    <definedName name="_Key1" localSheetId="20" hidden="1">#REF!</definedName>
    <definedName name="_Key1" localSheetId="17" hidden="1">#REF!</definedName>
    <definedName name="_Key1" localSheetId="10" hidden="1">#REF!</definedName>
    <definedName name="_Key1" localSheetId="15" hidden="1">#REF!</definedName>
    <definedName name="_Key1" localSheetId="2" hidden="1">#REF!</definedName>
    <definedName name="_Key1" localSheetId="3" hidden="1">#REF!</definedName>
    <definedName name="_Key1" localSheetId="21" hidden="1">#REF!</definedName>
    <definedName name="_Key1" localSheetId="12" hidden="1">#REF!</definedName>
    <definedName name="_Key1" localSheetId="18" hidden="1">#REF!</definedName>
    <definedName name="_Key1" hidden="1">#REF!</definedName>
    <definedName name="_Order1" hidden="1">255</definedName>
    <definedName name="_Sort" localSheetId="0" hidden="1">#REF!</definedName>
    <definedName name="_Sort" localSheetId="16" hidden="1">#REF!</definedName>
    <definedName name="_Sort" localSheetId="24" hidden="1">#REF!</definedName>
    <definedName name="_Sort" localSheetId="11" hidden="1">#REF!</definedName>
    <definedName name="_Sort" localSheetId="1" hidden="1">#REF!</definedName>
    <definedName name="_Sort" localSheetId="22" hidden="1">#REF!</definedName>
    <definedName name="_Sort" localSheetId="13" hidden="1">#REF!</definedName>
    <definedName name="_Sort" localSheetId="19" hidden="1">#REF!</definedName>
    <definedName name="_Sort" localSheetId="23" hidden="1">#REF!</definedName>
    <definedName name="_Sort" localSheetId="14" hidden="1">#REF!</definedName>
    <definedName name="_Sort" localSheetId="20" hidden="1">#REF!</definedName>
    <definedName name="_Sort" localSheetId="17" hidden="1">#REF!</definedName>
    <definedName name="_Sort" localSheetId="10" hidden="1">#REF!</definedName>
    <definedName name="_Sort" localSheetId="15" hidden="1">#REF!</definedName>
    <definedName name="_Sort" localSheetId="2" hidden="1">#REF!</definedName>
    <definedName name="_Sort" localSheetId="3" hidden="1">#REF!</definedName>
    <definedName name="_Sort" localSheetId="21" hidden="1">#REF!</definedName>
    <definedName name="_Sort" localSheetId="12" hidden="1">#REF!</definedName>
    <definedName name="_Sort" localSheetId="18" hidden="1">#REF!</definedName>
    <definedName name="_Sort" hidden="1">#REF!</definedName>
    <definedName name="anscount" hidden="1">1</definedName>
    <definedName name="CBWorkbookPriority" hidden="1">-738590518</definedName>
    <definedName name="_xlnm.Database">'CostData&amp;Analysis'!$C$29:$H$23529</definedName>
    <definedName name="Deflator">'CostData&amp;Analysis'!$B$1</definedName>
    <definedName name="int_FrontLoad_MEF">'DOE EERE Data'!$T$27</definedName>
    <definedName name="int_FrontLoad_WF">'DOE EERE Data'!$V$64</definedName>
    <definedName name="int_TopLoad_MEF">'DOE EERE Data'!$T$10</definedName>
    <definedName name="int_TopLoad_WF">'DOE EERE Data'!$V$48</definedName>
    <definedName name="limcount" hidden="1">1</definedName>
    <definedName name="MeasureOutput">M_Input_Out!$A$4:$AM$100</definedName>
    <definedName name="ResBase">'[1]Res Forecast (Base Case)'!$C$14:$BD$61</definedName>
    <definedName name="sencount" hidden="1">1</definedName>
    <definedName name="slope_FrontLoad_MEF">'DOE EERE Data'!$T$26</definedName>
    <definedName name="slope_FrontLoad_WF">'DOE EERE Data'!$V$63</definedName>
    <definedName name="slope_TopLoad_MEF">'DOE EERE Data'!$T$9</definedName>
    <definedName name="slope_TopLoad_WF">'DOE EERE Data'!$V$47</definedName>
    <definedName name="sort" localSheetId="1" hidden="1">#REF!</definedName>
    <definedName name="sort" localSheetId="19" hidden="1">#REF!</definedName>
    <definedName name="sort" localSheetId="20" hidden="1">#REF!</definedName>
    <definedName name="sort" hidden="1">#REF!</definedName>
  </definedNames>
  <calcPr calcId="125725"/>
</workbook>
</file>

<file path=xl/calcChain.xml><?xml version="1.0" encoding="utf-8"?>
<calcChain xmlns="http://schemas.openxmlformats.org/spreadsheetml/2006/main">
  <c r="D9" i="7"/>
  <c r="D8"/>
  <c r="D9" i="6"/>
  <c r="D8"/>
  <c r="C8" i="7"/>
  <c r="C8" i="6"/>
  <c r="C26" i="20" l="1"/>
  <c r="C26" i="19"/>
  <c r="C26" i="9"/>
  <c r="H11" i="3"/>
  <c r="H12"/>
  <c r="H13"/>
  <c r="H20"/>
  <c r="H21"/>
  <c r="H22"/>
  <c r="H29"/>
  <c r="H30"/>
  <c r="H31"/>
  <c r="H38"/>
  <c r="H39"/>
  <c r="H40"/>
  <c r="A74" i="7"/>
  <c r="Q457" i="17"/>
  <c r="R33" i="2"/>
  <c r="P457" i="17"/>
  <c r="Q33" i="2"/>
  <c r="O457" i="17"/>
  <c r="P33" i="2"/>
  <c r="N457" i="17"/>
  <c r="O33" i="2"/>
  <c r="M457" i="17"/>
  <c r="N33" i="2"/>
  <c r="L457" i="17"/>
  <c r="M33" i="2"/>
  <c r="K457" i="17"/>
  <c r="L33" i="2"/>
  <c r="J457" i="17"/>
  <c r="K33" i="2"/>
  <c r="H457" i="17"/>
  <c r="I33" i="2"/>
  <c r="G457" i="17"/>
  <c r="H33" i="2"/>
  <c r="F457" i="17"/>
  <c r="G33" i="2"/>
  <c r="BD77" i="22"/>
  <c r="BD197"/>
  <c r="E457" i="17"/>
  <c r="F33" i="2"/>
  <c r="C457" i="17"/>
  <c r="D33" i="2"/>
  <c r="Q452" i="17"/>
  <c r="R32" i="2"/>
  <c r="P452" i="17"/>
  <c r="Q32" i="2"/>
  <c r="O452" i="17"/>
  <c r="P32" i="2"/>
  <c r="N452" i="17"/>
  <c r="O32" i="2"/>
  <c r="M452" i="17"/>
  <c r="N32" i="2"/>
  <c r="L452" i="17"/>
  <c r="M32" i="2"/>
  <c r="K452" i="17"/>
  <c r="L32" i="2"/>
  <c r="J452" i="17"/>
  <c r="K32" i="2"/>
  <c r="H452" i="17"/>
  <c r="I32" i="2"/>
  <c r="G452" i="17"/>
  <c r="H32" i="2"/>
  <c r="F452" i="17"/>
  <c r="G32" i="2"/>
  <c r="BD72" i="22"/>
  <c r="BD192"/>
  <c r="E452" i="17"/>
  <c r="F32" i="2"/>
  <c r="C452" i="17"/>
  <c r="D32" i="2"/>
  <c r="Q447" i="17"/>
  <c r="R31" i="2"/>
  <c r="P447" i="17"/>
  <c r="Q31" i="2"/>
  <c r="O447" i="17"/>
  <c r="P31" i="2"/>
  <c r="N447" i="17"/>
  <c r="O31" i="2"/>
  <c r="M447" i="17"/>
  <c r="N31" i="2"/>
  <c r="L447" i="17"/>
  <c r="M31" i="2"/>
  <c r="K447" i="17"/>
  <c r="L31" i="2"/>
  <c r="J447" i="17"/>
  <c r="K31" i="2"/>
  <c r="H447" i="17"/>
  <c r="I31" i="2"/>
  <c r="G447" i="17"/>
  <c r="H31" i="2"/>
  <c r="F447" i="17"/>
  <c r="G31" i="2"/>
  <c r="BD67" i="22"/>
  <c r="BD187"/>
  <c r="E447" i="17"/>
  <c r="F31" i="2"/>
  <c r="C447" i="17"/>
  <c r="D31" i="2"/>
  <c r="Q407" i="17"/>
  <c r="R30" i="2"/>
  <c r="O407" i="17"/>
  <c r="P30" i="2"/>
  <c r="N407" i="17"/>
  <c r="O30" i="2"/>
  <c r="M407" i="17"/>
  <c r="N30" i="2"/>
  <c r="L407" i="17"/>
  <c r="M30" i="2"/>
  <c r="K407" i="17"/>
  <c r="L30" i="2"/>
  <c r="J407" i="17"/>
  <c r="K30" i="2"/>
  <c r="I407" i="17"/>
  <c r="J30" i="2"/>
  <c r="H407" i="17"/>
  <c r="I30" i="2"/>
  <c r="G407" i="17"/>
  <c r="H30" i="2"/>
  <c r="F407" i="17"/>
  <c r="G30" i="2"/>
  <c r="BD137" i="22"/>
  <c r="E407" i="17"/>
  <c r="F30" i="2"/>
  <c r="C407" i="17"/>
  <c r="D30" i="2"/>
  <c r="Q402" i="17"/>
  <c r="R29" i="2"/>
  <c r="O402" i="17"/>
  <c r="P29" i="2"/>
  <c r="N402" i="17"/>
  <c r="O29" i="2"/>
  <c r="M402" i="17"/>
  <c r="N29" i="2"/>
  <c r="L402" i="17"/>
  <c r="M29" i="2"/>
  <c r="K402" i="17"/>
  <c r="L29" i="2"/>
  <c r="J402" i="17"/>
  <c r="K29" i="2"/>
  <c r="I402" i="17"/>
  <c r="J29" i="2"/>
  <c r="H402" i="17"/>
  <c r="I29" i="2"/>
  <c r="G402" i="17"/>
  <c r="H29" i="2"/>
  <c r="F402" i="17"/>
  <c r="G29" i="2"/>
  <c r="BD132" i="22"/>
  <c r="E402" i="17"/>
  <c r="F29" i="2"/>
  <c r="C402" i="17"/>
  <c r="D29" i="2"/>
  <c r="Q397" i="17"/>
  <c r="R28" i="2"/>
  <c r="O397" i="17"/>
  <c r="P28" i="2"/>
  <c r="N397" i="17"/>
  <c r="O28" i="2"/>
  <c r="M397" i="17"/>
  <c r="N28" i="2"/>
  <c r="L397" i="17"/>
  <c r="M28" i="2"/>
  <c r="K397" i="17"/>
  <c r="L28" i="2"/>
  <c r="J397" i="17"/>
  <c r="K28" i="2"/>
  <c r="I397" i="17"/>
  <c r="J28" i="2"/>
  <c r="H397" i="17"/>
  <c r="I28" i="2"/>
  <c r="G397" i="17"/>
  <c r="H28" i="2"/>
  <c r="F397" i="17"/>
  <c r="G28" i="2"/>
  <c r="BD127" i="22"/>
  <c r="E397" i="17"/>
  <c r="F28" i="2"/>
  <c r="C397" i="17"/>
  <c r="D28" i="2"/>
  <c r="Q357" i="17"/>
  <c r="R27" i="2"/>
  <c r="O357" i="17"/>
  <c r="P27" i="2"/>
  <c r="N357" i="17"/>
  <c r="O27" i="2"/>
  <c r="M357" i="17"/>
  <c r="N27" i="2"/>
  <c r="L357" i="17"/>
  <c r="M27" i="2"/>
  <c r="K357" i="17"/>
  <c r="L27" i="2"/>
  <c r="J357" i="17"/>
  <c r="K27" i="2"/>
  <c r="H357" i="17"/>
  <c r="I27" i="2"/>
  <c r="G357" i="17"/>
  <c r="H27" i="2"/>
  <c r="E357" i="17"/>
  <c r="F27" i="2"/>
  <c r="C357" i="17"/>
  <c r="D27" i="2"/>
  <c r="Q352" i="17"/>
  <c r="R26" i="2"/>
  <c r="O352" i="17"/>
  <c r="P26" i="2"/>
  <c r="N352" i="17"/>
  <c r="O26" i="2"/>
  <c r="M352" i="17"/>
  <c r="N26" i="2"/>
  <c r="L352" i="17"/>
  <c r="M26" i="2"/>
  <c r="K352" i="17"/>
  <c r="L26" i="2"/>
  <c r="J352" i="17"/>
  <c r="K26" i="2"/>
  <c r="H352" i="17"/>
  <c r="I26" i="2"/>
  <c r="G352" i="17"/>
  <c r="H26" i="2"/>
  <c r="E352" i="17"/>
  <c r="F26" i="2"/>
  <c r="C352" i="17"/>
  <c r="D26" i="2"/>
  <c r="Q347" i="17"/>
  <c r="R25" i="2"/>
  <c r="O347" i="17"/>
  <c r="P25" i="2"/>
  <c r="N347" i="17"/>
  <c r="O25" i="2"/>
  <c r="M347" i="17"/>
  <c r="N25" i="2"/>
  <c r="L347" i="17"/>
  <c r="M25" i="2"/>
  <c r="K347" i="17"/>
  <c r="L25" i="2"/>
  <c r="J347" i="17"/>
  <c r="K25" i="2"/>
  <c r="H347" i="17"/>
  <c r="I25" i="2"/>
  <c r="G347" i="17"/>
  <c r="H25" i="2"/>
  <c r="E347" i="17"/>
  <c r="F25" i="2"/>
  <c r="C347" i="17"/>
  <c r="D25" i="2"/>
  <c r="Q307" i="17"/>
  <c r="R24" i="2"/>
  <c r="P307" i="17"/>
  <c r="Q24" i="2"/>
  <c r="O307" i="17"/>
  <c r="P24" i="2"/>
  <c r="N307" i="17"/>
  <c r="O24" i="2"/>
  <c r="M307" i="17"/>
  <c r="N24" i="2"/>
  <c r="L307" i="17"/>
  <c r="M24" i="2"/>
  <c r="K307" i="17"/>
  <c r="L24" i="2"/>
  <c r="J307" i="17"/>
  <c r="K24" i="2"/>
  <c r="H307" i="17"/>
  <c r="I24" i="2"/>
  <c r="G307" i="17"/>
  <c r="H24" i="2"/>
  <c r="F307" i="17"/>
  <c r="G24" i="2"/>
  <c r="BD77" i="21"/>
  <c r="BD197"/>
  <c r="E307" i="17"/>
  <c r="F24" i="2"/>
  <c r="C307" i="17"/>
  <c r="D24" i="2"/>
  <c r="Q302" i="17"/>
  <c r="R23" i="2"/>
  <c r="P302" i="17"/>
  <c r="Q23" i="2"/>
  <c r="O302" i="17"/>
  <c r="P23" i="2"/>
  <c r="N302" i="17"/>
  <c r="O23" i="2"/>
  <c r="M302" i="17"/>
  <c r="N23" i="2"/>
  <c r="L302" i="17"/>
  <c r="M23" i="2"/>
  <c r="K302" i="17"/>
  <c r="L23" i="2"/>
  <c r="J302" i="17"/>
  <c r="K23" i="2"/>
  <c r="H302" i="17"/>
  <c r="I23" i="2"/>
  <c r="G302" i="17"/>
  <c r="H23" i="2"/>
  <c r="F302" i="17"/>
  <c r="G23" i="2"/>
  <c r="BD72" i="21"/>
  <c r="BD192"/>
  <c r="E302" i="17"/>
  <c r="F23" i="2"/>
  <c r="C302" i="17"/>
  <c r="D23" i="2"/>
  <c r="Q297" i="17"/>
  <c r="R22" i="2"/>
  <c r="P297" i="17"/>
  <c r="Q22" i="2"/>
  <c r="O297" i="17"/>
  <c r="P22" i="2"/>
  <c r="N297" i="17"/>
  <c r="O22" i="2"/>
  <c r="M297" i="17"/>
  <c r="N22" i="2"/>
  <c r="L297" i="17"/>
  <c r="M22" i="2"/>
  <c r="K297" i="17"/>
  <c r="L22" i="2"/>
  <c r="J297" i="17"/>
  <c r="K22" i="2"/>
  <c r="H297" i="17"/>
  <c r="I22" i="2"/>
  <c r="G297" i="17"/>
  <c r="H22" i="2"/>
  <c r="F297" i="17"/>
  <c r="G22" i="2"/>
  <c r="BD67" i="21"/>
  <c r="BD187"/>
  <c r="E297" i="17"/>
  <c r="F22" i="2"/>
  <c r="C297" i="17"/>
  <c r="D22" i="2"/>
  <c r="Q257" i="17"/>
  <c r="R21" i="2"/>
  <c r="O257" i="17"/>
  <c r="P21" i="2"/>
  <c r="N257" i="17"/>
  <c r="O21" i="2"/>
  <c r="M257" i="17"/>
  <c r="N21" i="2"/>
  <c r="L257" i="17"/>
  <c r="M21" i="2"/>
  <c r="K257" i="17"/>
  <c r="L21" i="2"/>
  <c r="J257" i="17"/>
  <c r="K21" i="2"/>
  <c r="I257" i="17"/>
  <c r="J21" i="2"/>
  <c r="H257" i="17"/>
  <c r="I21" i="2"/>
  <c r="G257" i="17"/>
  <c r="H21" i="2"/>
  <c r="F257" i="17"/>
  <c r="G21" i="2"/>
  <c r="BD137" i="21"/>
  <c r="E257" i="17"/>
  <c r="F21" i="2"/>
  <c r="C257" i="17"/>
  <c r="D21" i="2"/>
  <c r="Q252" i="17"/>
  <c r="R20" i="2"/>
  <c r="O252" i="17"/>
  <c r="P20" i="2"/>
  <c r="N252" i="17"/>
  <c r="O20" i="2"/>
  <c r="M252" i="17"/>
  <c r="N20" i="2"/>
  <c r="L252" i="17"/>
  <c r="M20" i="2"/>
  <c r="K252" i="17"/>
  <c r="L20" i="2"/>
  <c r="J252" i="17"/>
  <c r="K20" i="2"/>
  <c r="I252" i="17"/>
  <c r="J20" i="2"/>
  <c r="H252" i="17"/>
  <c r="I20" i="2"/>
  <c r="G252" i="17"/>
  <c r="H20" i="2"/>
  <c r="F252" i="17"/>
  <c r="G20" i="2"/>
  <c r="BD132" i="21"/>
  <c r="E252" i="17"/>
  <c r="F20" i="2"/>
  <c r="C252" i="17"/>
  <c r="D20" i="2"/>
  <c r="Q247" i="17"/>
  <c r="R19" i="2"/>
  <c r="O247" i="17"/>
  <c r="P19" i="2"/>
  <c r="N247" i="17"/>
  <c r="O19" i="2"/>
  <c r="M247" i="17"/>
  <c r="N19" i="2"/>
  <c r="L247" i="17"/>
  <c r="M19" i="2"/>
  <c r="K247" i="17"/>
  <c r="L19" i="2"/>
  <c r="J247" i="17"/>
  <c r="K19" i="2"/>
  <c r="I247" i="17"/>
  <c r="J19" i="2"/>
  <c r="H247" i="17"/>
  <c r="I19" i="2"/>
  <c r="G247" i="17"/>
  <c r="H19" i="2"/>
  <c r="F247" i="17"/>
  <c r="G19" i="2"/>
  <c r="BD127" i="21"/>
  <c r="E247" i="17"/>
  <c r="F19" i="2"/>
  <c r="C247" i="17"/>
  <c r="D19" i="2"/>
  <c r="Q207" i="17"/>
  <c r="R18" i="2"/>
  <c r="O207" i="17"/>
  <c r="P18" i="2"/>
  <c r="N207" i="17"/>
  <c r="O18" i="2"/>
  <c r="M207" i="17"/>
  <c r="N18" i="2"/>
  <c r="L207" i="17"/>
  <c r="M18" i="2"/>
  <c r="K207" i="17"/>
  <c r="L18" i="2"/>
  <c r="J207" i="17"/>
  <c r="K18" i="2"/>
  <c r="H207" i="17"/>
  <c r="I18" i="2"/>
  <c r="G207" i="17"/>
  <c r="H18" i="2"/>
  <c r="E207" i="17"/>
  <c r="F18" i="2"/>
  <c r="C207" i="17"/>
  <c r="D18" i="2"/>
  <c r="Q202" i="17"/>
  <c r="R17" i="2"/>
  <c r="O202" i="17"/>
  <c r="P17" i="2"/>
  <c r="N202" i="17"/>
  <c r="O17" i="2"/>
  <c r="M202" i="17"/>
  <c r="N17" i="2"/>
  <c r="L202" i="17"/>
  <c r="M17" i="2"/>
  <c r="K202" i="17"/>
  <c r="L17" i="2"/>
  <c r="J202" i="17"/>
  <c r="K17" i="2"/>
  <c r="H202" i="17"/>
  <c r="I17" i="2"/>
  <c r="G202" i="17"/>
  <c r="H17" i="2"/>
  <c r="E202" i="17"/>
  <c r="F17" i="2"/>
  <c r="C202" i="17"/>
  <c r="D17" i="2"/>
  <c r="Q197" i="17"/>
  <c r="R16" i="2"/>
  <c r="O197" i="17"/>
  <c r="P16" i="2"/>
  <c r="N197" i="17"/>
  <c r="O16" i="2"/>
  <c r="M197" i="17"/>
  <c r="N16" i="2"/>
  <c r="L197" i="17"/>
  <c r="M16" i="2"/>
  <c r="K197" i="17"/>
  <c r="L16" i="2"/>
  <c r="J197" i="17"/>
  <c r="K16" i="2"/>
  <c r="H197" i="17"/>
  <c r="I16" i="2"/>
  <c r="G197" i="17"/>
  <c r="H16" i="2"/>
  <c r="E197" i="17"/>
  <c r="F16" i="2"/>
  <c r="C197" i="17"/>
  <c r="D16" i="2"/>
  <c r="Q157" i="17"/>
  <c r="R15" i="2"/>
  <c r="P157" i="17"/>
  <c r="Q15" i="2"/>
  <c r="O157" i="17"/>
  <c r="P15" i="2"/>
  <c r="N157" i="17"/>
  <c r="O15" i="2"/>
  <c r="M157" i="17"/>
  <c r="N15" i="2"/>
  <c r="L157" i="17"/>
  <c r="M15" i="2"/>
  <c r="K157" i="17"/>
  <c r="L15" i="2"/>
  <c r="J157" i="17"/>
  <c r="K15" i="2"/>
  <c r="H157" i="17"/>
  <c r="I15" i="2"/>
  <c r="G157" i="17"/>
  <c r="H15" i="2"/>
  <c r="F157" i="17"/>
  <c r="G15" i="2"/>
  <c r="BD77" i="15"/>
  <c r="BD197"/>
  <c r="E157" i="17"/>
  <c r="F15" i="2"/>
  <c r="C157" i="17"/>
  <c r="D15" i="2"/>
  <c r="Q152" i="17"/>
  <c r="R14" i="2"/>
  <c r="P152" i="17"/>
  <c r="Q14" i="2"/>
  <c r="O152" i="17"/>
  <c r="P14" i="2"/>
  <c r="N152" i="17"/>
  <c r="O14" i="2"/>
  <c r="M152" i="17"/>
  <c r="N14" i="2"/>
  <c r="L152" i="17"/>
  <c r="M14" i="2"/>
  <c r="K152" i="17"/>
  <c r="L14" i="2"/>
  <c r="J152" i="17"/>
  <c r="K14" i="2"/>
  <c r="H152" i="17"/>
  <c r="I14" i="2"/>
  <c r="G152" i="17"/>
  <c r="H14" i="2"/>
  <c r="F152" i="17"/>
  <c r="G14" i="2"/>
  <c r="BD72" i="15"/>
  <c r="BD192"/>
  <c r="E152" i="17"/>
  <c r="F14" i="2"/>
  <c r="C152" i="17"/>
  <c r="D14" i="2"/>
  <c r="Q147" i="17"/>
  <c r="R13" i="2"/>
  <c r="P147" i="17"/>
  <c r="Q13" i="2"/>
  <c r="O147" i="17"/>
  <c r="P13" i="2"/>
  <c r="N147" i="17"/>
  <c r="O13" i="2"/>
  <c r="M147" i="17"/>
  <c r="N13" i="2"/>
  <c r="L147" i="17"/>
  <c r="M13" i="2"/>
  <c r="K147" i="17"/>
  <c r="L13" i="2"/>
  <c r="J147" i="17"/>
  <c r="K13" i="2"/>
  <c r="H147" i="17"/>
  <c r="I13" i="2"/>
  <c r="G147" i="17"/>
  <c r="H13" i="2"/>
  <c r="F147" i="17"/>
  <c r="G13" i="2"/>
  <c r="BD67" i="15"/>
  <c r="BD187"/>
  <c r="E147" i="17"/>
  <c r="F13" i="2"/>
  <c r="C147" i="17"/>
  <c r="D13" i="2"/>
  <c r="Q107" i="17"/>
  <c r="R12" i="2"/>
  <c r="P107" i="17"/>
  <c r="Q12" i="2"/>
  <c r="O107" i="17"/>
  <c r="P12" i="2"/>
  <c r="N107" i="17"/>
  <c r="O12" i="2"/>
  <c r="M107" i="17"/>
  <c r="N12" i="2"/>
  <c r="L107" i="17"/>
  <c r="M12" i="2"/>
  <c r="K107" i="17"/>
  <c r="L12" i="2"/>
  <c r="J107" i="17"/>
  <c r="K12" i="2"/>
  <c r="I107" i="17"/>
  <c r="J12" i="2"/>
  <c r="H107" i="17"/>
  <c r="I12" i="2"/>
  <c r="G107" i="17"/>
  <c r="H12" i="2"/>
  <c r="F107" i="17"/>
  <c r="G12" i="2"/>
  <c r="BD137" i="15"/>
  <c r="E107" i="17"/>
  <c r="F12" i="2"/>
  <c r="C107" i="17"/>
  <c r="D12" i="2"/>
  <c r="Q102" i="17"/>
  <c r="R11" i="2"/>
  <c r="P102" i="17"/>
  <c r="Q11" i="2"/>
  <c r="O102" i="17"/>
  <c r="P11" i="2"/>
  <c r="N102" i="17"/>
  <c r="O11" i="2"/>
  <c r="M102" i="17"/>
  <c r="N11" i="2"/>
  <c r="L102" i="17"/>
  <c r="M11" i="2"/>
  <c r="K102" i="17"/>
  <c r="L11" i="2"/>
  <c r="J102" i="17"/>
  <c r="K11" i="2"/>
  <c r="I102" i="17"/>
  <c r="J11" i="2"/>
  <c r="H102" i="17"/>
  <c r="I11" i="2"/>
  <c r="G102" i="17"/>
  <c r="H11" i="2"/>
  <c r="F102" i="17"/>
  <c r="G11" i="2"/>
  <c r="BD132" i="15"/>
  <c r="E102" i="17"/>
  <c r="F11" i="2"/>
  <c r="C102" i="17"/>
  <c r="D11" i="2"/>
  <c r="Q97" i="17"/>
  <c r="R10" i="2"/>
  <c r="P97" i="17"/>
  <c r="Q10" i="2"/>
  <c r="O97" i="17"/>
  <c r="P10" i="2"/>
  <c r="N97" i="17"/>
  <c r="O10" i="2"/>
  <c r="M97" i="17"/>
  <c r="N10" i="2"/>
  <c r="L97" i="17"/>
  <c r="M10" i="2"/>
  <c r="K97" i="17"/>
  <c r="L10" i="2"/>
  <c r="J97" i="17"/>
  <c r="K10" i="2"/>
  <c r="I97" i="17"/>
  <c r="J10" i="2"/>
  <c r="H97" i="17"/>
  <c r="I10" i="2"/>
  <c r="G97" i="17"/>
  <c r="H10" i="2"/>
  <c r="F97" i="17"/>
  <c r="G10" i="2"/>
  <c r="BD127" i="15"/>
  <c r="E97" i="17"/>
  <c r="F10" i="2"/>
  <c r="C97" i="17"/>
  <c r="D10" i="2"/>
  <c r="Q52" i="17"/>
  <c r="R9" i="2"/>
  <c r="O52" i="17"/>
  <c r="P9" i="2"/>
  <c r="N52" i="17"/>
  <c r="O9" i="2"/>
  <c r="M52" i="17"/>
  <c r="N9" i="2"/>
  <c r="L52" i="17"/>
  <c r="M9" i="2"/>
  <c r="K52" i="17"/>
  <c r="L9" i="2"/>
  <c r="J52" i="17"/>
  <c r="K9" i="2"/>
  <c r="H52" i="17"/>
  <c r="I9" i="2"/>
  <c r="G52" i="17"/>
  <c r="H9" i="2"/>
  <c r="E52" i="17"/>
  <c r="F9" i="2"/>
  <c r="C52" i="17"/>
  <c r="D9" i="2"/>
  <c r="R8"/>
  <c r="P8"/>
  <c r="O8"/>
  <c r="N8"/>
  <c r="M8"/>
  <c r="L8"/>
  <c r="K8"/>
  <c r="I8"/>
  <c r="H8"/>
  <c r="F8"/>
  <c r="D8"/>
  <c r="Q47" i="17"/>
  <c r="R7" i="2"/>
  <c r="O47" i="17"/>
  <c r="P7" i="2"/>
  <c r="N47" i="17"/>
  <c r="O7" i="2"/>
  <c r="M47" i="17"/>
  <c r="N7" i="2"/>
  <c r="L47" i="17"/>
  <c r="M7" i="2"/>
  <c r="K47" i="17"/>
  <c r="L7" i="2"/>
  <c r="J47" i="17"/>
  <c r="K7" i="2"/>
  <c r="H47" i="17"/>
  <c r="I7" i="2"/>
  <c r="G47" i="17"/>
  <c r="H7" i="2"/>
  <c r="E47" i="17"/>
  <c r="F7" i="2"/>
  <c r="C47" i="17"/>
  <c r="D7" i="2"/>
  <c r="BG1" i="10"/>
  <c r="K3" i="14"/>
  <c r="K7" i="15"/>
  <c r="O7"/>
  <c r="H137"/>
  <c r="BA137"/>
  <c r="B107" i="17"/>
  <c r="C12" i="2"/>
  <c r="BF1" i="10"/>
  <c r="J3" i="14"/>
  <c r="K6" i="15"/>
  <c r="O6"/>
  <c r="H132"/>
  <c r="BA132"/>
  <c r="B102" i="17"/>
  <c r="C11" i="2"/>
  <c r="BE1" i="10"/>
  <c r="I3" i="14"/>
  <c r="K5" i="15"/>
  <c r="O5"/>
  <c r="H127"/>
  <c r="BA127"/>
  <c r="B97" i="17"/>
  <c r="C10" i="2"/>
  <c r="K3" i="27"/>
  <c r="K7" i="22"/>
  <c r="O7"/>
  <c r="H197"/>
  <c r="BA197"/>
  <c r="B457" i="17"/>
  <c r="C33" i="2"/>
  <c r="J3" i="27"/>
  <c r="K6" i="22"/>
  <c r="O6"/>
  <c r="H192"/>
  <c r="BA192"/>
  <c r="B452" i="17"/>
  <c r="C32" i="2"/>
  <c r="I3" i="27"/>
  <c r="K5" i="22"/>
  <c r="O5"/>
  <c r="H187"/>
  <c r="BA187"/>
  <c r="B447" i="17"/>
  <c r="C31" i="2"/>
  <c r="H137" i="22"/>
  <c r="BA137"/>
  <c r="B407" i="17"/>
  <c r="C30" i="2"/>
  <c r="H132" i="22"/>
  <c r="BA132"/>
  <c r="B402" i="17"/>
  <c r="C29" i="2"/>
  <c r="H127" i="22"/>
  <c r="BA127"/>
  <c r="B397" i="17"/>
  <c r="C28" i="2"/>
  <c r="H77" i="22"/>
  <c r="BA77"/>
  <c r="B357" i="17"/>
  <c r="C27" i="2"/>
  <c r="H72" i="22"/>
  <c r="BA72"/>
  <c r="B352" i="17"/>
  <c r="C26" i="2"/>
  <c r="H67" i="22"/>
  <c r="BA67"/>
  <c r="B347" i="17"/>
  <c r="C25" i="2"/>
  <c r="K3" i="26"/>
  <c r="K7" i="21"/>
  <c r="O7"/>
  <c r="H197"/>
  <c r="BA197"/>
  <c r="B307" i="17"/>
  <c r="C24" i="2"/>
  <c r="J3" i="26"/>
  <c r="K6" i="21"/>
  <c r="O6"/>
  <c r="H192"/>
  <c r="BA192"/>
  <c r="B302" i="17"/>
  <c r="C23" i="2"/>
  <c r="I3" i="26"/>
  <c r="K5" i="21"/>
  <c r="O5"/>
  <c r="H187"/>
  <c r="BA187"/>
  <c r="B297" i="17"/>
  <c r="C22" i="2"/>
  <c r="H137" i="21"/>
  <c r="BA137"/>
  <c r="B257" i="17"/>
  <c r="C21" i="2"/>
  <c r="H132" i="21"/>
  <c r="BA132"/>
  <c r="B252" i="17"/>
  <c r="C20" i="2"/>
  <c r="H127" i="21"/>
  <c r="BA127"/>
  <c r="B247" i="17"/>
  <c r="C19" i="2"/>
  <c r="H77" i="21"/>
  <c r="BA77"/>
  <c r="B207" i="17"/>
  <c r="C18" i="2"/>
  <c r="H72" i="21"/>
  <c r="BA72"/>
  <c r="B202" i="17"/>
  <c r="C17" i="2"/>
  <c r="H67" i="21"/>
  <c r="BA67"/>
  <c r="B197" i="17"/>
  <c r="C16" i="2"/>
  <c r="Y478" i="10"/>
  <c r="AG478"/>
  <c r="X478"/>
  <c r="AH478"/>
  <c r="AS478"/>
  <c r="Y477"/>
  <c r="AG477"/>
  <c r="X477"/>
  <c r="AH477"/>
  <c r="AS477"/>
  <c r="Y476"/>
  <c r="AG476"/>
  <c r="X476"/>
  <c r="AH476"/>
  <c r="AS476"/>
  <c r="Y475"/>
  <c r="AG475"/>
  <c r="X475"/>
  <c r="AH475"/>
  <c r="AS475"/>
  <c r="Y474"/>
  <c r="AG474"/>
  <c r="X474"/>
  <c r="AH474"/>
  <c r="AS474"/>
  <c r="Y473"/>
  <c r="AG473"/>
  <c r="X473"/>
  <c r="AH473"/>
  <c r="AS473"/>
  <c r="Y472"/>
  <c r="AG472"/>
  <c r="X472"/>
  <c r="AH472"/>
  <c r="AS472"/>
  <c r="Y471"/>
  <c r="AG471"/>
  <c r="X471"/>
  <c r="AH471"/>
  <c r="AS471"/>
  <c r="Y470"/>
  <c r="AG470"/>
  <c r="X470"/>
  <c r="AH470"/>
  <c r="AS470"/>
  <c r="Y469"/>
  <c r="AG469"/>
  <c r="X469"/>
  <c r="AH469"/>
  <c r="AS469"/>
  <c r="Y468"/>
  <c r="AG468"/>
  <c r="X468"/>
  <c r="AH468"/>
  <c r="AS468"/>
  <c r="Y467"/>
  <c r="AG467"/>
  <c r="X467"/>
  <c r="AH467"/>
  <c r="AS467"/>
  <c r="Y466"/>
  <c r="AG466"/>
  <c r="X466"/>
  <c r="AH466"/>
  <c r="AS466"/>
  <c r="Y465"/>
  <c r="AG465"/>
  <c r="X465"/>
  <c r="AH465"/>
  <c r="AS465"/>
  <c r="Y464"/>
  <c r="AG464"/>
  <c r="X464"/>
  <c r="AH464"/>
  <c r="AS464"/>
  <c r="Y463"/>
  <c r="AG463"/>
  <c r="X463"/>
  <c r="AH463"/>
  <c r="AS463"/>
  <c r="Y462"/>
  <c r="AG462"/>
  <c r="X462"/>
  <c r="AH462"/>
  <c r="AS462"/>
  <c r="Y461"/>
  <c r="AG461"/>
  <c r="X461"/>
  <c r="AH461"/>
  <c r="AS461"/>
  <c r="Y460"/>
  <c r="AG460"/>
  <c r="X460"/>
  <c r="AH460"/>
  <c r="AS460"/>
  <c r="Y459"/>
  <c r="AG459"/>
  <c r="X459"/>
  <c r="AH459"/>
  <c r="AS459"/>
  <c r="Y458"/>
  <c r="AG458"/>
  <c r="X458"/>
  <c r="AH458"/>
  <c r="AS458"/>
  <c r="Y457"/>
  <c r="AG457"/>
  <c r="X457"/>
  <c r="AH457"/>
  <c r="AS457"/>
  <c r="Y456"/>
  <c r="AG456"/>
  <c r="X456"/>
  <c r="AH456"/>
  <c r="AS456"/>
  <c r="BK456"/>
  <c r="Y455"/>
  <c r="AG455"/>
  <c r="X455"/>
  <c r="AH455"/>
  <c r="AS455"/>
  <c r="Y454"/>
  <c r="AG454"/>
  <c r="X454"/>
  <c r="AH454"/>
  <c r="AS454"/>
  <c r="Y453"/>
  <c r="AG453"/>
  <c r="X453"/>
  <c r="AH453"/>
  <c r="AS453"/>
  <c r="Y452"/>
  <c r="AG452"/>
  <c r="X452"/>
  <c r="AH452"/>
  <c r="AS452"/>
  <c r="Y451"/>
  <c r="AG451"/>
  <c r="X451"/>
  <c r="AH451"/>
  <c r="AS451"/>
  <c r="Y450"/>
  <c r="AG450"/>
  <c r="X450"/>
  <c r="AH450"/>
  <c r="AS450"/>
  <c r="Y449"/>
  <c r="AG449"/>
  <c r="X449"/>
  <c r="AH449"/>
  <c r="AS449"/>
  <c r="Y448"/>
  <c r="AG448"/>
  <c r="X448"/>
  <c r="AH448"/>
  <c r="AS448"/>
  <c r="Y447"/>
  <c r="AG447"/>
  <c r="X447"/>
  <c r="AH447"/>
  <c r="AS447"/>
  <c r="Y446"/>
  <c r="AG446"/>
  <c r="X446"/>
  <c r="AH446"/>
  <c r="AS446"/>
  <c r="Y445"/>
  <c r="AG445"/>
  <c r="X445"/>
  <c r="AH445"/>
  <c r="AS445"/>
  <c r="Y444"/>
  <c r="AG444"/>
  <c r="X444"/>
  <c r="AH444"/>
  <c r="AS444"/>
  <c r="Y443"/>
  <c r="AG443"/>
  <c r="X443"/>
  <c r="AH443"/>
  <c r="AS443"/>
  <c r="Y442"/>
  <c r="AG442"/>
  <c r="X442"/>
  <c r="AH442"/>
  <c r="AS442"/>
  <c r="Y441"/>
  <c r="AG441"/>
  <c r="X441"/>
  <c r="AH441"/>
  <c r="AS441"/>
  <c r="Y440"/>
  <c r="AG440"/>
  <c r="X440"/>
  <c r="AH440"/>
  <c r="AS440"/>
  <c r="Y439"/>
  <c r="AG439"/>
  <c r="X439"/>
  <c r="AH439"/>
  <c r="AS439"/>
  <c r="Y438"/>
  <c r="AG438"/>
  <c r="X438"/>
  <c r="AH438"/>
  <c r="AS438"/>
  <c r="Y437"/>
  <c r="AG437"/>
  <c r="X437"/>
  <c r="AH437"/>
  <c r="AS437"/>
  <c r="Y436"/>
  <c r="AG436"/>
  <c r="X436"/>
  <c r="AH436"/>
  <c r="AS436"/>
  <c r="Y435"/>
  <c r="AG435"/>
  <c r="X435"/>
  <c r="AH435"/>
  <c r="AS435"/>
  <c r="Y434"/>
  <c r="AG434"/>
  <c r="X434"/>
  <c r="AH434"/>
  <c r="AS434"/>
  <c r="Y433"/>
  <c r="AG433"/>
  <c r="X433"/>
  <c r="AH433"/>
  <c r="AS433"/>
  <c r="Y432"/>
  <c r="AG432"/>
  <c r="X432"/>
  <c r="AH432"/>
  <c r="AS432"/>
  <c r="Y431"/>
  <c r="AG431"/>
  <c r="X431"/>
  <c r="AH431"/>
  <c r="AS431"/>
  <c r="Y430"/>
  <c r="AG430"/>
  <c r="X430"/>
  <c r="AH430"/>
  <c r="AS430"/>
  <c r="Y429"/>
  <c r="AG429"/>
  <c r="X429"/>
  <c r="AH429"/>
  <c r="AS429"/>
  <c r="Y428"/>
  <c r="AG428"/>
  <c r="X428"/>
  <c r="AH428"/>
  <c r="AS428"/>
  <c r="Y427"/>
  <c r="AG427"/>
  <c r="X427"/>
  <c r="AH427"/>
  <c r="AS427"/>
  <c r="Y426"/>
  <c r="AG426"/>
  <c r="X426"/>
  <c r="AH426"/>
  <c r="AS426"/>
  <c r="Y425"/>
  <c r="AG425"/>
  <c r="X425"/>
  <c r="AH425"/>
  <c r="AS425"/>
  <c r="Y424"/>
  <c r="AG424"/>
  <c r="X424"/>
  <c r="AH424"/>
  <c r="AS424"/>
  <c r="Y423"/>
  <c r="AG423"/>
  <c r="X423"/>
  <c r="AH423"/>
  <c r="AS423"/>
  <c r="Y422"/>
  <c r="AG422"/>
  <c r="X422"/>
  <c r="AH422"/>
  <c r="AS422"/>
  <c r="Y421"/>
  <c r="AG421"/>
  <c r="X421"/>
  <c r="AH421"/>
  <c r="AS421"/>
  <c r="Y420"/>
  <c r="AG420"/>
  <c r="X420"/>
  <c r="AH420"/>
  <c r="AS420"/>
  <c r="Y419"/>
  <c r="AG419"/>
  <c r="X419"/>
  <c r="AH419"/>
  <c r="AS419"/>
  <c r="Y418"/>
  <c r="AG418"/>
  <c r="X418"/>
  <c r="AH418"/>
  <c r="AS418"/>
  <c r="Y417"/>
  <c r="AG417"/>
  <c r="X417"/>
  <c r="AH417"/>
  <c r="AS417"/>
  <c r="Y416"/>
  <c r="AG416"/>
  <c r="X416"/>
  <c r="AH416"/>
  <c r="AS416"/>
  <c r="Y415"/>
  <c r="AG415"/>
  <c r="X415"/>
  <c r="AH415"/>
  <c r="AS415"/>
  <c r="BL415"/>
  <c r="Y414"/>
  <c r="AG414"/>
  <c r="X414"/>
  <c r="AH414"/>
  <c r="AS414"/>
  <c r="Y413"/>
  <c r="AG413"/>
  <c r="X413"/>
  <c r="AH413"/>
  <c r="AS413"/>
  <c r="Y412"/>
  <c r="AG412"/>
  <c r="X412"/>
  <c r="AH412"/>
  <c r="AS412"/>
  <c r="Y411"/>
  <c r="AG411"/>
  <c r="X411"/>
  <c r="AH411"/>
  <c r="AS411"/>
  <c r="Y410"/>
  <c r="AG410"/>
  <c r="X410"/>
  <c r="AH410"/>
  <c r="AS410"/>
  <c r="Y409"/>
  <c r="AG409"/>
  <c r="X409"/>
  <c r="AH409"/>
  <c r="AS409"/>
  <c r="Y408"/>
  <c r="AG408"/>
  <c r="X408"/>
  <c r="AH408"/>
  <c r="AS408"/>
  <c r="Y407"/>
  <c r="AG407"/>
  <c r="X407"/>
  <c r="AH407"/>
  <c r="AS407"/>
  <c r="Y406"/>
  <c r="AG406"/>
  <c r="X406"/>
  <c r="AH406"/>
  <c r="AS406"/>
  <c r="Y405"/>
  <c r="AG405"/>
  <c r="X405"/>
  <c r="AH405"/>
  <c r="AS405"/>
  <c r="Y404"/>
  <c r="AG404"/>
  <c r="X404"/>
  <c r="AH404"/>
  <c r="AS404"/>
  <c r="Y403"/>
  <c r="AG403"/>
  <c r="X403"/>
  <c r="AH403"/>
  <c r="AS403"/>
  <c r="Y402"/>
  <c r="AG402"/>
  <c r="X402"/>
  <c r="AH402"/>
  <c r="AS402"/>
  <c r="Y401"/>
  <c r="AG401"/>
  <c r="X401"/>
  <c r="AH401"/>
  <c r="AS401"/>
  <c r="Y400"/>
  <c r="AG400"/>
  <c r="X400"/>
  <c r="AH400"/>
  <c r="AS400"/>
  <c r="Y399"/>
  <c r="AG399"/>
  <c r="X399"/>
  <c r="AH399"/>
  <c r="AS399"/>
  <c r="Y398"/>
  <c r="AG398"/>
  <c r="X398"/>
  <c r="AH398"/>
  <c r="AS398"/>
  <c r="Y397"/>
  <c r="AG397"/>
  <c r="X397"/>
  <c r="AH397"/>
  <c r="AS397"/>
  <c r="Y396"/>
  <c r="AG396"/>
  <c r="X396"/>
  <c r="AH396"/>
  <c r="AS396"/>
  <c r="Y395"/>
  <c r="AG395"/>
  <c r="X395"/>
  <c r="AH395"/>
  <c r="AS395"/>
  <c r="Y394"/>
  <c r="AG394"/>
  <c r="X394"/>
  <c r="AH394"/>
  <c r="AS394"/>
  <c r="Y393"/>
  <c r="AG393"/>
  <c r="X393"/>
  <c r="AH393"/>
  <c r="AS393"/>
  <c r="Y392"/>
  <c r="AG392"/>
  <c r="X392"/>
  <c r="AH392"/>
  <c r="AS392"/>
  <c r="Y391"/>
  <c r="AG391"/>
  <c r="X391"/>
  <c r="AH391"/>
  <c r="AS391"/>
  <c r="Y390"/>
  <c r="AG390"/>
  <c r="X390"/>
  <c r="AH390"/>
  <c r="AS390"/>
  <c r="Y389"/>
  <c r="AG389"/>
  <c r="X389"/>
  <c r="AH389"/>
  <c r="AS389"/>
  <c r="Y388"/>
  <c r="AG388"/>
  <c r="X388"/>
  <c r="AH388"/>
  <c r="AS388"/>
  <c r="Y387"/>
  <c r="AG387"/>
  <c r="X387"/>
  <c r="AH387"/>
  <c r="AS387"/>
  <c r="Y386"/>
  <c r="AG386"/>
  <c r="X386"/>
  <c r="AH386"/>
  <c r="AS386"/>
  <c r="Y385"/>
  <c r="AG385"/>
  <c r="X385"/>
  <c r="AH385"/>
  <c r="AS385"/>
  <c r="Y384"/>
  <c r="AG384"/>
  <c r="X384"/>
  <c r="AH384"/>
  <c r="AS384"/>
  <c r="Y383"/>
  <c r="AG383"/>
  <c r="X383"/>
  <c r="AH383"/>
  <c r="AS383"/>
  <c r="Y382"/>
  <c r="AG382"/>
  <c r="X382"/>
  <c r="AH382"/>
  <c r="AS382"/>
  <c r="Y381"/>
  <c r="AG381"/>
  <c r="X381"/>
  <c r="AH381"/>
  <c r="AS381"/>
  <c r="Y380"/>
  <c r="AG380"/>
  <c r="X380"/>
  <c r="AH380"/>
  <c r="AS380"/>
  <c r="Y379"/>
  <c r="AG379"/>
  <c r="X379"/>
  <c r="AH379"/>
  <c r="AS379"/>
  <c r="Y378"/>
  <c r="AG378"/>
  <c r="X378"/>
  <c r="AH378"/>
  <c r="AS378"/>
  <c r="Y377"/>
  <c r="AG377"/>
  <c r="X377"/>
  <c r="AH377"/>
  <c r="AS377"/>
  <c r="Y376"/>
  <c r="AG376"/>
  <c r="X376"/>
  <c r="AH376"/>
  <c r="AS376"/>
  <c r="Y375"/>
  <c r="AG375"/>
  <c r="X375"/>
  <c r="AH375"/>
  <c r="AS375"/>
  <c r="Y374"/>
  <c r="AG374"/>
  <c r="X374"/>
  <c r="AH374"/>
  <c r="AS374"/>
  <c r="Y373"/>
  <c r="AG373"/>
  <c r="X373"/>
  <c r="AH373"/>
  <c r="AS373"/>
  <c r="Y372"/>
  <c r="AG372"/>
  <c r="X372"/>
  <c r="AH372"/>
  <c r="AS372"/>
  <c r="Y371"/>
  <c r="AG371"/>
  <c r="X371"/>
  <c r="AH371"/>
  <c r="AS371"/>
  <c r="Y370"/>
  <c r="AG370"/>
  <c r="X370"/>
  <c r="AH370"/>
  <c r="AS370"/>
  <c r="Y369"/>
  <c r="AG369"/>
  <c r="X369"/>
  <c r="AH369"/>
  <c r="AS369"/>
  <c r="Y368"/>
  <c r="AG368"/>
  <c r="X368"/>
  <c r="AH368"/>
  <c r="AS368"/>
  <c r="Y367"/>
  <c r="AG367"/>
  <c r="X367"/>
  <c r="AH367"/>
  <c r="AS367"/>
  <c r="Y366"/>
  <c r="AG366"/>
  <c r="X366"/>
  <c r="AH366"/>
  <c r="AS366"/>
  <c r="Y365"/>
  <c r="AG365"/>
  <c r="X365"/>
  <c r="AH365"/>
  <c r="AS365"/>
  <c r="Y364"/>
  <c r="AG364"/>
  <c r="X364"/>
  <c r="AH364"/>
  <c r="AS364"/>
  <c r="Y363"/>
  <c r="AG363"/>
  <c r="X363"/>
  <c r="AH363"/>
  <c r="AS363"/>
  <c r="Y362"/>
  <c r="AG362"/>
  <c r="X362"/>
  <c r="AH362"/>
  <c r="AS362"/>
  <c r="Y361"/>
  <c r="AG361"/>
  <c r="X361"/>
  <c r="AH361"/>
  <c r="AS361"/>
  <c r="Y360"/>
  <c r="AG360"/>
  <c r="X360"/>
  <c r="AH360"/>
  <c r="AS360"/>
  <c r="Y359"/>
  <c r="AG359"/>
  <c r="X359"/>
  <c r="AH359"/>
  <c r="AS359"/>
  <c r="Y358"/>
  <c r="AG358"/>
  <c r="X358"/>
  <c r="AH358"/>
  <c r="AS358"/>
  <c r="Y357"/>
  <c r="AG357"/>
  <c r="X357"/>
  <c r="AH357"/>
  <c r="AS357"/>
  <c r="Y356"/>
  <c r="AG356"/>
  <c r="X356"/>
  <c r="AH356"/>
  <c r="AS356"/>
  <c r="Y355"/>
  <c r="AG355"/>
  <c r="X355"/>
  <c r="AH355"/>
  <c r="AS355"/>
  <c r="Y354"/>
  <c r="AG354"/>
  <c r="X354"/>
  <c r="AH354"/>
  <c r="AS354"/>
  <c r="Y353"/>
  <c r="AG353"/>
  <c r="X353"/>
  <c r="AH353"/>
  <c r="AS353"/>
  <c r="Y352"/>
  <c r="AG352"/>
  <c r="X352"/>
  <c r="AH352"/>
  <c r="AS352"/>
  <c r="BK352"/>
  <c r="Y351"/>
  <c r="AG351"/>
  <c r="X351"/>
  <c r="AH351"/>
  <c r="AS351"/>
  <c r="Y350"/>
  <c r="AG350"/>
  <c r="X350"/>
  <c r="AH350"/>
  <c r="AS350"/>
  <c r="Y349"/>
  <c r="AG349"/>
  <c r="X349"/>
  <c r="AH349"/>
  <c r="AS349"/>
  <c r="Y348"/>
  <c r="AG348"/>
  <c r="X348"/>
  <c r="AH348"/>
  <c r="AS348"/>
  <c r="Y347"/>
  <c r="AG347"/>
  <c r="X347"/>
  <c r="AH347"/>
  <c r="AS347"/>
  <c r="Y346"/>
  <c r="AG346"/>
  <c r="X346"/>
  <c r="AH346"/>
  <c r="AS346"/>
  <c r="Y345"/>
  <c r="AG345"/>
  <c r="X345"/>
  <c r="AH345"/>
  <c r="AS345"/>
  <c r="Y344"/>
  <c r="AG344"/>
  <c r="X344"/>
  <c r="AH344"/>
  <c r="AS344"/>
  <c r="BL344"/>
  <c r="Y343"/>
  <c r="AG343"/>
  <c r="X343"/>
  <c r="AH343"/>
  <c r="AS343"/>
  <c r="Y342"/>
  <c r="AG342"/>
  <c r="X342"/>
  <c r="AH342"/>
  <c r="AS342"/>
  <c r="Y341"/>
  <c r="AG341"/>
  <c r="X341"/>
  <c r="AH341"/>
  <c r="AS341"/>
  <c r="Y340"/>
  <c r="AG340"/>
  <c r="X340"/>
  <c r="AH340"/>
  <c r="AS340"/>
  <c r="Y339"/>
  <c r="AG339"/>
  <c r="X339"/>
  <c r="AH339"/>
  <c r="AS339"/>
  <c r="Y338"/>
  <c r="AG338"/>
  <c r="X338"/>
  <c r="AH338"/>
  <c r="AS338"/>
  <c r="Y337"/>
  <c r="AG337"/>
  <c r="X337"/>
  <c r="AH337"/>
  <c r="AS337"/>
  <c r="Y336"/>
  <c r="AG336"/>
  <c r="X336"/>
  <c r="AH336"/>
  <c r="AS336"/>
  <c r="Y335"/>
  <c r="AG335"/>
  <c r="X335"/>
  <c r="AH335"/>
  <c r="AS335"/>
  <c r="Y334"/>
  <c r="AG334"/>
  <c r="X334"/>
  <c r="AH334"/>
  <c r="AS334"/>
  <c r="Y333"/>
  <c r="AG333"/>
  <c r="X333"/>
  <c r="AH333"/>
  <c r="AS333"/>
  <c r="Y332"/>
  <c r="AG332"/>
  <c r="X332"/>
  <c r="AH332"/>
  <c r="AS332"/>
  <c r="Y331"/>
  <c r="AG331"/>
  <c r="X331"/>
  <c r="AH331"/>
  <c r="AS331"/>
  <c r="Y330"/>
  <c r="AG330"/>
  <c r="X330"/>
  <c r="AH330"/>
  <c r="AS330"/>
  <c r="Y329"/>
  <c r="AG329"/>
  <c r="X329"/>
  <c r="AH329"/>
  <c r="AS329"/>
  <c r="Y328"/>
  <c r="AG328"/>
  <c r="X328"/>
  <c r="AH328"/>
  <c r="AS328"/>
  <c r="Y327"/>
  <c r="AG327"/>
  <c r="X327"/>
  <c r="AH327"/>
  <c r="AS327"/>
  <c r="Y326"/>
  <c r="AG326"/>
  <c r="X326"/>
  <c r="AH326"/>
  <c r="AS326"/>
  <c r="Y325"/>
  <c r="AG325"/>
  <c r="X325"/>
  <c r="AH325"/>
  <c r="AS325"/>
  <c r="Y324"/>
  <c r="AG324"/>
  <c r="X324"/>
  <c r="AH324"/>
  <c r="AS324"/>
  <c r="Y323"/>
  <c r="AG323"/>
  <c r="X323"/>
  <c r="AH323"/>
  <c r="AS323"/>
  <c r="Y322"/>
  <c r="AG322"/>
  <c r="X322"/>
  <c r="AH322"/>
  <c r="AS322"/>
  <c r="Y321"/>
  <c r="AG321"/>
  <c r="X321"/>
  <c r="AH321"/>
  <c r="AS321"/>
  <c r="Y320"/>
  <c r="AG320"/>
  <c r="X320"/>
  <c r="AH320"/>
  <c r="AS320"/>
  <c r="Y319"/>
  <c r="AG319"/>
  <c r="X319"/>
  <c r="AH319"/>
  <c r="AS319"/>
  <c r="Y318"/>
  <c r="AG318"/>
  <c r="X318"/>
  <c r="AH318"/>
  <c r="AS318"/>
  <c r="Y317"/>
  <c r="AG317"/>
  <c r="X317"/>
  <c r="AH317"/>
  <c r="AS317"/>
  <c r="Y316"/>
  <c r="AG316"/>
  <c r="X316"/>
  <c r="AH316"/>
  <c r="AS316"/>
  <c r="Y315"/>
  <c r="AG315"/>
  <c r="X315"/>
  <c r="AH315"/>
  <c r="AS315"/>
  <c r="BJ315"/>
  <c r="Y314"/>
  <c r="AG314"/>
  <c r="X314"/>
  <c r="AH314"/>
  <c r="AS314"/>
  <c r="Y313"/>
  <c r="AG313"/>
  <c r="X313"/>
  <c r="AH313"/>
  <c r="AS313"/>
  <c r="Y312"/>
  <c r="AG312"/>
  <c r="X312"/>
  <c r="AH312"/>
  <c r="AS312"/>
  <c r="Y311"/>
  <c r="AG311"/>
  <c r="X311"/>
  <c r="AH311"/>
  <c r="AS311"/>
  <c r="Y310"/>
  <c r="AG310"/>
  <c r="X310"/>
  <c r="AH310"/>
  <c r="AS310"/>
  <c r="Y309"/>
  <c r="AG309"/>
  <c r="X309"/>
  <c r="AH309"/>
  <c r="AS309"/>
  <c r="Y308"/>
  <c r="AG308"/>
  <c r="X308"/>
  <c r="AH308"/>
  <c r="AS308"/>
  <c r="Y307"/>
  <c r="AG307"/>
  <c r="X307"/>
  <c r="AH307"/>
  <c r="AS307"/>
  <c r="BJ307"/>
  <c r="Y306"/>
  <c r="AG306"/>
  <c r="X306"/>
  <c r="AH306"/>
  <c r="AS306"/>
  <c r="Y305"/>
  <c r="AG305"/>
  <c r="X305"/>
  <c r="AH305"/>
  <c r="AS305"/>
  <c r="Y304"/>
  <c r="AG304"/>
  <c r="X304"/>
  <c r="AH304"/>
  <c r="AS304"/>
  <c r="Y303"/>
  <c r="AG303"/>
  <c r="X303"/>
  <c r="AH303"/>
  <c r="AS303"/>
  <c r="Y302"/>
  <c r="AG302"/>
  <c r="X302"/>
  <c r="AH302"/>
  <c r="AS302"/>
  <c r="Y301"/>
  <c r="AG301"/>
  <c r="X301"/>
  <c r="AH301"/>
  <c r="AS301"/>
  <c r="Y300"/>
  <c r="AG300"/>
  <c r="X300"/>
  <c r="AH300"/>
  <c r="AS300"/>
  <c r="Y299"/>
  <c r="AG299"/>
  <c r="X299"/>
  <c r="AH299"/>
  <c r="AS299"/>
  <c r="Y298"/>
  <c r="AG298"/>
  <c r="X298"/>
  <c r="AH298"/>
  <c r="AS298"/>
  <c r="Y297"/>
  <c r="AG297"/>
  <c r="X297"/>
  <c r="AH297"/>
  <c r="AS297"/>
  <c r="Y296"/>
  <c r="AG296"/>
  <c r="X296"/>
  <c r="AH296"/>
  <c r="AS296"/>
  <c r="Y295"/>
  <c r="AG295"/>
  <c r="X295"/>
  <c r="AH295"/>
  <c r="AS295"/>
  <c r="Y294"/>
  <c r="AG294"/>
  <c r="X294"/>
  <c r="AH294"/>
  <c r="AS294"/>
  <c r="Y293"/>
  <c r="AG293"/>
  <c r="X293"/>
  <c r="AH293"/>
  <c r="AS293"/>
  <c r="Y292"/>
  <c r="AG292"/>
  <c r="X292"/>
  <c r="AH292"/>
  <c r="AS292"/>
  <c r="Y291"/>
  <c r="AG291"/>
  <c r="X291"/>
  <c r="AH291"/>
  <c r="AS291"/>
  <c r="Y290"/>
  <c r="AG290"/>
  <c r="X290"/>
  <c r="AH290"/>
  <c r="AS290"/>
  <c r="Y289"/>
  <c r="AG289"/>
  <c r="X289"/>
  <c r="AH289"/>
  <c r="AS289"/>
  <c r="Y288"/>
  <c r="AG288"/>
  <c r="X288"/>
  <c r="AH288"/>
  <c r="AS288"/>
  <c r="Y287"/>
  <c r="AG287"/>
  <c r="X287"/>
  <c r="AH287"/>
  <c r="AS287"/>
  <c r="Y286"/>
  <c r="AG286"/>
  <c r="X286"/>
  <c r="AH286"/>
  <c r="AS286"/>
  <c r="Y285"/>
  <c r="AG285"/>
  <c r="X285"/>
  <c r="AH285"/>
  <c r="AS285"/>
  <c r="Y284"/>
  <c r="AG284"/>
  <c r="X284"/>
  <c r="AH284"/>
  <c r="AS284"/>
  <c r="Y283"/>
  <c r="AG283"/>
  <c r="X283"/>
  <c r="AH283"/>
  <c r="AS283"/>
  <c r="Y282"/>
  <c r="AG282"/>
  <c r="X282"/>
  <c r="AH282"/>
  <c r="AS282"/>
  <c r="Y281"/>
  <c r="AG281"/>
  <c r="X281"/>
  <c r="AH281"/>
  <c r="AS281"/>
  <c r="Y280"/>
  <c r="AG280"/>
  <c r="X280"/>
  <c r="AH280"/>
  <c r="AS280"/>
  <c r="Y279"/>
  <c r="AG279"/>
  <c r="X279"/>
  <c r="AH279"/>
  <c r="AS279"/>
  <c r="Y278"/>
  <c r="AG278"/>
  <c r="X278"/>
  <c r="AH278"/>
  <c r="AS278"/>
  <c r="Y277"/>
  <c r="AG277"/>
  <c r="X277"/>
  <c r="AH277"/>
  <c r="AS277"/>
  <c r="Y276"/>
  <c r="AG276"/>
  <c r="X276"/>
  <c r="AH276"/>
  <c r="AS276"/>
  <c r="Y275"/>
  <c r="AG275"/>
  <c r="X275"/>
  <c r="AH275"/>
  <c r="AS275"/>
  <c r="Y274"/>
  <c r="AG274"/>
  <c r="X274"/>
  <c r="AH274"/>
  <c r="AS274"/>
  <c r="Y273"/>
  <c r="AG273"/>
  <c r="X273"/>
  <c r="AH273"/>
  <c r="AS273"/>
  <c r="Y272"/>
  <c r="AG272"/>
  <c r="X272"/>
  <c r="AH272"/>
  <c r="AS272"/>
  <c r="Y271"/>
  <c r="AG271"/>
  <c r="X271"/>
  <c r="AH271"/>
  <c r="AS271"/>
  <c r="Y270"/>
  <c r="AG270"/>
  <c r="X270"/>
  <c r="AH270"/>
  <c r="AS270"/>
  <c r="Y269"/>
  <c r="AG269"/>
  <c r="X269"/>
  <c r="AH269"/>
  <c r="AS269"/>
  <c r="Y268"/>
  <c r="AG268"/>
  <c r="X268"/>
  <c r="AH268"/>
  <c r="AS268"/>
  <c r="Y267"/>
  <c r="AG267"/>
  <c r="X267"/>
  <c r="AH267"/>
  <c r="AS267"/>
  <c r="Y266"/>
  <c r="AG266"/>
  <c r="X266"/>
  <c r="AH266"/>
  <c r="AS266"/>
  <c r="Y265"/>
  <c r="AG265"/>
  <c r="X265"/>
  <c r="AH265"/>
  <c r="AS265"/>
  <c r="Y264"/>
  <c r="AG264"/>
  <c r="X264"/>
  <c r="AH264"/>
  <c r="AS264"/>
  <c r="Y263"/>
  <c r="AG263"/>
  <c r="X263"/>
  <c r="AH263"/>
  <c r="AS263"/>
  <c r="Y262"/>
  <c r="AG262"/>
  <c r="X262"/>
  <c r="AH262"/>
  <c r="AS262"/>
  <c r="Y261"/>
  <c r="AG261"/>
  <c r="X261"/>
  <c r="AH261"/>
  <c r="AS261"/>
  <c r="Y260"/>
  <c r="AG260"/>
  <c r="X260"/>
  <c r="AH260"/>
  <c r="AS260"/>
  <c r="Y259"/>
  <c r="AG259"/>
  <c r="X259"/>
  <c r="AH259"/>
  <c r="AS259"/>
  <c r="Y258"/>
  <c r="AG258"/>
  <c r="X258"/>
  <c r="AH258"/>
  <c r="AS258"/>
  <c r="Y257"/>
  <c r="AG257"/>
  <c r="X257"/>
  <c r="AH257"/>
  <c r="AS257"/>
  <c r="Y256"/>
  <c r="AG256"/>
  <c r="X256"/>
  <c r="AH256"/>
  <c r="AS256"/>
  <c r="Y255"/>
  <c r="AG255"/>
  <c r="X255"/>
  <c r="AH255"/>
  <c r="AS255"/>
  <c r="Y254"/>
  <c r="AG254"/>
  <c r="X254"/>
  <c r="AH254"/>
  <c r="AS254"/>
  <c r="Y253"/>
  <c r="AG253"/>
  <c r="X253"/>
  <c r="AH253"/>
  <c r="AS253"/>
  <c r="Y252"/>
  <c r="AG252"/>
  <c r="X252"/>
  <c r="AH252"/>
  <c r="AS252"/>
  <c r="Y251"/>
  <c r="AG251"/>
  <c r="X251"/>
  <c r="AH251"/>
  <c r="AS251"/>
  <c r="Y250"/>
  <c r="AG250"/>
  <c r="X250"/>
  <c r="AH250"/>
  <c r="AS250"/>
  <c r="Y249"/>
  <c r="AG249"/>
  <c r="X249"/>
  <c r="AH249"/>
  <c r="AS249"/>
  <c r="Y248"/>
  <c r="AG248"/>
  <c r="X248"/>
  <c r="AH248"/>
  <c r="AS248"/>
  <c r="Y247"/>
  <c r="AG247"/>
  <c r="X247"/>
  <c r="AH247"/>
  <c r="AS247"/>
  <c r="Y246"/>
  <c r="AG246"/>
  <c r="X246"/>
  <c r="AH246"/>
  <c r="AS246"/>
  <c r="Y245"/>
  <c r="AG245"/>
  <c r="X245"/>
  <c r="AH245"/>
  <c r="AS245"/>
  <c r="Y244"/>
  <c r="AG244"/>
  <c r="X244"/>
  <c r="AH244"/>
  <c r="AS244"/>
  <c r="Y243"/>
  <c r="AG243"/>
  <c r="X243"/>
  <c r="AH243"/>
  <c r="AS243"/>
  <c r="Y242"/>
  <c r="AG242"/>
  <c r="X242"/>
  <c r="AH242"/>
  <c r="AS242"/>
  <c r="Y241"/>
  <c r="AG241"/>
  <c r="X241"/>
  <c r="AH241"/>
  <c r="AS241"/>
  <c r="Y240"/>
  <c r="AG240"/>
  <c r="X240"/>
  <c r="AH240"/>
  <c r="AS240"/>
  <c r="Y239"/>
  <c r="AG239"/>
  <c r="X239"/>
  <c r="AH239"/>
  <c r="AS239"/>
  <c r="Y238"/>
  <c r="AG238"/>
  <c r="X238"/>
  <c r="AH238"/>
  <c r="AS238"/>
  <c r="Y237"/>
  <c r="AG237"/>
  <c r="X237"/>
  <c r="AH237"/>
  <c r="AS237"/>
  <c r="Y236"/>
  <c r="AG236"/>
  <c r="X236"/>
  <c r="AH236"/>
  <c r="AS236"/>
  <c r="Y235"/>
  <c r="AG235"/>
  <c r="X235"/>
  <c r="AH235"/>
  <c r="AS235"/>
  <c r="Y234"/>
  <c r="AG234"/>
  <c r="X234"/>
  <c r="AH234"/>
  <c r="AS234"/>
  <c r="Y233"/>
  <c r="AG233"/>
  <c r="X233"/>
  <c r="AH233"/>
  <c r="AS233"/>
  <c r="Y232"/>
  <c r="AG232"/>
  <c r="X232"/>
  <c r="AH232"/>
  <c r="AS232"/>
  <c r="Y231"/>
  <c r="AG231"/>
  <c r="X231"/>
  <c r="AH231"/>
  <c r="AS231"/>
  <c r="Y230"/>
  <c r="AG230"/>
  <c r="X230"/>
  <c r="AH230"/>
  <c r="AS230"/>
  <c r="Y229"/>
  <c r="AG229"/>
  <c r="X229"/>
  <c r="AH229"/>
  <c r="AS229"/>
  <c r="Y228"/>
  <c r="AG228"/>
  <c r="X228"/>
  <c r="AH228"/>
  <c r="AS228"/>
  <c r="Y227"/>
  <c r="AG227"/>
  <c r="X227"/>
  <c r="AH227"/>
  <c r="AS227"/>
  <c r="Y226"/>
  <c r="AG226"/>
  <c r="X226"/>
  <c r="AH226"/>
  <c r="AS226"/>
  <c r="Y225"/>
  <c r="AG225"/>
  <c r="X225"/>
  <c r="AH225"/>
  <c r="AS225"/>
  <c r="Y224"/>
  <c r="AG224"/>
  <c r="X224"/>
  <c r="AH224"/>
  <c r="AS224"/>
  <c r="Y223"/>
  <c r="AG223"/>
  <c r="X223"/>
  <c r="AH223"/>
  <c r="AS223"/>
  <c r="AL223"/>
  <c r="AQ223"/>
  <c r="AB223"/>
  <c r="AC223"/>
  <c r="AI223"/>
  <c r="Y222"/>
  <c r="AG222"/>
  <c r="X222"/>
  <c r="AH222"/>
  <c r="AS222"/>
  <c r="AL222"/>
  <c r="AQ222"/>
  <c r="AB222"/>
  <c r="AC222"/>
  <c r="AI222"/>
  <c r="Y221"/>
  <c r="AG221"/>
  <c r="X221"/>
  <c r="AH221"/>
  <c r="AS221"/>
  <c r="AL221"/>
  <c r="AQ221"/>
  <c r="AB221"/>
  <c r="AC221"/>
  <c r="AI221"/>
  <c r="Y220"/>
  <c r="AG220"/>
  <c r="X220"/>
  <c r="AH220"/>
  <c r="AS220"/>
  <c r="Y219"/>
  <c r="AG219"/>
  <c r="X219"/>
  <c r="AH219"/>
  <c r="AS219"/>
  <c r="Y218"/>
  <c r="AG218"/>
  <c r="X218"/>
  <c r="AH218"/>
  <c r="AS218"/>
  <c r="Y217"/>
  <c r="AG217"/>
  <c r="X217"/>
  <c r="AH217"/>
  <c r="AS217"/>
  <c r="Y216"/>
  <c r="AG216"/>
  <c r="X216"/>
  <c r="AH216"/>
  <c r="AS216"/>
  <c r="Y215"/>
  <c r="AG215"/>
  <c r="X215"/>
  <c r="AH215"/>
  <c r="AS215"/>
  <c r="Y214"/>
  <c r="AG214"/>
  <c r="X214"/>
  <c r="AH214"/>
  <c r="AS214"/>
  <c r="Y213"/>
  <c r="AG213"/>
  <c r="X213"/>
  <c r="AH213"/>
  <c r="AS213"/>
  <c r="Y212"/>
  <c r="AG212"/>
  <c r="X212"/>
  <c r="AH212"/>
  <c r="AS212"/>
  <c r="Y211"/>
  <c r="AG211"/>
  <c r="X211"/>
  <c r="AH211"/>
  <c r="AS211"/>
  <c r="Y210"/>
  <c r="AG210"/>
  <c r="X210"/>
  <c r="AH210"/>
  <c r="AS210"/>
  <c r="Y209"/>
  <c r="AG209"/>
  <c r="X209"/>
  <c r="AH209"/>
  <c r="AS209"/>
  <c r="Y208"/>
  <c r="AG208"/>
  <c r="X208"/>
  <c r="AH208"/>
  <c r="AS208"/>
  <c r="Y207"/>
  <c r="AG207"/>
  <c r="X207"/>
  <c r="AH207"/>
  <c r="AS207"/>
  <c r="Y206"/>
  <c r="AG206"/>
  <c r="X206"/>
  <c r="AH206"/>
  <c r="AS206"/>
  <c r="Y205"/>
  <c r="AG205"/>
  <c r="X205"/>
  <c r="AH205"/>
  <c r="AS205"/>
  <c r="Y204"/>
  <c r="AG204"/>
  <c r="X204"/>
  <c r="AH204"/>
  <c r="AS204"/>
  <c r="Y203"/>
  <c r="AG203"/>
  <c r="X203"/>
  <c r="AH203"/>
  <c r="AS203"/>
  <c r="Y202"/>
  <c r="AG202"/>
  <c r="X202"/>
  <c r="AH202"/>
  <c r="AS202"/>
  <c r="Y201"/>
  <c r="AG201"/>
  <c r="X201"/>
  <c r="AH201"/>
  <c r="AS201"/>
  <c r="Y200"/>
  <c r="AG200"/>
  <c r="X200"/>
  <c r="AH200"/>
  <c r="AS200"/>
  <c r="Y199"/>
  <c r="AG199"/>
  <c r="X199"/>
  <c r="AH199"/>
  <c r="AS199"/>
  <c r="Y198"/>
  <c r="AG198"/>
  <c r="X198"/>
  <c r="AH198"/>
  <c r="AS198"/>
  <c r="Y197"/>
  <c r="AG197"/>
  <c r="X197"/>
  <c r="AH197"/>
  <c r="AS197"/>
  <c r="Y196"/>
  <c r="AG196"/>
  <c r="X196"/>
  <c r="AH196"/>
  <c r="AS196"/>
  <c r="Y195"/>
  <c r="AG195"/>
  <c r="X195"/>
  <c r="AH195"/>
  <c r="AS195"/>
  <c r="Y194"/>
  <c r="AG194"/>
  <c r="X194"/>
  <c r="AH194"/>
  <c r="AS194"/>
  <c r="Y193"/>
  <c r="AG193"/>
  <c r="X193"/>
  <c r="AH193"/>
  <c r="AS193"/>
  <c r="Y192"/>
  <c r="AG192"/>
  <c r="X192"/>
  <c r="AH192"/>
  <c r="AS192"/>
  <c r="Y191"/>
  <c r="AG191"/>
  <c r="X191"/>
  <c r="AH191"/>
  <c r="AS191"/>
  <c r="Y190"/>
  <c r="AG190"/>
  <c r="X190"/>
  <c r="AH190"/>
  <c r="AS190"/>
  <c r="Y189"/>
  <c r="AG189"/>
  <c r="X189"/>
  <c r="AH189"/>
  <c r="AS189"/>
  <c r="Y188"/>
  <c r="AG188"/>
  <c r="X188"/>
  <c r="AH188"/>
  <c r="AS188"/>
  <c r="Y187"/>
  <c r="AG187"/>
  <c r="X187"/>
  <c r="AH187"/>
  <c r="AS187"/>
  <c r="Y186"/>
  <c r="AG186"/>
  <c r="X186"/>
  <c r="AH186"/>
  <c r="AS186"/>
  <c r="Y185"/>
  <c r="AG185"/>
  <c r="X185"/>
  <c r="AH185"/>
  <c r="AS185"/>
  <c r="Y184"/>
  <c r="AG184"/>
  <c r="X184"/>
  <c r="AH184"/>
  <c r="AS184"/>
  <c r="Y183"/>
  <c r="AG183"/>
  <c r="X183"/>
  <c r="AH183"/>
  <c r="AS183"/>
  <c r="Y182"/>
  <c r="AG182"/>
  <c r="X182"/>
  <c r="AH182"/>
  <c r="AS182"/>
  <c r="Y181"/>
  <c r="AG181"/>
  <c r="X181"/>
  <c r="AH181"/>
  <c r="AS181"/>
  <c r="Y180"/>
  <c r="AG180"/>
  <c r="X180"/>
  <c r="AH180"/>
  <c r="AS180"/>
  <c r="Y179"/>
  <c r="AG179"/>
  <c r="X179"/>
  <c r="AH179"/>
  <c r="AS179"/>
  <c r="Y178"/>
  <c r="AG178"/>
  <c r="X178"/>
  <c r="AH178"/>
  <c r="AS178"/>
  <c r="Y177"/>
  <c r="AG177"/>
  <c r="X177"/>
  <c r="AH177"/>
  <c r="AS177"/>
  <c r="Y176"/>
  <c r="AG176"/>
  <c r="X176"/>
  <c r="AH176"/>
  <c r="AS176"/>
  <c r="Y175"/>
  <c r="AG175"/>
  <c r="X175"/>
  <c r="AH175"/>
  <c r="AS175"/>
  <c r="Y174"/>
  <c r="AG174"/>
  <c r="X174"/>
  <c r="AH174"/>
  <c r="AS174"/>
  <c r="Y173"/>
  <c r="AG173"/>
  <c r="X173"/>
  <c r="AH173"/>
  <c r="AS173"/>
  <c r="Y172"/>
  <c r="AG172"/>
  <c r="X172"/>
  <c r="AH172"/>
  <c r="AS172"/>
  <c r="Y171"/>
  <c r="AG171"/>
  <c r="X171"/>
  <c r="AH171"/>
  <c r="AS171"/>
  <c r="Y170"/>
  <c r="AG170"/>
  <c r="X170"/>
  <c r="AH170"/>
  <c r="AS170"/>
  <c r="Y169"/>
  <c r="AG169"/>
  <c r="X169"/>
  <c r="AH169"/>
  <c r="AS169"/>
  <c r="Y168"/>
  <c r="AG168"/>
  <c r="X168"/>
  <c r="AH168"/>
  <c r="AS168"/>
  <c r="Y167"/>
  <c r="AG167"/>
  <c r="X167"/>
  <c r="AH167"/>
  <c r="AS167"/>
  <c r="Y166"/>
  <c r="AG166"/>
  <c r="X166"/>
  <c r="AH166"/>
  <c r="AS166"/>
  <c r="Y165"/>
  <c r="AG165"/>
  <c r="X165"/>
  <c r="AH165"/>
  <c r="AS165"/>
  <c r="Y164"/>
  <c r="AG164"/>
  <c r="X164"/>
  <c r="AH164"/>
  <c r="AS164"/>
  <c r="Y163"/>
  <c r="AG163"/>
  <c r="X163"/>
  <c r="AH163"/>
  <c r="AS163"/>
  <c r="Y162"/>
  <c r="AG162"/>
  <c r="X162"/>
  <c r="AH162"/>
  <c r="AS162"/>
  <c r="Y161"/>
  <c r="AG161"/>
  <c r="X161"/>
  <c r="AH161"/>
  <c r="AS161"/>
  <c r="Y160"/>
  <c r="AG160"/>
  <c r="X160"/>
  <c r="AH160"/>
  <c r="AS160"/>
  <c r="Y159"/>
  <c r="AG159"/>
  <c r="X159"/>
  <c r="AH159"/>
  <c r="AS159"/>
  <c r="Y158"/>
  <c r="AG158"/>
  <c r="X158"/>
  <c r="AH158"/>
  <c r="AS158"/>
  <c r="Y157"/>
  <c r="AG157"/>
  <c r="X157"/>
  <c r="AH157"/>
  <c r="AS157"/>
  <c r="Y156"/>
  <c r="AG156"/>
  <c r="X156"/>
  <c r="AH156"/>
  <c r="AS156"/>
  <c r="Y155"/>
  <c r="AG155"/>
  <c r="X155"/>
  <c r="AH155"/>
  <c r="AS155"/>
  <c r="Y154"/>
  <c r="AG154"/>
  <c r="X154"/>
  <c r="AH154"/>
  <c r="AS154"/>
  <c r="Y153"/>
  <c r="AG153"/>
  <c r="X153"/>
  <c r="AH153"/>
  <c r="AS153"/>
  <c r="Y152"/>
  <c r="AG152"/>
  <c r="X152"/>
  <c r="AH152"/>
  <c r="AS152"/>
  <c r="Y151"/>
  <c r="AG151"/>
  <c r="X151"/>
  <c r="AH151"/>
  <c r="AS151"/>
  <c r="Y150"/>
  <c r="AG150"/>
  <c r="X150"/>
  <c r="AH150"/>
  <c r="AS150"/>
  <c r="Y149"/>
  <c r="AG149"/>
  <c r="X149"/>
  <c r="AH149"/>
  <c r="AS149"/>
  <c r="Y148"/>
  <c r="AG148"/>
  <c r="X148"/>
  <c r="AH148"/>
  <c r="AS148"/>
  <c r="Y147"/>
  <c r="AG147"/>
  <c r="X147"/>
  <c r="AH147"/>
  <c r="AS147"/>
  <c r="Y146"/>
  <c r="AG146"/>
  <c r="X146"/>
  <c r="AH146"/>
  <c r="AS146"/>
  <c r="Y145"/>
  <c r="AG145"/>
  <c r="X145"/>
  <c r="AH145"/>
  <c r="AS145"/>
  <c r="Y144"/>
  <c r="AG144"/>
  <c r="X144"/>
  <c r="AH144"/>
  <c r="AS144"/>
  <c r="Y143"/>
  <c r="AG143"/>
  <c r="X143"/>
  <c r="AH143"/>
  <c r="AS143"/>
  <c r="Y142"/>
  <c r="AG142"/>
  <c r="X142"/>
  <c r="AH142"/>
  <c r="AS142"/>
  <c r="Y141"/>
  <c r="AG141"/>
  <c r="X141"/>
  <c r="AH141"/>
  <c r="AS141"/>
  <c r="Y140"/>
  <c r="AG140"/>
  <c r="X140"/>
  <c r="AH140"/>
  <c r="AS140"/>
  <c r="Y139"/>
  <c r="AG139"/>
  <c r="X139"/>
  <c r="AH139"/>
  <c r="AS139"/>
  <c r="Y138"/>
  <c r="AG138"/>
  <c r="X138"/>
  <c r="AH138"/>
  <c r="AS138"/>
  <c r="Y137"/>
  <c r="AG137"/>
  <c r="X137"/>
  <c r="AH137"/>
  <c r="AS137"/>
  <c r="Y136"/>
  <c r="AG136"/>
  <c r="X136"/>
  <c r="AH136"/>
  <c r="AS136"/>
  <c r="Y135"/>
  <c r="AG135"/>
  <c r="X135"/>
  <c r="AH135"/>
  <c r="AS135"/>
  <c r="Y134"/>
  <c r="AG134"/>
  <c r="X134"/>
  <c r="AH134"/>
  <c r="AS134"/>
  <c r="Y133"/>
  <c r="AG133"/>
  <c r="X133"/>
  <c r="AH133"/>
  <c r="AS133"/>
  <c r="Y132"/>
  <c r="AG132"/>
  <c r="X132"/>
  <c r="AH132"/>
  <c r="AS132"/>
  <c r="Y131"/>
  <c r="AG131"/>
  <c r="X131"/>
  <c r="AH131"/>
  <c r="AS131"/>
  <c r="Y130"/>
  <c r="AG130"/>
  <c r="X130"/>
  <c r="AH130"/>
  <c r="AS130"/>
  <c r="Y129"/>
  <c r="AG129"/>
  <c r="X129"/>
  <c r="AH129"/>
  <c r="AS129"/>
  <c r="Y128"/>
  <c r="AG128"/>
  <c r="X128"/>
  <c r="AH128"/>
  <c r="AS128"/>
  <c r="Y127"/>
  <c r="AG127"/>
  <c r="X127"/>
  <c r="AH127"/>
  <c r="AS127"/>
  <c r="Y126"/>
  <c r="AG126"/>
  <c r="X126"/>
  <c r="AH126"/>
  <c r="AS126"/>
  <c r="Y125"/>
  <c r="AG125"/>
  <c r="X125"/>
  <c r="AH125"/>
  <c r="AS125"/>
  <c r="Y124"/>
  <c r="AG124"/>
  <c r="X124"/>
  <c r="AH124"/>
  <c r="AS124"/>
  <c r="Y123"/>
  <c r="AG123"/>
  <c r="X123"/>
  <c r="AH123"/>
  <c r="AS123"/>
  <c r="Y122"/>
  <c r="AG122"/>
  <c r="X122"/>
  <c r="AH122"/>
  <c r="AS122"/>
  <c r="Y121"/>
  <c r="AG121"/>
  <c r="X121"/>
  <c r="AH121"/>
  <c r="AS121"/>
  <c r="Y120"/>
  <c r="AG120"/>
  <c r="X120"/>
  <c r="AH120"/>
  <c r="AS120"/>
  <c r="Y119"/>
  <c r="AG119"/>
  <c r="X119"/>
  <c r="AH119"/>
  <c r="AS119"/>
  <c r="Y118"/>
  <c r="AG118"/>
  <c r="X118"/>
  <c r="AH118"/>
  <c r="AS118"/>
  <c r="Y117"/>
  <c r="AG117"/>
  <c r="X117"/>
  <c r="AH117"/>
  <c r="AS117"/>
  <c r="Y116"/>
  <c r="AG116"/>
  <c r="AS116"/>
  <c r="AL116"/>
  <c r="AQ116"/>
  <c r="AC116"/>
  <c r="AI116"/>
  <c r="Y115"/>
  <c r="AG115"/>
  <c r="AS115"/>
  <c r="AL115"/>
  <c r="AQ115"/>
  <c r="AC115"/>
  <c r="AI115"/>
  <c r="Y114"/>
  <c r="AG114"/>
  <c r="X114"/>
  <c r="AH114"/>
  <c r="AS114"/>
  <c r="Y113"/>
  <c r="AG113"/>
  <c r="X113"/>
  <c r="AH113"/>
  <c r="AS113"/>
  <c r="Y112"/>
  <c r="AG112"/>
  <c r="X112"/>
  <c r="AH112"/>
  <c r="AS112"/>
  <c r="Y111"/>
  <c r="AG111"/>
  <c r="X111"/>
  <c r="AH111"/>
  <c r="AS111"/>
  <c r="Y110"/>
  <c r="AG110"/>
  <c r="X110"/>
  <c r="AH110"/>
  <c r="AS110"/>
  <c r="Y109"/>
  <c r="AG109"/>
  <c r="X109"/>
  <c r="AH109"/>
  <c r="AS109"/>
  <c r="Y108"/>
  <c r="AG108"/>
  <c r="X108"/>
  <c r="AH108"/>
  <c r="AS108"/>
  <c r="Y107"/>
  <c r="AG107"/>
  <c r="X107"/>
  <c r="AH107"/>
  <c r="AS107"/>
  <c r="Y106"/>
  <c r="AG106"/>
  <c r="X106"/>
  <c r="AH106"/>
  <c r="AS106"/>
  <c r="Y105"/>
  <c r="AG105"/>
  <c r="X105"/>
  <c r="AH105"/>
  <c r="AS105"/>
  <c r="Y104"/>
  <c r="AG104"/>
  <c r="X104"/>
  <c r="AH104"/>
  <c r="AS104"/>
  <c r="Y103"/>
  <c r="AG103"/>
  <c r="X103"/>
  <c r="AH103"/>
  <c r="AS103"/>
  <c r="Y102"/>
  <c r="AG102"/>
  <c r="X102"/>
  <c r="AH102"/>
  <c r="AS102"/>
  <c r="Y101"/>
  <c r="AG101"/>
  <c r="X101"/>
  <c r="AH101"/>
  <c r="AS101"/>
  <c r="Y100"/>
  <c r="AG100"/>
  <c r="X100"/>
  <c r="AH100"/>
  <c r="AS100"/>
  <c r="Y99"/>
  <c r="AG99"/>
  <c r="X99"/>
  <c r="AH99"/>
  <c r="AS99"/>
  <c r="Y98"/>
  <c r="AG98"/>
  <c r="X98"/>
  <c r="AH98"/>
  <c r="AS98"/>
  <c r="Y97"/>
  <c r="AG97"/>
  <c r="X97"/>
  <c r="AH97"/>
  <c r="AS97"/>
  <c r="Y96"/>
  <c r="AG96"/>
  <c r="X96"/>
  <c r="AH96"/>
  <c r="AS96"/>
  <c r="Y95"/>
  <c r="AG95"/>
  <c r="X95"/>
  <c r="AH95"/>
  <c r="AS95"/>
  <c r="Y94"/>
  <c r="AG94"/>
  <c r="X94"/>
  <c r="AH94"/>
  <c r="AS94"/>
  <c r="Y93"/>
  <c r="AG93"/>
  <c r="X93"/>
  <c r="AH93"/>
  <c r="AS93"/>
  <c r="Y92"/>
  <c r="AG92"/>
  <c r="X92"/>
  <c r="AH92"/>
  <c r="AS92"/>
  <c r="Y91"/>
  <c r="AG91"/>
  <c r="X91"/>
  <c r="AH91"/>
  <c r="AS91"/>
  <c r="Y90"/>
  <c r="AG90"/>
  <c r="X90"/>
  <c r="AH90"/>
  <c r="AS90"/>
  <c r="Y89"/>
  <c r="AG89"/>
  <c r="X89"/>
  <c r="AH89"/>
  <c r="AS89"/>
  <c r="Y88"/>
  <c r="AG88"/>
  <c r="X88"/>
  <c r="AH88"/>
  <c r="AS88"/>
  <c r="Y87"/>
  <c r="AG87"/>
  <c r="X87"/>
  <c r="AH87"/>
  <c r="AS87"/>
  <c r="Y86"/>
  <c r="AG86"/>
  <c r="X86"/>
  <c r="AH86"/>
  <c r="AS86"/>
  <c r="Y85"/>
  <c r="AG85"/>
  <c r="X85"/>
  <c r="AH85"/>
  <c r="AS85"/>
  <c r="Y84"/>
  <c r="AG84"/>
  <c r="AS84"/>
  <c r="AL84"/>
  <c r="AQ84"/>
  <c r="AC84"/>
  <c r="AI84"/>
  <c r="Y83"/>
  <c r="AG83"/>
  <c r="X83"/>
  <c r="AH83"/>
  <c r="AS83"/>
  <c r="Y82"/>
  <c r="AG82"/>
  <c r="X82"/>
  <c r="AH82"/>
  <c r="AS82"/>
  <c r="Y81"/>
  <c r="AG81"/>
  <c r="X81"/>
  <c r="AH81"/>
  <c r="AS81"/>
  <c r="Y80"/>
  <c r="AG80"/>
  <c r="X80"/>
  <c r="AH80"/>
  <c r="AS80"/>
  <c r="Y79"/>
  <c r="AG79"/>
  <c r="X79"/>
  <c r="AH79"/>
  <c r="AS79"/>
  <c r="Y78"/>
  <c r="AG78"/>
  <c r="X78"/>
  <c r="AH78"/>
  <c r="AS78"/>
  <c r="Y77"/>
  <c r="AG77"/>
  <c r="X77"/>
  <c r="AH77"/>
  <c r="AS77"/>
  <c r="Y76"/>
  <c r="AG76"/>
  <c r="X76"/>
  <c r="AH76"/>
  <c r="AS76"/>
  <c r="Y75"/>
  <c r="AG75"/>
  <c r="X75"/>
  <c r="AH75"/>
  <c r="AS75"/>
  <c r="Y74"/>
  <c r="AG74"/>
  <c r="X74"/>
  <c r="AH74"/>
  <c r="AS74"/>
  <c r="Y73"/>
  <c r="AG73"/>
  <c r="X73"/>
  <c r="AH73"/>
  <c r="AS73"/>
  <c r="Y72"/>
  <c r="AG72"/>
  <c r="X72"/>
  <c r="AH72"/>
  <c r="AS72"/>
  <c r="Y71"/>
  <c r="AG71"/>
  <c r="X71"/>
  <c r="AH71"/>
  <c r="AS71"/>
  <c r="Y70"/>
  <c r="AG70"/>
  <c r="X70"/>
  <c r="AH70"/>
  <c r="AS70"/>
  <c r="Y69"/>
  <c r="AG69"/>
  <c r="X69"/>
  <c r="AH69"/>
  <c r="AS69"/>
  <c r="Y68"/>
  <c r="AG68"/>
  <c r="X68"/>
  <c r="AH68"/>
  <c r="AS68"/>
  <c r="Y67"/>
  <c r="AG67"/>
  <c r="X67"/>
  <c r="AH67"/>
  <c r="AS67"/>
  <c r="Y66"/>
  <c r="AG66"/>
  <c r="X66"/>
  <c r="AH66"/>
  <c r="AS66"/>
  <c r="Y65"/>
  <c r="AG65"/>
  <c r="X65"/>
  <c r="AH65"/>
  <c r="AS65"/>
  <c r="Y64"/>
  <c r="AG64"/>
  <c r="X64"/>
  <c r="AH64"/>
  <c r="AS64"/>
  <c r="Y63"/>
  <c r="AG63"/>
  <c r="X63"/>
  <c r="AH63"/>
  <c r="AS63"/>
  <c r="Y62"/>
  <c r="AG62"/>
  <c r="X62"/>
  <c r="AH62"/>
  <c r="AS62"/>
  <c r="Y61"/>
  <c r="AG61"/>
  <c r="X61"/>
  <c r="AH61"/>
  <c r="AS61"/>
  <c r="Y60"/>
  <c r="AG60"/>
  <c r="X60"/>
  <c r="AH60"/>
  <c r="AS60"/>
  <c r="Y59"/>
  <c r="AG59"/>
  <c r="X59"/>
  <c r="AH59"/>
  <c r="AS59"/>
  <c r="Y58"/>
  <c r="AG58"/>
  <c r="X58"/>
  <c r="AH58"/>
  <c r="AS58"/>
  <c r="Y57"/>
  <c r="AG57"/>
  <c r="X57"/>
  <c r="AH57"/>
  <c r="AS57"/>
  <c r="Y56"/>
  <c r="AG56"/>
  <c r="X56"/>
  <c r="AH56"/>
  <c r="AS56"/>
  <c r="Y55"/>
  <c r="AG55"/>
  <c r="X55"/>
  <c r="AH55"/>
  <c r="AS55"/>
  <c r="Y54"/>
  <c r="AG54"/>
  <c r="X54"/>
  <c r="AH54"/>
  <c r="AS54"/>
  <c r="Y53"/>
  <c r="AG53"/>
  <c r="X53"/>
  <c r="AH53"/>
  <c r="AS53"/>
  <c r="Y52"/>
  <c r="AG52"/>
  <c r="X52"/>
  <c r="AH52"/>
  <c r="AS52"/>
  <c r="Y51"/>
  <c r="AG51"/>
  <c r="X51"/>
  <c r="AH51"/>
  <c r="AS51"/>
  <c r="Y50"/>
  <c r="AG50"/>
  <c r="X50"/>
  <c r="AH50"/>
  <c r="AS50"/>
  <c r="Y49"/>
  <c r="AG49"/>
  <c r="X49"/>
  <c r="AH49"/>
  <c r="AS49"/>
  <c r="Y48"/>
  <c r="AG48"/>
  <c r="X48"/>
  <c r="AH48"/>
  <c r="AS48"/>
  <c r="Y47"/>
  <c r="AG47"/>
  <c r="X47"/>
  <c r="AH47"/>
  <c r="AS47"/>
  <c r="Y46"/>
  <c r="AG46"/>
  <c r="X46"/>
  <c r="AH46"/>
  <c r="AS46"/>
  <c r="Y45"/>
  <c r="AG45"/>
  <c r="X45"/>
  <c r="AH45"/>
  <c r="AS45"/>
  <c r="Y44"/>
  <c r="AG44"/>
  <c r="X44"/>
  <c r="AH44"/>
  <c r="AS44"/>
  <c r="Y43"/>
  <c r="AG43"/>
  <c r="X43"/>
  <c r="AH43"/>
  <c r="AS43"/>
  <c r="Y42"/>
  <c r="AG42"/>
  <c r="X42"/>
  <c r="AH42"/>
  <c r="AS42"/>
  <c r="Y41"/>
  <c r="AG41"/>
  <c r="X41"/>
  <c r="AH41"/>
  <c r="AS41"/>
  <c r="Y40"/>
  <c r="AG40"/>
  <c r="AS40"/>
  <c r="AL40"/>
  <c r="AQ40"/>
  <c r="AC40"/>
  <c r="AI40"/>
  <c r="Y39"/>
  <c r="AG39"/>
  <c r="X39"/>
  <c r="AH39"/>
  <c r="AS39"/>
  <c r="Y38"/>
  <c r="AG38"/>
  <c r="X38"/>
  <c r="AH38"/>
  <c r="AS38"/>
  <c r="Y37"/>
  <c r="AG37"/>
  <c r="X37"/>
  <c r="AH37"/>
  <c r="AS37"/>
  <c r="Y36"/>
  <c r="AG36"/>
  <c r="X36"/>
  <c r="AH36"/>
  <c r="AS36"/>
  <c r="Y35"/>
  <c r="AG35"/>
  <c r="X35"/>
  <c r="AH35"/>
  <c r="AS35"/>
  <c r="Y34"/>
  <c r="AG34"/>
  <c r="X34"/>
  <c r="AH34"/>
  <c r="AS34"/>
  <c r="Y33"/>
  <c r="AG33"/>
  <c r="X33"/>
  <c r="AH33"/>
  <c r="AS33"/>
  <c r="Y32"/>
  <c r="AG32"/>
  <c r="X32"/>
  <c r="AH32"/>
  <c r="AS32"/>
  <c r="Y31"/>
  <c r="AG31"/>
  <c r="X31"/>
  <c r="AH31"/>
  <c r="AS31"/>
  <c r="Y30"/>
  <c r="AG30"/>
  <c r="X30"/>
  <c r="AH30"/>
  <c r="AS30"/>
  <c r="Y29"/>
  <c r="AG29"/>
  <c r="X29"/>
  <c r="AH29"/>
  <c r="AS29"/>
  <c r="Y28"/>
  <c r="AG28"/>
  <c r="X28"/>
  <c r="AH28"/>
  <c r="AS28"/>
  <c r="Y27"/>
  <c r="AG27"/>
  <c r="X27"/>
  <c r="AH27"/>
  <c r="AS27"/>
  <c r="Y26"/>
  <c r="AG26"/>
  <c r="X26"/>
  <c r="AH26"/>
  <c r="AS26"/>
  <c r="Y25"/>
  <c r="AG25"/>
  <c r="X25"/>
  <c r="AH25"/>
  <c r="AS25"/>
  <c r="Y24"/>
  <c r="AG24"/>
  <c r="X24"/>
  <c r="AH24"/>
  <c r="AS24"/>
  <c r="Y23"/>
  <c r="AG23"/>
  <c r="X23"/>
  <c r="AH23"/>
  <c r="AS23"/>
  <c r="AN478"/>
  <c r="AL478"/>
  <c r="AD478"/>
  <c r="AE478"/>
  <c r="AB478"/>
  <c r="AC478"/>
  <c r="AN477"/>
  <c r="AL477"/>
  <c r="AD477"/>
  <c r="AE477"/>
  <c r="AB477"/>
  <c r="AC477"/>
  <c r="AN476"/>
  <c r="AL476"/>
  <c r="AD476"/>
  <c r="AE476"/>
  <c r="AB476"/>
  <c r="AC476"/>
  <c r="AN475"/>
  <c r="AL475"/>
  <c r="AD475"/>
  <c r="AE475"/>
  <c r="AB475"/>
  <c r="AC475"/>
  <c r="AN474"/>
  <c r="AL474"/>
  <c r="AD474"/>
  <c r="AE474"/>
  <c r="AB474"/>
  <c r="AC474"/>
  <c r="AN473"/>
  <c r="AL473"/>
  <c r="AD473"/>
  <c r="AE473"/>
  <c r="AB473"/>
  <c r="AC473"/>
  <c r="AN472"/>
  <c r="AL472"/>
  <c r="AD472"/>
  <c r="AE472"/>
  <c r="AB472"/>
  <c r="AC472"/>
  <c r="AN471"/>
  <c r="AL471"/>
  <c r="AD471"/>
  <c r="AE471"/>
  <c r="AB471"/>
  <c r="AC471"/>
  <c r="AN470"/>
  <c r="AL470"/>
  <c r="AD470"/>
  <c r="AE470"/>
  <c r="AB470"/>
  <c r="AC470"/>
  <c r="AN469"/>
  <c r="AL469"/>
  <c r="AD469"/>
  <c r="AE469"/>
  <c r="AB469"/>
  <c r="AC469"/>
  <c r="AN468"/>
  <c r="AL468"/>
  <c r="AD468"/>
  <c r="AE468"/>
  <c r="AB468"/>
  <c r="AC468"/>
  <c r="AN467"/>
  <c r="AL467"/>
  <c r="AD467"/>
  <c r="AE467"/>
  <c r="AB467"/>
  <c r="AC467"/>
  <c r="AN466"/>
  <c r="AL466"/>
  <c r="AD466"/>
  <c r="AE466"/>
  <c r="AB466"/>
  <c r="AC466"/>
  <c r="AN465"/>
  <c r="AL465"/>
  <c r="AD465"/>
  <c r="AE465"/>
  <c r="AB465"/>
  <c r="AC465"/>
  <c r="AN464"/>
  <c r="AL464"/>
  <c r="AD464"/>
  <c r="AE464"/>
  <c r="AB464"/>
  <c r="AC464"/>
  <c r="AN463"/>
  <c r="AL463"/>
  <c r="AD463"/>
  <c r="AE463"/>
  <c r="AB463"/>
  <c r="AC463"/>
  <c r="AN462"/>
  <c r="AL462"/>
  <c r="AD462"/>
  <c r="AE462"/>
  <c r="AB462"/>
  <c r="AC462"/>
  <c r="AN461"/>
  <c r="AL461"/>
  <c r="AD461"/>
  <c r="AE461"/>
  <c r="AB461"/>
  <c r="AC461"/>
  <c r="AN460"/>
  <c r="AL460"/>
  <c r="AD460"/>
  <c r="AE460"/>
  <c r="AB460"/>
  <c r="AC460"/>
  <c r="AN459"/>
  <c r="AL459"/>
  <c r="AD459"/>
  <c r="AE459"/>
  <c r="AB459"/>
  <c r="AC459"/>
  <c r="AN458"/>
  <c r="AL458"/>
  <c r="AD458"/>
  <c r="AE458"/>
  <c r="AB458"/>
  <c r="AC458"/>
  <c r="AN457"/>
  <c r="AL457"/>
  <c r="AD457"/>
  <c r="AE457"/>
  <c r="AB457"/>
  <c r="AC457"/>
  <c r="AN456"/>
  <c r="AL456"/>
  <c r="AD456"/>
  <c r="AE456"/>
  <c r="AB456"/>
  <c r="AC456"/>
  <c r="AN455"/>
  <c r="AL455"/>
  <c r="AD455"/>
  <c r="AE455"/>
  <c r="AB455"/>
  <c r="AC455"/>
  <c r="AN454"/>
  <c r="AL454"/>
  <c r="AD454"/>
  <c r="AE454"/>
  <c r="AB454"/>
  <c r="AC454"/>
  <c r="AN453"/>
  <c r="AL453"/>
  <c r="AD453"/>
  <c r="AE453"/>
  <c r="AB453"/>
  <c r="AC453"/>
  <c r="AN452"/>
  <c r="AL452"/>
  <c r="AD452"/>
  <c r="AE452"/>
  <c r="AB452"/>
  <c r="AC452"/>
  <c r="AN451"/>
  <c r="AL451"/>
  <c r="AD451"/>
  <c r="AE451"/>
  <c r="AB451"/>
  <c r="AC451"/>
  <c r="AN450"/>
  <c r="AL450"/>
  <c r="AD450"/>
  <c r="AE450"/>
  <c r="AB450"/>
  <c r="AC450"/>
  <c r="AN449"/>
  <c r="AL449"/>
  <c r="AD449"/>
  <c r="AE449"/>
  <c r="AB449"/>
  <c r="AC449"/>
  <c r="AN448"/>
  <c r="AL448"/>
  <c r="AD448"/>
  <c r="AE448"/>
  <c r="AB448"/>
  <c r="AC448"/>
  <c r="AN447"/>
  <c r="AL447"/>
  <c r="AD447"/>
  <c r="AE447"/>
  <c r="AB447"/>
  <c r="AC447"/>
  <c r="AN446"/>
  <c r="AL446"/>
  <c r="AD446"/>
  <c r="AE446"/>
  <c r="AB446"/>
  <c r="AC446"/>
  <c r="AN445"/>
  <c r="AL445"/>
  <c r="AD445"/>
  <c r="AE445"/>
  <c r="AB445"/>
  <c r="AC445"/>
  <c r="AN444"/>
  <c r="AL444"/>
  <c r="AD444"/>
  <c r="AE444"/>
  <c r="AB444"/>
  <c r="AC444"/>
  <c r="AN443"/>
  <c r="AL443"/>
  <c r="AD443"/>
  <c r="AE443"/>
  <c r="AB443"/>
  <c r="AC443"/>
  <c r="AN442"/>
  <c r="AL442"/>
  <c r="AD442"/>
  <c r="AE442"/>
  <c r="AB442"/>
  <c r="AC442"/>
  <c r="AN441"/>
  <c r="AL441"/>
  <c r="AD441"/>
  <c r="AE441"/>
  <c r="AB441"/>
  <c r="AC441"/>
  <c r="AN440"/>
  <c r="AL440"/>
  <c r="AD440"/>
  <c r="AE440"/>
  <c r="AB440"/>
  <c r="AC440"/>
  <c r="AN439"/>
  <c r="AL439"/>
  <c r="AD439"/>
  <c r="AE439"/>
  <c r="AB439"/>
  <c r="AC439"/>
  <c r="AN438"/>
  <c r="AL438"/>
  <c r="AD438"/>
  <c r="AE438"/>
  <c r="AB438"/>
  <c r="AC438"/>
  <c r="AN437"/>
  <c r="AL437"/>
  <c r="AD437"/>
  <c r="AE437"/>
  <c r="AB437"/>
  <c r="AC437"/>
  <c r="AN436"/>
  <c r="AL436"/>
  <c r="AD436"/>
  <c r="AE436"/>
  <c r="AB436"/>
  <c r="AC436"/>
  <c r="AN435"/>
  <c r="AL435"/>
  <c r="AD435"/>
  <c r="AE435"/>
  <c r="AB435"/>
  <c r="AC435"/>
  <c r="AN434"/>
  <c r="AL434"/>
  <c r="AD434"/>
  <c r="AE434"/>
  <c r="AB434"/>
  <c r="AC434"/>
  <c r="AN433"/>
  <c r="AL433"/>
  <c r="AD433"/>
  <c r="AE433"/>
  <c r="AB433"/>
  <c r="AC433"/>
  <c r="AN432"/>
  <c r="AL432"/>
  <c r="AD432"/>
  <c r="AE432"/>
  <c r="AB432"/>
  <c r="AC432"/>
  <c r="AN431"/>
  <c r="AL431"/>
  <c r="AD431"/>
  <c r="AE431"/>
  <c r="AB431"/>
  <c r="AC431"/>
  <c r="AN430"/>
  <c r="AL430"/>
  <c r="AD430"/>
  <c r="AE430"/>
  <c r="AB430"/>
  <c r="AC430"/>
  <c r="AN429"/>
  <c r="AL429"/>
  <c r="AD429"/>
  <c r="AE429"/>
  <c r="AB429"/>
  <c r="AC429"/>
  <c r="AN428"/>
  <c r="AL428"/>
  <c r="AD428"/>
  <c r="AE428"/>
  <c r="AB428"/>
  <c r="AC428"/>
  <c r="AN427"/>
  <c r="AL427"/>
  <c r="AD427"/>
  <c r="AE427"/>
  <c r="AB427"/>
  <c r="AC427"/>
  <c r="AN426"/>
  <c r="AL426"/>
  <c r="AD426"/>
  <c r="AE426"/>
  <c r="AB426"/>
  <c r="AC426"/>
  <c r="AN425"/>
  <c r="AL425"/>
  <c r="AD425"/>
  <c r="AE425"/>
  <c r="AB425"/>
  <c r="AC425"/>
  <c r="AN424"/>
  <c r="AL424"/>
  <c r="AD424"/>
  <c r="AE424"/>
  <c r="AB424"/>
  <c r="AC424"/>
  <c r="AN423"/>
  <c r="AL423"/>
  <c r="AD423"/>
  <c r="AE423"/>
  <c r="AB423"/>
  <c r="AC423"/>
  <c r="AN422"/>
  <c r="AL422"/>
  <c r="AD422"/>
  <c r="AE422"/>
  <c r="AB422"/>
  <c r="AC422"/>
  <c r="AN421"/>
  <c r="AL421"/>
  <c r="AD421"/>
  <c r="AE421"/>
  <c r="AB421"/>
  <c r="AC421"/>
  <c r="AN420"/>
  <c r="AL420"/>
  <c r="AD420"/>
  <c r="AE420"/>
  <c r="AB420"/>
  <c r="AC420"/>
  <c r="AN419"/>
  <c r="AL419"/>
  <c r="AD419"/>
  <c r="AE419"/>
  <c r="AB419"/>
  <c r="AC419"/>
  <c r="AN418"/>
  <c r="AL418"/>
  <c r="AD418"/>
  <c r="AE418"/>
  <c r="AB418"/>
  <c r="AC418"/>
  <c r="AN417"/>
  <c r="AL417"/>
  <c r="AD417"/>
  <c r="AE417"/>
  <c r="AB417"/>
  <c r="AC417"/>
  <c r="AN416"/>
  <c r="AL416"/>
  <c r="AD416"/>
  <c r="AE416"/>
  <c r="AB416"/>
  <c r="AC416"/>
  <c r="AN415"/>
  <c r="AL415"/>
  <c r="AD415"/>
  <c r="AE415"/>
  <c r="AB415"/>
  <c r="AC415"/>
  <c r="AN414"/>
  <c r="AL414"/>
  <c r="AD414"/>
  <c r="AE414"/>
  <c r="AB414"/>
  <c r="AC414"/>
  <c r="AN413"/>
  <c r="AL413"/>
  <c r="AD413"/>
  <c r="AE413"/>
  <c r="AB413"/>
  <c r="AC413"/>
  <c r="AN412"/>
  <c r="AL412"/>
  <c r="AD412"/>
  <c r="AE412"/>
  <c r="AB412"/>
  <c r="AC412"/>
  <c r="AN411"/>
  <c r="AL411"/>
  <c r="AD411"/>
  <c r="AE411"/>
  <c r="AB411"/>
  <c r="AC411"/>
  <c r="AN410"/>
  <c r="AL410"/>
  <c r="AD410"/>
  <c r="AE410"/>
  <c r="AB410"/>
  <c r="AC410"/>
  <c r="AN409"/>
  <c r="AL409"/>
  <c r="AD409"/>
  <c r="AE409"/>
  <c r="AB409"/>
  <c r="AC409"/>
  <c r="AN408"/>
  <c r="AL408"/>
  <c r="AD408"/>
  <c r="AE408"/>
  <c r="AB408"/>
  <c r="AC408"/>
  <c r="AN407"/>
  <c r="AL407"/>
  <c r="AD407"/>
  <c r="AE407"/>
  <c r="AB407"/>
  <c r="AC407"/>
  <c r="AN406"/>
  <c r="AL406"/>
  <c r="AD406"/>
  <c r="AE406"/>
  <c r="AB406"/>
  <c r="AC406"/>
  <c r="AN405"/>
  <c r="AL405"/>
  <c r="AD405"/>
  <c r="AE405"/>
  <c r="AB405"/>
  <c r="AC405"/>
  <c r="AN404"/>
  <c r="AL404"/>
  <c r="AD404"/>
  <c r="AE404"/>
  <c r="AB404"/>
  <c r="AC404"/>
  <c r="AN403"/>
  <c r="AL403"/>
  <c r="AD403"/>
  <c r="AE403"/>
  <c r="AB403"/>
  <c r="AC403"/>
  <c r="AN402"/>
  <c r="AL402"/>
  <c r="AD402"/>
  <c r="AE402"/>
  <c r="AB402"/>
  <c r="AC402"/>
  <c r="AN401"/>
  <c r="AL401"/>
  <c r="AD401"/>
  <c r="AE401"/>
  <c r="AB401"/>
  <c r="AC401"/>
  <c r="AN400"/>
  <c r="AL400"/>
  <c r="AD400"/>
  <c r="AE400"/>
  <c r="AB400"/>
  <c r="AC400"/>
  <c r="AN399"/>
  <c r="AL399"/>
  <c r="AD399"/>
  <c r="AE399"/>
  <c r="AB399"/>
  <c r="AC399"/>
  <c r="AN398"/>
  <c r="AL398"/>
  <c r="AD398"/>
  <c r="AE398"/>
  <c r="AB398"/>
  <c r="AC398"/>
  <c r="AN397"/>
  <c r="AL397"/>
  <c r="AD397"/>
  <c r="AE397"/>
  <c r="AB397"/>
  <c r="AC397"/>
  <c r="AN396"/>
  <c r="AL396"/>
  <c r="AD396"/>
  <c r="AE396"/>
  <c r="AB396"/>
  <c r="AC396"/>
  <c r="AN395"/>
  <c r="AL395"/>
  <c r="AD395"/>
  <c r="AE395"/>
  <c r="AB395"/>
  <c r="AC395"/>
  <c r="AN394"/>
  <c r="AL394"/>
  <c r="AD394"/>
  <c r="AE394"/>
  <c r="AB394"/>
  <c r="AC394"/>
  <c r="AN393"/>
  <c r="AL393"/>
  <c r="AD393"/>
  <c r="AE393"/>
  <c r="AB393"/>
  <c r="AC393"/>
  <c r="AN392"/>
  <c r="AL392"/>
  <c r="AD392"/>
  <c r="AE392"/>
  <c r="AB392"/>
  <c r="AC392"/>
  <c r="AN391"/>
  <c r="AL391"/>
  <c r="AD391"/>
  <c r="AE391"/>
  <c r="AB391"/>
  <c r="AC391"/>
  <c r="AN390"/>
  <c r="AL390"/>
  <c r="AD390"/>
  <c r="AE390"/>
  <c r="AB390"/>
  <c r="AC390"/>
  <c r="AN389"/>
  <c r="AL389"/>
  <c r="AD389"/>
  <c r="AE389"/>
  <c r="AB389"/>
  <c r="AC389"/>
  <c r="AN388"/>
  <c r="AL388"/>
  <c r="AD388"/>
  <c r="AE388"/>
  <c r="AB388"/>
  <c r="AC388"/>
  <c r="AN387"/>
  <c r="AL387"/>
  <c r="AD387"/>
  <c r="AE387"/>
  <c r="AB387"/>
  <c r="AC387"/>
  <c r="AN386"/>
  <c r="AL386"/>
  <c r="AD386"/>
  <c r="AE386"/>
  <c r="AB386"/>
  <c r="AC386"/>
  <c r="AN385"/>
  <c r="AL385"/>
  <c r="AD385"/>
  <c r="AE385"/>
  <c r="AB385"/>
  <c r="AC385"/>
  <c r="AN384"/>
  <c r="AL384"/>
  <c r="AD384"/>
  <c r="AE384"/>
  <c r="AB384"/>
  <c r="AC384"/>
  <c r="AN383"/>
  <c r="AL383"/>
  <c r="AD383"/>
  <c r="AE383"/>
  <c r="AB383"/>
  <c r="AC383"/>
  <c r="AN382"/>
  <c r="AL382"/>
  <c r="AD382"/>
  <c r="AE382"/>
  <c r="AB382"/>
  <c r="AC382"/>
  <c r="AN381"/>
  <c r="AL381"/>
  <c r="AD381"/>
  <c r="AE381"/>
  <c r="AB381"/>
  <c r="AC381"/>
  <c r="AN380"/>
  <c r="AL380"/>
  <c r="AD380"/>
  <c r="AE380"/>
  <c r="AB380"/>
  <c r="AC380"/>
  <c r="AN379"/>
  <c r="AL379"/>
  <c r="AD379"/>
  <c r="AE379"/>
  <c r="AB379"/>
  <c r="AC379"/>
  <c r="AN378"/>
  <c r="AL378"/>
  <c r="AD378"/>
  <c r="AE378"/>
  <c r="AB378"/>
  <c r="AC378"/>
  <c r="AN377"/>
  <c r="AL377"/>
  <c r="AD377"/>
  <c r="AE377"/>
  <c r="AB377"/>
  <c r="AC377"/>
  <c r="AN376"/>
  <c r="AL376"/>
  <c r="AD376"/>
  <c r="AE376"/>
  <c r="AB376"/>
  <c r="AC376"/>
  <c r="AN375"/>
  <c r="AL375"/>
  <c r="AD375"/>
  <c r="AE375"/>
  <c r="AB375"/>
  <c r="AC375"/>
  <c r="AN374"/>
  <c r="AL374"/>
  <c r="AD374"/>
  <c r="AE374"/>
  <c r="AB374"/>
  <c r="AC374"/>
  <c r="AN373"/>
  <c r="AL373"/>
  <c r="AD373"/>
  <c r="AE373"/>
  <c r="AB373"/>
  <c r="AC373"/>
  <c r="AN372"/>
  <c r="AL372"/>
  <c r="AD372"/>
  <c r="AE372"/>
  <c r="AB372"/>
  <c r="AC372"/>
  <c r="AN371"/>
  <c r="AL371"/>
  <c r="AD371"/>
  <c r="AE371"/>
  <c r="AB371"/>
  <c r="AC371"/>
  <c r="AN370"/>
  <c r="AL370"/>
  <c r="AD370"/>
  <c r="AE370"/>
  <c r="AB370"/>
  <c r="AC370"/>
  <c r="AN369"/>
  <c r="AL369"/>
  <c r="AD369"/>
  <c r="AE369"/>
  <c r="AB369"/>
  <c r="AC369"/>
  <c r="AN368"/>
  <c r="AL368"/>
  <c r="AD368"/>
  <c r="AE368"/>
  <c r="AB368"/>
  <c r="AC368"/>
  <c r="AN367"/>
  <c r="AL367"/>
  <c r="AD367"/>
  <c r="AE367"/>
  <c r="AB367"/>
  <c r="AC367"/>
  <c r="AN366"/>
  <c r="AL366"/>
  <c r="AD366"/>
  <c r="AE366"/>
  <c r="AB366"/>
  <c r="AC366"/>
  <c r="AN365"/>
  <c r="AL365"/>
  <c r="AD365"/>
  <c r="AE365"/>
  <c r="AB365"/>
  <c r="AC365"/>
  <c r="AN364"/>
  <c r="AL364"/>
  <c r="AD364"/>
  <c r="AE364"/>
  <c r="AB364"/>
  <c r="AC364"/>
  <c r="AN363"/>
  <c r="AL363"/>
  <c r="AD363"/>
  <c r="AE363"/>
  <c r="AB363"/>
  <c r="AC363"/>
  <c r="AN362"/>
  <c r="AL362"/>
  <c r="AD362"/>
  <c r="AE362"/>
  <c r="AB362"/>
  <c r="AC362"/>
  <c r="AN361"/>
  <c r="AL361"/>
  <c r="AD361"/>
  <c r="AE361"/>
  <c r="AB361"/>
  <c r="AC361"/>
  <c r="AN360"/>
  <c r="AL360"/>
  <c r="AD360"/>
  <c r="AE360"/>
  <c r="AB360"/>
  <c r="AC360"/>
  <c r="AN359"/>
  <c r="AL359"/>
  <c r="AD359"/>
  <c r="AE359"/>
  <c r="AB359"/>
  <c r="AC359"/>
  <c r="AN358"/>
  <c r="AL358"/>
  <c r="AD358"/>
  <c r="AE358"/>
  <c r="AB358"/>
  <c r="AC358"/>
  <c r="AN357"/>
  <c r="AL357"/>
  <c r="AD357"/>
  <c r="AE357"/>
  <c r="AB357"/>
  <c r="AC357"/>
  <c r="AN356"/>
  <c r="AL356"/>
  <c r="AD356"/>
  <c r="AE356"/>
  <c r="AB356"/>
  <c r="AC356"/>
  <c r="AN355"/>
  <c r="AL355"/>
  <c r="AD355"/>
  <c r="AE355"/>
  <c r="AB355"/>
  <c r="AC355"/>
  <c r="AN354"/>
  <c r="AL354"/>
  <c r="AD354"/>
  <c r="AE354"/>
  <c r="AB354"/>
  <c r="AC354"/>
  <c r="AN353"/>
  <c r="AL353"/>
  <c r="AD353"/>
  <c r="AE353"/>
  <c r="AB353"/>
  <c r="AC353"/>
  <c r="AN352"/>
  <c r="AL352"/>
  <c r="AD352"/>
  <c r="AE352"/>
  <c r="AB352"/>
  <c r="AC352"/>
  <c r="AN351"/>
  <c r="AL351"/>
  <c r="AD351"/>
  <c r="AE351"/>
  <c r="AB351"/>
  <c r="AC351"/>
  <c r="AN350"/>
  <c r="AL350"/>
  <c r="AD350"/>
  <c r="AE350"/>
  <c r="AB350"/>
  <c r="AC350"/>
  <c r="AN349"/>
  <c r="AL349"/>
  <c r="AD349"/>
  <c r="AE349"/>
  <c r="AB349"/>
  <c r="AC349"/>
  <c r="AN348"/>
  <c r="AL348"/>
  <c r="AD348"/>
  <c r="AE348"/>
  <c r="AB348"/>
  <c r="AC348"/>
  <c r="AN347"/>
  <c r="AL347"/>
  <c r="AD347"/>
  <c r="AE347"/>
  <c r="AB347"/>
  <c r="AC347"/>
  <c r="AN346"/>
  <c r="AL346"/>
  <c r="AD346"/>
  <c r="AE346"/>
  <c r="AB346"/>
  <c r="AC346"/>
  <c r="AN345"/>
  <c r="AL345"/>
  <c r="AD345"/>
  <c r="AE345"/>
  <c r="AB345"/>
  <c r="AC345"/>
  <c r="AN344"/>
  <c r="AL344"/>
  <c r="AD344"/>
  <c r="AE344"/>
  <c r="AB344"/>
  <c r="AC344"/>
  <c r="AN343"/>
  <c r="AL343"/>
  <c r="AD343"/>
  <c r="AE343"/>
  <c r="AB343"/>
  <c r="AC343"/>
  <c r="AN342"/>
  <c r="AL342"/>
  <c r="AD342"/>
  <c r="AE342"/>
  <c r="AB342"/>
  <c r="AC342"/>
  <c r="AN341"/>
  <c r="AL341"/>
  <c r="AD341"/>
  <c r="AE341"/>
  <c r="AB341"/>
  <c r="AC341"/>
  <c r="AN340"/>
  <c r="AL340"/>
  <c r="AD340"/>
  <c r="AE340"/>
  <c r="AB340"/>
  <c r="AC340"/>
  <c r="AN339"/>
  <c r="AL339"/>
  <c r="AD339"/>
  <c r="AE339"/>
  <c r="AB339"/>
  <c r="AC339"/>
  <c r="AN338"/>
  <c r="AL338"/>
  <c r="AD338"/>
  <c r="AE338"/>
  <c r="AB338"/>
  <c r="AC338"/>
  <c r="AN337"/>
  <c r="AL337"/>
  <c r="AD337"/>
  <c r="AE337"/>
  <c r="AB337"/>
  <c r="AC337"/>
  <c r="AN336"/>
  <c r="AL336"/>
  <c r="AD336"/>
  <c r="AE336"/>
  <c r="AB336"/>
  <c r="AC336"/>
  <c r="AN335"/>
  <c r="AL335"/>
  <c r="AD335"/>
  <c r="AE335"/>
  <c r="AB335"/>
  <c r="AC335"/>
  <c r="AN334"/>
  <c r="AL334"/>
  <c r="AD334"/>
  <c r="AE334"/>
  <c r="AB334"/>
  <c r="AC334"/>
  <c r="AN333"/>
  <c r="AL333"/>
  <c r="AD333"/>
  <c r="AE333"/>
  <c r="AB333"/>
  <c r="AC333"/>
  <c r="AN332"/>
  <c r="AL332"/>
  <c r="AD332"/>
  <c r="AE332"/>
  <c r="AB332"/>
  <c r="AC332"/>
  <c r="AN331"/>
  <c r="AL331"/>
  <c r="AD331"/>
  <c r="AE331"/>
  <c r="AB331"/>
  <c r="AC331"/>
  <c r="AN330"/>
  <c r="AL330"/>
  <c r="AD330"/>
  <c r="AE330"/>
  <c r="AB330"/>
  <c r="AC330"/>
  <c r="AN329"/>
  <c r="AL329"/>
  <c r="AD329"/>
  <c r="AE329"/>
  <c r="AB329"/>
  <c r="AC329"/>
  <c r="AN328"/>
  <c r="AL328"/>
  <c r="AD328"/>
  <c r="AE328"/>
  <c r="AB328"/>
  <c r="AC328"/>
  <c r="AN327"/>
  <c r="AL327"/>
  <c r="AD327"/>
  <c r="AE327"/>
  <c r="AB327"/>
  <c r="AC327"/>
  <c r="AN326"/>
  <c r="AL326"/>
  <c r="AD326"/>
  <c r="AE326"/>
  <c r="AB326"/>
  <c r="AC326"/>
  <c r="AN325"/>
  <c r="AL325"/>
  <c r="AD325"/>
  <c r="AE325"/>
  <c r="AB325"/>
  <c r="AC325"/>
  <c r="AN324"/>
  <c r="AL324"/>
  <c r="AD324"/>
  <c r="AE324"/>
  <c r="AB324"/>
  <c r="AC324"/>
  <c r="AN323"/>
  <c r="AL323"/>
  <c r="AD323"/>
  <c r="AE323"/>
  <c r="AB323"/>
  <c r="AC323"/>
  <c r="AN322"/>
  <c r="AL322"/>
  <c r="AD322"/>
  <c r="AE322"/>
  <c r="AB322"/>
  <c r="AC322"/>
  <c r="AN321"/>
  <c r="AL321"/>
  <c r="AD321"/>
  <c r="AE321"/>
  <c r="AB321"/>
  <c r="AC321"/>
  <c r="AN320"/>
  <c r="AL320"/>
  <c r="AD320"/>
  <c r="AE320"/>
  <c r="AB320"/>
  <c r="AC320"/>
  <c r="AN319"/>
  <c r="AL319"/>
  <c r="AD319"/>
  <c r="AE319"/>
  <c r="AB319"/>
  <c r="AC319"/>
  <c r="AN318"/>
  <c r="AL318"/>
  <c r="AD318"/>
  <c r="AE318"/>
  <c r="AB318"/>
  <c r="AC318"/>
  <c r="AN317"/>
  <c r="AL317"/>
  <c r="AD317"/>
  <c r="AE317"/>
  <c r="AB317"/>
  <c r="AC317"/>
  <c r="AN316"/>
  <c r="AL316"/>
  <c r="AD316"/>
  <c r="AE316"/>
  <c r="AB316"/>
  <c r="AC316"/>
  <c r="AN315"/>
  <c r="AL315"/>
  <c r="AD315"/>
  <c r="AE315"/>
  <c r="AB315"/>
  <c r="AC315"/>
  <c r="AN314"/>
  <c r="AL314"/>
  <c r="AD314"/>
  <c r="AE314"/>
  <c r="AB314"/>
  <c r="AC314"/>
  <c r="AN313"/>
  <c r="AL313"/>
  <c r="AD313"/>
  <c r="AE313"/>
  <c r="AB313"/>
  <c r="AC313"/>
  <c r="AN312"/>
  <c r="AL312"/>
  <c r="AD312"/>
  <c r="AE312"/>
  <c r="AB312"/>
  <c r="AC312"/>
  <c r="AN311"/>
  <c r="AL311"/>
  <c r="AD311"/>
  <c r="AE311"/>
  <c r="AB311"/>
  <c r="AC311"/>
  <c r="AN310"/>
  <c r="AL310"/>
  <c r="AD310"/>
  <c r="AE310"/>
  <c r="AB310"/>
  <c r="AC310"/>
  <c r="AN309"/>
  <c r="AL309"/>
  <c r="AD309"/>
  <c r="AE309"/>
  <c r="AB309"/>
  <c r="AC309"/>
  <c r="AN308"/>
  <c r="AL308"/>
  <c r="AD308"/>
  <c r="AE308"/>
  <c r="AB308"/>
  <c r="AC308"/>
  <c r="AN307"/>
  <c r="AL307"/>
  <c r="AD307"/>
  <c r="AE307"/>
  <c r="AB307"/>
  <c r="AC307"/>
  <c r="AN306"/>
  <c r="AL306"/>
  <c r="AD306"/>
  <c r="AE306"/>
  <c r="AB306"/>
  <c r="AC306"/>
  <c r="AN305"/>
  <c r="AL305"/>
  <c r="AD305"/>
  <c r="AE305"/>
  <c r="AB305"/>
  <c r="AC305"/>
  <c r="AN304"/>
  <c r="AL304"/>
  <c r="AD304"/>
  <c r="AE304"/>
  <c r="AB304"/>
  <c r="AC304"/>
  <c r="AN303"/>
  <c r="AL303"/>
  <c r="AD303"/>
  <c r="AE303"/>
  <c r="AB303"/>
  <c r="AC303"/>
  <c r="AN302"/>
  <c r="AL302"/>
  <c r="AD302"/>
  <c r="AE302"/>
  <c r="AB302"/>
  <c r="AC302"/>
  <c r="AN301"/>
  <c r="AL301"/>
  <c r="AD301"/>
  <c r="AE301"/>
  <c r="AB301"/>
  <c r="AC301"/>
  <c r="AN300"/>
  <c r="AL300"/>
  <c r="AD300"/>
  <c r="AE300"/>
  <c r="AB300"/>
  <c r="AC300"/>
  <c r="AN299"/>
  <c r="AL299"/>
  <c r="AD299"/>
  <c r="AE299"/>
  <c r="AB299"/>
  <c r="AC299"/>
  <c r="AN298"/>
  <c r="AL298"/>
  <c r="AD298"/>
  <c r="AE298"/>
  <c r="AB298"/>
  <c r="AC298"/>
  <c r="AN297"/>
  <c r="AL297"/>
  <c r="AD297"/>
  <c r="AE297"/>
  <c r="AB297"/>
  <c r="AC297"/>
  <c r="AN296"/>
  <c r="AL296"/>
  <c r="AD296"/>
  <c r="AE296"/>
  <c r="AB296"/>
  <c r="AC296"/>
  <c r="AN295"/>
  <c r="AL295"/>
  <c r="AD295"/>
  <c r="AE295"/>
  <c r="AB295"/>
  <c r="AC295"/>
  <c r="AN294"/>
  <c r="AL294"/>
  <c r="AD294"/>
  <c r="AE294"/>
  <c r="AB294"/>
  <c r="AC294"/>
  <c r="AN293"/>
  <c r="AL293"/>
  <c r="AD293"/>
  <c r="AE293"/>
  <c r="AB293"/>
  <c r="AC293"/>
  <c r="AN292"/>
  <c r="AL292"/>
  <c r="AD292"/>
  <c r="AE292"/>
  <c r="AB292"/>
  <c r="AC292"/>
  <c r="AN291"/>
  <c r="AL291"/>
  <c r="AD291"/>
  <c r="AE291"/>
  <c r="AB291"/>
  <c r="AC291"/>
  <c r="AN290"/>
  <c r="AL290"/>
  <c r="AD290"/>
  <c r="AE290"/>
  <c r="AB290"/>
  <c r="AC290"/>
  <c r="AN289"/>
  <c r="AL289"/>
  <c r="AD289"/>
  <c r="AE289"/>
  <c r="AB289"/>
  <c r="AC289"/>
  <c r="AN288"/>
  <c r="AL288"/>
  <c r="AD288"/>
  <c r="AE288"/>
  <c r="AB288"/>
  <c r="AC288"/>
  <c r="AN287"/>
  <c r="AL287"/>
  <c r="AD287"/>
  <c r="AE287"/>
  <c r="AB287"/>
  <c r="AC287"/>
  <c r="AN286"/>
  <c r="AL286"/>
  <c r="AD286"/>
  <c r="AE286"/>
  <c r="AB286"/>
  <c r="AC286"/>
  <c r="AN285"/>
  <c r="AL285"/>
  <c r="AD285"/>
  <c r="AE285"/>
  <c r="AB285"/>
  <c r="AC285"/>
  <c r="AN284"/>
  <c r="AL284"/>
  <c r="AD284"/>
  <c r="AE284"/>
  <c r="AB284"/>
  <c r="AC284"/>
  <c r="AN283"/>
  <c r="AL283"/>
  <c r="AD283"/>
  <c r="AE283"/>
  <c r="AB283"/>
  <c r="AC283"/>
  <c r="AN282"/>
  <c r="AL282"/>
  <c r="AD282"/>
  <c r="AE282"/>
  <c r="AB282"/>
  <c r="AC282"/>
  <c r="AN281"/>
  <c r="AL281"/>
  <c r="AD281"/>
  <c r="AE281"/>
  <c r="AB281"/>
  <c r="AC281"/>
  <c r="AN280"/>
  <c r="AL280"/>
  <c r="AD280"/>
  <c r="AE280"/>
  <c r="AB280"/>
  <c r="AC280"/>
  <c r="AN279"/>
  <c r="AL279"/>
  <c r="AD279"/>
  <c r="AE279"/>
  <c r="AB279"/>
  <c r="AC279"/>
  <c r="AN278"/>
  <c r="AL278"/>
  <c r="AD278"/>
  <c r="AE278"/>
  <c r="AB278"/>
  <c r="AC278"/>
  <c r="AN277"/>
  <c r="AL277"/>
  <c r="AD277"/>
  <c r="AE277"/>
  <c r="AB277"/>
  <c r="AC277"/>
  <c r="AN276"/>
  <c r="AL276"/>
  <c r="AD276"/>
  <c r="AE276"/>
  <c r="AB276"/>
  <c r="AC276"/>
  <c r="AN275"/>
  <c r="AL275"/>
  <c r="AD275"/>
  <c r="AE275"/>
  <c r="AB275"/>
  <c r="AC275"/>
  <c r="AN274"/>
  <c r="AL274"/>
  <c r="AD274"/>
  <c r="AE274"/>
  <c r="AB274"/>
  <c r="AC274"/>
  <c r="AN273"/>
  <c r="AL273"/>
  <c r="AD273"/>
  <c r="AE273"/>
  <c r="AB273"/>
  <c r="AC273"/>
  <c r="AN272"/>
  <c r="AL272"/>
  <c r="AD272"/>
  <c r="AE272"/>
  <c r="AB272"/>
  <c r="AC272"/>
  <c r="AN271"/>
  <c r="AL271"/>
  <c r="AD271"/>
  <c r="AE271"/>
  <c r="AB271"/>
  <c r="AC271"/>
  <c r="AN270"/>
  <c r="AL270"/>
  <c r="AD270"/>
  <c r="AE270"/>
  <c r="AB270"/>
  <c r="AC270"/>
  <c r="AN269"/>
  <c r="AL269"/>
  <c r="AD269"/>
  <c r="AE269"/>
  <c r="AB269"/>
  <c r="AC269"/>
  <c r="AN268"/>
  <c r="AL268"/>
  <c r="AD268"/>
  <c r="AE268"/>
  <c r="AB268"/>
  <c r="AC268"/>
  <c r="AN267"/>
  <c r="AL267"/>
  <c r="AD267"/>
  <c r="AE267"/>
  <c r="AB267"/>
  <c r="AC267"/>
  <c r="AN266"/>
  <c r="AL266"/>
  <c r="AD266"/>
  <c r="AE266"/>
  <c r="AB266"/>
  <c r="AC266"/>
  <c r="AN265"/>
  <c r="AL265"/>
  <c r="AD265"/>
  <c r="AE265"/>
  <c r="AB265"/>
  <c r="AC265"/>
  <c r="AN264"/>
  <c r="AL264"/>
  <c r="AD264"/>
  <c r="AE264"/>
  <c r="AB264"/>
  <c r="AC264"/>
  <c r="AN263"/>
  <c r="AL263"/>
  <c r="AD263"/>
  <c r="AE263"/>
  <c r="AB263"/>
  <c r="AC263"/>
  <c r="AN262"/>
  <c r="AL262"/>
  <c r="AD262"/>
  <c r="AE262"/>
  <c r="AB262"/>
  <c r="AC262"/>
  <c r="AN261"/>
  <c r="AL261"/>
  <c r="AD261"/>
  <c r="AE261"/>
  <c r="AB261"/>
  <c r="AC261"/>
  <c r="AN260"/>
  <c r="AL260"/>
  <c r="AD260"/>
  <c r="AE260"/>
  <c r="AB260"/>
  <c r="AC260"/>
  <c r="AN259"/>
  <c r="AL259"/>
  <c r="AD259"/>
  <c r="AE259"/>
  <c r="AB259"/>
  <c r="AC259"/>
  <c r="AN258"/>
  <c r="AL258"/>
  <c r="AD258"/>
  <c r="AE258"/>
  <c r="AB258"/>
  <c r="AC258"/>
  <c r="AN257"/>
  <c r="AL257"/>
  <c r="AD257"/>
  <c r="AE257"/>
  <c r="AB257"/>
  <c r="AC257"/>
  <c r="AN256"/>
  <c r="AL256"/>
  <c r="AD256"/>
  <c r="AE256"/>
  <c r="AB256"/>
  <c r="AC256"/>
  <c r="AN255"/>
  <c r="AL255"/>
  <c r="AD255"/>
  <c r="AE255"/>
  <c r="AB255"/>
  <c r="AC255"/>
  <c r="AN254"/>
  <c r="AL254"/>
  <c r="AD254"/>
  <c r="AE254"/>
  <c r="AB254"/>
  <c r="AC254"/>
  <c r="AN253"/>
  <c r="AL253"/>
  <c r="AD253"/>
  <c r="AE253"/>
  <c r="AB253"/>
  <c r="AC253"/>
  <c r="AN252"/>
  <c r="AL252"/>
  <c r="AD252"/>
  <c r="AE252"/>
  <c r="AB252"/>
  <c r="AC252"/>
  <c r="AN251"/>
  <c r="AL251"/>
  <c r="AD251"/>
  <c r="AE251"/>
  <c r="AB251"/>
  <c r="AC251"/>
  <c r="AN250"/>
  <c r="AL250"/>
  <c r="AD250"/>
  <c r="AE250"/>
  <c r="AB250"/>
  <c r="AC250"/>
  <c r="AN249"/>
  <c r="AR249"/>
  <c r="AL249"/>
  <c r="AD249"/>
  <c r="AE249"/>
  <c r="AJ249"/>
  <c r="AB249"/>
  <c r="AC249"/>
  <c r="AN248"/>
  <c r="AR248"/>
  <c r="AL248"/>
  <c r="AD248"/>
  <c r="AE248"/>
  <c r="AJ248"/>
  <c r="AB248"/>
  <c r="AC248"/>
  <c r="AN247"/>
  <c r="AL247"/>
  <c r="AD247"/>
  <c r="AE247"/>
  <c r="AB247"/>
  <c r="AC247"/>
  <c r="AN246"/>
  <c r="AL246"/>
  <c r="AD246"/>
  <c r="AE246"/>
  <c r="AB246"/>
  <c r="AC246"/>
  <c r="AN245"/>
  <c r="AL245"/>
  <c r="AD245"/>
  <c r="AE245"/>
  <c r="AB245"/>
  <c r="AC245"/>
  <c r="AN244"/>
  <c r="AL244"/>
  <c r="AD244"/>
  <c r="AE244"/>
  <c r="AB244"/>
  <c r="AC244"/>
  <c r="AN243"/>
  <c r="AL243"/>
  <c r="AD243"/>
  <c r="AE243"/>
  <c r="AB243"/>
  <c r="AC243"/>
  <c r="AN242"/>
  <c r="AL242"/>
  <c r="AD242"/>
  <c r="AE242"/>
  <c r="AB242"/>
  <c r="AC242"/>
  <c r="AN241"/>
  <c r="AL241"/>
  <c r="AD241"/>
  <c r="AE241"/>
  <c r="AB241"/>
  <c r="AC241"/>
  <c r="AN240"/>
  <c r="AL240"/>
  <c r="AD240"/>
  <c r="AE240"/>
  <c r="AB240"/>
  <c r="AC240"/>
  <c r="AN239"/>
  <c r="AL239"/>
  <c r="AD239"/>
  <c r="AE239"/>
  <c r="AB239"/>
  <c r="AC239"/>
  <c r="AN238"/>
  <c r="AL238"/>
  <c r="AD238"/>
  <c r="AE238"/>
  <c r="AB238"/>
  <c r="AC238"/>
  <c r="AN237"/>
  <c r="AL237"/>
  <c r="AD237"/>
  <c r="AE237"/>
  <c r="AB237"/>
  <c r="AC237"/>
  <c r="AN236"/>
  <c r="AL236"/>
  <c r="AD236"/>
  <c r="AE236"/>
  <c r="AB236"/>
  <c r="AC236"/>
  <c r="AN235"/>
  <c r="AL235"/>
  <c r="AD235"/>
  <c r="AE235"/>
  <c r="AB235"/>
  <c r="AC235"/>
  <c r="AN234"/>
  <c r="AL234"/>
  <c r="AD234"/>
  <c r="AE234"/>
  <c r="AB234"/>
  <c r="AC234"/>
  <c r="AN233"/>
  <c r="AL233"/>
  <c r="AD233"/>
  <c r="AE233"/>
  <c r="AB233"/>
  <c r="AC233"/>
  <c r="AN232"/>
  <c r="AL232"/>
  <c r="AD232"/>
  <c r="AE232"/>
  <c r="AB232"/>
  <c r="AC232"/>
  <c r="AN231"/>
  <c r="AL231"/>
  <c r="AD231"/>
  <c r="AE231"/>
  <c r="AB231"/>
  <c r="AC231"/>
  <c r="AN230"/>
  <c r="AL230"/>
  <c r="AD230"/>
  <c r="AE230"/>
  <c r="AB230"/>
  <c r="AC230"/>
  <c r="AN229"/>
  <c r="AL229"/>
  <c r="AD229"/>
  <c r="AE229"/>
  <c r="AB229"/>
  <c r="AC229"/>
  <c r="AN228"/>
  <c r="AL228"/>
  <c r="AD228"/>
  <c r="AE228"/>
  <c r="AB228"/>
  <c r="AC228"/>
  <c r="AN227"/>
  <c r="AL227"/>
  <c r="AD227"/>
  <c r="AE227"/>
  <c r="AB227"/>
  <c r="AC227"/>
  <c r="AN226"/>
  <c r="AL226"/>
  <c r="AD226"/>
  <c r="AE226"/>
  <c r="AB226"/>
  <c r="AC226"/>
  <c r="AN225"/>
  <c r="AL225"/>
  <c r="AD225"/>
  <c r="AE225"/>
  <c r="AB225"/>
  <c r="AC225"/>
  <c r="AN224"/>
  <c r="AL224"/>
  <c r="AD224"/>
  <c r="AE224"/>
  <c r="AB224"/>
  <c r="AC224"/>
  <c r="AN223"/>
  <c r="AD223"/>
  <c r="AE223"/>
  <c r="AN222"/>
  <c r="AR222"/>
  <c r="AD222"/>
  <c r="AE222"/>
  <c r="AJ222"/>
  <c r="AN221"/>
  <c r="AD221"/>
  <c r="AE221"/>
  <c r="AN220"/>
  <c r="AL220"/>
  <c r="AD220"/>
  <c r="AE220"/>
  <c r="AB220"/>
  <c r="AC220"/>
  <c r="AN219"/>
  <c r="AL219"/>
  <c r="AD219"/>
  <c r="AE219"/>
  <c r="AB219"/>
  <c r="AC219"/>
  <c r="AN218"/>
  <c r="AL218"/>
  <c r="AD218"/>
  <c r="AE218"/>
  <c r="AB218"/>
  <c r="AC218"/>
  <c r="AN217"/>
  <c r="AL217"/>
  <c r="AD217"/>
  <c r="AE217"/>
  <c r="AB217"/>
  <c r="AC217"/>
  <c r="AN216"/>
  <c r="AL216"/>
  <c r="AD216"/>
  <c r="AE216"/>
  <c r="AB216"/>
  <c r="AC216"/>
  <c r="AN215"/>
  <c r="AL215"/>
  <c r="AD215"/>
  <c r="AE215"/>
  <c r="AB215"/>
  <c r="AC215"/>
  <c r="AN214"/>
  <c r="AL214"/>
  <c r="AD214"/>
  <c r="AE214"/>
  <c r="AB214"/>
  <c r="AC214"/>
  <c r="AN213"/>
  <c r="AL213"/>
  <c r="AD213"/>
  <c r="AE213"/>
  <c r="AB213"/>
  <c r="AC213"/>
  <c r="AN212"/>
  <c r="AL212"/>
  <c r="AD212"/>
  <c r="AE212"/>
  <c r="AB212"/>
  <c r="AC212"/>
  <c r="AN211"/>
  <c r="AL211"/>
  <c r="AD211"/>
  <c r="AE211"/>
  <c r="AB211"/>
  <c r="AC211"/>
  <c r="AN210"/>
  <c r="AL210"/>
  <c r="AD210"/>
  <c r="AE210"/>
  <c r="AB210"/>
  <c r="AC210"/>
  <c r="AN209"/>
  <c r="AL209"/>
  <c r="AD209"/>
  <c r="AE209"/>
  <c r="AB209"/>
  <c r="AC209"/>
  <c r="AN208"/>
  <c r="AL208"/>
  <c r="AD208"/>
  <c r="AE208"/>
  <c r="AB208"/>
  <c r="AC208"/>
  <c r="AN207"/>
  <c r="AL207"/>
  <c r="AD207"/>
  <c r="AE207"/>
  <c r="AB207"/>
  <c r="AC207"/>
  <c r="AN206"/>
  <c r="AL206"/>
  <c r="AD206"/>
  <c r="AE206"/>
  <c r="AB206"/>
  <c r="AC206"/>
  <c r="AN205"/>
  <c r="AL205"/>
  <c r="AD205"/>
  <c r="AE205"/>
  <c r="AB205"/>
  <c r="AC205"/>
  <c r="AN204"/>
  <c r="AL204"/>
  <c r="AD204"/>
  <c r="AE204"/>
  <c r="AB204"/>
  <c r="AC204"/>
  <c r="AN203"/>
  <c r="AL203"/>
  <c r="AD203"/>
  <c r="AE203"/>
  <c r="AB203"/>
  <c r="AC203"/>
  <c r="AN202"/>
  <c r="AL202"/>
  <c r="AD202"/>
  <c r="AE202"/>
  <c r="AB202"/>
  <c r="AC202"/>
  <c r="AN201"/>
  <c r="AL201"/>
  <c r="AD201"/>
  <c r="AE201"/>
  <c r="AB201"/>
  <c r="AC201"/>
  <c r="AN200"/>
  <c r="AL200"/>
  <c r="AD200"/>
  <c r="AE200"/>
  <c r="AB200"/>
  <c r="AC200"/>
  <c r="AN199"/>
  <c r="AL199"/>
  <c r="AD199"/>
  <c r="AE199"/>
  <c r="AB199"/>
  <c r="AC199"/>
  <c r="AN198"/>
  <c r="AL198"/>
  <c r="AD198"/>
  <c r="AE198"/>
  <c r="AB198"/>
  <c r="AC198"/>
  <c r="AN197"/>
  <c r="AL197"/>
  <c r="AD197"/>
  <c r="AE197"/>
  <c r="AB197"/>
  <c r="AC197"/>
  <c r="AN196"/>
  <c r="AL196"/>
  <c r="AD196"/>
  <c r="AE196"/>
  <c r="AB196"/>
  <c r="AC196"/>
  <c r="AN195"/>
  <c r="AL195"/>
  <c r="AD195"/>
  <c r="AE195"/>
  <c r="AB195"/>
  <c r="AC195"/>
  <c r="AN194"/>
  <c r="AL194"/>
  <c r="AD194"/>
  <c r="AE194"/>
  <c r="AB194"/>
  <c r="AC194"/>
  <c r="AN193"/>
  <c r="AL193"/>
  <c r="AD193"/>
  <c r="AE193"/>
  <c r="AB193"/>
  <c r="AC193"/>
  <c r="AN192"/>
  <c r="AL192"/>
  <c r="AD192"/>
  <c r="AE192"/>
  <c r="AB192"/>
  <c r="AC192"/>
  <c r="AN191"/>
  <c r="AL191"/>
  <c r="AD191"/>
  <c r="AE191"/>
  <c r="AB191"/>
  <c r="AC191"/>
  <c r="AN190"/>
  <c r="AL190"/>
  <c r="AD190"/>
  <c r="AE190"/>
  <c r="AB190"/>
  <c r="AC190"/>
  <c r="AN189"/>
  <c r="AL189"/>
  <c r="AD189"/>
  <c r="AE189"/>
  <c r="AB189"/>
  <c r="AC189"/>
  <c r="AN188"/>
  <c r="AL188"/>
  <c r="AD188"/>
  <c r="AE188"/>
  <c r="AB188"/>
  <c r="AC188"/>
  <c r="AN187"/>
  <c r="AL187"/>
  <c r="AD187"/>
  <c r="AE187"/>
  <c r="AB187"/>
  <c r="AC187"/>
  <c r="AN186"/>
  <c r="AL186"/>
  <c r="AD186"/>
  <c r="AE186"/>
  <c r="AB186"/>
  <c r="AC186"/>
  <c r="AN185"/>
  <c r="AL185"/>
  <c r="AD185"/>
  <c r="AE185"/>
  <c r="AB185"/>
  <c r="AC185"/>
  <c r="AN184"/>
  <c r="AL184"/>
  <c r="AD184"/>
  <c r="AE184"/>
  <c r="AB184"/>
  <c r="AC184"/>
  <c r="AN183"/>
  <c r="AL183"/>
  <c r="AD183"/>
  <c r="AE183"/>
  <c r="AB183"/>
  <c r="AC183"/>
  <c r="AN182"/>
  <c r="AL182"/>
  <c r="AD182"/>
  <c r="AE182"/>
  <c r="AB182"/>
  <c r="AC182"/>
  <c r="AN181"/>
  <c r="AL181"/>
  <c r="AD181"/>
  <c r="AE181"/>
  <c r="AB181"/>
  <c r="AC181"/>
  <c r="AN180"/>
  <c r="AL180"/>
  <c r="AD180"/>
  <c r="AE180"/>
  <c r="AB180"/>
  <c r="AC180"/>
  <c r="AN179"/>
  <c r="AL179"/>
  <c r="AD179"/>
  <c r="AE179"/>
  <c r="AB179"/>
  <c r="AC179"/>
  <c r="AN178"/>
  <c r="AL178"/>
  <c r="AD178"/>
  <c r="AE178"/>
  <c r="AB178"/>
  <c r="AC178"/>
  <c r="AN177"/>
  <c r="AL177"/>
  <c r="AD177"/>
  <c r="AE177"/>
  <c r="AB177"/>
  <c r="AC177"/>
  <c r="AN176"/>
  <c r="AL176"/>
  <c r="AD176"/>
  <c r="AE176"/>
  <c r="AB176"/>
  <c r="AC176"/>
  <c r="AN175"/>
  <c r="AL175"/>
  <c r="AD175"/>
  <c r="AE175"/>
  <c r="AB175"/>
  <c r="AC175"/>
  <c r="AN174"/>
  <c r="AL174"/>
  <c r="AD174"/>
  <c r="AE174"/>
  <c r="AB174"/>
  <c r="AC174"/>
  <c r="AN173"/>
  <c r="AL173"/>
  <c r="AD173"/>
  <c r="AE173"/>
  <c r="AB173"/>
  <c r="AC173"/>
  <c r="AN172"/>
  <c r="AL172"/>
  <c r="AD172"/>
  <c r="AE172"/>
  <c r="AB172"/>
  <c r="AC172"/>
  <c r="AN171"/>
  <c r="AL171"/>
  <c r="AD171"/>
  <c r="AE171"/>
  <c r="AB171"/>
  <c r="AC171"/>
  <c r="AN170"/>
  <c r="AL170"/>
  <c r="AD170"/>
  <c r="AE170"/>
  <c r="AB170"/>
  <c r="AC170"/>
  <c r="AN169"/>
  <c r="AL169"/>
  <c r="AD169"/>
  <c r="AE169"/>
  <c r="AB169"/>
  <c r="AC169"/>
  <c r="AN168"/>
  <c r="AL168"/>
  <c r="AD168"/>
  <c r="AE168"/>
  <c r="AB168"/>
  <c r="AC168"/>
  <c r="AN167"/>
  <c r="AL167"/>
  <c r="AD167"/>
  <c r="AE167"/>
  <c r="AB167"/>
  <c r="AC167"/>
  <c r="AN166"/>
  <c r="AL166"/>
  <c r="AD166"/>
  <c r="AE166"/>
  <c r="AB166"/>
  <c r="AC166"/>
  <c r="AN165"/>
  <c r="AL165"/>
  <c r="AD165"/>
  <c r="AE165"/>
  <c r="AB165"/>
  <c r="AC165"/>
  <c r="AN164"/>
  <c r="AL164"/>
  <c r="AD164"/>
  <c r="AE164"/>
  <c r="AB164"/>
  <c r="AC164"/>
  <c r="AN163"/>
  <c r="AL163"/>
  <c r="AD163"/>
  <c r="AE163"/>
  <c r="AB163"/>
  <c r="AC163"/>
  <c r="AN162"/>
  <c r="AL162"/>
  <c r="AD162"/>
  <c r="AE162"/>
  <c r="AB162"/>
  <c r="AC162"/>
  <c r="AN161"/>
  <c r="AL161"/>
  <c r="AD161"/>
  <c r="AE161"/>
  <c r="AB161"/>
  <c r="AC161"/>
  <c r="AN160"/>
  <c r="AL160"/>
  <c r="AD160"/>
  <c r="AE160"/>
  <c r="AB160"/>
  <c r="AC160"/>
  <c r="AN159"/>
  <c r="AL159"/>
  <c r="AD159"/>
  <c r="AE159"/>
  <c r="AB159"/>
  <c r="AC159"/>
  <c r="AN158"/>
  <c r="AL158"/>
  <c r="AD158"/>
  <c r="AE158"/>
  <c r="AB158"/>
  <c r="AC158"/>
  <c r="AN157"/>
  <c r="AL157"/>
  <c r="AD157"/>
  <c r="AE157"/>
  <c r="AB157"/>
  <c r="AC157"/>
  <c r="AN156"/>
  <c r="AL156"/>
  <c r="AD156"/>
  <c r="AE156"/>
  <c r="AB156"/>
  <c r="AC156"/>
  <c r="AN155"/>
  <c r="AL155"/>
  <c r="AD155"/>
  <c r="AE155"/>
  <c r="AB155"/>
  <c r="AC155"/>
  <c r="AN154"/>
  <c r="AL154"/>
  <c r="AD154"/>
  <c r="AE154"/>
  <c r="AB154"/>
  <c r="AC154"/>
  <c r="AN153"/>
  <c r="AL153"/>
  <c r="AD153"/>
  <c r="AE153"/>
  <c r="AB153"/>
  <c r="AC153"/>
  <c r="AN152"/>
  <c r="AL152"/>
  <c r="AD152"/>
  <c r="AE152"/>
  <c r="AB152"/>
  <c r="AC152"/>
  <c r="AN151"/>
  <c r="AL151"/>
  <c r="AD151"/>
  <c r="AE151"/>
  <c r="AB151"/>
  <c r="AC151"/>
  <c r="AN150"/>
  <c r="AL150"/>
  <c r="AD150"/>
  <c r="AE150"/>
  <c r="AB150"/>
  <c r="AC150"/>
  <c r="AN149"/>
  <c r="AL149"/>
  <c r="AD149"/>
  <c r="AE149"/>
  <c r="AB149"/>
  <c r="AC149"/>
  <c r="AN148"/>
  <c r="AL148"/>
  <c r="AD148"/>
  <c r="AE148"/>
  <c r="AB148"/>
  <c r="AC148"/>
  <c r="AN147"/>
  <c r="AL147"/>
  <c r="AD147"/>
  <c r="AE147"/>
  <c r="AB147"/>
  <c r="AC147"/>
  <c r="AN146"/>
  <c r="AL146"/>
  <c r="AD146"/>
  <c r="AE146"/>
  <c r="AB146"/>
  <c r="AC146"/>
  <c r="AN145"/>
  <c r="AL145"/>
  <c r="AD145"/>
  <c r="AE145"/>
  <c r="AB145"/>
  <c r="AC145"/>
  <c r="AN144"/>
  <c r="AL144"/>
  <c r="AD144"/>
  <c r="AE144"/>
  <c r="AB144"/>
  <c r="AC144"/>
  <c r="AN143"/>
  <c r="AL143"/>
  <c r="AD143"/>
  <c r="AE143"/>
  <c r="AB143"/>
  <c r="AC143"/>
  <c r="AN142"/>
  <c r="AL142"/>
  <c r="AD142"/>
  <c r="AE142"/>
  <c r="AB142"/>
  <c r="AC142"/>
  <c r="AN141"/>
  <c r="AL141"/>
  <c r="AD141"/>
  <c r="AE141"/>
  <c r="AB141"/>
  <c r="AC141"/>
  <c r="AN140"/>
  <c r="AL140"/>
  <c r="AD140"/>
  <c r="AE140"/>
  <c r="AB140"/>
  <c r="AC140"/>
  <c r="AN139"/>
  <c r="AL139"/>
  <c r="AD139"/>
  <c r="AE139"/>
  <c r="AB139"/>
  <c r="AC139"/>
  <c r="AN138"/>
  <c r="AL138"/>
  <c r="AD138"/>
  <c r="AE138"/>
  <c r="AB138"/>
  <c r="AC138"/>
  <c r="AN137"/>
  <c r="AL137"/>
  <c r="AD137"/>
  <c r="AE137"/>
  <c r="AB137"/>
  <c r="AC137"/>
  <c r="AN136"/>
  <c r="AL136"/>
  <c r="AD136"/>
  <c r="AE136"/>
  <c r="AB136"/>
  <c r="AC136"/>
  <c r="AN135"/>
  <c r="AL135"/>
  <c r="AD135"/>
  <c r="AE135"/>
  <c r="AB135"/>
  <c r="AC135"/>
  <c r="AN134"/>
  <c r="AL134"/>
  <c r="AD134"/>
  <c r="AE134"/>
  <c r="AB134"/>
  <c r="AC134"/>
  <c r="AN133"/>
  <c r="AL133"/>
  <c r="AD133"/>
  <c r="AE133"/>
  <c r="AB133"/>
  <c r="AC133"/>
  <c r="AN132"/>
  <c r="AL132"/>
  <c r="AD132"/>
  <c r="AE132"/>
  <c r="AB132"/>
  <c r="AC132"/>
  <c r="AN131"/>
  <c r="AL131"/>
  <c r="AD131"/>
  <c r="AE131"/>
  <c r="AB131"/>
  <c r="AC131"/>
  <c r="AN130"/>
  <c r="AL130"/>
  <c r="AD130"/>
  <c r="AE130"/>
  <c r="AB130"/>
  <c r="AC130"/>
  <c r="AN129"/>
  <c r="AL129"/>
  <c r="AD129"/>
  <c r="AE129"/>
  <c r="AB129"/>
  <c r="AC129"/>
  <c r="AN128"/>
  <c r="AL128"/>
  <c r="AD128"/>
  <c r="AE128"/>
  <c r="AB128"/>
  <c r="AC128"/>
  <c r="AN127"/>
  <c r="AL127"/>
  <c r="AD127"/>
  <c r="AE127"/>
  <c r="AB127"/>
  <c r="AC127"/>
  <c r="AN126"/>
  <c r="AL126"/>
  <c r="AD126"/>
  <c r="AE126"/>
  <c r="AB126"/>
  <c r="AC126"/>
  <c r="AN125"/>
  <c r="AL125"/>
  <c r="AD125"/>
  <c r="AE125"/>
  <c r="AB125"/>
  <c r="AC125"/>
  <c r="AN124"/>
  <c r="AL124"/>
  <c r="AD124"/>
  <c r="AE124"/>
  <c r="AB124"/>
  <c r="AC124"/>
  <c r="AN123"/>
  <c r="AL123"/>
  <c r="AD123"/>
  <c r="AE123"/>
  <c r="AB123"/>
  <c r="AC123"/>
  <c r="AN122"/>
  <c r="AL122"/>
  <c r="AD122"/>
  <c r="AE122"/>
  <c r="AB122"/>
  <c r="AC122"/>
  <c r="AN121"/>
  <c r="AL121"/>
  <c r="AD121"/>
  <c r="AE121"/>
  <c r="AB121"/>
  <c r="AC121"/>
  <c r="AN120"/>
  <c r="AL120"/>
  <c r="AD120"/>
  <c r="AE120"/>
  <c r="AB120"/>
  <c r="AC120"/>
  <c r="AN119"/>
  <c r="AL119"/>
  <c r="AD119"/>
  <c r="AE119"/>
  <c r="AB119"/>
  <c r="AC119"/>
  <c r="AN118"/>
  <c r="AL118"/>
  <c r="AD118"/>
  <c r="AE118"/>
  <c r="AB118"/>
  <c r="AC118"/>
  <c r="AN117"/>
  <c r="AL117"/>
  <c r="AD117"/>
  <c r="AE117"/>
  <c r="AB117"/>
  <c r="AC117"/>
  <c r="AN116"/>
  <c r="AD116"/>
  <c r="AE116"/>
  <c r="AN115"/>
  <c r="AD115"/>
  <c r="AE115"/>
  <c r="AN114"/>
  <c r="AL114"/>
  <c r="AD114"/>
  <c r="AE114"/>
  <c r="AB114"/>
  <c r="AC114"/>
  <c r="AN113"/>
  <c r="AL113"/>
  <c r="AD113"/>
  <c r="AE113"/>
  <c r="AB113"/>
  <c r="AC113"/>
  <c r="AN112"/>
  <c r="AL112"/>
  <c r="AD112"/>
  <c r="AE112"/>
  <c r="AB112"/>
  <c r="AC112"/>
  <c r="AN111"/>
  <c r="AL111"/>
  <c r="AD111"/>
  <c r="AE111"/>
  <c r="AB111"/>
  <c r="AC111"/>
  <c r="AN110"/>
  <c r="AL110"/>
  <c r="AD110"/>
  <c r="AE110"/>
  <c r="AB110"/>
  <c r="AC110"/>
  <c r="AN109"/>
  <c r="AL109"/>
  <c r="AD109"/>
  <c r="AE109"/>
  <c r="AB109"/>
  <c r="AC109"/>
  <c r="AN108"/>
  <c r="AL108"/>
  <c r="AD108"/>
  <c r="AE108"/>
  <c r="AB108"/>
  <c r="AC108"/>
  <c r="AN107"/>
  <c r="AL107"/>
  <c r="AD107"/>
  <c r="AE107"/>
  <c r="AB107"/>
  <c r="AC107"/>
  <c r="AN106"/>
  <c r="AL106"/>
  <c r="AD106"/>
  <c r="AE106"/>
  <c r="AB106"/>
  <c r="AC106"/>
  <c r="AN105"/>
  <c r="AL105"/>
  <c r="AD105"/>
  <c r="AE105"/>
  <c r="AB105"/>
  <c r="AC105"/>
  <c r="AN104"/>
  <c r="AL104"/>
  <c r="AD104"/>
  <c r="AE104"/>
  <c r="AB104"/>
  <c r="AC104"/>
  <c r="AN103"/>
  <c r="AL103"/>
  <c r="AD103"/>
  <c r="AE103"/>
  <c r="AB103"/>
  <c r="AC103"/>
  <c r="AN102"/>
  <c r="AL102"/>
  <c r="AD102"/>
  <c r="AE102"/>
  <c r="AB102"/>
  <c r="AC102"/>
  <c r="AN101"/>
  <c r="AL101"/>
  <c r="AD101"/>
  <c r="AE101"/>
  <c r="AB101"/>
  <c r="AC101"/>
  <c r="AN100"/>
  <c r="AL100"/>
  <c r="AD100"/>
  <c r="AE100"/>
  <c r="AB100"/>
  <c r="AC100"/>
  <c r="AN99"/>
  <c r="AL99"/>
  <c r="AD99"/>
  <c r="AE99"/>
  <c r="AB99"/>
  <c r="AC99"/>
  <c r="AN98"/>
  <c r="AL98"/>
  <c r="AD98"/>
  <c r="AE98"/>
  <c r="AB98"/>
  <c r="AC98"/>
  <c r="AN97"/>
  <c r="AL97"/>
  <c r="AD97"/>
  <c r="AE97"/>
  <c r="AB97"/>
  <c r="AC97"/>
  <c r="AN96"/>
  <c r="AL96"/>
  <c r="AD96"/>
  <c r="AE96"/>
  <c r="AB96"/>
  <c r="AC96"/>
  <c r="AN95"/>
  <c r="AL95"/>
  <c r="AD95"/>
  <c r="AE95"/>
  <c r="AB95"/>
  <c r="AC95"/>
  <c r="AN94"/>
  <c r="AL94"/>
  <c r="AD94"/>
  <c r="AE94"/>
  <c r="AB94"/>
  <c r="AC94"/>
  <c r="AN93"/>
  <c r="AL93"/>
  <c r="AD93"/>
  <c r="AE93"/>
  <c r="AB93"/>
  <c r="AC93"/>
  <c r="AN92"/>
  <c r="AL92"/>
  <c r="AD92"/>
  <c r="AE92"/>
  <c r="AB92"/>
  <c r="AC92"/>
  <c r="AN91"/>
  <c r="AL91"/>
  <c r="AD91"/>
  <c r="AE91"/>
  <c r="AB91"/>
  <c r="AC91"/>
  <c r="AN90"/>
  <c r="AL90"/>
  <c r="AD90"/>
  <c r="AE90"/>
  <c r="AB90"/>
  <c r="AC90"/>
  <c r="AN89"/>
  <c r="AL89"/>
  <c r="AD89"/>
  <c r="AE89"/>
  <c r="AB89"/>
  <c r="AC89"/>
  <c r="AN88"/>
  <c r="AL88"/>
  <c r="AD88"/>
  <c r="AE88"/>
  <c r="AB88"/>
  <c r="AC88"/>
  <c r="AN87"/>
  <c r="AL87"/>
  <c r="AD87"/>
  <c r="AE87"/>
  <c r="AB87"/>
  <c r="AC87"/>
  <c r="AN86"/>
  <c r="AL86"/>
  <c r="AD86"/>
  <c r="AE86"/>
  <c r="AB86"/>
  <c r="AC86"/>
  <c r="AN85"/>
  <c r="AL85"/>
  <c r="AD85"/>
  <c r="AE85"/>
  <c r="AB85"/>
  <c r="AC85"/>
  <c r="AN84"/>
  <c r="AD84"/>
  <c r="AE84"/>
  <c r="AN83"/>
  <c r="AL83"/>
  <c r="AD83"/>
  <c r="AE83"/>
  <c r="AB83"/>
  <c r="AC83"/>
  <c r="AN82"/>
  <c r="AL82"/>
  <c r="AD82"/>
  <c r="AE82"/>
  <c r="AB82"/>
  <c r="AC82"/>
  <c r="AN81"/>
  <c r="AL81"/>
  <c r="AD81"/>
  <c r="AE81"/>
  <c r="AB81"/>
  <c r="AC81"/>
  <c r="AN80"/>
  <c r="AL80"/>
  <c r="AD80"/>
  <c r="AE80"/>
  <c r="AB80"/>
  <c r="AC80"/>
  <c r="AN79"/>
  <c r="AL79"/>
  <c r="AD79"/>
  <c r="AE79"/>
  <c r="AB79"/>
  <c r="AC79"/>
  <c r="AN78"/>
  <c r="AL78"/>
  <c r="AD78"/>
  <c r="AE78"/>
  <c r="AB78"/>
  <c r="AC78"/>
  <c r="AN77"/>
  <c r="AL77"/>
  <c r="AD77"/>
  <c r="AE77"/>
  <c r="AB77"/>
  <c r="AC77"/>
  <c r="AN76"/>
  <c r="AL76"/>
  <c r="AD76"/>
  <c r="AE76"/>
  <c r="AB76"/>
  <c r="AC76"/>
  <c r="AN75"/>
  <c r="AL75"/>
  <c r="AD75"/>
  <c r="AE75"/>
  <c r="AB75"/>
  <c r="AC75"/>
  <c r="AN74"/>
  <c r="AL74"/>
  <c r="AD74"/>
  <c r="AE74"/>
  <c r="AB74"/>
  <c r="AC74"/>
  <c r="AN73"/>
  <c r="AL73"/>
  <c r="AD73"/>
  <c r="AE73"/>
  <c r="AB73"/>
  <c r="AC73"/>
  <c r="AN72"/>
  <c r="AL72"/>
  <c r="AD72"/>
  <c r="AE72"/>
  <c r="AB72"/>
  <c r="AC72"/>
  <c r="AN71"/>
  <c r="AL71"/>
  <c r="AD71"/>
  <c r="AE71"/>
  <c r="AB71"/>
  <c r="AC71"/>
  <c r="AN70"/>
  <c r="AL70"/>
  <c r="AD70"/>
  <c r="AE70"/>
  <c r="AB70"/>
  <c r="AC70"/>
  <c r="AN69"/>
  <c r="AL69"/>
  <c r="AD69"/>
  <c r="AE69"/>
  <c r="AB69"/>
  <c r="AC69"/>
  <c r="AN68"/>
  <c r="AL68"/>
  <c r="AD68"/>
  <c r="AE68"/>
  <c r="AB68"/>
  <c r="AC68"/>
  <c r="AN67"/>
  <c r="AL67"/>
  <c r="AD67"/>
  <c r="AE67"/>
  <c r="AB67"/>
  <c r="AC67"/>
  <c r="AN66"/>
  <c r="AL66"/>
  <c r="AD66"/>
  <c r="AE66"/>
  <c r="AB66"/>
  <c r="AC66"/>
  <c r="AN65"/>
  <c r="AL65"/>
  <c r="AD65"/>
  <c r="AE65"/>
  <c r="AB65"/>
  <c r="AC65"/>
  <c r="AN64"/>
  <c r="AL64"/>
  <c r="AD64"/>
  <c r="AE64"/>
  <c r="AB64"/>
  <c r="AC64"/>
  <c r="AN63"/>
  <c r="AL63"/>
  <c r="AD63"/>
  <c r="AE63"/>
  <c r="AB63"/>
  <c r="AC63"/>
  <c r="AN62"/>
  <c r="AL62"/>
  <c r="AD62"/>
  <c r="AE62"/>
  <c r="AB62"/>
  <c r="AC62"/>
  <c r="AN61"/>
  <c r="AL61"/>
  <c r="AD61"/>
  <c r="AE61"/>
  <c r="AB61"/>
  <c r="AC61"/>
  <c r="AN60"/>
  <c r="AL60"/>
  <c r="AD60"/>
  <c r="AE60"/>
  <c r="AB60"/>
  <c r="AC60"/>
  <c r="AN59"/>
  <c r="AL59"/>
  <c r="AD59"/>
  <c r="AE59"/>
  <c r="AB59"/>
  <c r="AC59"/>
  <c r="AN58"/>
  <c r="AL58"/>
  <c r="AD58"/>
  <c r="AE58"/>
  <c r="AB58"/>
  <c r="AC58"/>
  <c r="AN57"/>
  <c r="AL57"/>
  <c r="AD57"/>
  <c r="AE57"/>
  <c r="AB57"/>
  <c r="AC57"/>
  <c r="AN56"/>
  <c r="AL56"/>
  <c r="AD56"/>
  <c r="AE56"/>
  <c r="AB56"/>
  <c r="AC56"/>
  <c r="AN55"/>
  <c r="AL55"/>
  <c r="AD55"/>
  <c r="AE55"/>
  <c r="AB55"/>
  <c r="AC55"/>
  <c r="AN54"/>
  <c r="AL54"/>
  <c r="AD54"/>
  <c r="AE54"/>
  <c r="AB54"/>
  <c r="AC54"/>
  <c r="AN53"/>
  <c r="AL53"/>
  <c r="AD53"/>
  <c r="AE53"/>
  <c r="AB53"/>
  <c r="AC53"/>
  <c r="AN52"/>
  <c r="AL52"/>
  <c r="AD52"/>
  <c r="AE52"/>
  <c r="AB52"/>
  <c r="AC52"/>
  <c r="AN51"/>
  <c r="AL51"/>
  <c r="AD51"/>
  <c r="AE51"/>
  <c r="AB51"/>
  <c r="AC51"/>
  <c r="AN50"/>
  <c r="AL50"/>
  <c r="AD50"/>
  <c r="AE50"/>
  <c r="AB50"/>
  <c r="AC50"/>
  <c r="AN49"/>
  <c r="AL49"/>
  <c r="AD49"/>
  <c r="AE49"/>
  <c r="AB49"/>
  <c r="AC49"/>
  <c r="AN48"/>
  <c r="AL48"/>
  <c r="AD48"/>
  <c r="AE48"/>
  <c r="AB48"/>
  <c r="AC48"/>
  <c r="AN47"/>
  <c r="AL47"/>
  <c r="AD47"/>
  <c r="AE47"/>
  <c r="AB47"/>
  <c r="AC47"/>
  <c r="AN46"/>
  <c r="AL46"/>
  <c r="AD46"/>
  <c r="AE46"/>
  <c r="AB46"/>
  <c r="AC46"/>
  <c r="AN45"/>
  <c r="AL45"/>
  <c r="AD45"/>
  <c r="AE45"/>
  <c r="AB45"/>
  <c r="AC45"/>
  <c r="AN44"/>
  <c r="AL44"/>
  <c r="AD44"/>
  <c r="AE44"/>
  <c r="AB44"/>
  <c r="AC44"/>
  <c r="AN43"/>
  <c r="AL43"/>
  <c r="AD43"/>
  <c r="AE43"/>
  <c r="AB43"/>
  <c r="AC43"/>
  <c r="AN42"/>
  <c r="AL42"/>
  <c r="AD42"/>
  <c r="AE42"/>
  <c r="AB42"/>
  <c r="AC42"/>
  <c r="AN41"/>
  <c r="AL41"/>
  <c r="AD41"/>
  <c r="AE41"/>
  <c r="AB41"/>
  <c r="AC41"/>
  <c r="AN40"/>
  <c r="AD40"/>
  <c r="AE40"/>
  <c r="AN39"/>
  <c r="AL39"/>
  <c r="AD39"/>
  <c r="AE39"/>
  <c r="AB39"/>
  <c r="AC39"/>
  <c r="AN38"/>
  <c r="AL38"/>
  <c r="AD38"/>
  <c r="AE38"/>
  <c r="AB38"/>
  <c r="AC38"/>
  <c r="AN37"/>
  <c r="AL37"/>
  <c r="AD37"/>
  <c r="AE37"/>
  <c r="AB37"/>
  <c r="AC37"/>
  <c r="AN36"/>
  <c r="AL36"/>
  <c r="AD36"/>
  <c r="AE36"/>
  <c r="AB36"/>
  <c r="AC36"/>
  <c r="AN35"/>
  <c r="AR35"/>
  <c r="AL35"/>
  <c r="AD35"/>
  <c r="AE35"/>
  <c r="AJ35"/>
  <c r="AB35"/>
  <c r="AC35"/>
  <c r="AN34"/>
  <c r="AL34"/>
  <c r="AD34"/>
  <c r="AE34"/>
  <c r="AB34"/>
  <c r="AC34"/>
  <c r="AN33"/>
  <c r="AL33"/>
  <c r="AD33"/>
  <c r="AE33"/>
  <c r="AB33"/>
  <c r="AC33"/>
  <c r="AN32"/>
  <c r="AL32"/>
  <c r="AD32"/>
  <c r="AE32"/>
  <c r="AB32"/>
  <c r="AC32"/>
  <c r="AN31"/>
  <c r="AR31"/>
  <c r="AL31"/>
  <c r="AD31"/>
  <c r="AE31"/>
  <c r="AJ31"/>
  <c r="AB31"/>
  <c r="AC31"/>
  <c r="AN30"/>
  <c r="AL30"/>
  <c r="AD30"/>
  <c r="AE30"/>
  <c r="AB30"/>
  <c r="AC30"/>
  <c r="AN29"/>
  <c r="AR29"/>
  <c r="AL29"/>
  <c r="AD29"/>
  <c r="AE29"/>
  <c r="AJ29"/>
  <c r="AB29"/>
  <c r="AC29"/>
  <c r="AN28"/>
  <c r="AL28"/>
  <c r="AD28"/>
  <c r="AE28"/>
  <c r="AB28"/>
  <c r="AC28"/>
  <c r="AN27"/>
  <c r="AL27"/>
  <c r="AD27"/>
  <c r="AE27"/>
  <c r="AB27"/>
  <c r="AC27"/>
  <c r="AN26"/>
  <c r="AL26"/>
  <c r="AD26"/>
  <c r="AE26"/>
  <c r="AB26"/>
  <c r="AC26"/>
  <c r="AN25"/>
  <c r="AL25"/>
  <c r="AD25"/>
  <c r="AE25"/>
  <c r="AB25"/>
  <c r="AC25"/>
  <c r="AN24"/>
  <c r="AL24"/>
  <c r="AD24"/>
  <c r="AE24"/>
  <c r="AB24"/>
  <c r="AC24"/>
  <c r="AM23"/>
  <c r="AN23"/>
  <c r="AR23"/>
  <c r="AK23"/>
  <c r="AL23"/>
  <c r="AD23"/>
  <c r="AE23"/>
  <c r="AJ23"/>
  <c r="AB23"/>
  <c r="AC23"/>
  <c r="AS14"/>
  <c r="AU1"/>
  <c r="AS12"/>
  <c r="F62" i="9"/>
  <c r="E61"/>
  <c r="BE5" i="10"/>
  <c r="AY1"/>
  <c r="F59" i="9"/>
  <c r="E57"/>
  <c r="AY5" i="10"/>
  <c r="B63" i="9"/>
  <c r="BG3" i="10"/>
  <c r="B61" i="9"/>
  <c r="BE3" i="10"/>
  <c r="BB1"/>
  <c r="B59" i="9"/>
  <c r="BB3" i="10"/>
  <c r="B55" i="9"/>
  <c r="B57"/>
  <c r="AY3" i="10"/>
  <c r="AW1"/>
  <c r="B56" i="9"/>
  <c r="AW3" i="10"/>
  <c r="AV1"/>
  <c r="AV3"/>
  <c r="B62" i="9"/>
  <c r="C61"/>
  <c r="BE4" i="10"/>
  <c r="BC1"/>
  <c r="AZ1"/>
  <c r="C57" i="9"/>
  <c r="AY4" i="10"/>
  <c r="F55" i="9"/>
  <c r="AV6" i="10"/>
  <c r="AS11"/>
  <c r="AS10"/>
  <c r="AS7"/>
  <c r="F63" i="9"/>
  <c r="BG6" i="10"/>
  <c r="BF6"/>
  <c r="F61" i="9"/>
  <c r="BE6" i="10"/>
  <c r="F60" i="9"/>
  <c r="BC6" i="10"/>
  <c r="BB6"/>
  <c r="F56" i="9"/>
  <c r="F58"/>
  <c r="AZ6" i="10"/>
  <c r="F57" i="9"/>
  <c r="AY6" i="10"/>
  <c r="AW6"/>
  <c r="AS9"/>
  <c r="AS8"/>
  <c r="AT478"/>
  <c r="AP478"/>
  <c r="AO478"/>
  <c r="AM478"/>
  <c r="AK478"/>
  <c r="AF478"/>
  <c r="AA478"/>
  <c r="AT477"/>
  <c r="AP477"/>
  <c r="AO477"/>
  <c r="AM477"/>
  <c r="AK477"/>
  <c r="AF477"/>
  <c r="AA477"/>
  <c r="AT476"/>
  <c r="AP476"/>
  <c r="AO476"/>
  <c r="AM476"/>
  <c r="AK476"/>
  <c r="AF476"/>
  <c r="AA476"/>
  <c r="AT475"/>
  <c r="AP475"/>
  <c r="AO475"/>
  <c r="AM475"/>
  <c r="AK475"/>
  <c r="AF475"/>
  <c r="AA475"/>
  <c r="AT474"/>
  <c r="AP474"/>
  <c r="AO474"/>
  <c r="AM474"/>
  <c r="AK474"/>
  <c r="AF474"/>
  <c r="AA474"/>
  <c r="AT473"/>
  <c r="AP473"/>
  <c r="AO473"/>
  <c r="AM473"/>
  <c r="AK473"/>
  <c r="AF473"/>
  <c r="AA473"/>
  <c r="AT472"/>
  <c r="AP472"/>
  <c r="AO472"/>
  <c r="AM472"/>
  <c r="AK472"/>
  <c r="AF472"/>
  <c r="AA472"/>
  <c r="AT471"/>
  <c r="AP471"/>
  <c r="AO471"/>
  <c r="AM471"/>
  <c r="AK471"/>
  <c r="AF471"/>
  <c r="AA471"/>
  <c r="AT470"/>
  <c r="AP470"/>
  <c r="AO470"/>
  <c r="AM470"/>
  <c r="AK470"/>
  <c r="AF470"/>
  <c r="AA470"/>
  <c r="AT469"/>
  <c r="AP469"/>
  <c r="AO469"/>
  <c r="AM469"/>
  <c r="AK469"/>
  <c r="AF469"/>
  <c r="AA469"/>
  <c r="AT468"/>
  <c r="AP468"/>
  <c r="AO468"/>
  <c r="AM468"/>
  <c r="AK468"/>
  <c r="AF468"/>
  <c r="AA468"/>
  <c r="AT467"/>
  <c r="AP467"/>
  <c r="AO467"/>
  <c r="AM467"/>
  <c r="AK467"/>
  <c r="AF467"/>
  <c r="AA467"/>
  <c r="BK466"/>
  <c r="AT466"/>
  <c r="AP466"/>
  <c r="AO466"/>
  <c r="AM466"/>
  <c r="AK466"/>
  <c r="AF466"/>
  <c r="AA466"/>
  <c r="AT465"/>
  <c r="AP465"/>
  <c r="AO465"/>
  <c r="AM465"/>
  <c r="AK465"/>
  <c r="AF465"/>
  <c r="AA465"/>
  <c r="AT464"/>
  <c r="AP464"/>
  <c r="AO464"/>
  <c r="AM464"/>
  <c r="AK464"/>
  <c r="AF464"/>
  <c r="AA464"/>
  <c r="AT463"/>
  <c r="AP463"/>
  <c r="AO463"/>
  <c r="AM463"/>
  <c r="AK463"/>
  <c r="AF463"/>
  <c r="AA463"/>
  <c r="AT462"/>
  <c r="AP462"/>
  <c r="AO462"/>
  <c r="AM462"/>
  <c r="AK462"/>
  <c r="AF462"/>
  <c r="AA462"/>
  <c r="AT461"/>
  <c r="AP461"/>
  <c r="AO461"/>
  <c r="AM461"/>
  <c r="AK461"/>
  <c r="AF461"/>
  <c r="AA461"/>
  <c r="AT460"/>
  <c r="AP460"/>
  <c r="AO460"/>
  <c r="AM460"/>
  <c r="AK460"/>
  <c r="AF460"/>
  <c r="AA460"/>
  <c r="AT459"/>
  <c r="AP459"/>
  <c r="AO459"/>
  <c r="AM459"/>
  <c r="AK459"/>
  <c r="AF459"/>
  <c r="AA459"/>
  <c r="AT458"/>
  <c r="BL458"/>
  <c r="AP458"/>
  <c r="AO458"/>
  <c r="AM458"/>
  <c r="AK458"/>
  <c r="AF458"/>
  <c r="AA458"/>
  <c r="AT457"/>
  <c r="AP457"/>
  <c r="AO457"/>
  <c r="AM457"/>
  <c r="AK457"/>
  <c r="AF457"/>
  <c r="AA457"/>
  <c r="AT456"/>
  <c r="AP456"/>
  <c r="AO456"/>
  <c r="AM456"/>
  <c r="AK456"/>
  <c r="AF456"/>
  <c r="AA456"/>
  <c r="AT455"/>
  <c r="AP455"/>
  <c r="AO455"/>
  <c r="AM455"/>
  <c r="AK455"/>
  <c r="AF455"/>
  <c r="AA455"/>
  <c r="AT454"/>
  <c r="AP454"/>
  <c r="AO454"/>
  <c r="AM454"/>
  <c r="AK454"/>
  <c r="AF454"/>
  <c r="AA454"/>
  <c r="AT453"/>
  <c r="AP453"/>
  <c r="AO453"/>
  <c r="AM453"/>
  <c r="AK453"/>
  <c r="AF453"/>
  <c r="AA453"/>
  <c r="AT452"/>
  <c r="AP452"/>
  <c r="AO452"/>
  <c r="AM452"/>
  <c r="AK452"/>
  <c r="AF452"/>
  <c r="AA452"/>
  <c r="AT451"/>
  <c r="AP451"/>
  <c r="AO451"/>
  <c r="AM451"/>
  <c r="AK451"/>
  <c r="AF451"/>
  <c r="AA451"/>
  <c r="BL450"/>
  <c r="AT450"/>
  <c r="AP450"/>
  <c r="AO450"/>
  <c r="AM450"/>
  <c r="AK450"/>
  <c r="AF450"/>
  <c r="AA450"/>
  <c r="AT449"/>
  <c r="AP449"/>
  <c r="AO449"/>
  <c r="AM449"/>
  <c r="AK449"/>
  <c r="AF449"/>
  <c r="AA449"/>
  <c r="AT448"/>
  <c r="AP448"/>
  <c r="AO448"/>
  <c r="AM448"/>
  <c r="AK448"/>
  <c r="AF448"/>
  <c r="AA448"/>
  <c r="AT447"/>
  <c r="AP447"/>
  <c r="AO447"/>
  <c r="AM447"/>
  <c r="AK447"/>
  <c r="AF447"/>
  <c r="AA447"/>
  <c r="AT446"/>
  <c r="AP446"/>
  <c r="AO446"/>
  <c r="AM446"/>
  <c r="AK446"/>
  <c r="AF446"/>
  <c r="AA446"/>
  <c r="AT445"/>
  <c r="AP445"/>
  <c r="AO445"/>
  <c r="AM445"/>
  <c r="AK445"/>
  <c r="AF445"/>
  <c r="AA445"/>
  <c r="AT444"/>
  <c r="AP444"/>
  <c r="AO444"/>
  <c r="AM444"/>
  <c r="AK444"/>
  <c r="AF444"/>
  <c r="AA444"/>
  <c r="AT443"/>
  <c r="AP443"/>
  <c r="AO443"/>
  <c r="AM443"/>
  <c r="AK443"/>
  <c r="AF443"/>
  <c r="AA443"/>
  <c r="AT442"/>
  <c r="AP442"/>
  <c r="AO442"/>
  <c r="AM442"/>
  <c r="AK442"/>
  <c r="AF442"/>
  <c r="AA442"/>
  <c r="AT441"/>
  <c r="AP441"/>
  <c r="AO441"/>
  <c r="AM441"/>
  <c r="AK441"/>
  <c r="AF441"/>
  <c r="AA441"/>
  <c r="AT440"/>
  <c r="AP440"/>
  <c r="AO440"/>
  <c r="AM440"/>
  <c r="AK440"/>
  <c r="AF440"/>
  <c r="AA440"/>
  <c r="AT439"/>
  <c r="AP439"/>
  <c r="AO439"/>
  <c r="AM439"/>
  <c r="AK439"/>
  <c r="AF439"/>
  <c r="AA439"/>
  <c r="AT438"/>
  <c r="AP438"/>
  <c r="AO438"/>
  <c r="AM438"/>
  <c r="AK438"/>
  <c r="AF438"/>
  <c r="AA438"/>
  <c r="AT437"/>
  <c r="AP437"/>
  <c r="AO437"/>
  <c r="AM437"/>
  <c r="AK437"/>
  <c r="AF437"/>
  <c r="AA437"/>
  <c r="AT436"/>
  <c r="AP436"/>
  <c r="AO436"/>
  <c r="AM436"/>
  <c r="AK436"/>
  <c r="AF436"/>
  <c r="AA436"/>
  <c r="AT435"/>
  <c r="AP435"/>
  <c r="AO435"/>
  <c r="AM435"/>
  <c r="AK435"/>
  <c r="AF435"/>
  <c r="AA435"/>
  <c r="AT434"/>
  <c r="AP434"/>
  <c r="AO434"/>
  <c r="AM434"/>
  <c r="AK434"/>
  <c r="AF434"/>
  <c r="AA434"/>
  <c r="AT433"/>
  <c r="AP433"/>
  <c r="AO433"/>
  <c r="AM433"/>
  <c r="AK433"/>
  <c r="AF433"/>
  <c r="AA433"/>
  <c r="AT432"/>
  <c r="AP432"/>
  <c r="AO432"/>
  <c r="AM432"/>
  <c r="AK432"/>
  <c r="AF432"/>
  <c r="AA432"/>
  <c r="AT431"/>
  <c r="AP431"/>
  <c r="AO431"/>
  <c r="AM431"/>
  <c r="AK431"/>
  <c r="AF431"/>
  <c r="AA431"/>
  <c r="AT430"/>
  <c r="AP430"/>
  <c r="AO430"/>
  <c r="AM430"/>
  <c r="AK430"/>
  <c r="AF430"/>
  <c r="AA430"/>
  <c r="AT429"/>
  <c r="AP429"/>
  <c r="AO429"/>
  <c r="AM429"/>
  <c r="AK429"/>
  <c r="AF429"/>
  <c r="AA429"/>
  <c r="AT428"/>
  <c r="AP428"/>
  <c r="AO428"/>
  <c r="AM428"/>
  <c r="AK428"/>
  <c r="AF428"/>
  <c r="AA428"/>
  <c r="AT427"/>
  <c r="AP427"/>
  <c r="AO427"/>
  <c r="AM427"/>
  <c r="AK427"/>
  <c r="AF427"/>
  <c r="AA427"/>
  <c r="AT426"/>
  <c r="AP426"/>
  <c r="AO426"/>
  <c r="AM426"/>
  <c r="AK426"/>
  <c r="AF426"/>
  <c r="AA426"/>
  <c r="AT425"/>
  <c r="AP425"/>
  <c r="AO425"/>
  <c r="AM425"/>
  <c r="AK425"/>
  <c r="AF425"/>
  <c r="AA425"/>
  <c r="AT424"/>
  <c r="AP424"/>
  <c r="AO424"/>
  <c r="AM424"/>
  <c r="AK424"/>
  <c r="AF424"/>
  <c r="AA424"/>
  <c r="AT423"/>
  <c r="AP423"/>
  <c r="AO423"/>
  <c r="AM423"/>
  <c r="AK423"/>
  <c r="AF423"/>
  <c r="AA423"/>
  <c r="AT422"/>
  <c r="AP422"/>
  <c r="AO422"/>
  <c r="AM422"/>
  <c r="AK422"/>
  <c r="BJ422"/>
  <c r="AF422"/>
  <c r="AA422"/>
  <c r="AT421"/>
  <c r="AP421"/>
  <c r="AO421"/>
  <c r="AM421"/>
  <c r="AK421"/>
  <c r="AF421"/>
  <c r="AA421"/>
  <c r="AT420"/>
  <c r="AP420"/>
  <c r="AO420"/>
  <c r="AM420"/>
  <c r="AK420"/>
  <c r="AF420"/>
  <c r="AA420"/>
  <c r="AT419"/>
  <c r="AP419"/>
  <c r="AO419"/>
  <c r="AM419"/>
  <c r="AK419"/>
  <c r="AF419"/>
  <c r="AA419"/>
  <c r="AT418"/>
  <c r="BM418"/>
  <c r="BL418"/>
  <c r="AP418"/>
  <c r="AO418"/>
  <c r="AM418"/>
  <c r="AK418"/>
  <c r="AF418"/>
  <c r="AA418"/>
  <c r="AT417"/>
  <c r="AP417"/>
  <c r="AO417"/>
  <c r="AM417"/>
  <c r="AK417"/>
  <c r="AF417"/>
  <c r="AA417"/>
  <c r="AT416"/>
  <c r="AP416"/>
  <c r="AO416"/>
  <c r="AM416"/>
  <c r="AK416"/>
  <c r="AF416"/>
  <c r="AA416"/>
  <c r="AT415"/>
  <c r="AP415"/>
  <c r="AO415"/>
  <c r="AM415"/>
  <c r="AK415"/>
  <c r="AF415"/>
  <c r="AA415"/>
  <c r="BM415"/>
  <c r="AT414"/>
  <c r="AP414"/>
  <c r="AO414"/>
  <c r="AM414"/>
  <c r="AK414"/>
  <c r="AF414"/>
  <c r="AA414"/>
  <c r="AT413"/>
  <c r="AP413"/>
  <c r="AO413"/>
  <c r="AM413"/>
  <c r="AK413"/>
  <c r="AF413"/>
  <c r="AA413"/>
  <c r="AT412"/>
  <c r="AP412"/>
  <c r="AO412"/>
  <c r="AM412"/>
  <c r="AK412"/>
  <c r="AF412"/>
  <c r="AA412"/>
  <c r="AT411"/>
  <c r="AP411"/>
  <c r="AO411"/>
  <c r="AM411"/>
  <c r="AK411"/>
  <c r="AF411"/>
  <c r="AA411"/>
  <c r="AT410"/>
  <c r="AP410"/>
  <c r="AO410"/>
  <c r="AM410"/>
  <c r="AK410"/>
  <c r="AF410"/>
  <c r="AA410"/>
  <c r="AT409"/>
  <c r="AP409"/>
  <c r="AO409"/>
  <c r="AM409"/>
  <c r="AK409"/>
  <c r="AF409"/>
  <c r="AA409"/>
  <c r="AT408"/>
  <c r="AP408"/>
  <c r="AO408"/>
  <c r="AM408"/>
  <c r="AK408"/>
  <c r="AF408"/>
  <c r="AA408"/>
  <c r="AT407"/>
  <c r="AP407"/>
  <c r="AO407"/>
  <c r="AM407"/>
  <c r="AK407"/>
  <c r="AF407"/>
  <c r="AA407"/>
  <c r="AT406"/>
  <c r="AP406"/>
  <c r="AO406"/>
  <c r="AM406"/>
  <c r="AK406"/>
  <c r="AF406"/>
  <c r="AA406"/>
  <c r="AT405"/>
  <c r="AP405"/>
  <c r="AO405"/>
  <c r="AM405"/>
  <c r="AK405"/>
  <c r="AF405"/>
  <c r="AA405"/>
  <c r="AT404"/>
  <c r="AP404"/>
  <c r="AO404"/>
  <c r="AM404"/>
  <c r="AK404"/>
  <c r="AF404"/>
  <c r="AA404"/>
  <c r="AT403"/>
  <c r="AP403"/>
  <c r="AO403"/>
  <c r="AM403"/>
  <c r="AK403"/>
  <c r="AF403"/>
  <c r="AA403"/>
  <c r="AT402"/>
  <c r="AP402"/>
  <c r="AO402"/>
  <c r="AM402"/>
  <c r="AK402"/>
  <c r="AF402"/>
  <c r="AA402"/>
  <c r="AT401"/>
  <c r="AP401"/>
  <c r="AO401"/>
  <c r="AM401"/>
  <c r="AK401"/>
  <c r="AF401"/>
  <c r="AA401"/>
  <c r="AT400"/>
  <c r="AP400"/>
  <c r="AO400"/>
  <c r="AM400"/>
  <c r="AK400"/>
  <c r="AF400"/>
  <c r="AA400"/>
  <c r="AT399"/>
  <c r="AP399"/>
  <c r="AO399"/>
  <c r="AM399"/>
  <c r="AK399"/>
  <c r="AF399"/>
  <c r="AA399"/>
  <c r="AT398"/>
  <c r="AP398"/>
  <c r="AO398"/>
  <c r="AM398"/>
  <c r="AK398"/>
  <c r="AF398"/>
  <c r="AA398"/>
  <c r="AT397"/>
  <c r="AP397"/>
  <c r="AO397"/>
  <c r="AM397"/>
  <c r="AK397"/>
  <c r="AF397"/>
  <c r="AA397"/>
  <c r="AT396"/>
  <c r="AP396"/>
  <c r="AO396"/>
  <c r="AM396"/>
  <c r="AK396"/>
  <c r="AF396"/>
  <c r="AA396"/>
  <c r="AT395"/>
  <c r="AP395"/>
  <c r="AO395"/>
  <c r="AM395"/>
  <c r="AK395"/>
  <c r="AF395"/>
  <c r="AA395"/>
  <c r="AT394"/>
  <c r="AP394"/>
  <c r="AO394"/>
  <c r="AM394"/>
  <c r="AK394"/>
  <c r="AF394"/>
  <c r="AA394"/>
  <c r="BJ393"/>
  <c r="AT393"/>
  <c r="AP393"/>
  <c r="AO393"/>
  <c r="AM393"/>
  <c r="AK393"/>
  <c r="AF393"/>
  <c r="AA393"/>
  <c r="AT392"/>
  <c r="AP392"/>
  <c r="AO392"/>
  <c r="AM392"/>
  <c r="AK392"/>
  <c r="AF392"/>
  <c r="AA392"/>
  <c r="BK391"/>
  <c r="AT391"/>
  <c r="BL391"/>
  <c r="AP391"/>
  <c r="AO391"/>
  <c r="AM391"/>
  <c r="AK391"/>
  <c r="AF391"/>
  <c r="AA391"/>
  <c r="AT390"/>
  <c r="AP390"/>
  <c r="AO390"/>
  <c r="AM390"/>
  <c r="AK390"/>
  <c r="AF390"/>
  <c r="AA390"/>
  <c r="AT389"/>
  <c r="AP389"/>
  <c r="AO389"/>
  <c r="AM389"/>
  <c r="AK389"/>
  <c r="AF389"/>
  <c r="AA389"/>
  <c r="BJ389"/>
  <c r="AT388"/>
  <c r="AP388"/>
  <c r="AO388"/>
  <c r="AM388"/>
  <c r="AK388"/>
  <c r="AF388"/>
  <c r="AA388"/>
  <c r="AT387"/>
  <c r="AP387"/>
  <c r="AO387"/>
  <c r="AM387"/>
  <c r="AK387"/>
  <c r="AF387"/>
  <c r="AA387"/>
  <c r="AT386"/>
  <c r="AP386"/>
  <c r="AO386"/>
  <c r="AM386"/>
  <c r="AK386"/>
  <c r="AF386"/>
  <c r="AA386"/>
  <c r="AT385"/>
  <c r="AP385"/>
  <c r="AO385"/>
  <c r="AM385"/>
  <c r="AK385"/>
  <c r="AF385"/>
  <c r="AA385"/>
  <c r="BJ385"/>
  <c r="AT384"/>
  <c r="AP384"/>
  <c r="AO384"/>
  <c r="AM384"/>
  <c r="AK384"/>
  <c r="AF384"/>
  <c r="AA384"/>
  <c r="AT383"/>
  <c r="AP383"/>
  <c r="AO383"/>
  <c r="AM383"/>
  <c r="AK383"/>
  <c r="AF383"/>
  <c r="AA383"/>
  <c r="AT382"/>
  <c r="AP382"/>
  <c r="AO382"/>
  <c r="AM382"/>
  <c r="AK382"/>
  <c r="AF382"/>
  <c r="AA382"/>
  <c r="AT381"/>
  <c r="AP381"/>
  <c r="AO381"/>
  <c r="AM381"/>
  <c r="AK381"/>
  <c r="AF381"/>
  <c r="AA381"/>
  <c r="BJ381"/>
  <c r="AT380"/>
  <c r="AP380"/>
  <c r="AO380"/>
  <c r="AM380"/>
  <c r="AK380"/>
  <c r="AF380"/>
  <c r="AA380"/>
  <c r="AT379"/>
  <c r="AP379"/>
  <c r="AO379"/>
  <c r="AM379"/>
  <c r="AK379"/>
  <c r="AF379"/>
  <c r="AA379"/>
  <c r="AT378"/>
  <c r="AP378"/>
  <c r="AO378"/>
  <c r="AM378"/>
  <c r="AK378"/>
  <c r="AF378"/>
  <c r="AA378"/>
  <c r="AT377"/>
  <c r="AP377"/>
  <c r="AO377"/>
  <c r="AM377"/>
  <c r="AK377"/>
  <c r="AF377"/>
  <c r="AA377"/>
  <c r="AT376"/>
  <c r="AP376"/>
  <c r="AO376"/>
  <c r="AM376"/>
  <c r="AK376"/>
  <c r="AF376"/>
  <c r="AA376"/>
  <c r="AT375"/>
  <c r="AP375"/>
  <c r="AO375"/>
  <c r="AM375"/>
  <c r="AK375"/>
  <c r="AF375"/>
  <c r="AA375"/>
  <c r="AT374"/>
  <c r="AP374"/>
  <c r="AO374"/>
  <c r="AM374"/>
  <c r="AK374"/>
  <c r="AF374"/>
  <c r="AA374"/>
  <c r="AT373"/>
  <c r="AP373"/>
  <c r="AO373"/>
  <c r="AM373"/>
  <c r="AK373"/>
  <c r="AF373"/>
  <c r="AA373"/>
  <c r="AT372"/>
  <c r="AP372"/>
  <c r="AO372"/>
  <c r="AM372"/>
  <c r="AK372"/>
  <c r="AF372"/>
  <c r="AA372"/>
  <c r="AT371"/>
  <c r="AP371"/>
  <c r="AO371"/>
  <c r="AM371"/>
  <c r="AK371"/>
  <c r="AF371"/>
  <c r="AA371"/>
  <c r="BJ371"/>
  <c r="BK370"/>
  <c r="AT370"/>
  <c r="AP370"/>
  <c r="AO370"/>
  <c r="AM370"/>
  <c r="AK370"/>
  <c r="AF370"/>
  <c r="AA370"/>
  <c r="AT369"/>
  <c r="AP369"/>
  <c r="AO369"/>
  <c r="AM369"/>
  <c r="AK369"/>
  <c r="AF369"/>
  <c r="AA369"/>
  <c r="AT368"/>
  <c r="AP368"/>
  <c r="AO368"/>
  <c r="AM368"/>
  <c r="AK368"/>
  <c r="AF368"/>
  <c r="AA368"/>
  <c r="AT367"/>
  <c r="AP367"/>
  <c r="AO367"/>
  <c r="AM367"/>
  <c r="AK367"/>
  <c r="AF367"/>
  <c r="AA367"/>
  <c r="AT366"/>
  <c r="AP366"/>
  <c r="AO366"/>
  <c r="AM366"/>
  <c r="AK366"/>
  <c r="AF366"/>
  <c r="AA366"/>
  <c r="AT365"/>
  <c r="AP365"/>
  <c r="AO365"/>
  <c r="AM365"/>
  <c r="AK365"/>
  <c r="AF365"/>
  <c r="AA365"/>
  <c r="AT364"/>
  <c r="AP364"/>
  <c r="AO364"/>
  <c r="AM364"/>
  <c r="AK364"/>
  <c r="AF364"/>
  <c r="AA364"/>
  <c r="AT363"/>
  <c r="AP363"/>
  <c r="AO363"/>
  <c r="AM363"/>
  <c r="AK363"/>
  <c r="AF363"/>
  <c r="AA363"/>
  <c r="BK363"/>
  <c r="AT362"/>
  <c r="AP362"/>
  <c r="AO362"/>
  <c r="AM362"/>
  <c r="AK362"/>
  <c r="AF362"/>
  <c r="AA362"/>
  <c r="AT361"/>
  <c r="AP361"/>
  <c r="AO361"/>
  <c r="AM361"/>
  <c r="AK361"/>
  <c r="AF361"/>
  <c r="AA361"/>
  <c r="AT360"/>
  <c r="AP360"/>
  <c r="AO360"/>
  <c r="AM360"/>
  <c r="AK360"/>
  <c r="AF360"/>
  <c r="AA360"/>
  <c r="AT359"/>
  <c r="AP359"/>
  <c r="AO359"/>
  <c r="AM359"/>
  <c r="AK359"/>
  <c r="AF359"/>
  <c r="AA359"/>
  <c r="AT358"/>
  <c r="AP358"/>
  <c r="AO358"/>
  <c r="AM358"/>
  <c r="AK358"/>
  <c r="AF358"/>
  <c r="AA358"/>
  <c r="AT357"/>
  <c r="AP357"/>
  <c r="AO357"/>
  <c r="AM357"/>
  <c r="AK357"/>
  <c r="AF357"/>
  <c r="AA357"/>
  <c r="AT356"/>
  <c r="AP356"/>
  <c r="AO356"/>
  <c r="AM356"/>
  <c r="AK356"/>
  <c r="AF356"/>
  <c r="AA356"/>
  <c r="AT355"/>
  <c r="AP355"/>
  <c r="AO355"/>
  <c r="AM355"/>
  <c r="AK355"/>
  <c r="AF355"/>
  <c r="AA355"/>
  <c r="AT354"/>
  <c r="AP354"/>
  <c r="AO354"/>
  <c r="AM354"/>
  <c r="AK354"/>
  <c r="AF354"/>
  <c r="AA354"/>
  <c r="AT353"/>
  <c r="AP353"/>
  <c r="AO353"/>
  <c r="AM353"/>
  <c r="AK353"/>
  <c r="AF353"/>
  <c r="AA353"/>
  <c r="AT352"/>
  <c r="AP352"/>
  <c r="AO352"/>
  <c r="AM352"/>
  <c r="AK352"/>
  <c r="AF352"/>
  <c r="AA352"/>
  <c r="AT351"/>
  <c r="AP351"/>
  <c r="AO351"/>
  <c r="AM351"/>
  <c r="AK351"/>
  <c r="AF351"/>
  <c r="AA351"/>
  <c r="AT350"/>
  <c r="AP350"/>
  <c r="AO350"/>
  <c r="AM350"/>
  <c r="AK350"/>
  <c r="AF350"/>
  <c r="AA350"/>
  <c r="AT349"/>
  <c r="AP349"/>
  <c r="AO349"/>
  <c r="AM349"/>
  <c r="AK349"/>
  <c r="AF349"/>
  <c r="AA349"/>
  <c r="AT348"/>
  <c r="AP348"/>
  <c r="AO348"/>
  <c r="AM348"/>
  <c r="AK348"/>
  <c r="AF348"/>
  <c r="AA348"/>
  <c r="AT347"/>
  <c r="AP347"/>
  <c r="AO347"/>
  <c r="AM347"/>
  <c r="AK347"/>
  <c r="AF347"/>
  <c r="AA347"/>
  <c r="AT346"/>
  <c r="AP346"/>
  <c r="AO346"/>
  <c r="AM346"/>
  <c r="AK346"/>
  <c r="AF346"/>
  <c r="AA346"/>
  <c r="AT345"/>
  <c r="AP345"/>
  <c r="AO345"/>
  <c r="AM345"/>
  <c r="AK345"/>
  <c r="AF345"/>
  <c r="AA345"/>
  <c r="AT344"/>
  <c r="AP344"/>
  <c r="AO344"/>
  <c r="AM344"/>
  <c r="AK344"/>
  <c r="AF344"/>
  <c r="AA344"/>
  <c r="AT343"/>
  <c r="AP343"/>
  <c r="AO343"/>
  <c r="AM343"/>
  <c r="AK343"/>
  <c r="AF343"/>
  <c r="AA343"/>
  <c r="AT342"/>
  <c r="AP342"/>
  <c r="AO342"/>
  <c r="AM342"/>
  <c r="AK342"/>
  <c r="AF342"/>
  <c r="AA342"/>
  <c r="AT341"/>
  <c r="AP341"/>
  <c r="AO341"/>
  <c r="AM341"/>
  <c r="AK341"/>
  <c r="AF341"/>
  <c r="AA341"/>
  <c r="AT340"/>
  <c r="AP340"/>
  <c r="AO340"/>
  <c r="AM340"/>
  <c r="AK340"/>
  <c r="AF340"/>
  <c r="AA340"/>
  <c r="AT339"/>
  <c r="AP339"/>
  <c r="AO339"/>
  <c r="AM339"/>
  <c r="AK339"/>
  <c r="AF339"/>
  <c r="AA339"/>
  <c r="AT338"/>
  <c r="AP338"/>
  <c r="AO338"/>
  <c r="AM338"/>
  <c r="AK338"/>
  <c r="AF338"/>
  <c r="AA338"/>
  <c r="AT337"/>
  <c r="AP337"/>
  <c r="AO337"/>
  <c r="AM337"/>
  <c r="AK337"/>
  <c r="AF337"/>
  <c r="AA337"/>
  <c r="AT336"/>
  <c r="AP336"/>
  <c r="AO336"/>
  <c r="AM336"/>
  <c r="AK336"/>
  <c r="BL336"/>
  <c r="AF336"/>
  <c r="AA336"/>
  <c r="AT335"/>
  <c r="AP335"/>
  <c r="AO335"/>
  <c r="AM335"/>
  <c r="AK335"/>
  <c r="AF335"/>
  <c r="AA335"/>
  <c r="AT334"/>
  <c r="AP334"/>
  <c r="AO334"/>
  <c r="AM334"/>
  <c r="AK334"/>
  <c r="AF334"/>
  <c r="AA334"/>
  <c r="AT333"/>
  <c r="AP333"/>
  <c r="AO333"/>
  <c r="AM333"/>
  <c r="AK333"/>
  <c r="AF333"/>
  <c r="AA333"/>
  <c r="AT332"/>
  <c r="AP332"/>
  <c r="AO332"/>
  <c r="AM332"/>
  <c r="AK332"/>
  <c r="AF332"/>
  <c r="AA332"/>
  <c r="AT331"/>
  <c r="AP331"/>
  <c r="AO331"/>
  <c r="AM331"/>
  <c r="AK331"/>
  <c r="AF331"/>
  <c r="AA331"/>
  <c r="AT330"/>
  <c r="AP330"/>
  <c r="AO330"/>
  <c r="AM330"/>
  <c r="AK330"/>
  <c r="AF330"/>
  <c r="AA330"/>
  <c r="AT329"/>
  <c r="AP329"/>
  <c r="AO329"/>
  <c r="AM329"/>
  <c r="AK329"/>
  <c r="BJ329"/>
  <c r="AF329"/>
  <c r="AA329"/>
  <c r="AT328"/>
  <c r="AP328"/>
  <c r="AO328"/>
  <c r="AM328"/>
  <c r="AK328"/>
  <c r="AF328"/>
  <c r="AA328"/>
  <c r="AT327"/>
  <c r="AP327"/>
  <c r="AO327"/>
  <c r="AM327"/>
  <c r="AK327"/>
  <c r="AF327"/>
  <c r="AA327"/>
  <c r="AT326"/>
  <c r="AP326"/>
  <c r="AO326"/>
  <c r="AM326"/>
  <c r="AK326"/>
  <c r="AF326"/>
  <c r="AA326"/>
  <c r="AT325"/>
  <c r="AP325"/>
  <c r="AO325"/>
  <c r="AM325"/>
  <c r="AK325"/>
  <c r="BJ325"/>
  <c r="AF325"/>
  <c r="AA325"/>
  <c r="AT324"/>
  <c r="AP324"/>
  <c r="AO324"/>
  <c r="AM324"/>
  <c r="AK324"/>
  <c r="AF324"/>
  <c r="AA324"/>
  <c r="AT323"/>
  <c r="AP323"/>
  <c r="AO323"/>
  <c r="AM323"/>
  <c r="AK323"/>
  <c r="BJ323"/>
  <c r="AF323"/>
  <c r="AA323"/>
  <c r="AT322"/>
  <c r="AP322"/>
  <c r="AO322"/>
  <c r="AM322"/>
  <c r="AK322"/>
  <c r="AF322"/>
  <c r="AA322"/>
  <c r="AT321"/>
  <c r="AP321"/>
  <c r="AO321"/>
  <c r="AM321"/>
  <c r="AK321"/>
  <c r="AF321"/>
  <c r="AA321"/>
  <c r="AT320"/>
  <c r="AP320"/>
  <c r="AO320"/>
  <c r="AM320"/>
  <c r="AK320"/>
  <c r="AF320"/>
  <c r="AA320"/>
  <c r="AT319"/>
  <c r="AP319"/>
  <c r="AO319"/>
  <c r="AM319"/>
  <c r="AK319"/>
  <c r="AF319"/>
  <c r="AA319"/>
  <c r="AT318"/>
  <c r="AP318"/>
  <c r="AO318"/>
  <c r="AM318"/>
  <c r="AK318"/>
  <c r="AF318"/>
  <c r="AA318"/>
  <c r="AT317"/>
  <c r="AP317"/>
  <c r="AO317"/>
  <c r="AM317"/>
  <c r="AK317"/>
  <c r="AF317"/>
  <c r="AA317"/>
  <c r="AT316"/>
  <c r="AP316"/>
  <c r="AO316"/>
  <c r="AM316"/>
  <c r="AK316"/>
  <c r="AF316"/>
  <c r="AA316"/>
  <c r="AT315"/>
  <c r="AP315"/>
  <c r="AO315"/>
  <c r="AM315"/>
  <c r="AK315"/>
  <c r="AF315"/>
  <c r="AA315"/>
  <c r="AT314"/>
  <c r="AP314"/>
  <c r="AO314"/>
  <c r="AM314"/>
  <c r="AK314"/>
  <c r="AF314"/>
  <c r="AA314"/>
  <c r="AT313"/>
  <c r="AP313"/>
  <c r="AO313"/>
  <c r="AM313"/>
  <c r="AK313"/>
  <c r="AF313"/>
  <c r="AA313"/>
  <c r="AT312"/>
  <c r="AP312"/>
  <c r="AO312"/>
  <c r="AM312"/>
  <c r="AK312"/>
  <c r="AF312"/>
  <c r="AA312"/>
  <c r="AT311"/>
  <c r="AP311"/>
  <c r="AO311"/>
  <c r="AM311"/>
  <c r="AK311"/>
  <c r="AF311"/>
  <c r="AA311"/>
  <c r="AT310"/>
  <c r="AP310"/>
  <c r="AO310"/>
  <c r="AM310"/>
  <c r="AK310"/>
  <c r="AF310"/>
  <c r="AA310"/>
  <c r="AT309"/>
  <c r="AP309"/>
  <c r="AO309"/>
  <c r="AM309"/>
  <c r="AK309"/>
  <c r="AF309"/>
  <c r="AA309"/>
  <c r="AT308"/>
  <c r="AP308"/>
  <c r="AO308"/>
  <c r="AM308"/>
  <c r="AK308"/>
  <c r="AF308"/>
  <c r="AA308"/>
  <c r="AT307"/>
  <c r="AP307"/>
  <c r="AO307"/>
  <c r="AM307"/>
  <c r="AK307"/>
  <c r="AF307"/>
  <c r="AA307"/>
  <c r="AT306"/>
  <c r="AP306"/>
  <c r="AO306"/>
  <c r="AM306"/>
  <c r="AK306"/>
  <c r="AF306"/>
  <c r="AA306"/>
  <c r="BJ305"/>
  <c r="AT305"/>
  <c r="AP305"/>
  <c r="AO305"/>
  <c r="AM305"/>
  <c r="AK305"/>
  <c r="AF305"/>
  <c r="AA305"/>
  <c r="AT304"/>
  <c r="AP304"/>
  <c r="AO304"/>
  <c r="AM304"/>
  <c r="AK304"/>
  <c r="AF304"/>
  <c r="AA304"/>
  <c r="AT303"/>
  <c r="AP303"/>
  <c r="AO303"/>
  <c r="AM303"/>
  <c r="AK303"/>
  <c r="AF303"/>
  <c r="AA303"/>
  <c r="AT302"/>
  <c r="AP302"/>
  <c r="AO302"/>
  <c r="AM302"/>
  <c r="AK302"/>
  <c r="AF302"/>
  <c r="AA302"/>
  <c r="AT301"/>
  <c r="AP301"/>
  <c r="AO301"/>
  <c r="AM301"/>
  <c r="AK301"/>
  <c r="AF301"/>
  <c r="AA301"/>
  <c r="AT300"/>
  <c r="AP300"/>
  <c r="AO300"/>
  <c r="AM300"/>
  <c r="AK300"/>
  <c r="AF300"/>
  <c r="AA300"/>
  <c r="AT299"/>
  <c r="AP299"/>
  <c r="AO299"/>
  <c r="AM299"/>
  <c r="AK299"/>
  <c r="BJ299"/>
  <c r="AF299"/>
  <c r="AA299"/>
  <c r="AT298"/>
  <c r="AP298"/>
  <c r="AO298"/>
  <c r="AM298"/>
  <c r="AK298"/>
  <c r="AF298"/>
  <c r="AA298"/>
  <c r="AT297"/>
  <c r="AP297"/>
  <c r="AO297"/>
  <c r="AM297"/>
  <c r="AK297"/>
  <c r="BJ297"/>
  <c r="AF297"/>
  <c r="AA297"/>
  <c r="AT296"/>
  <c r="AP296"/>
  <c r="AO296"/>
  <c r="AM296"/>
  <c r="AK296"/>
  <c r="AF296"/>
  <c r="AA296"/>
  <c r="AT295"/>
  <c r="AP295"/>
  <c r="AO295"/>
  <c r="AM295"/>
  <c r="AK295"/>
  <c r="AF295"/>
  <c r="AA295"/>
  <c r="AT294"/>
  <c r="AP294"/>
  <c r="AO294"/>
  <c r="AM294"/>
  <c r="AK294"/>
  <c r="AF294"/>
  <c r="AA294"/>
  <c r="AT293"/>
  <c r="AP293"/>
  <c r="AO293"/>
  <c r="AM293"/>
  <c r="AK293"/>
  <c r="AF293"/>
  <c r="AA293"/>
  <c r="AT292"/>
  <c r="AP292"/>
  <c r="AO292"/>
  <c r="AM292"/>
  <c r="AK292"/>
  <c r="AF292"/>
  <c r="AA292"/>
  <c r="AT291"/>
  <c r="AP291"/>
  <c r="AO291"/>
  <c r="AM291"/>
  <c r="AK291"/>
  <c r="AF291"/>
  <c r="AA291"/>
  <c r="AT290"/>
  <c r="AP290"/>
  <c r="AO290"/>
  <c r="AM290"/>
  <c r="AK290"/>
  <c r="AF290"/>
  <c r="AA290"/>
  <c r="AT289"/>
  <c r="AP289"/>
  <c r="AO289"/>
  <c r="AM289"/>
  <c r="AK289"/>
  <c r="AF289"/>
  <c r="AA289"/>
  <c r="AT288"/>
  <c r="AP288"/>
  <c r="AO288"/>
  <c r="AM288"/>
  <c r="AK288"/>
  <c r="AF288"/>
  <c r="AA288"/>
  <c r="AT287"/>
  <c r="AP287"/>
  <c r="AO287"/>
  <c r="AM287"/>
  <c r="AK287"/>
  <c r="AF287"/>
  <c r="AA287"/>
  <c r="AT286"/>
  <c r="AP286"/>
  <c r="AO286"/>
  <c r="AM286"/>
  <c r="AK286"/>
  <c r="AF286"/>
  <c r="AA286"/>
  <c r="AT285"/>
  <c r="AP285"/>
  <c r="AO285"/>
  <c r="AM285"/>
  <c r="AK285"/>
  <c r="AF285"/>
  <c r="AA285"/>
  <c r="AT284"/>
  <c r="AP284"/>
  <c r="AO284"/>
  <c r="AM284"/>
  <c r="AK284"/>
  <c r="AF284"/>
  <c r="AA284"/>
  <c r="AT283"/>
  <c r="AP283"/>
  <c r="AO283"/>
  <c r="AM283"/>
  <c r="AK283"/>
  <c r="BJ283"/>
  <c r="AF283"/>
  <c r="AA283"/>
  <c r="AT282"/>
  <c r="AP282"/>
  <c r="AO282"/>
  <c r="AM282"/>
  <c r="AK282"/>
  <c r="AF282"/>
  <c r="AA282"/>
  <c r="AT281"/>
  <c r="AP281"/>
  <c r="AO281"/>
  <c r="AM281"/>
  <c r="AK281"/>
  <c r="AF281"/>
  <c r="AA281"/>
  <c r="AT280"/>
  <c r="AP280"/>
  <c r="AO280"/>
  <c r="AM280"/>
  <c r="AK280"/>
  <c r="AF280"/>
  <c r="AA280"/>
  <c r="AT279"/>
  <c r="AP279"/>
  <c r="AO279"/>
  <c r="AM279"/>
  <c r="AK279"/>
  <c r="AF279"/>
  <c r="AA279"/>
  <c r="AT278"/>
  <c r="AP278"/>
  <c r="AO278"/>
  <c r="AM278"/>
  <c r="AK278"/>
  <c r="AF278"/>
  <c r="AA278"/>
  <c r="AT277"/>
  <c r="AP277"/>
  <c r="AO277"/>
  <c r="AM277"/>
  <c r="AK277"/>
  <c r="AF277"/>
  <c r="AA277"/>
  <c r="AT276"/>
  <c r="AP276"/>
  <c r="AO276"/>
  <c r="AM276"/>
  <c r="AK276"/>
  <c r="AF276"/>
  <c r="AA276"/>
  <c r="AT275"/>
  <c r="AP275"/>
  <c r="AO275"/>
  <c r="AM275"/>
  <c r="AK275"/>
  <c r="BJ275"/>
  <c r="AF275"/>
  <c r="AA275"/>
  <c r="AT274"/>
  <c r="AP274"/>
  <c r="AO274"/>
  <c r="AM274"/>
  <c r="AK274"/>
  <c r="AF274"/>
  <c r="AA274"/>
  <c r="AT273"/>
  <c r="AP273"/>
  <c r="AO273"/>
  <c r="AM273"/>
  <c r="AK273"/>
  <c r="BJ273"/>
  <c r="AF273"/>
  <c r="AA273"/>
  <c r="AT272"/>
  <c r="AP272"/>
  <c r="AO272"/>
  <c r="AM272"/>
  <c r="AK272"/>
  <c r="AF272"/>
  <c r="AA272"/>
  <c r="AT271"/>
  <c r="AP271"/>
  <c r="AO271"/>
  <c r="AM271"/>
  <c r="AK271"/>
  <c r="AF271"/>
  <c r="AA271"/>
  <c r="AT270"/>
  <c r="AP270"/>
  <c r="AO270"/>
  <c r="AM270"/>
  <c r="AK270"/>
  <c r="AF270"/>
  <c r="AA270"/>
  <c r="AT269"/>
  <c r="AP269"/>
  <c r="AO269"/>
  <c r="AM269"/>
  <c r="AK269"/>
  <c r="AF269"/>
  <c r="AA269"/>
  <c r="AT268"/>
  <c r="AP268"/>
  <c r="AO268"/>
  <c r="AM268"/>
  <c r="AK268"/>
  <c r="AF268"/>
  <c r="AA268"/>
  <c r="AT267"/>
  <c r="AP267"/>
  <c r="AO267"/>
  <c r="AM267"/>
  <c r="AK267"/>
  <c r="AF267"/>
  <c r="AA267"/>
  <c r="AT266"/>
  <c r="AP266"/>
  <c r="AO266"/>
  <c r="AM266"/>
  <c r="AK266"/>
  <c r="AF266"/>
  <c r="AA266"/>
  <c r="AT265"/>
  <c r="AP265"/>
  <c r="AO265"/>
  <c r="AM265"/>
  <c r="AK265"/>
  <c r="AF265"/>
  <c r="AA265"/>
  <c r="AT264"/>
  <c r="AP264"/>
  <c r="AO264"/>
  <c r="AM264"/>
  <c r="AK264"/>
  <c r="AF264"/>
  <c r="AA264"/>
  <c r="AT263"/>
  <c r="AP263"/>
  <c r="AO263"/>
  <c r="AM263"/>
  <c r="AK263"/>
  <c r="AF263"/>
  <c r="AA263"/>
  <c r="AT262"/>
  <c r="AP262"/>
  <c r="AO262"/>
  <c r="AM262"/>
  <c r="AK262"/>
  <c r="BM262"/>
  <c r="AF262"/>
  <c r="AA262"/>
  <c r="AT261"/>
  <c r="AP261"/>
  <c r="AO261"/>
  <c r="AM261"/>
  <c r="AK261"/>
  <c r="AF261"/>
  <c r="AA261"/>
  <c r="AT260"/>
  <c r="AP260"/>
  <c r="AO260"/>
  <c r="AM260"/>
  <c r="AK260"/>
  <c r="AF260"/>
  <c r="AA260"/>
  <c r="AT259"/>
  <c r="AP259"/>
  <c r="AO259"/>
  <c r="AM259"/>
  <c r="AK259"/>
  <c r="AF259"/>
  <c r="AA259"/>
  <c r="AT258"/>
  <c r="AP258"/>
  <c r="AO258"/>
  <c r="AM258"/>
  <c r="AK258"/>
  <c r="AF258"/>
  <c r="AA258"/>
  <c r="AT257"/>
  <c r="AP257"/>
  <c r="AO257"/>
  <c r="AM257"/>
  <c r="AK257"/>
  <c r="AF257"/>
  <c r="AA257"/>
  <c r="AT256"/>
  <c r="AP256"/>
  <c r="AO256"/>
  <c r="AM256"/>
  <c r="AK256"/>
  <c r="AF256"/>
  <c r="AA256"/>
  <c r="AT255"/>
  <c r="AP255"/>
  <c r="AO255"/>
  <c r="AM255"/>
  <c r="AK255"/>
  <c r="AF255"/>
  <c r="AA255"/>
  <c r="AT254"/>
  <c r="AP254"/>
  <c r="AO254"/>
  <c r="AM254"/>
  <c r="AK254"/>
  <c r="AF254"/>
  <c r="AA254"/>
  <c r="AT253"/>
  <c r="AP253"/>
  <c r="AO253"/>
  <c r="AM253"/>
  <c r="AK253"/>
  <c r="AF253"/>
  <c r="AA253"/>
  <c r="AT252"/>
  <c r="AP252"/>
  <c r="AO252"/>
  <c r="AM252"/>
  <c r="AK252"/>
  <c r="BM252"/>
  <c r="AF252"/>
  <c r="AA252"/>
  <c r="AT251"/>
  <c r="AP251"/>
  <c r="AO251"/>
  <c r="AM251"/>
  <c r="AK251"/>
  <c r="AF251"/>
  <c r="AA251"/>
  <c r="AT250"/>
  <c r="AP250"/>
  <c r="AO250"/>
  <c r="AM250"/>
  <c r="AK250"/>
  <c r="BM250"/>
  <c r="AF250"/>
  <c r="AA250"/>
  <c r="AT249"/>
  <c r="AP249"/>
  <c r="AO249"/>
  <c r="AM249"/>
  <c r="AK249"/>
  <c r="AF249"/>
  <c r="AA249"/>
  <c r="AT248"/>
  <c r="AP248"/>
  <c r="AO248"/>
  <c r="AM248"/>
  <c r="AK248"/>
  <c r="AF248"/>
  <c r="AA248"/>
  <c r="AT247"/>
  <c r="AP247"/>
  <c r="AO247"/>
  <c r="AM247"/>
  <c r="AK247"/>
  <c r="AF247"/>
  <c r="AA247"/>
  <c r="AT246"/>
  <c r="AP246"/>
  <c r="AO246"/>
  <c r="AM246"/>
  <c r="AK246"/>
  <c r="AF246"/>
  <c r="AA246"/>
  <c r="AT245"/>
  <c r="AP245"/>
  <c r="AO245"/>
  <c r="AM245"/>
  <c r="AK245"/>
  <c r="AF245"/>
  <c r="AA245"/>
  <c r="AT244"/>
  <c r="AP244"/>
  <c r="AO244"/>
  <c r="AM244"/>
  <c r="AK244"/>
  <c r="BM244"/>
  <c r="AF244"/>
  <c r="AA244"/>
  <c r="AT243"/>
  <c r="AP243"/>
  <c r="AO243"/>
  <c r="AM243"/>
  <c r="AK243"/>
  <c r="AF243"/>
  <c r="AA243"/>
  <c r="AT242"/>
  <c r="AP242"/>
  <c r="AO242"/>
  <c r="AM242"/>
  <c r="AK242"/>
  <c r="BM242"/>
  <c r="AF242"/>
  <c r="AA242"/>
  <c r="AT241"/>
  <c r="AP241"/>
  <c r="AO241"/>
  <c r="AM241"/>
  <c r="AK241"/>
  <c r="AF241"/>
  <c r="AA241"/>
  <c r="AT240"/>
  <c r="AP240"/>
  <c r="AO240"/>
  <c r="AM240"/>
  <c r="AK240"/>
  <c r="AF240"/>
  <c r="AA240"/>
  <c r="AT239"/>
  <c r="AP239"/>
  <c r="AO239"/>
  <c r="AM239"/>
  <c r="AK239"/>
  <c r="AF239"/>
  <c r="AA239"/>
  <c r="AT238"/>
  <c r="AP238"/>
  <c r="AO238"/>
  <c r="AM238"/>
  <c r="AK238"/>
  <c r="AF238"/>
  <c r="AA238"/>
  <c r="BK237"/>
  <c r="AT237"/>
  <c r="BL237"/>
  <c r="AP237"/>
  <c r="AO237"/>
  <c r="AM237"/>
  <c r="AK237"/>
  <c r="AF237"/>
  <c r="AA237"/>
  <c r="AT236"/>
  <c r="AP236"/>
  <c r="AO236"/>
  <c r="AM236"/>
  <c r="AK236"/>
  <c r="AF236"/>
  <c r="AA236"/>
  <c r="AT235"/>
  <c r="AP235"/>
  <c r="AO235"/>
  <c r="AM235"/>
  <c r="AK235"/>
  <c r="AF235"/>
  <c r="AA235"/>
  <c r="AT234"/>
  <c r="AP234"/>
  <c r="AO234"/>
  <c r="AM234"/>
  <c r="AK234"/>
  <c r="AF234"/>
  <c r="AA234"/>
  <c r="AT233"/>
  <c r="AP233"/>
  <c r="AO233"/>
  <c r="AM233"/>
  <c r="AK233"/>
  <c r="AF233"/>
  <c r="AA233"/>
  <c r="AT232"/>
  <c r="AP232"/>
  <c r="AO232"/>
  <c r="AM232"/>
  <c r="AK232"/>
  <c r="AF232"/>
  <c r="AA232"/>
  <c r="AT231"/>
  <c r="AP231"/>
  <c r="AO231"/>
  <c r="AM231"/>
  <c r="AK231"/>
  <c r="AF231"/>
  <c r="AA231"/>
  <c r="AT230"/>
  <c r="AP230"/>
  <c r="AO230"/>
  <c r="AM230"/>
  <c r="AK230"/>
  <c r="AF230"/>
  <c r="AA230"/>
  <c r="AT229"/>
  <c r="AP229"/>
  <c r="AO229"/>
  <c r="AM229"/>
  <c r="AK229"/>
  <c r="AF229"/>
  <c r="AA229"/>
  <c r="BJ229"/>
  <c r="AT228"/>
  <c r="AP228"/>
  <c r="AO228"/>
  <c r="AM228"/>
  <c r="AK228"/>
  <c r="AF228"/>
  <c r="AA228"/>
  <c r="AT227"/>
  <c r="AP227"/>
  <c r="AO227"/>
  <c r="AM227"/>
  <c r="AK227"/>
  <c r="AF227"/>
  <c r="AA227"/>
  <c r="AT226"/>
  <c r="AP226"/>
  <c r="AO226"/>
  <c r="AM226"/>
  <c r="AK226"/>
  <c r="AF226"/>
  <c r="AA226"/>
  <c r="AT225"/>
  <c r="AP225"/>
  <c r="AO225"/>
  <c r="AM225"/>
  <c r="AK225"/>
  <c r="AF225"/>
  <c r="AA225"/>
  <c r="BJ225"/>
  <c r="AT224"/>
  <c r="AP224"/>
  <c r="AO224"/>
  <c r="AM224"/>
  <c r="AK224"/>
  <c r="AF224"/>
  <c r="AA224"/>
  <c r="AT223"/>
  <c r="AP223"/>
  <c r="AO223"/>
  <c r="AM223"/>
  <c r="AK223"/>
  <c r="AF223"/>
  <c r="AA223"/>
  <c r="AT222"/>
  <c r="AP222"/>
  <c r="AO222"/>
  <c r="AM222"/>
  <c r="AK222"/>
  <c r="AF222"/>
  <c r="AA222"/>
  <c r="AT221"/>
  <c r="AP221"/>
  <c r="AO221"/>
  <c r="AM221"/>
  <c r="AK221"/>
  <c r="AF221"/>
  <c r="AA221"/>
  <c r="AT220"/>
  <c r="AP220"/>
  <c r="AO220"/>
  <c r="AM220"/>
  <c r="AK220"/>
  <c r="AF220"/>
  <c r="AA220"/>
  <c r="AT219"/>
  <c r="AP219"/>
  <c r="AO219"/>
  <c r="AM219"/>
  <c r="AK219"/>
  <c r="AF219"/>
  <c r="AA219"/>
  <c r="AT218"/>
  <c r="AP218"/>
  <c r="AO218"/>
  <c r="AM218"/>
  <c r="AK218"/>
  <c r="BJ218"/>
  <c r="AF218"/>
  <c r="AA218"/>
  <c r="AT217"/>
  <c r="AP217"/>
  <c r="AO217"/>
  <c r="AM217"/>
  <c r="AK217"/>
  <c r="AF217"/>
  <c r="AA217"/>
  <c r="AT216"/>
  <c r="AP216"/>
  <c r="AO216"/>
  <c r="AM216"/>
  <c r="AK216"/>
  <c r="AF216"/>
  <c r="AA216"/>
  <c r="AT215"/>
  <c r="AP215"/>
  <c r="AO215"/>
  <c r="AM215"/>
  <c r="AK215"/>
  <c r="AF215"/>
  <c r="AA215"/>
  <c r="AT214"/>
  <c r="AP214"/>
  <c r="AO214"/>
  <c r="AM214"/>
  <c r="AK214"/>
  <c r="BJ214"/>
  <c r="AF214"/>
  <c r="AA214"/>
  <c r="AT213"/>
  <c r="AP213"/>
  <c r="AO213"/>
  <c r="AM213"/>
  <c r="AK213"/>
  <c r="AF213"/>
  <c r="AA213"/>
  <c r="AT212"/>
  <c r="AP212"/>
  <c r="AO212"/>
  <c r="AM212"/>
  <c r="AK212"/>
  <c r="AF212"/>
  <c r="AA212"/>
  <c r="AT211"/>
  <c r="AP211"/>
  <c r="AO211"/>
  <c r="AM211"/>
  <c r="AK211"/>
  <c r="AF211"/>
  <c r="AA211"/>
  <c r="AT210"/>
  <c r="AP210"/>
  <c r="AO210"/>
  <c r="AM210"/>
  <c r="AK210"/>
  <c r="BJ210"/>
  <c r="AF210"/>
  <c r="AA210"/>
  <c r="AT209"/>
  <c r="AP209"/>
  <c r="AO209"/>
  <c r="AM209"/>
  <c r="AK209"/>
  <c r="AF209"/>
  <c r="AA209"/>
  <c r="AT208"/>
  <c r="AP208"/>
  <c r="AO208"/>
  <c r="AM208"/>
  <c r="AK208"/>
  <c r="AF208"/>
  <c r="AA208"/>
  <c r="AT207"/>
  <c r="AP207"/>
  <c r="AO207"/>
  <c r="AM207"/>
  <c r="AK207"/>
  <c r="AF207"/>
  <c r="AA207"/>
  <c r="AT206"/>
  <c r="AP206"/>
  <c r="AO206"/>
  <c r="AM206"/>
  <c r="AK206"/>
  <c r="BJ206"/>
  <c r="AF206"/>
  <c r="AA206"/>
  <c r="AT205"/>
  <c r="AP205"/>
  <c r="AO205"/>
  <c r="AM205"/>
  <c r="AK205"/>
  <c r="AF205"/>
  <c r="AA205"/>
  <c r="AT204"/>
  <c r="AP204"/>
  <c r="AO204"/>
  <c r="AM204"/>
  <c r="AK204"/>
  <c r="AF204"/>
  <c r="AA204"/>
  <c r="AT203"/>
  <c r="AP203"/>
  <c r="AO203"/>
  <c r="AM203"/>
  <c r="AK203"/>
  <c r="AF203"/>
  <c r="AA203"/>
  <c r="AT202"/>
  <c r="AP202"/>
  <c r="AO202"/>
  <c r="AM202"/>
  <c r="AK202"/>
  <c r="BJ202"/>
  <c r="AF202"/>
  <c r="AA202"/>
  <c r="AT201"/>
  <c r="AP201"/>
  <c r="AO201"/>
  <c r="AM201"/>
  <c r="AK201"/>
  <c r="AF201"/>
  <c r="AA201"/>
  <c r="AT200"/>
  <c r="AP200"/>
  <c r="AO200"/>
  <c r="AM200"/>
  <c r="AK200"/>
  <c r="AF200"/>
  <c r="AA200"/>
  <c r="AT199"/>
  <c r="AP199"/>
  <c r="AO199"/>
  <c r="AM199"/>
  <c r="AK199"/>
  <c r="AF199"/>
  <c r="AA199"/>
  <c r="AT198"/>
  <c r="AP198"/>
  <c r="AO198"/>
  <c r="AM198"/>
  <c r="AK198"/>
  <c r="BJ198"/>
  <c r="AF198"/>
  <c r="AA198"/>
  <c r="AT197"/>
  <c r="AP197"/>
  <c r="AO197"/>
  <c r="AM197"/>
  <c r="AK197"/>
  <c r="AF197"/>
  <c r="AA197"/>
  <c r="AT196"/>
  <c r="AP196"/>
  <c r="AO196"/>
  <c r="AM196"/>
  <c r="AK196"/>
  <c r="AF196"/>
  <c r="AA196"/>
  <c r="AT195"/>
  <c r="AP195"/>
  <c r="AO195"/>
  <c r="AM195"/>
  <c r="AK195"/>
  <c r="AF195"/>
  <c r="AA195"/>
  <c r="AT194"/>
  <c r="AP194"/>
  <c r="AO194"/>
  <c r="AM194"/>
  <c r="AK194"/>
  <c r="BJ194"/>
  <c r="AF194"/>
  <c r="AA194"/>
  <c r="AT193"/>
  <c r="AP193"/>
  <c r="AO193"/>
  <c r="AM193"/>
  <c r="AK193"/>
  <c r="AF193"/>
  <c r="AA193"/>
  <c r="AT192"/>
  <c r="AP192"/>
  <c r="AO192"/>
  <c r="AM192"/>
  <c r="AK192"/>
  <c r="AF192"/>
  <c r="AA192"/>
  <c r="AT191"/>
  <c r="AP191"/>
  <c r="AO191"/>
  <c r="AM191"/>
  <c r="AK191"/>
  <c r="AF191"/>
  <c r="AA191"/>
  <c r="AT190"/>
  <c r="AP190"/>
  <c r="AO190"/>
  <c r="AM190"/>
  <c r="AK190"/>
  <c r="BJ190"/>
  <c r="AF190"/>
  <c r="AA190"/>
  <c r="AT189"/>
  <c r="AP189"/>
  <c r="AO189"/>
  <c r="AM189"/>
  <c r="AK189"/>
  <c r="AF189"/>
  <c r="AA189"/>
  <c r="AT188"/>
  <c r="AP188"/>
  <c r="AO188"/>
  <c r="AM188"/>
  <c r="AK188"/>
  <c r="AF188"/>
  <c r="AA188"/>
  <c r="AT187"/>
  <c r="AP187"/>
  <c r="AO187"/>
  <c r="AM187"/>
  <c r="AK187"/>
  <c r="AF187"/>
  <c r="AA187"/>
  <c r="AT186"/>
  <c r="AP186"/>
  <c r="AO186"/>
  <c r="AM186"/>
  <c r="AK186"/>
  <c r="BJ186"/>
  <c r="AF186"/>
  <c r="AA186"/>
  <c r="AT185"/>
  <c r="AP185"/>
  <c r="AO185"/>
  <c r="AM185"/>
  <c r="AK185"/>
  <c r="AF185"/>
  <c r="AA185"/>
  <c r="AT184"/>
  <c r="AP184"/>
  <c r="AO184"/>
  <c r="AM184"/>
  <c r="AK184"/>
  <c r="AF184"/>
  <c r="AA184"/>
  <c r="AT183"/>
  <c r="AP183"/>
  <c r="AO183"/>
  <c r="AM183"/>
  <c r="AK183"/>
  <c r="AF183"/>
  <c r="AA183"/>
  <c r="AT182"/>
  <c r="AP182"/>
  <c r="AO182"/>
  <c r="AM182"/>
  <c r="AK182"/>
  <c r="BJ182"/>
  <c r="AF182"/>
  <c r="AA182"/>
  <c r="AT181"/>
  <c r="AP181"/>
  <c r="AO181"/>
  <c r="AM181"/>
  <c r="AK181"/>
  <c r="AF181"/>
  <c r="AA181"/>
  <c r="AT180"/>
  <c r="AP180"/>
  <c r="AO180"/>
  <c r="AM180"/>
  <c r="AK180"/>
  <c r="AF180"/>
  <c r="AA180"/>
  <c r="AT179"/>
  <c r="AP179"/>
  <c r="AO179"/>
  <c r="AM179"/>
  <c r="AK179"/>
  <c r="AF179"/>
  <c r="AA179"/>
  <c r="AT178"/>
  <c r="AP178"/>
  <c r="AO178"/>
  <c r="AM178"/>
  <c r="AK178"/>
  <c r="AF178"/>
  <c r="AA178"/>
  <c r="AT177"/>
  <c r="AP177"/>
  <c r="AO177"/>
  <c r="AM177"/>
  <c r="AK177"/>
  <c r="AF177"/>
  <c r="AA177"/>
  <c r="AT176"/>
  <c r="AP176"/>
  <c r="AO176"/>
  <c r="AM176"/>
  <c r="AK176"/>
  <c r="AF176"/>
  <c r="AA176"/>
  <c r="AT175"/>
  <c r="AP175"/>
  <c r="AO175"/>
  <c r="AM175"/>
  <c r="AK175"/>
  <c r="AF175"/>
  <c r="AA175"/>
  <c r="AT174"/>
  <c r="AP174"/>
  <c r="AO174"/>
  <c r="AM174"/>
  <c r="AK174"/>
  <c r="BJ174"/>
  <c r="AF174"/>
  <c r="AA174"/>
  <c r="AT173"/>
  <c r="AP173"/>
  <c r="AO173"/>
  <c r="AM173"/>
  <c r="AK173"/>
  <c r="AF173"/>
  <c r="AA173"/>
  <c r="AT172"/>
  <c r="AP172"/>
  <c r="AO172"/>
  <c r="AM172"/>
  <c r="AK172"/>
  <c r="AF172"/>
  <c r="AA172"/>
  <c r="AT171"/>
  <c r="AP171"/>
  <c r="AO171"/>
  <c r="AM171"/>
  <c r="AK171"/>
  <c r="AF171"/>
  <c r="AA171"/>
  <c r="AT170"/>
  <c r="AP170"/>
  <c r="AO170"/>
  <c r="AM170"/>
  <c r="AK170"/>
  <c r="AF170"/>
  <c r="AA170"/>
  <c r="AT169"/>
  <c r="AP169"/>
  <c r="AO169"/>
  <c r="AM169"/>
  <c r="AK169"/>
  <c r="AF169"/>
  <c r="AA169"/>
  <c r="AT168"/>
  <c r="AP168"/>
  <c r="AO168"/>
  <c r="AM168"/>
  <c r="AK168"/>
  <c r="AF168"/>
  <c r="AA168"/>
  <c r="AT167"/>
  <c r="AP167"/>
  <c r="AO167"/>
  <c r="AM167"/>
  <c r="AK167"/>
  <c r="AF167"/>
  <c r="AA167"/>
  <c r="BJ166"/>
  <c r="AT166"/>
  <c r="AP166"/>
  <c r="AO166"/>
  <c r="AM166"/>
  <c r="AK166"/>
  <c r="AF166"/>
  <c r="AA166"/>
  <c r="AT165"/>
  <c r="AP165"/>
  <c r="AO165"/>
  <c r="AM165"/>
  <c r="AK165"/>
  <c r="AF165"/>
  <c r="AA165"/>
  <c r="AT164"/>
  <c r="AP164"/>
  <c r="AO164"/>
  <c r="AM164"/>
  <c r="AK164"/>
  <c r="AF164"/>
  <c r="AA164"/>
  <c r="AT163"/>
  <c r="AP163"/>
  <c r="AO163"/>
  <c r="AM163"/>
  <c r="AK163"/>
  <c r="AF163"/>
  <c r="AA163"/>
  <c r="AT162"/>
  <c r="AP162"/>
  <c r="AO162"/>
  <c r="AM162"/>
  <c r="AK162"/>
  <c r="AF162"/>
  <c r="AA162"/>
  <c r="AT161"/>
  <c r="AP161"/>
  <c r="AO161"/>
  <c r="AM161"/>
  <c r="AK161"/>
  <c r="AF161"/>
  <c r="AA161"/>
  <c r="AT160"/>
  <c r="AP160"/>
  <c r="AO160"/>
  <c r="AM160"/>
  <c r="AK160"/>
  <c r="AF160"/>
  <c r="AA160"/>
  <c r="AT159"/>
  <c r="AP159"/>
  <c r="AO159"/>
  <c r="AM159"/>
  <c r="AK159"/>
  <c r="AF159"/>
  <c r="AA159"/>
  <c r="AT158"/>
  <c r="AP158"/>
  <c r="AO158"/>
  <c r="AM158"/>
  <c r="AK158"/>
  <c r="BJ158"/>
  <c r="AF158"/>
  <c r="AA158"/>
  <c r="AT157"/>
  <c r="AP157"/>
  <c r="AO157"/>
  <c r="AM157"/>
  <c r="AK157"/>
  <c r="AF157"/>
  <c r="AA157"/>
  <c r="AT156"/>
  <c r="AP156"/>
  <c r="AO156"/>
  <c r="AM156"/>
  <c r="AK156"/>
  <c r="AF156"/>
  <c r="AA156"/>
  <c r="AT155"/>
  <c r="AP155"/>
  <c r="AO155"/>
  <c r="AM155"/>
  <c r="AK155"/>
  <c r="AF155"/>
  <c r="AA155"/>
  <c r="AT154"/>
  <c r="AP154"/>
  <c r="AO154"/>
  <c r="AM154"/>
  <c r="AK154"/>
  <c r="BJ154"/>
  <c r="AF154"/>
  <c r="AA154"/>
  <c r="AT153"/>
  <c r="AP153"/>
  <c r="AO153"/>
  <c r="AM153"/>
  <c r="AK153"/>
  <c r="AF153"/>
  <c r="AA153"/>
  <c r="AT152"/>
  <c r="AP152"/>
  <c r="AO152"/>
  <c r="AM152"/>
  <c r="AK152"/>
  <c r="AF152"/>
  <c r="AA152"/>
  <c r="AT151"/>
  <c r="AP151"/>
  <c r="AO151"/>
  <c r="AM151"/>
  <c r="AK151"/>
  <c r="AF151"/>
  <c r="AA151"/>
  <c r="AT150"/>
  <c r="AP150"/>
  <c r="AO150"/>
  <c r="AM150"/>
  <c r="AK150"/>
  <c r="BJ150"/>
  <c r="AF150"/>
  <c r="AA150"/>
  <c r="AT149"/>
  <c r="AP149"/>
  <c r="AO149"/>
  <c r="AM149"/>
  <c r="AK149"/>
  <c r="AF149"/>
  <c r="AA149"/>
  <c r="AT148"/>
  <c r="AP148"/>
  <c r="AO148"/>
  <c r="AM148"/>
  <c r="AK148"/>
  <c r="AF148"/>
  <c r="AA148"/>
  <c r="AT147"/>
  <c r="AP147"/>
  <c r="AO147"/>
  <c r="AM147"/>
  <c r="AK147"/>
  <c r="AF147"/>
  <c r="AA147"/>
  <c r="AT146"/>
  <c r="AP146"/>
  <c r="AO146"/>
  <c r="AM146"/>
  <c r="AK146"/>
  <c r="AF146"/>
  <c r="AA146"/>
  <c r="AT145"/>
  <c r="AP145"/>
  <c r="AO145"/>
  <c r="AM145"/>
  <c r="AK145"/>
  <c r="AF145"/>
  <c r="AA145"/>
  <c r="AT144"/>
  <c r="AP144"/>
  <c r="AO144"/>
  <c r="AM144"/>
  <c r="AK144"/>
  <c r="AF144"/>
  <c r="AA144"/>
  <c r="AT143"/>
  <c r="AP143"/>
  <c r="AO143"/>
  <c r="AM143"/>
  <c r="AK143"/>
  <c r="AF143"/>
  <c r="AA143"/>
  <c r="AT142"/>
  <c r="AP142"/>
  <c r="AO142"/>
  <c r="AM142"/>
  <c r="AK142"/>
  <c r="BJ142"/>
  <c r="AF142"/>
  <c r="AA142"/>
  <c r="AT141"/>
  <c r="AP141"/>
  <c r="AO141"/>
  <c r="AM141"/>
  <c r="AK141"/>
  <c r="AF141"/>
  <c r="AA141"/>
  <c r="AT140"/>
  <c r="AP140"/>
  <c r="AO140"/>
  <c r="AM140"/>
  <c r="AK140"/>
  <c r="AF140"/>
  <c r="AA140"/>
  <c r="AT139"/>
  <c r="AP139"/>
  <c r="AO139"/>
  <c r="AM139"/>
  <c r="AK139"/>
  <c r="AF139"/>
  <c r="AA139"/>
  <c r="AT138"/>
  <c r="AP138"/>
  <c r="AO138"/>
  <c r="AM138"/>
  <c r="AK138"/>
  <c r="AF138"/>
  <c r="AA138"/>
  <c r="AT137"/>
  <c r="AP137"/>
  <c r="AO137"/>
  <c r="AM137"/>
  <c r="AK137"/>
  <c r="AF137"/>
  <c r="AA137"/>
  <c r="AT136"/>
  <c r="AP136"/>
  <c r="AO136"/>
  <c r="AM136"/>
  <c r="AK136"/>
  <c r="AF136"/>
  <c r="AA136"/>
  <c r="AT135"/>
  <c r="AP135"/>
  <c r="AO135"/>
  <c r="AM135"/>
  <c r="AK135"/>
  <c r="AF135"/>
  <c r="AA135"/>
  <c r="BJ134"/>
  <c r="AT134"/>
  <c r="AP134"/>
  <c r="AO134"/>
  <c r="AM134"/>
  <c r="AK134"/>
  <c r="AF134"/>
  <c r="AA134"/>
  <c r="AT133"/>
  <c r="AP133"/>
  <c r="AO133"/>
  <c r="AM133"/>
  <c r="AK133"/>
  <c r="AF133"/>
  <c r="AA133"/>
  <c r="AT132"/>
  <c r="AP132"/>
  <c r="AO132"/>
  <c r="AM132"/>
  <c r="AK132"/>
  <c r="AF132"/>
  <c r="AA132"/>
  <c r="AT131"/>
  <c r="AP131"/>
  <c r="AO131"/>
  <c r="AM131"/>
  <c r="AK131"/>
  <c r="AF131"/>
  <c r="AA131"/>
  <c r="AT130"/>
  <c r="AP130"/>
  <c r="AO130"/>
  <c r="AM130"/>
  <c r="AK130"/>
  <c r="AF130"/>
  <c r="AA130"/>
  <c r="AT129"/>
  <c r="AP129"/>
  <c r="AO129"/>
  <c r="AM129"/>
  <c r="AK129"/>
  <c r="AF129"/>
  <c r="AA129"/>
  <c r="AT128"/>
  <c r="AP128"/>
  <c r="AO128"/>
  <c r="AM128"/>
  <c r="AK128"/>
  <c r="AF128"/>
  <c r="AA128"/>
  <c r="AT127"/>
  <c r="AP127"/>
  <c r="AO127"/>
  <c r="AM127"/>
  <c r="AK127"/>
  <c r="AF127"/>
  <c r="AA127"/>
  <c r="AT126"/>
  <c r="AP126"/>
  <c r="AO126"/>
  <c r="AM126"/>
  <c r="AK126"/>
  <c r="BJ126"/>
  <c r="AF126"/>
  <c r="AA126"/>
  <c r="AT125"/>
  <c r="AP125"/>
  <c r="AO125"/>
  <c r="AM125"/>
  <c r="AK125"/>
  <c r="AF125"/>
  <c r="AA125"/>
  <c r="AT124"/>
  <c r="AP124"/>
  <c r="AO124"/>
  <c r="AM124"/>
  <c r="AK124"/>
  <c r="AF124"/>
  <c r="AA124"/>
  <c r="AT123"/>
  <c r="AP123"/>
  <c r="AO123"/>
  <c r="AM123"/>
  <c r="AK123"/>
  <c r="AF123"/>
  <c r="AA123"/>
  <c r="AT122"/>
  <c r="AP122"/>
  <c r="AO122"/>
  <c r="AM122"/>
  <c r="AK122"/>
  <c r="BJ122"/>
  <c r="AF122"/>
  <c r="AA122"/>
  <c r="AT121"/>
  <c r="AP121"/>
  <c r="AO121"/>
  <c r="AM121"/>
  <c r="AK121"/>
  <c r="AF121"/>
  <c r="AA121"/>
  <c r="AT120"/>
  <c r="AP120"/>
  <c r="AO120"/>
  <c r="AM120"/>
  <c r="AK120"/>
  <c r="AF120"/>
  <c r="AA120"/>
  <c r="AT119"/>
  <c r="AP119"/>
  <c r="AO119"/>
  <c r="AM119"/>
  <c r="AK119"/>
  <c r="AF119"/>
  <c r="AA119"/>
  <c r="AT118"/>
  <c r="AP118"/>
  <c r="AO118"/>
  <c r="AM118"/>
  <c r="AK118"/>
  <c r="BJ118"/>
  <c r="AF118"/>
  <c r="AA118"/>
  <c r="AT117"/>
  <c r="AP117"/>
  <c r="AO117"/>
  <c r="AM117"/>
  <c r="AK117"/>
  <c r="AF117"/>
  <c r="AA117"/>
  <c r="AT116"/>
  <c r="AP116"/>
  <c r="AO116"/>
  <c r="AM116"/>
  <c r="AK116"/>
  <c r="AH116"/>
  <c r="AF116"/>
  <c r="AB116"/>
  <c r="AA116"/>
  <c r="AT115"/>
  <c r="BL115"/>
  <c r="AP115"/>
  <c r="AO115"/>
  <c r="AM115"/>
  <c r="AK115"/>
  <c r="AH115"/>
  <c r="AF115"/>
  <c r="AB115"/>
  <c r="AA115"/>
  <c r="AT114"/>
  <c r="AP114"/>
  <c r="AO114"/>
  <c r="AM114"/>
  <c r="AK114"/>
  <c r="AF114"/>
  <c r="AA114"/>
  <c r="AT113"/>
  <c r="AP113"/>
  <c r="AO113"/>
  <c r="AM113"/>
  <c r="AK113"/>
  <c r="AF113"/>
  <c r="AA113"/>
  <c r="AT112"/>
  <c r="AP112"/>
  <c r="AO112"/>
  <c r="AM112"/>
  <c r="AK112"/>
  <c r="AF112"/>
  <c r="AA112"/>
  <c r="AT111"/>
  <c r="AP111"/>
  <c r="AO111"/>
  <c r="AM111"/>
  <c r="AK111"/>
  <c r="AF111"/>
  <c r="AA111"/>
  <c r="AT110"/>
  <c r="AP110"/>
  <c r="AO110"/>
  <c r="AM110"/>
  <c r="AK110"/>
  <c r="AF110"/>
  <c r="AA110"/>
  <c r="BK109"/>
  <c r="AT109"/>
  <c r="BL109"/>
  <c r="AP109"/>
  <c r="AO109"/>
  <c r="AM109"/>
  <c r="AK109"/>
  <c r="AF109"/>
  <c r="AA109"/>
  <c r="AT108"/>
  <c r="AP108"/>
  <c r="AO108"/>
  <c r="AM108"/>
  <c r="AK108"/>
  <c r="AF108"/>
  <c r="AA108"/>
  <c r="AT107"/>
  <c r="AP107"/>
  <c r="AO107"/>
  <c r="AM107"/>
  <c r="AK107"/>
  <c r="AF107"/>
  <c r="AA107"/>
  <c r="AT106"/>
  <c r="AP106"/>
  <c r="AO106"/>
  <c r="AM106"/>
  <c r="AK106"/>
  <c r="AF106"/>
  <c r="AA106"/>
  <c r="AT105"/>
  <c r="AP105"/>
  <c r="AO105"/>
  <c r="AM105"/>
  <c r="AK105"/>
  <c r="AF105"/>
  <c r="AA105"/>
  <c r="AT104"/>
  <c r="AP104"/>
  <c r="AO104"/>
  <c r="AM104"/>
  <c r="AK104"/>
  <c r="AF104"/>
  <c r="AA104"/>
  <c r="AT103"/>
  <c r="AP103"/>
  <c r="AO103"/>
  <c r="AM103"/>
  <c r="AK103"/>
  <c r="AF103"/>
  <c r="AA103"/>
  <c r="AT102"/>
  <c r="AP102"/>
  <c r="AO102"/>
  <c r="AM102"/>
  <c r="AK102"/>
  <c r="AF102"/>
  <c r="AA102"/>
  <c r="AT101"/>
  <c r="BM101"/>
  <c r="BK101"/>
  <c r="AP101"/>
  <c r="AO101"/>
  <c r="AM101"/>
  <c r="AK101"/>
  <c r="AF101"/>
  <c r="AA101"/>
  <c r="AT100"/>
  <c r="AP100"/>
  <c r="AO100"/>
  <c r="AM100"/>
  <c r="AK100"/>
  <c r="AF100"/>
  <c r="AA100"/>
  <c r="AT99"/>
  <c r="AP99"/>
  <c r="AO99"/>
  <c r="AM99"/>
  <c r="AK99"/>
  <c r="AF99"/>
  <c r="AA99"/>
  <c r="AT98"/>
  <c r="AP98"/>
  <c r="AO98"/>
  <c r="AM98"/>
  <c r="AK98"/>
  <c r="AF98"/>
  <c r="AA98"/>
  <c r="AT97"/>
  <c r="AP97"/>
  <c r="AO97"/>
  <c r="AM97"/>
  <c r="AK97"/>
  <c r="AF97"/>
  <c r="AA97"/>
  <c r="AT96"/>
  <c r="AP96"/>
  <c r="AO96"/>
  <c r="AM96"/>
  <c r="AK96"/>
  <c r="AF96"/>
  <c r="AA96"/>
  <c r="AT95"/>
  <c r="AP95"/>
  <c r="AO95"/>
  <c r="AM95"/>
  <c r="AK95"/>
  <c r="AF95"/>
  <c r="AA95"/>
  <c r="AT94"/>
  <c r="AP94"/>
  <c r="AO94"/>
  <c r="AM94"/>
  <c r="AK94"/>
  <c r="AF94"/>
  <c r="AA94"/>
  <c r="BK93"/>
  <c r="AT93"/>
  <c r="BL93"/>
  <c r="AP93"/>
  <c r="AO93"/>
  <c r="AM93"/>
  <c r="AK93"/>
  <c r="AF93"/>
  <c r="AA93"/>
  <c r="AT92"/>
  <c r="AP92"/>
  <c r="AO92"/>
  <c r="AM92"/>
  <c r="AK92"/>
  <c r="AF92"/>
  <c r="AA92"/>
  <c r="AT91"/>
  <c r="AP91"/>
  <c r="AO91"/>
  <c r="AM91"/>
  <c r="AK91"/>
  <c r="AF91"/>
  <c r="AA91"/>
  <c r="AT90"/>
  <c r="AP90"/>
  <c r="AO90"/>
  <c r="AM90"/>
  <c r="AK90"/>
  <c r="AF90"/>
  <c r="AA90"/>
  <c r="AT89"/>
  <c r="AP89"/>
  <c r="AO89"/>
  <c r="AM89"/>
  <c r="AK89"/>
  <c r="AF89"/>
  <c r="AA89"/>
  <c r="AT88"/>
  <c r="AP88"/>
  <c r="AO88"/>
  <c r="AM88"/>
  <c r="AK88"/>
  <c r="AF88"/>
  <c r="AA88"/>
  <c r="AT87"/>
  <c r="AP87"/>
  <c r="AO87"/>
  <c r="AM87"/>
  <c r="AK87"/>
  <c r="AF87"/>
  <c r="AA87"/>
  <c r="AT86"/>
  <c r="AP86"/>
  <c r="AO86"/>
  <c r="AM86"/>
  <c r="AK86"/>
  <c r="AF86"/>
  <c r="AA86"/>
  <c r="AT85"/>
  <c r="BM85"/>
  <c r="BK85"/>
  <c r="AP85"/>
  <c r="AO85"/>
  <c r="AM85"/>
  <c r="AK85"/>
  <c r="AF85"/>
  <c r="AA85"/>
  <c r="AT84"/>
  <c r="AP84"/>
  <c r="AO84"/>
  <c r="AM84"/>
  <c r="AK84"/>
  <c r="AH84"/>
  <c r="AF84"/>
  <c r="AB84"/>
  <c r="AA84"/>
  <c r="AT83"/>
  <c r="AP83"/>
  <c r="AO83"/>
  <c r="AM83"/>
  <c r="AK83"/>
  <c r="AF83"/>
  <c r="AA83"/>
  <c r="AT82"/>
  <c r="AP82"/>
  <c r="AO82"/>
  <c r="AM82"/>
  <c r="AK82"/>
  <c r="AF82"/>
  <c r="AA82"/>
  <c r="AT81"/>
  <c r="AP81"/>
  <c r="AO81"/>
  <c r="AM81"/>
  <c r="AK81"/>
  <c r="AF81"/>
  <c r="AA81"/>
  <c r="AT80"/>
  <c r="AP80"/>
  <c r="AO80"/>
  <c r="AM80"/>
  <c r="AK80"/>
  <c r="AF80"/>
  <c r="AA80"/>
  <c r="AT79"/>
  <c r="AP79"/>
  <c r="AO79"/>
  <c r="AM79"/>
  <c r="AK79"/>
  <c r="AF79"/>
  <c r="AA79"/>
  <c r="AT78"/>
  <c r="AP78"/>
  <c r="AO78"/>
  <c r="AM78"/>
  <c r="AK78"/>
  <c r="AF78"/>
  <c r="AA78"/>
  <c r="AT77"/>
  <c r="AP77"/>
  <c r="AO77"/>
  <c r="AM77"/>
  <c r="AK77"/>
  <c r="AF77"/>
  <c r="AA77"/>
  <c r="BJ77"/>
  <c r="AT76"/>
  <c r="AP76"/>
  <c r="AO76"/>
  <c r="AM76"/>
  <c r="AK76"/>
  <c r="AF76"/>
  <c r="AA76"/>
  <c r="AT75"/>
  <c r="AP75"/>
  <c r="AO75"/>
  <c r="AM75"/>
  <c r="AK75"/>
  <c r="AF75"/>
  <c r="AA75"/>
  <c r="AT74"/>
  <c r="AP74"/>
  <c r="AO74"/>
  <c r="AM74"/>
  <c r="AK74"/>
  <c r="AF74"/>
  <c r="AA74"/>
  <c r="AT73"/>
  <c r="AP73"/>
  <c r="AO73"/>
  <c r="AM73"/>
  <c r="AK73"/>
  <c r="AF73"/>
  <c r="AA73"/>
  <c r="BJ73"/>
  <c r="AT72"/>
  <c r="AP72"/>
  <c r="AO72"/>
  <c r="AM72"/>
  <c r="AK72"/>
  <c r="AF72"/>
  <c r="AA72"/>
  <c r="AT71"/>
  <c r="AP71"/>
  <c r="AO71"/>
  <c r="AM71"/>
  <c r="AK71"/>
  <c r="AF71"/>
  <c r="AA71"/>
  <c r="AT70"/>
  <c r="AP70"/>
  <c r="AO70"/>
  <c r="AM70"/>
  <c r="AK70"/>
  <c r="AF70"/>
  <c r="AA70"/>
  <c r="AT69"/>
  <c r="AP69"/>
  <c r="AO69"/>
  <c r="AM69"/>
  <c r="AK69"/>
  <c r="AF69"/>
  <c r="AA69"/>
  <c r="AT68"/>
  <c r="AP68"/>
  <c r="AO68"/>
  <c r="AM68"/>
  <c r="AK68"/>
  <c r="AF68"/>
  <c r="AA68"/>
  <c r="AT67"/>
  <c r="AP67"/>
  <c r="AO67"/>
  <c r="AM67"/>
  <c r="AK67"/>
  <c r="AF67"/>
  <c r="AA67"/>
  <c r="AT66"/>
  <c r="AP66"/>
  <c r="AO66"/>
  <c r="AM66"/>
  <c r="AK66"/>
  <c r="AF66"/>
  <c r="AA66"/>
  <c r="AT65"/>
  <c r="AP65"/>
  <c r="AO65"/>
  <c r="AM65"/>
  <c r="AK65"/>
  <c r="AF65"/>
  <c r="AA65"/>
  <c r="AT64"/>
  <c r="AP64"/>
  <c r="AO64"/>
  <c r="AM64"/>
  <c r="AK64"/>
  <c r="AF64"/>
  <c r="AA64"/>
  <c r="AT63"/>
  <c r="AP63"/>
  <c r="AO63"/>
  <c r="AM63"/>
  <c r="AK63"/>
  <c r="AF63"/>
  <c r="AA63"/>
  <c r="AT62"/>
  <c r="AP62"/>
  <c r="AO62"/>
  <c r="AM62"/>
  <c r="AK62"/>
  <c r="AF62"/>
  <c r="AA62"/>
  <c r="AT61"/>
  <c r="AP61"/>
  <c r="AO61"/>
  <c r="AM61"/>
  <c r="AK61"/>
  <c r="AF61"/>
  <c r="AA61"/>
  <c r="AT60"/>
  <c r="AP60"/>
  <c r="AO60"/>
  <c r="AM60"/>
  <c r="AK60"/>
  <c r="AF60"/>
  <c r="AA60"/>
  <c r="AT59"/>
  <c r="AP59"/>
  <c r="AO59"/>
  <c r="AM59"/>
  <c r="AK59"/>
  <c r="AF59"/>
  <c r="AA59"/>
  <c r="AT58"/>
  <c r="AP58"/>
  <c r="AO58"/>
  <c r="AM58"/>
  <c r="AK58"/>
  <c r="AF58"/>
  <c r="AA58"/>
  <c r="AT57"/>
  <c r="AP57"/>
  <c r="AO57"/>
  <c r="AM57"/>
  <c r="AK57"/>
  <c r="AF57"/>
  <c r="AA57"/>
  <c r="AT56"/>
  <c r="AP56"/>
  <c r="AO56"/>
  <c r="AM56"/>
  <c r="AK56"/>
  <c r="AF56"/>
  <c r="AA56"/>
  <c r="BJ56"/>
  <c r="AT55"/>
  <c r="AP55"/>
  <c r="AO55"/>
  <c r="AM55"/>
  <c r="AK55"/>
  <c r="AF55"/>
  <c r="AA55"/>
  <c r="AT54"/>
  <c r="AP54"/>
  <c r="AO54"/>
  <c r="AM54"/>
  <c r="AK54"/>
  <c r="AF54"/>
  <c r="AA54"/>
  <c r="AT53"/>
  <c r="AP53"/>
  <c r="AO53"/>
  <c r="AM53"/>
  <c r="AK53"/>
  <c r="AF53"/>
  <c r="AA53"/>
  <c r="AT52"/>
  <c r="AP52"/>
  <c r="AO52"/>
  <c r="AM52"/>
  <c r="AK52"/>
  <c r="AF52"/>
  <c r="AA52"/>
  <c r="AT51"/>
  <c r="AP51"/>
  <c r="AO51"/>
  <c r="AM51"/>
  <c r="AK51"/>
  <c r="AF51"/>
  <c r="AA51"/>
  <c r="AT50"/>
  <c r="AP50"/>
  <c r="AO50"/>
  <c r="AM50"/>
  <c r="AK50"/>
  <c r="AF50"/>
  <c r="AA50"/>
  <c r="AT49"/>
  <c r="AP49"/>
  <c r="AO49"/>
  <c r="AM49"/>
  <c r="AK49"/>
  <c r="AF49"/>
  <c r="AA49"/>
  <c r="AT48"/>
  <c r="AP48"/>
  <c r="AO48"/>
  <c r="AM48"/>
  <c r="AK48"/>
  <c r="AF48"/>
  <c r="AA48"/>
  <c r="AT47"/>
  <c r="AP47"/>
  <c r="AO47"/>
  <c r="AM47"/>
  <c r="AK47"/>
  <c r="AF47"/>
  <c r="AA47"/>
  <c r="AT46"/>
  <c r="AP46"/>
  <c r="AO46"/>
  <c r="AM46"/>
  <c r="AK46"/>
  <c r="AF46"/>
  <c r="AA46"/>
  <c r="AT45"/>
  <c r="AP45"/>
  <c r="AO45"/>
  <c r="AM45"/>
  <c r="AK45"/>
  <c r="AF45"/>
  <c r="AA45"/>
  <c r="AT44"/>
  <c r="AP44"/>
  <c r="AO44"/>
  <c r="AM44"/>
  <c r="AK44"/>
  <c r="AF44"/>
  <c r="AA44"/>
  <c r="AT43"/>
  <c r="AP43"/>
  <c r="AO43"/>
  <c r="AM43"/>
  <c r="AK43"/>
  <c r="AF43"/>
  <c r="AA43"/>
  <c r="AT42"/>
  <c r="AP42"/>
  <c r="AO42"/>
  <c r="AM42"/>
  <c r="AK42"/>
  <c r="AF42"/>
  <c r="AA42"/>
  <c r="AT41"/>
  <c r="AP41"/>
  <c r="AO41"/>
  <c r="AM41"/>
  <c r="AK41"/>
  <c r="AF41"/>
  <c r="AA41"/>
  <c r="AT40"/>
  <c r="AP40"/>
  <c r="AO40"/>
  <c r="AM40"/>
  <c r="AK40"/>
  <c r="AH40"/>
  <c r="AF40"/>
  <c r="AB40"/>
  <c r="AA40"/>
  <c r="AT39"/>
  <c r="AP39"/>
  <c r="AO39"/>
  <c r="AM39"/>
  <c r="AK39"/>
  <c r="AF39"/>
  <c r="AA39"/>
  <c r="AT38"/>
  <c r="AP38"/>
  <c r="AO38"/>
  <c r="AM38"/>
  <c r="AK38"/>
  <c r="AF38"/>
  <c r="AA38"/>
  <c r="AT37"/>
  <c r="AP37"/>
  <c r="AO37"/>
  <c r="AM37"/>
  <c r="AK37"/>
  <c r="AF37"/>
  <c r="AA37"/>
  <c r="AT36"/>
  <c r="AP36"/>
  <c r="AO36"/>
  <c r="AM36"/>
  <c r="AK36"/>
  <c r="AF36"/>
  <c r="AA36"/>
  <c r="AT35"/>
  <c r="AP35"/>
  <c r="AO35"/>
  <c r="AM35"/>
  <c r="AK35"/>
  <c r="AF35"/>
  <c r="AA35"/>
  <c r="AT34"/>
  <c r="AP34"/>
  <c r="AO34"/>
  <c r="AM34"/>
  <c r="AK34"/>
  <c r="AF34"/>
  <c r="AA34"/>
  <c r="AT33"/>
  <c r="AP33"/>
  <c r="AO33"/>
  <c r="AM33"/>
  <c r="AK33"/>
  <c r="AF33"/>
  <c r="AA33"/>
  <c r="AT32"/>
  <c r="AP32"/>
  <c r="AO32"/>
  <c r="AM32"/>
  <c r="AK32"/>
  <c r="AF32"/>
  <c r="AA32"/>
  <c r="AT31"/>
  <c r="AP31"/>
  <c r="AO31"/>
  <c r="AM31"/>
  <c r="AK31"/>
  <c r="AF31"/>
  <c r="AA31"/>
  <c r="AT30"/>
  <c r="AP30"/>
  <c r="AO30"/>
  <c r="AM30"/>
  <c r="AK30"/>
  <c r="AF30"/>
  <c r="AA30"/>
  <c r="AT29"/>
  <c r="AP29"/>
  <c r="AO29"/>
  <c r="AM29"/>
  <c r="AK29"/>
  <c r="AF29"/>
  <c r="AA29"/>
  <c r="AT28"/>
  <c r="AP28"/>
  <c r="AO28"/>
  <c r="AM28"/>
  <c r="AK28"/>
  <c r="AF28"/>
  <c r="AA28"/>
  <c r="AT27"/>
  <c r="AP27"/>
  <c r="AO27"/>
  <c r="AM27"/>
  <c r="AK27"/>
  <c r="AF27"/>
  <c r="AA27"/>
  <c r="AT26"/>
  <c r="AP26"/>
  <c r="AO26"/>
  <c r="AM26"/>
  <c r="AK26"/>
  <c r="AF26"/>
  <c r="AA26"/>
  <c r="AT25"/>
  <c r="AP25"/>
  <c r="AO25"/>
  <c r="AM25"/>
  <c r="AK25"/>
  <c r="AF25"/>
  <c r="AA25"/>
  <c r="AT24"/>
  <c r="AP24"/>
  <c r="AO24"/>
  <c r="AM24"/>
  <c r="AK24"/>
  <c r="AF24"/>
  <c r="AA24"/>
  <c r="AT23"/>
  <c r="AP23"/>
  <c r="AO23"/>
  <c r="AF23"/>
  <c r="AA23"/>
  <c r="BD22"/>
  <c r="BA22"/>
  <c r="AX22"/>
  <c r="AR22"/>
  <c r="AQ22"/>
  <c r="AN22"/>
  <c r="AM22"/>
  <c r="AL22"/>
  <c r="AK22"/>
  <c r="AF22"/>
  <c r="BJ196"/>
  <c r="BJ204"/>
  <c r="BJ40"/>
  <c r="BJ124"/>
  <c r="BJ180"/>
  <c r="BJ188"/>
  <c r="BJ212"/>
  <c r="BJ220"/>
  <c r="BJ60"/>
  <c r="BJ148"/>
  <c r="BJ164"/>
  <c r="BJ48"/>
  <c r="BJ68"/>
  <c r="BJ116"/>
  <c r="BJ140"/>
  <c r="BJ156"/>
  <c r="BJ227"/>
  <c r="BK231"/>
  <c r="BK383"/>
  <c r="BM416"/>
  <c r="BJ44"/>
  <c r="BJ64"/>
  <c r="BJ132"/>
  <c r="BJ172"/>
  <c r="BJ184"/>
  <c r="BJ192"/>
  <c r="BJ200"/>
  <c r="BJ208"/>
  <c r="BJ216"/>
  <c r="BJ291"/>
  <c r="BM372"/>
  <c r="B58" i="9"/>
  <c r="AZ3" i="10"/>
  <c r="E58" i="9"/>
  <c r="AZ5" i="10"/>
  <c r="BF3"/>
  <c r="C62" i="9"/>
  <c r="BF4" i="10"/>
  <c r="B60" i="9"/>
  <c r="C58"/>
  <c r="AZ4" i="10"/>
  <c r="E62" i="9"/>
  <c r="BF5" i="10"/>
  <c r="BC3"/>
  <c r="BK77"/>
  <c r="BK371"/>
  <c r="BK73"/>
  <c r="BL231"/>
  <c r="BJ115"/>
  <c r="BM91"/>
  <c r="BM107"/>
  <c r="BJ231"/>
  <c r="BJ363"/>
  <c r="BL383"/>
  <c r="BK418"/>
  <c r="BM444"/>
  <c r="BM63"/>
  <c r="BM235"/>
  <c r="BJ336"/>
  <c r="BJ25"/>
  <c r="BK25"/>
  <c r="BL25"/>
  <c r="BJ29"/>
  <c r="BL29"/>
  <c r="BK29"/>
  <c r="BL100"/>
  <c r="BJ100"/>
  <c r="BJ31"/>
  <c r="BK31"/>
  <c r="BL31"/>
  <c r="BJ33"/>
  <c r="BK33"/>
  <c r="BL33"/>
  <c r="BJ35"/>
  <c r="BL35"/>
  <c r="BK35"/>
  <c r="BL41"/>
  <c r="BJ43"/>
  <c r="BK51"/>
  <c r="BM127"/>
  <c r="BK175"/>
  <c r="BJ23"/>
  <c r="BK23"/>
  <c r="BL23"/>
  <c r="BJ27"/>
  <c r="BL27"/>
  <c r="BK27"/>
  <c r="BJ39"/>
  <c r="BL39"/>
  <c r="BK39"/>
  <c r="BL49"/>
  <c r="BL84"/>
  <c r="BJ84"/>
  <c r="BJ37"/>
  <c r="BL37"/>
  <c r="BK37"/>
  <c r="BL45"/>
  <c r="BJ151"/>
  <c r="BM167"/>
  <c r="BJ55"/>
  <c r="BK55"/>
  <c r="BJ59"/>
  <c r="BK59"/>
  <c r="BJ67"/>
  <c r="BK67"/>
  <c r="BK98"/>
  <c r="BJ98"/>
  <c r="BK105"/>
  <c r="BL105"/>
  <c r="BL113"/>
  <c r="BK113"/>
  <c r="BL130"/>
  <c r="BK130"/>
  <c r="BL138"/>
  <c r="BK138"/>
  <c r="BL146"/>
  <c r="BK146"/>
  <c r="BL162"/>
  <c r="BK162"/>
  <c r="BL170"/>
  <c r="BK170"/>
  <c r="BL178"/>
  <c r="BK178"/>
  <c r="BJ342"/>
  <c r="BL342"/>
  <c r="BK342"/>
  <c r="BK119"/>
  <c r="BJ127"/>
  <c r="BL132"/>
  <c r="BK132"/>
  <c r="BL148"/>
  <c r="BK148"/>
  <c r="BL164"/>
  <c r="BK164"/>
  <c r="BL172"/>
  <c r="BK172"/>
  <c r="BL180"/>
  <c r="BK180"/>
  <c r="BK222"/>
  <c r="BK28"/>
  <c r="BL28"/>
  <c r="BK36"/>
  <c r="BL36"/>
  <c r="BJ41"/>
  <c r="BK41"/>
  <c r="BJ45"/>
  <c r="BK45"/>
  <c r="BJ49"/>
  <c r="BK49"/>
  <c r="BJ93"/>
  <c r="BJ109"/>
  <c r="BL120"/>
  <c r="BK120"/>
  <c r="BL128"/>
  <c r="BK128"/>
  <c r="BL136"/>
  <c r="BK136"/>
  <c r="BL144"/>
  <c r="BK144"/>
  <c r="BL152"/>
  <c r="BK152"/>
  <c r="BL160"/>
  <c r="BK160"/>
  <c r="BL168"/>
  <c r="BK168"/>
  <c r="BL176"/>
  <c r="BK176"/>
  <c r="BJ228"/>
  <c r="BK228"/>
  <c r="BL228"/>
  <c r="BL289"/>
  <c r="BK289"/>
  <c r="BJ289"/>
  <c r="BL321"/>
  <c r="BK321"/>
  <c r="BJ321"/>
  <c r="BK333"/>
  <c r="BJ338"/>
  <c r="BK338"/>
  <c r="BL338"/>
  <c r="BM31"/>
  <c r="BK54"/>
  <c r="BM55"/>
  <c r="BL58"/>
  <c r="BK58"/>
  <c r="BM59"/>
  <c r="BL66"/>
  <c r="BL193"/>
  <c r="BL209"/>
  <c r="BJ217"/>
  <c r="BK278"/>
  <c r="BM25"/>
  <c r="BL38"/>
  <c r="BL42"/>
  <c r="BK42"/>
  <c r="BL46"/>
  <c r="BK50"/>
  <c r="BK69"/>
  <c r="BK72"/>
  <c r="BJ89"/>
  <c r="BM151"/>
  <c r="BK191"/>
  <c r="BL207"/>
  <c r="BJ328"/>
  <c r="BJ26"/>
  <c r="BM28"/>
  <c r="BM29"/>
  <c r="BJ34"/>
  <c r="BM36"/>
  <c r="BM37"/>
  <c r="BL40"/>
  <c r="BK40"/>
  <c r="BM41"/>
  <c r="BL44"/>
  <c r="BK44"/>
  <c r="BM45"/>
  <c r="BL48"/>
  <c r="BK48"/>
  <c r="BM49"/>
  <c r="BJ52"/>
  <c r="BJ76"/>
  <c r="BJ81"/>
  <c r="BL98"/>
  <c r="BJ113"/>
  <c r="BJ130"/>
  <c r="BJ138"/>
  <c r="BJ146"/>
  <c r="BJ162"/>
  <c r="BJ170"/>
  <c r="BJ178"/>
  <c r="BJ219"/>
  <c r="BM398"/>
  <c r="BJ63"/>
  <c r="BK63"/>
  <c r="BK89"/>
  <c r="BL89"/>
  <c r="BJ99"/>
  <c r="BK99"/>
  <c r="BL122"/>
  <c r="BK122"/>
  <c r="BL154"/>
  <c r="BK154"/>
  <c r="BJ85"/>
  <c r="BJ101"/>
  <c r="BL124"/>
  <c r="BK124"/>
  <c r="BL140"/>
  <c r="BK140"/>
  <c r="BL156"/>
  <c r="BK156"/>
  <c r="BJ167"/>
  <c r="BJ302"/>
  <c r="BL327"/>
  <c r="BK327"/>
  <c r="BJ327"/>
  <c r="BK26"/>
  <c r="BL26"/>
  <c r="BK34"/>
  <c r="BL34"/>
  <c r="BJ91"/>
  <c r="BK91"/>
  <c r="BJ107"/>
  <c r="BK107"/>
  <c r="BL118"/>
  <c r="BK118"/>
  <c r="BL126"/>
  <c r="BK126"/>
  <c r="BL134"/>
  <c r="BK134"/>
  <c r="BL142"/>
  <c r="BK142"/>
  <c r="BL150"/>
  <c r="BK150"/>
  <c r="BL158"/>
  <c r="BK158"/>
  <c r="BL166"/>
  <c r="BK166"/>
  <c r="BL174"/>
  <c r="BK174"/>
  <c r="BJ223"/>
  <c r="BK223"/>
  <c r="BL295"/>
  <c r="BK295"/>
  <c r="BJ295"/>
  <c r="BL378"/>
  <c r="BL437"/>
  <c r="BJ437"/>
  <c r="BK437"/>
  <c r="BM23"/>
  <c r="BJ28"/>
  <c r="BJ36"/>
  <c r="BM39"/>
  <c r="BL54"/>
  <c r="BL62"/>
  <c r="BK62"/>
  <c r="BK66"/>
  <c r="BM67"/>
  <c r="BL99"/>
  <c r="BM102"/>
  <c r="BJ30"/>
  <c r="BM33"/>
  <c r="BK46"/>
  <c r="BL50"/>
  <c r="BJ54"/>
  <c r="BL55"/>
  <c r="BJ58"/>
  <c r="BL59"/>
  <c r="BJ62"/>
  <c r="BL63"/>
  <c r="BJ66"/>
  <c r="BL67"/>
  <c r="BJ105"/>
  <c r="BK115"/>
  <c r="BJ183"/>
  <c r="BM26"/>
  <c r="BM27"/>
  <c r="BJ32"/>
  <c r="BM34"/>
  <c r="BM35"/>
  <c r="BJ42"/>
  <c r="BJ46"/>
  <c r="BJ50"/>
  <c r="BL52"/>
  <c r="BK52"/>
  <c r="BM53"/>
  <c r="BL56"/>
  <c r="BK56"/>
  <c r="BL60"/>
  <c r="BK60"/>
  <c r="BL64"/>
  <c r="BK64"/>
  <c r="BL68"/>
  <c r="BK68"/>
  <c r="BJ69"/>
  <c r="BJ80"/>
  <c r="BK81"/>
  <c r="BL85"/>
  <c r="BL91"/>
  <c r="BM93"/>
  <c r="BM97"/>
  <c r="BM98"/>
  <c r="BM99"/>
  <c r="BL101"/>
  <c r="BL107"/>
  <c r="BM109"/>
  <c r="BJ120"/>
  <c r="BJ123"/>
  <c r="BJ128"/>
  <c r="BJ131"/>
  <c r="BJ136"/>
  <c r="BM139"/>
  <c r="BJ144"/>
  <c r="BM147"/>
  <c r="BJ152"/>
  <c r="BM155"/>
  <c r="BJ160"/>
  <c r="BM163"/>
  <c r="BJ168"/>
  <c r="BM171"/>
  <c r="BJ176"/>
  <c r="BJ179"/>
  <c r="BM228"/>
  <c r="BL186"/>
  <c r="BL188"/>
  <c r="BL190"/>
  <c r="BL194"/>
  <c r="BL196"/>
  <c r="BL198"/>
  <c r="BL206"/>
  <c r="BL212"/>
  <c r="BL257"/>
  <c r="BJ257"/>
  <c r="BK257"/>
  <c r="BL281"/>
  <c r="BK281"/>
  <c r="BL313"/>
  <c r="BK313"/>
  <c r="BL319"/>
  <c r="BK319"/>
  <c r="BJ319"/>
  <c r="BL116"/>
  <c r="BJ224"/>
  <c r="BK224"/>
  <c r="BK233"/>
  <c r="BL233"/>
  <c r="BK242"/>
  <c r="BJ242"/>
  <c r="BL242"/>
  <c r="BK244"/>
  <c r="BJ244"/>
  <c r="BL244"/>
  <c r="BL273"/>
  <c r="BK273"/>
  <c r="BL279"/>
  <c r="BK279"/>
  <c r="BJ279"/>
  <c r="BL305"/>
  <c r="BK305"/>
  <c r="BL311"/>
  <c r="BK311"/>
  <c r="BJ311"/>
  <c r="BL331"/>
  <c r="BK331"/>
  <c r="BJ331"/>
  <c r="BL223"/>
  <c r="BM40"/>
  <c r="BM42"/>
  <c r="BM44"/>
  <c r="BM46"/>
  <c r="BM50"/>
  <c r="BM52"/>
  <c r="BM54"/>
  <c r="BM56"/>
  <c r="BM58"/>
  <c r="BM60"/>
  <c r="BM62"/>
  <c r="BM64"/>
  <c r="BM66"/>
  <c r="BM68"/>
  <c r="BK71"/>
  <c r="BJ72"/>
  <c r="BM72"/>
  <c r="BL74"/>
  <c r="BL75"/>
  <c r="BL83"/>
  <c r="BM89"/>
  <c r="BM105"/>
  <c r="BM224"/>
  <c r="BM232"/>
  <c r="BK236"/>
  <c r="BL248"/>
  <c r="BK294"/>
  <c r="BJ332"/>
  <c r="BL182"/>
  <c r="BL184"/>
  <c r="BL192"/>
  <c r="BL200"/>
  <c r="BL202"/>
  <c r="BL204"/>
  <c r="BL208"/>
  <c r="BL210"/>
  <c r="BL214"/>
  <c r="BL216"/>
  <c r="BL218"/>
  <c r="BL220"/>
  <c r="BL287"/>
  <c r="BK287"/>
  <c r="BJ287"/>
  <c r="BK232"/>
  <c r="BK250"/>
  <c r="BJ250"/>
  <c r="BL250"/>
  <c r="BK252"/>
  <c r="BJ252"/>
  <c r="BL252"/>
  <c r="BK262"/>
  <c r="BJ262"/>
  <c r="BL262"/>
  <c r="BL271"/>
  <c r="BK271"/>
  <c r="BJ271"/>
  <c r="BL297"/>
  <c r="BK297"/>
  <c r="BL303"/>
  <c r="BK303"/>
  <c r="BJ303"/>
  <c r="BJ334"/>
  <c r="BL334"/>
  <c r="BK334"/>
  <c r="BJ350"/>
  <c r="BL350"/>
  <c r="BL380"/>
  <c r="BM48"/>
  <c r="BL69"/>
  <c r="BM69"/>
  <c r="BL72"/>
  <c r="BL73"/>
  <c r="BM73"/>
  <c r="BL77"/>
  <c r="BM77"/>
  <c r="BL80"/>
  <c r="BL81"/>
  <c r="BM81"/>
  <c r="BK84"/>
  <c r="BM84"/>
  <c r="BM95"/>
  <c r="BK100"/>
  <c r="BM100"/>
  <c r="BM103"/>
  <c r="BM113"/>
  <c r="BM116"/>
  <c r="BK116"/>
  <c r="BK117"/>
  <c r="BM118"/>
  <c r="BM120"/>
  <c r="BM122"/>
  <c r="BM124"/>
  <c r="BM126"/>
  <c r="BM128"/>
  <c r="BM130"/>
  <c r="BM132"/>
  <c r="BK133"/>
  <c r="BM134"/>
  <c r="BM136"/>
  <c r="BM138"/>
  <c r="BM140"/>
  <c r="BM142"/>
  <c r="BM144"/>
  <c r="BM146"/>
  <c r="BM148"/>
  <c r="BM150"/>
  <c r="BM152"/>
  <c r="BM154"/>
  <c r="BM156"/>
  <c r="BK157"/>
  <c r="BM158"/>
  <c r="BM160"/>
  <c r="BM162"/>
  <c r="BM164"/>
  <c r="BJ165"/>
  <c r="BM166"/>
  <c r="BM168"/>
  <c r="BM170"/>
  <c r="BM172"/>
  <c r="BM174"/>
  <c r="BM176"/>
  <c r="BM178"/>
  <c r="BM180"/>
  <c r="BM182"/>
  <c r="BK182"/>
  <c r="BM184"/>
  <c r="BK184"/>
  <c r="BM186"/>
  <c r="BK186"/>
  <c r="BM188"/>
  <c r="BK188"/>
  <c r="BM190"/>
  <c r="BK190"/>
  <c r="BM192"/>
  <c r="BK192"/>
  <c r="BM194"/>
  <c r="BK194"/>
  <c r="BM196"/>
  <c r="BK196"/>
  <c r="BM198"/>
  <c r="BK198"/>
  <c r="BM200"/>
  <c r="BK200"/>
  <c r="BM202"/>
  <c r="BK202"/>
  <c r="BM204"/>
  <c r="BK204"/>
  <c r="BM206"/>
  <c r="BK206"/>
  <c r="BM208"/>
  <c r="BK208"/>
  <c r="BM210"/>
  <c r="BK210"/>
  <c r="BM212"/>
  <c r="BK212"/>
  <c r="BM214"/>
  <c r="BK214"/>
  <c r="BM216"/>
  <c r="BK216"/>
  <c r="BM218"/>
  <c r="BK218"/>
  <c r="BM220"/>
  <c r="BK220"/>
  <c r="BL224"/>
  <c r="BL227"/>
  <c r="BK227"/>
  <c r="BK230"/>
  <c r="BJ233"/>
  <c r="BJ281"/>
  <c r="BJ313"/>
  <c r="BK318"/>
  <c r="BK350"/>
  <c r="BJ237"/>
  <c r="BL269"/>
  <c r="BK269"/>
  <c r="BL277"/>
  <c r="BK277"/>
  <c r="BL285"/>
  <c r="BK285"/>
  <c r="BL293"/>
  <c r="BK293"/>
  <c r="BL301"/>
  <c r="BK301"/>
  <c r="BL309"/>
  <c r="BK309"/>
  <c r="BL317"/>
  <c r="BK317"/>
  <c r="BJ352"/>
  <c r="BL352"/>
  <c r="BL370"/>
  <c r="BM115"/>
  <c r="BK326"/>
  <c r="BM330"/>
  <c r="BL368"/>
  <c r="BM386"/>
  <c r="BJ235"/>
  <c r="BK235"/>
  <c r="BK240"/>
  <c r="BJ240"/>
  <c r="BL240"/>
  <c r="BK248"/>
  <c r="BJ248"/>
  <c r="BL275"/>
  <c r="BK275"/>
  <c r="BL283"/>
  <c r="BK283"/>
  <c r="BL291"/>
  <c r="BK291"/>
  <c r="BL299"/>
  <c r="BK299"/>
  <c r="BL307"/>
  <c r="BK307"/>
  <c r="BL315"/>
  <c r="BK315"/>
  <c r="BL323"/>
  <c r="BK323"/>
  <c r="BL325"/>
  <c r="BK325"/>
  <c r="BL329"/>
  <c r="BK329"/>
  <c r="BK336"/>
  <c r="BL360"/>
  <c r="BL372"/>
  <c r="BJ376"/>
  <c r="BK376"/>
  <c r="BM376"/>
  <c r="BL376"/>
  <c r="BL447"/>
  <c r="BL225"/>
  <c r="BK225"/>
  <c r="BL229"/>
  <c r="BK229"/>
  <c r="BL235"/>
  <c r="BM237"/>
  <c r="BJ238"/>
  <c r="BM240"/>
  <c r="BM248"/>
  <c r="BJ269"/>
  <c r="BJ277"/>
  <c r="BM278"/>
  <c r="BJ285"/>
  <c r="BJ293"/>
  <c r="BJ301"/>
  <c r="BJ309"/>
  <c r="BJ317"/>
  <c r="BM318"/>
  <c r="BJ388"/>
  <c r="BK396"/>
  <c r="BK254"/>
  <c r="BJ254"/>
  <c r="BK264"/>
  <c r="BJ264"/>
  <c r="BL349"/>
  <c r="BL362"/>
  <c r="BM367"/>
  <c r="BM223"/>
  <c r="BM225"/>
  <c r="BM227"/>
  <c r="BM229"/>
  <c r="BM231"/>
  <c r="BM233"/>
  <c r="BM239"/>
  <c r="BM243"/>
  <c r="BM249"/>
  <c r="BM251"/>
  <c r="BM254"/>
  <c r="BM257"/>
  <c r="BM264"/>
  <c r="BM338"/>
  <c r="BM340"/>
  <c r="BM344"/>
  <c r="BK362"/>
  <c r="BM364"/>
  <c r="BM410"/>
  <c r="BL335"/>
  <c r="BK335"/>
  <c r="BJ344"/>
  <c r="BJ351"/>
  <c r="BL359"/>
  <c r="BJ379"/>
  <c r="BK379"/>
  <c r="BJ387"/>
  <c r="BK387"/>
  <c r="BJ426"/>
  <c r="BL439"/>
  <c r="BJ439"/>
  <c r="BK439"/>
  <c r="BK442"/>
  <c r="BL254"/>
  <c r="BM260"/>
  <c r="BL264"/>
  <c r="BM269"/>
  <c r="BM271"/>
  <c r="BM273"/>
  <c r="BL274"/>
  <c r="BM275"/>
  <c r="BM277"/>
  <c r="BM279"/>
  <c r="BM281"/>
  <c r="BL282"/>
  <c r="BM283"/>
  <c r="BM285"/>
  <c r="BM287"/>
  <c r="BM289"/>
  <c r="BM291"/>
  <c r="BM293"/>
  <c r="BM295"/>
  <c r="BM297"/>
  <c r="BK298"/>
  <c r="BM299"/>
  <c r="BM301"/>
  <c r="BM303"/>
  <c r="BM305"/>
  <c r="BM306"/>
  <c r="BM307"/>
  <c r="BM309"/>
  <c r="BM311"/>
  <c r="BM313"/>
  <c r="BL314"/>
  <c r="BM315"/>
  <c r="BM317"/>
  <c r="BM319"/>
  <c r="BM321"/>
  <c r="BK322"/>
  <c r="BM323"/>
  <c r="BM325"/>
  <c r="BM327"/>
  <c r="BM329"/>
  <c r="BM331"/>
  <c r="BM335"/>
  <c r="BK344"/>
  <c r="BM346"/>
  <c r="BM352"/>
  <c r="BM354"/>
  <c r="BM356"/>
  <c r="BL364"/>
  <c r="BK400"/>
  <c r="BK408"/>
  <c r="BK419"/>
  <c r="BK349"/>
  <c r="BJ383"/>
  <c r="BJ391"/>
  <c r="BL395"/>
  <c r="BK395"/>
  <c r="BJ395"/>
  <c r="BL397"/>
  <c r="BK397"/>
  <c r="BJ397"/>
  <c r="BL399"/>
  <c r="BK399"/>
  <c r="BJ399"/>
  <c r="BL401"/>
  <c r="BK401"/>
  <c r="BJ401"/>
  <c r="BL403"/>
  <c r="BK403"/>
  <c r="BJ403"/>
  <c r="BL405"/>
  <c r="BK405"/>
  <c r="BJ405"/>
  <c r="BL407"/>
  <c r="BK407"/>
  <c r="BJ407"/>
  <c r="BL409"/>
  <c r="BK409"/>
  <c r="BJ409"/>
  <c r="BL411"/>
  <c r="BK411"/>
  <c r="BJ411"/>
  <c r="BK422"/>
  <c r="BL422"/>
  <c r="BL429"/>
  <c r="BJ429"/>
  <c r="BK429"/>
  <c r="BL431"/>
  <c r="BJ431"/>
  <c r="BK431"/>
  <c r="BM436"/>
  <c r="BL251"/>
  <c r="BL253"/>
  <c r="BL259"/>
  <c r="BM333"/>
  <c r="BM334"/>
  <c r="BJ339"/>
  <c r="BM342"/>
  <c r="BJ347"/>
  <c r="BM349"/>
  <c r="BM350"/>
  <c r="BJ357"/>
  <c r="BL379"/>
  <c r="BL387"/>
  <c r="BK392"/>
  <c r="BL339"/>
  <c r="BK339"/>
  <c r="BL347"/>
  <c r="BK347"/>
  <c r="BJ364"/>
  <c r="BK364"/>
  <c r="BJ372"/>
  <c r="BK372"/>
  <c r="BK388"/>
  <c r="BL388"/>
  <c r="BM428"/>
  <c r="BM337"/>
  <c r="BM339"/>
  <c r="BM347"/>
  <c r="BL353"/>
  <c r="BJ374"/>
  <c r="BJ382"/>
  <c r="BJ390"/>
  <c r="BJ378"/>
  <c r="BK378"/>
  <c r="BK382"/>
  <c r="BJ386"/>
  <c r="BK410"/>
  <c r="BJ418"/>
  <c r="BJ423"/>
  <c r="BK423"/>
  <c r="BL423"/>
  <c r="BL427"/>
  <c r="BJ427"/>
  <c r="BK427"/>
  <c r="BL435"/>
  <c r="BJ435"/>
  <c r="BK435"/>
  <c r="BK452"/>
  <c r="BL452"/>
  <c r="BM336"/>
  <c r="BM359"/>
  <c r="BL363"/>
  <c r="BM363"/>
  <c r="BL367"/>
  <c r="BL371"/>
  <c r="BM371"/>
  <c r="BL375"/>
  <c r="BM375"/>
  <c r="BM378"/>
  <c r="BL381"/>
  <c r="BK381"/>
  <c r="BM382"/>
  <c r="BL385"/>
  <c r="BK385"/>
  <c r="BL389"/>
  <c r="BK389"/>
  <c r="BL393"/>
  <c r="BK393"/>
  <c r="BM408"/>
  <c r="BK425"/>
  <c r="BK415"/>
  <c r="BJ415"/>
  <c r="BJ416"/>
  <c r="BK416"/>
  <c r="BM430"/>
  <c r="BL433"/>
  <c r="BJ433"/>
  <c r="BK433"/>
  <c r="BL441"/>
  <c r="BJ441"/>
  <c r="BK441"/>
  <c r="BL448"/>
  <c r="BK448"/>
  <c r="BK450"/>
  <c r="BJ456"/>
  <c r="BL456"/>
  <c r="BK361"/>
  <c r="BJ362"/>
  <c r="BM362"/>
  <c r="BK365"/>
  <c r="BM366"/>
  <c r="BL369"/>
  <c r="BJ370"/>
  <c r="BM370"/>
  <c r="BK373"/>
  <c r="BM374"/>
  <c r="BM377"/>
  <c r="BM395"/>
  <c r="BM397"/>
  <c r="BM399"/>
  <c r="BM401"/>
  <c r="BM403"/>
  <c r="BM405"/>
  <c r="BM407"/>
  <c r="BM409"/>
  <c r="BM411"/>
  <c r="BL416"/>
  <c r="BJ466"/>
  <c r="BL466"/>
  <c r="BM379"/>
  <c r="BM381"/>
  <c r="BM383"/>
  <c r="BM385"/>
  <c r="BM387"/>
  <c r="BM389"/>
  <c r="BM391"/>
  <c r="BM393"/>
  <c r="BM422"/>
  <c r="BJ450"/>
  <c r="BL443"/>
  <c r="BK443"/>
  <c r="BJ443"/>
  <c r="BM443"/>
  <c r="BJ444"/>
  <c r="BK444"/>
  <c r="BK449"/>
  <c r="BJ464"/>
  <c r="BL464"/>
  <c r="BM412"/>
  <c r="BM420"/>
  <c r="BL444"/>
  <c r="BK464"/>
  <c r="BK463"/>
  <c r="BM427"/>
  <c r="BM429"/>
  <c r="BM431"/>
  <c r="BM433"/>
  <c r="BM435"/>
  <c r="BM437"/>
  <c r="BM439"/>
  <c r="BM441"/>
  <c r="BJ452"/>
  <c r="BM458"/>
  <c r="BM460"/>
  <c r="BK430"/>
  <c r="BJ458"/>
  <c r="BK465"/>
  <c r="BM440"/>
  <c r="BK458"/>
  <c r="BM466"/>
  <c r="BL463"/>
  <c r="BJ445"/>
  <c r="BJ448"/>
  <c r="BJ453"/>
  <c r="BM456"/>
  <c r="BJ461"/>
  <c r="BM463"/>
  <c r="BM464"/>
  <c r="BL445"/>
  <c r="BK445"/>
  <c r="BL453"/>
  <c r="BK453"/>
  <c r="BL461"/>
  <c r="BK461"/>
  <c r="BM445"/>
  <c r="BM451"/>
  <c r="BM453"/>
  <c r="BL459"/>
  <c r="BM461"/>
  <c r="BL467"/>
  <c r="BM448"/>
  <c r="BM450"/>
  <c r="BM452"/>
  <c r="B19"/>
  <c r="BM447"/>
  <c r="BM449"/>
  <c r="BJ430"/>
  <c r="BK467"/>
  <c r="BK386"/>
  <c r="BJ380"/>
  <c r="BM426"/>
  <c r="BJ330"/>
  <c r="BJ139"/>
  <c r="BK151"/>
  <c r="BM51"/>
  <c r="BM30"/>
  <c r="BK447"/>
  <c r="BL449"/>
  <c r="BJ408"/>
  <c r="BL465"/>
  <c r="BM361"/>
  <c r="BL238"/>
  <c r="BK209"/>
  <c r="BJ71"/>
  <c r="BM465"/>
  <c r="BK353"/>
  <c r="BM368"/>
  <c r="BM32"/>
  <c r="BK167"/>
  <c r="BK390"/>
  <c r="BK314"/>
  <c r="BK282"/>
  <c r="BJ274"/>
  <c r="BJ260"/>
  <c r="BK398"/>
  <c r="BM380"/>
  <c r="BK380"/>
  <c r="BL365"/>
  <c r="BL333"/>
  <c r="BM302"/>
  <c r="BK302"/>
  <c r="BJ230"/>
  <c r="BM326"/>
  <c r="BL76"/>
  <c r="BJ314"/>
  <c r="BJ232"/>
  <c r="BJ209"/>
  <c r="BL306"/>
  <c r="BL260"/>
  <c r="BJ451"/>
  <c r="BM353"/>
  <c r="BM230"/>
  <c r="BK377"/>
  <c r="BL337"/>
  <c r="BL232"/>
  <c r="BK83"/>
  <c r="BM43"/>
  <c r="BJ38"/>
  <c r="BL191"/>
  <c r="BJ155"/>
  <c r="BJ356"/>
  <c r="BM390"/>
  <c r="BM388"/>
  <c r="BK426"/>
  <c r="BL361"/>
  <c r="BM294"/>
  <c r="BM238"/>
  <c r="BJ377"/>
  <c r="BK102"/>
  <c r="BL351"/>
  <c r="BJ171"/>
  <c r="BL316"/>
  <c r="BJ316"/>
  <c r="BK316"/>
  <c r="BM316"/>
  <c r="BM300"/>
  <c r="BJ300"/>
  <c r="BL300"/>
  <c r="BK300"/>
  <c r="BL284"/>
  <c r="BM284"/>
  <c r="BJ284"/>
  <c r="BK284"/>
  <c r="BM268"/>
  <c r="BL268"/>
  <c r="BK268"/>
  <c r="BJ268"/>
  <c r="BL404"/>
  <c r="BJ404"/>
  <c r="BK404"/>
  <c r="BM404"/>
  <c r="BM215"/>
  <c r="BK215"/>
  <c r="BL215"/>
  <c r="BJ215"/>
  <c r="BJ94"/>
  <c r="BK94"/>
  <c r="BL94"/>
  <c r="BM94"/>
  <c r="BJ92"/>
  <c r="BL92"/>
  <c r="BK92"/>
  <c r="BM92"/>
  <c r="BJ417"/>
  <c r="BL417"/>
  <c r="BM417"/>
  <c r="BK417"/>
  <c r="BJ221"/>
  <c r="BL221"/>
  <c r="BK221"/>
  <c r="BM221"/>
  <c r="BL205"/>
  <c r="BM205"/>
  <c r="BK205"/>
  <c r="BJ205"/>
  <c r="BJ197"/>
  <c r="BK197"/>
  <c r="BL197"/>
  <c r="BM197"/>
  <c r="BL189"/>
  <c r="BJ189"/>
  <c r="BM189"/>
  <c r="BK189"/>
  <c r="BL406"/>
  <c r="BJ406"/>
  <c r="BK406"/>
  <c r="BM406"/>
  <c r="BL78"/>
  <c r="BM78"/>
  <c r="BK78"/>
  <c r="BJ78"/>
  <c r="BJ384"/>
  <c r="BK384"/>
  <c r="BM384"/>
  <c r="BL384"/>
  <c r="BL234"/>
  <c r="BM234"/>
  <c r="BK234"/>
  <c r="BJ234"/>
  <c r="BL226"/>
  <c r="BK226"/>
  <c r="BJ226"/>
  <c r="BM226"/>
  <c r="BJ454"/>
  <c r="BL454"/>
  <c r="BK454"/>
  <c r="BM454"/>
  <c r="BJ462"/>
  <c r="BL462"/>
  <c r="BK462"/>
  <c r="BM462"/>
  <c r="BL310"/>
  <c r="BJ310"/>
  <c r="BM310"/>
  <c r="BK310"/>
  <c r="BL286"/>
  <c r="BJ286"/>
  <c r="BK286"/>
  <c r="BM286"/>
  <c r="BL211"/>
  <c r="BK211"/>
  <c r="BJ211"/>
  <c r="BM211"/>
  <c r="BJ203"/>
  <c r="BL203"/>
  <c r="BM203"/>
  <c r="BK203"/>
  <c r="BK187"/>
  <c r="BM187"/>
  <c r="BL187"/>
  <c r="BJ187"/>
  <c r="BJ86"/>
  <c r="BM86"/>
  <c r="BK86"/>
  <c r="BL86"/>
  <c r="BL106"/>
  <c r="BM106"/>
  <c r="BJ106"/>
  <c r="BK106"/>
  <c r="BL90"/>
  <c r="BM90"/>
  <c r="BK90"/>
  <c r="BJ90"/>
  <c r="BM47"/>
  <c r="BL47"/>
  <c r="BK47"/>
  <c r="BJ47"/>
  <c r="BM324"/>
  <c r="BJ324"/>
  <c r="BL324"/>
  <c r="BK324"/>
  <c r="BJ308"/>
  <c r="BM308"/>
  <c r="BK308"/>
  <c r="BL308"/>
  <c r="BM292"/>
  <c r="BK292"/>
  <c r="BL292"/>
  <c r="BJ292"/>
  <c r="BL276"/>
  <c r="BK276"/>
  <c r="BJ276"/>
  <c r="BM276"/>
  <c r="BL402"/>
  <c r="BJ402"/>
  <c r="BK402"/>
  <c r="BM402"/>
  <c r="BJ110"/>
  <c r="BK110"/>
  <c r="BM110"/>
  <c r="BL110"/>
  <c r="BK358"/>
  <c r="BJ358"/>
  <c r="BL358"/>
  <c r="BM358"/>
  <c r="BL108"/>
  <c r="BJ108"/>
  <c r="BM108"/>
  <c r="BK108"/>
  <c r="BJ213"/>
  <c r="BL213"/>
  <c r="BM213"/>
  <c r="BK213"/>
  <c r="BJ446"/>
  <c r="BL446"/>
  <c r="BK446"/>
  <c r="BM446"/>
  <c r="BJ348"/>
  <c r="BL348"/>
  <c r="BK348"/>
  <c r="BM348"/>
  <c r="BM201"/>
  <c r="BL201"/>
  <c r="BJ201"/>
  <c r="BK201"/>
  <c r="BM185"/>
  <c r="BK185"/>
  <c r="BL185"/>
  <c r="BJ185"/>
  <c r="BJ159"/>
  <c r="BL159"/>
  <c r="BM159"/>
  <c r="BK159"/>
  <c r="BK143"/>
  <c r="BL143"/>
  <c r="BM143"/>
  <c r="BJ143"/>
  <c r="BM135"/>
  <c r="BL135"/>
  <c r="BJ135"/>
  <c r="BK135"/>
  <c r="BL82"/>
  <c r="BK82"/>
  <c r="BM82"/>
  <c r="BJ82"/>
  <c r="BJ457"/>
  <c r="BJ455"/>
  <c r="BL440"/>
  <c r="BL428"/>
  <c r="BK261"/>
  <c r="BJ261"/>
  <c r="BL436"/>
  <c r="BL412"/>
  <c r="BJ412"/>
  <c r="BK412"/>
  <c r="BL419"/>
  <c r="BJ419"/>
  <c r="BL442"/>
  <c r="BJ343"/>
  <c r="BM343"/>
  <c r="BM199"/>
  <c r="BL398"/>
  <c r="BM217"/>
  <c r="BL222"/>
  <c r="BL420"/>
  <c r="BJ420"/>
  <c r="BK420"/>
  <c r="BL255"/>
  <c r="BJ255"/>
  <c r="BK255"/>
  <c r="BL241"/>
  <c r="BK241"/>
  <c r="BJ241"/>
  <c r="BM79"/>
  <c r="BJ341"/>
  <c r="BL163"/>
  <c r="BL147"/>
  <c r="BL123"/>
  <c r="BL87"/>
  <c r="BJ87"/>
  <c r="BK87"/>
  <c r="BL302"/>
  <c r="BM193"/>
  <c r="BJ333"/>
  <c r="BL53"/>
  <c r="BJ463"/>
  <c r="BJ449"/>
  <c r="BM365"/>
  <c r="BL382"/>
  <c r="BL374"/>
  <c r="BK374"/>
  <c r="BK267"/>
  <c r="BJ267"/>
  <c r="BJ263"/>
  <c r="BK263"/>
  <c r="BK259"/>
  <c r="BJ259"/>
  <c r="BM423"/>
  <c r="BL408"/>
  <c r="BL322"/>
  <c r="BM322"/>
  <c r="BM314"/>
  <c r="BL298"/>
  <c r="BL290"/>
  <c r="BM290"/>
  <c r="BM282"/>
  <c r="BJ346"/>
  <c r="BK346"/>
  <c r="BL346"/>
  <c r="BK367"/>
  <c r="BJ367"/>
  <c r="BJ349"/>
  <c r="BL330"/>
  <c r="BL326"/>
  <c r="BL103"/>
  <c r="BJ103"/>
  <c r="BK103"/>
  <c r="BM117"/>
  <c r="BK207"/>
  <c r="BL181"/>
  <c r="BK141"/>
  <c r="BK125"/>
  <c r="BL455"/>
  <c r="BJ442"/>
  <c r="BM419"/>
  <c r="BJ400"/>
  <c r="BL373"/>
  <c r="BM357"/>
  <c r="BK369"/>
  <c r="BJ355"/>
  <c r="BM222"/>
  <c r="BJ392"/>
  <c r="BK343"/>
  <c r="BM332"/>
  <c r="BL328"/>
  <c r="BJ24"/>
  <c r="BL165"/>
  <c r="BL217"/>
  <c r="BJ51"/>
  <c r="BJ173"/>
  <c r="BM195"/>
  <c r="BK199"/>
  <c r="BK179"/>
  <c r="BK163"/>
  <c r="BK131"/>
  <c r="BL79"/>
  <c r="BJ141"/>
  <c r="BJ75"/>
  <c r="BM455"/>
  <c r="BK455"/>
  <c r="BM442"/>
  <c r="BK440"/>
  <c r="BK436"/>
  <c r="BK428"/>
  <c r="BM467"/>
  <c r="BJ467"/>
  <c r="BM400"/>
  <c r="BM396"/>
  <c r="BL457"/>
  <c r="BL451"/>
  <c r="BJ365"/>
  <c r="BL341"/>
  <c r="BM259"/>
  <c r="BJ369"/>
  <c r="BK360"/>
  <c r="BL357"/>
  <c r="BJ353"/>
  <c r="BM246"/>
  <c r="BJ326"/>
  <c r="BJ246"/>
  <c r="BM328"/>
  <c r="BM87"/>
  <c r="BM263"/>
  <c r="BJ368"/>
  <c r="BK337"/>
  <c r="BL332"/>
  <c r="BJ282"/>
  <c r="BJ425"/>
  <c r="BM345"/>
  <c r="BJ322"/>
  <c r="BK290"/>
  <c r="BJ298"/>
  <c r="BL173"/>
  <c r="BL141"/>
  <c r="BM149"/>
  <c r="BK193"/>
  <c r="BJ53"/>
  <c r="BK306"/>
  <c r="BK32"/>
  <c r="BK149"/>
  <c r="BK30"/>
  <c r="BM179"/>
  <c r="BM119"/>
  <c r="BM133"/>
  <c r="BJ199"/>
  <c r="BJ163"/>
  <c r="BJ147"/>
  <c r="BJ79"/>
  <c r="BM274"/>
  <c r="BK195"/>
  <c r="BJ119"/>
  <c r="BK181"/>
  <c r="BK75"/>
  <c r="BL70"/>
  <c r="BM219"/>
  <c r="BM459"/>
  <c r="BM373"/>
  <c r="BL366"/>
  <c r="BK366"/>
  <c r="BJ265"/>
  <c r="BK265"/>
  <c r="BL400"/>
  <c r="BJ340"/>
  <c r="BL340"/>
  <c r="BK340"/>
  <c r="BL396"/>
  <c r="BL318"/>
  <c r="BL294"/>
  <c r="BL236"/>
  <c r="BJ236"/>
  <c r="BM74"/>
  <c r="BM183"/>
  <c r="BJ102"/>
  <c r="BM207"/>
  <c r="BL278"/>
  <c r="BL111"/>
  <c r="BK111"/>
  <c r="BJ111"/>
  <c r="BL424"/>
  <c r="BK424"/>
  <c r="BJ424"/>
  <c r="BL430"/>
  <c r="BK414"/>
  <c r="BL414"/>
  <c r="BJ414"/>
  <c r="BK354"/>
  <c r="BL354"/>
  <c r="BL410"/>
  <c r="BL249"/>
  <c r="BK249"/>
  <c r="BJ249"/>
  <c r="BL245"/>
  <c r="BK245"/>
  <c r="BJ245"/>
  <c r="BM83"/>
  <c r="BL179"/>
  <c r="BL171"/>
  <c r="BL155"/>
  <c r="BL139"/>
  <c r="BL131"/>
  <c r="BK80"/>
  <c r="BK76"/>
  <c r="BM191"/>
  <c r="BM209"/>
  <c r="BJ460"/>
  <c r="BK460"/>
  <c r="BL460"/>
  <c r="BL390"/>
  <c r="BJ253"/>
  <c r="BK253"/>
  <c r="BK356"/>
  <c r="BL356"/>
  <c r="BK359"/>
  <c r="BJ359"/>
  <c r="BJ251"/>
  <c r="BK251"/>
  <c r="BL247"/>
  <c r="BK247"/>
  <c r="BJ247"/>
  <c r="BL243"/>
  <c r="BJ243"/>
  <c r="BK243"/>
  <c r="BL239"/>
  <c r="BK239"/>
  <c r="BJ239"/>
  <c r="BJ447"/>
  <c r="BL386"/>
  <c r="BL230"/>
  <c r="BK97"/>
  <c r="BL97"/>
  <c r="BJ97"/>
  <c r="BJ335"/>
  <c r="BK375"/>
  <c r="BJ375"/>
  <c r="BL95"/>
  <c r="BK95"/>
  <c r="BJ95"/>
  <c r="BJ459"/>
  <c r="BM457"/>
  <c r="BM265"/>
  <c r="BK355"/>
  <c r="BM392"/>
  <c r="BL343"/>
  <c r="BK345"/>
  <c r="BM181"/>
  <c r="BM173"/>
  <c r="BJ104"/>
  <c r="BK173"/>
  <c r="BK70"/>
  <c r="BK74"/>
  <c r="BL195"/>
  <c r="BL24"/>
  <c r="BK165"/>
  <c r="BM104"/>
  <c r="BJ396"/>
  <c r="BL265"/>
  <c r="BL261"/>
  <c r="BJ360"/>
  <c r="BM241"/>
  <c r="BJ318"/>
  <c r="BK246"/>
  <c r="BJ354"/>
  <c r="BM245"/>
  <c r="BL425"/>
  <c r="BJ345"/>
  <c r="BM70"/>
  <c r="BL133"/>
  <c r="BL219"/>
  <c r="BL104"/>
  <c r="BJ117"/>
  <c r="BM24"/>
  <c r="BM157"/>
  <c r="BM141"/>
  <c r="BK351"/>
  <c r="BJ207"/>
  <c r="BL183"/>
  <c r="BK147"/>
  <c r="BJ125"/>
  <c r="BJ440"/>
  <c r="BJ436"/>
  <c r="BJ428"/>
  <c r="BK459"/>
  <c r="BM414"/>
  <c r="BM424"/>
  <c r="BJ366"/>
  <c r="BJ410"/>
  <c r="BJ398"/>
  <c r="BM341"/>
  <c r="BL267"/>
  <c r="BL263"/>
  <c r="BJ465"/>
  <c r="BK457"/>
  <c r="BK451"/>
  <c r="BJ373"/>
  <c r="BK341"/>
  <c r="BM267"/>
  <c r="BM236"/>
  <c r="BJ361"/>
  <c r="BM355"/>
  <c r="BM255"/>
  <c r="BM369"/>
  <c r="BM360"/>
  <c r="BK357"/>
  <c r="BL355"/>
  <c r="BL426"/>
  <c r="BM261"/>
  <c r="BL392"/>
  <c r="BJ294"/>
  <c r="BJ278"/>
  <c r="BJ222"/>
  <c r="BM253"/>
  <c r="BM247"/>
  <c r="BK330"/>
  <c r="BL246"/>
  <c r="BK238"/>
  <c r="BM298"/>
  <c r="BM111"/>
  <c r="BL102"/>
  <c r="BL377"/>
  <c r="BK368"/>
  <c r="BJ337"/>
  <c r="BK332"/>
  <c r="BK328"/>
  <c r="BM80"/>
  <c r="BM76"/>
  <c r="BM425"/>
  <c r="BL345"/>
  <c r="BJ290"/>
  <c r="BL175"/>
  <c r="BL167"/>
  <c r="BL151"/>
  <c r="BL127"/>
  <c r="BL119"/>
  <c r="BM75"/>
  <c r="BL51"/>
  <c r="BL43"/>
  <c r="BM175"/>
  <c r="BL157"/>
  <c r="BL125"/>
  <c r="BL117"/>
  <c r="BK217"/>
  <c r="BJ193"/>
  <c r="BJ83"/>
  <c r="BK53"/>
  <c r="BJ306"/>
  <c r="BK219"/>
  <c r="BJ175"/>
  <c r="BK104"/>
  <c r="BL71"/>
  <c r="BL32"/>
  <c r="BJ149"/>
  <c r="BJ70"/>
  <c r="BL30"/>
  <c r="BM131"/>
  <c r="BM123"/>
  <c r="BM165"/>
  <c r="BM125"/>
  <c r="BM38"/>
  <c r="BM351"/>
  <c r="BL199"/>
  <c r="BJ191"/>
  <c r="BK183"/>
  <c r="BK171"/>
  <c r="BK155"/>
  <c r="BK139"/>
  <c r="BK123"/>
  <c r="BK79"/>
  <c r="BJ74"/>
  <c r="BK274"/>
  <c r="BJ195"/>
  <c r="BK127"/>
  <c r="BK43"/>
  <c r="BK24"/>
  <c r="BK260"/>
  <c r="BJ181"/>
  <c r="BJ157"/>
  <c r="BJ133"/>
  <c r="BK38"/>
  <c r="BM71"/>
  <c r="BL149"/>
  <c r="BL394"/>
  <c r="BJ394"/>
  <c r="BK394"/>
  <c r="BM394"/>
  <c r="BL256"/>
  <c r="BJ256"/>
  <c r="BM256"/>
  <c r="BK256"/>
  <c r="BL65"/>
  <c r="BJ65"/>
  <c r="BM65"/>
  <c r="BK65"/>
  <c r="BL137"/>
  <c r="BK137"/>
  <c r="BM137"/>
  <c r="BJ137"/>
  <c r="BL145"/>
  <c r="BK145"/>
  <c r="BJ145"/>
  <c r="BM145"/>
  <c r="BL413"/>
  <c r="BJ413"/>
  <c r="BK413"/>
  <c r="BM413"/>
  <c r="BL153"/>
  <c r="BK153"/>
  <c r="BM153"/>
  <c r="BJ153"/>
  <c r="BL270"/>
  <c r="BJ270"/>
  <c r="BK270"/>
  <c r="BM270"/>
  <c r="BM88"/>
  <c r="BJ88"/>
  <c r="BL88"/>
  <c r="BK88"/>
  <c r="BL266"/>
  <c r="BJ266"/>
  <c r="BK266"/>
  <c r="BM266"/>
  <c r="BK421"/>
  <c r="BJ421"/>
  <c r="BM421"/>
  <c r="BL421"/>
  <c r="BM96"/>
  <c r="BJ96"/>
  <c r="BL96"/>
  <c r="BK96"/>
  <c r="BL57"/>
  <c r="BM57"/>
  <c r="BK57"/>
  <c r="BJ57"/>
  <c r="BL114"/>
  <c r="BM114"/>
  <c r="BJ114"/>
  <c r="BK114"/>
  <c r="BK112"/>
  <c r="BM112"/>
  <c r="BL112"/>
  <c r="BJ112"/>
  <c r="BL320"/>
  <c r="BK320"/>
  <c r="BM320"/>
  <c r="BJ320"/>
  <c r="BL280"/>
  <c r="BM280"/>
  <c r="BJ280"/>
  <c r="BK280"/>
  <c r="BL288"/>
  <c r="BK288"/>
  <c r="BM288"/>
  <c r="BJ288"/>
  <c r="BL169"/>
  <c r="BK169"/>
  <c r="BM169"/>
  <c r="BJ169"/>
  <c r="BL121"/>
  <c r="BK121"/>
  <c r="BM121"/>
  <c r="BJ121"/>
  <c r="BL432"/>
  <c r="BJ432"/>
  <c r="BM432"/>
  <c r="BK432"/>
  <c r="BL161"/>
  <c r="BK161"/>
  <c r="BJ161"/>
  <c r="BM161"/>
  <c r="BL296"/>
  <c r="BK296"/>
  <c r="BJ296"/>
  <c r="BM296"/>
  <c r="BL272"/>
  <c r="BK272"/>
  <c r="BJ272"/>
  <c r="BM272"/>
  <c r="BL258"/>
  <c r="BJ258"/>
  <c r="BM258"/>
  <c r="BK258"/>
  <c r="BL177"/>
  <c r="BJ177"/>
  <c r="BM177"/>
  <c r="BK177"/>
  <c r="BL304"/>
  <c r="BK304"/>
  <c r="BJ304"/>
  <c r="BM304"/>
  <c r="BL61"/>
  <c r="BJ61"/>
  <c r="BM61"/>
  <c r="BK61"/>
  <c r="BL312"/>
  <c r="BM312"/>
  <c r="BJ312"/>
  <c r="BK312"/>
  <c r="BL434"/>
  <c r="BK434"/>
  <c r="BM434"/>
  <c r="BJ434"/>
  <c r="BL438"/>
  <c r="BJ438"/>
  <c r="BK438"/>
  <c r="BM438"/>
  <c r="BL129"/>
  <c r="BK129"/>
  <c r="BJ129"/>
  <c r="BM129"/>
  <c r="BK18"/>
  <c r="BL18"/>
  <c r="BL19"/>
  <c r="BM18"/>
  <c r="BM19"/>
  <c r="BJ19"/>
  <c r="BJ18"/>
  <c r="BK19"/>
  <c r="R69" i="16"/>
  <c r="P69"/>
  <c r="R68"/>
  <c r="P68"/>
  <c r="R67"/>
  <c r="P67"/>
  <c r="R66"/>
  <c r="P66"/>
  <c r="R65"/>
  <c r="P65"/>
  <c r="R64"/>
  <c r="P64"/>
  <c r="R63"/>
  <c r="P63"/>
  <c r="R62"/>
  <c r="P62"/>
  <c r="R61"/>
  <c r="P61"/>
  <c r="R55"/>
  <c r="P55"/>
  <c r="R54"/>
  <c r="P54"/>
  <c r="R53"/>
  <c r="P53"/>
  <c r="R52"/>
  <c r="P52"/>
  <c r="R51"/>
  <c r="P51"/>
  <c r="R50"/>
  <c r="P50"/>
  <c r="R49"/>
  <c r="P49"/>
  <c r="R48"/>
  <c r="P48"/>
  <c r="R47"/>
  <c r="P47"/>
  <c r="AV22" i="10"/>
  <c r="BG22"/>
  <c r="BF22"/>
  <c r="AY22"/>
  <c r="BE22"/>
  <c r="BB22"/>
  <c r="AZ22"/>
  <c r="AW22"/>
  <c r="BC22"/>
  <c r="C75" i="7"/>
  <c r="C76"/>
  <c r="C77"/>
  <c r="C78"/>
  <c r="C79"/>
  <c r="C80"/>
  <c r="C81"/>
  <c r="C82"/>
  <c r="C83"/>
  <c r="C84"/>
  <c r="C85"/>
  <c r="C74"/>
  <c r="C45" i="6"/>
  <c r="C46"/>
  <c r="C47"/>
  <c r="C48"/>
  <c r="C49"/>
  <c r="C50"/>
  <c r="C51"/>
  <c r="C52"/>
  <c r="C53"/>
  <c r="C54"/>
  <c r="C55"/>
  <c r="C44"/>
  <c r="AZ418" i="10"/>
  <c r="AZ389"/>
  <c r="AZ381"/>
  <c r="AZ393"/>
  <c r="AZ385"/>
  <c r="AZ329"/>
  <c r="AZ325"/>
  <c r="AZ323"/>
  <c r="AZ315"/>
  <c r="AZ307"/>
  <c r="AZ299"/>
  <c r="AZ291"/>
  <c r="AZ283"/>
  <c r="AZ275"/>
  <c r="AZ229"/>
  <c r="AZ225"/>
  <c r="AZ293"/>
  <c r="AZ237"/>
  <c r="AZ331"/>
  <c r="AZ311"/>
  <c r="AZ309"/>
  <c r="AZ279"/>
  <c r="AZ277"/>
  <c r="AZ301"/>
  <c r="AZ269"/>
  <c r="AZ216"/>
  <c r="AZ208"/>
  <c r="AZ200"/>
  <c r="AZ192"/>
  <c r="AZ184"/>
  <c r="AZ116"/>
  <c r="AZ210"/>
  <c r="AZ202"/>
  <c r="AZ194"/>
  <c r="AZ186"/>
  <c r="AZ231"/>
  <c r="AZ212"/>
  <c r="AZ168"/>
  <c r="AZ152"/>
  <c r="AZ136"/>
  <c r="AZ120"/>
  <c r="AZ109"/>
  <c r="AZ93"/>
  <c r="AZ40"/>
  <c r="AZ319"/>
  <c r="AZ317"/>
  <c r="AZ287"/>
  <c r="AZ285"/>
  <c r="AZ214"/>
  <c r="AZ206"/>
  <c r="AZ198"/>
  <c r="AZ190"/>
  <c r="AZ182"/>
  <c r="AZ174"/>
  <c r="AZ166"/>
  <c r="AZ158"/>
  <c r="AZ150"/>
  <c r="AZ142"/>
  <c r="AZ134"/>
  <c r="AZ126"/>
  <c r="AZ118"/>
  <c r="AZ68"/>
  <c r="AZ64"/>
  <c r="AZ60"/>
  <c r="AZ56"/>
  <c r="AZ223"/>
  <c r="AZ218"/>
  <c r="AZ220"/>
  <c r="AZ204"/>
  <c r="AZ196"/>
  <c r="AZ188"/>
  <c r="AZ176"/>
  <c r="AZ160"/>
  <c r="AZ144"/>
  <c r="AZ128"/>
  <c r="AZ48"/>
  <c r="AZ44"/>
  <c r="AZ63"/>
  <c r="AZ23"/>
  <c r="AZ27"/>
  <c r="AZ39"/>
  <c r="AZ49"/>
  <c r="AZ98"/>
  <c r="AZ67"/>
  <c r="AZ105"/>
  <c r="AZ66"/>
  <c r="AZ146"/>
  <c r="AZ26"/>
  <c r="AZ303"/>
  <c r="AZ295"/>
  <c r="AZ378"/>
  <c r="AZ85"/>
  <c r="AZ91"/>
  <c r="AZ313"/>
  <c r="AZ233"/>
  <c r="AZ305"/>
  <c r="AZ379"/>
  <c r="AZ439"/>
  <c r="AZ363"/>
  <c r="AZ391"/>
  <c r="AZ397"/>
  <c r="AZ405"/>
  <c r="AZ427"/>
  <c r="AZ441"/>
  <c r="AZ448"/>
  <c r="AZ416"/>
  <c r="AZ466"/>
  <c r="AZ458"/>
  <c r="AZ453"/>
  <c r="AZ473"/>
  <c r="AZ37"/>
  <c r="AZ321"/>
  <c r="AZ58"/>
  <c r="AZ42"/>
  <c r="AZ50"/>
  <c r="AZ281"/>
  <c r="AZ422"/>
  <c r="AZ450"/>
  <c r="AZ444"/>
  <c r="AZ445"/>
  <c r="AZ55"/>
  <c r="AZ240"/>
  <c r="AZ170"/>
  <c r="AZ437"/>
  <c r="AZ254"/>
  <c r="AZ244"/>
  <c r="AZ372"/>
  <c r="AZ235"/>
  <c r="AZ339"/>
  <c r="AZ435"/>
  <c r="AZ476"/>
  <c r="AZ81"/>
  <c r="AZ338"/>
  <c r="AZ28"/>
  <c r="AZ36"/>
  <c r="AZ62"/>
  <c r="AZ130"/>
  <c r="AZ34"/>
  <c r="AZ271"/>
  <c r="AZ115"/>
  <c r="AZ99"/>
  <c r="AZ162"/>
  <c r="AZ101"/>
  <c r="AZ107"/>
  <c r="AZ124"/>
  <c r="AZ132"/>
  <c r="AZ140"/>
  <c r="AZ148"/>
  <c r="AZ156"/>
  <c r="AZ164"/>
  <c r="AZ172"/>
  <c r="AZ180"/>
  <c r="AZ262"/>
  <c r="AZ297"/>
  <c r="AZ334"/>
  <c r="AZ350"/>
  <c r="AZ376"/>
  <c r="AZ252"/>
  <c r="AZ336"/>
  <c r="AZ364"/>
  <c r="AZ387"/>
  <c r="AZ383"/>
  <c r="AZ395"/>
  <c r="AZ403"/>
  <c r="AZ411"/>
  <c r="AZ429"/>
  <c r="AZ347"/>
  <c r="AZ472"/>
  <c r="AZ415"/>
  <c r="AZ452"/>
  <c r="AZ433"/>
  <c r="AZ443"/>
  <c r="AZ464"/>
  <c r="AZ29"/>
  <c r="AZ59"/>
  <c r="AZ100"/>
  <c r="AZ33"/>
  <c r="AZ35"/>
  <c r="AZ41"/>
  <c r="AZ84"/>
  <c r="AZ45"/>
  <c r="AZ69"/>
  <c r="AZ289"/>
  <c r="AZ52"/>
  <c r="AZ72"/>
  <c r="AZ77"/>
  <c r="AZ122"/>
  <c r="AZ154"/>
  <c r="AZ46"/>
  <c r="AZ250"/>
  <c r="AZ370"/>
  <c r="AZ362"/>
  <c r="AZ344"/>
  <c r="AZ401"/>
  <c r="AZ409"/>
  <c r="AZ431"/>
  <c r="AZ474"/>
  <c r="AZ461"/>
  <c r="AZ25"/>
  <c r="AZ31"/>
  <c r="AZ342"/>
  <c r="AZ73"/>
  <c r="AZ54"/>
  <c r="AZ178"/>
  <c r="AZ89"/>
  <c r="AZ264"/>
  <c r="AZ327"/>
  <c r="AZ224"/>
  <c r="AZ228"/>
  <c r="AZ113"/>
  <c r="AZ138"/>
  <c r="AZ227"/>
  <c r="AZ242"/>
  <c r="AZ257"/>
  <c r="AZ273"/>
  <c r="AZ352"/>
  <c r="AZ371"/>
  <c r="AZ399"/>
  <c r="AZ407"/>
  <c r="AZ456"/>
  <c r="AZ300"/>
  <c r="AZ215"/>
  <c r="AZ417"/>
  <c r="AZ384"/>
  <c r="AZ454"/>
  <c r="AZ286"/>
  <c r="AZ308"/>
  <c r="AZ348"/>
  <c r="AZ159"/>
  <c r="AZ468"/>
  <c r="AZ455"/>
  <c r="AZ440"/>
  <c r="AZ345"/>
  <c r="AZ181"/>
  <c r="AZ125"/>
  <c r="AZ70"/>
  <c r="AZ199"/>
  <c r="AZ104"/>
  <c r="AZ217"/>
  <c r="AZ222"/>
  <c r="AZ369"/>
  <c r="AZ246"/>
  <c r="AZ147"/>
  <c r="AZ302"/>
  <c r="AZ333"/>
  <c r="AZ53"/>
  <c r="AZ119"/>
  <c r="AZ451"/>
  <c r="AZ382"/>
  <c r="AZ259"/>
  <c r="AZ298"/>
  <c r="AZ330"/>
  <c r="AZ32"/>
  <c r="AZ30"/>
  <c r="AZ459"/>
  <c r="AZ366"/>
  <c r="AZ157"/>
  <c r="AZ278"/>
  <c r="AZ414"/>
  <c r="AZ71"/>
  <c r="AZ151"/>
  <c r="AZ471"/>
  <c r="AZ361"/>
  <c r="AZ390"/>
  <c r="AZ426"/>
  <c r="AZ359"/>
  <c r="AZ243"/>
  <c r="AZ232"/>
  <c r="AZ335"/>
  <c r="AZ375"/>
  <c r="AZ332"/>
  <c r="AZ195"/>
  <c r="AZ420"/>
  <c r="AZ163"/>
  <c r="AZ193"/>
  <c r="AZ475"/>
  <c r="AZ374"/>
  <c r="AZ337"/>
  <c r="AZ263"/>
  <c r="AZ322"/>
  <c r="AZ349"/>
  <c r="AZ238"/>
  <c r="AZ380"/>
  <c r="AZ373"/>
  <c r="AZ117"/>
  <c r="AZ183"/>
  <c r="AZ410"/>
  <c r="AZ38"/>
  <c r="AZ221"/>
  <c r="AZ90"/>
  <c r="AZ478"/>
  <c r="AZ457"/>
  <c r="AZ436"/>
  <c r="AZ343"/>
  <c r="AZ173"/>
  <c r="AZ357"/>
  <c r="AZ241"/>
  <c r="AZ282"/>
  <c r="AZ368"/>
  <c r="AZ396"/>
  <c r="AZ133"/>
  <c r="AZ111"/>
  <c r="AZ51"/>
  <c r="AZ351"/>
  <c r="AZ245"/>
  <c r="AZ179"/>
  <c r="AZ131"/>
  <c r="AZ80"/>
  <c r="AZ209"/>
  <c r="AZ316"/>
  <c r="AZ94"/>
  <c r="AZ92"/>
  <c r="AZ189"/>
  <c r="AZ78"/>
  <c r="AZ234"/>
  <c r="AZ310"/>
  <c r="AZ187"/>
  <c r="AZ324"/>
  <c r="AZ358"/>
  <c r="AZ108"/>
  <c r="AZ213"/>
  <c r="AZ446"/>
  <c r="AZ185"/>
  <c r="AZ428"/>
  <c r="AZ355"/>
  <c r="AZ141"/>
  <c r="AZ328"/>
  <c r="AZ79"/>
  <c r="AZ341"/>
  <c r="AZ87"/>
  <c r="AZ467"/>
  <c r="AZ449"/>
  <c r="AZ365"/>
  <c r="AZ267"/>
  <c r="AZ306"/>
  <c r="AZ274"/>
  <c r="AZ346"/>
  <c r="AZ367"/>
  <c r="AZ388"/>
  <c r="AZ103"/>
  <c r="AZ392"/>
  <c r="AZ400"/>
  <c r="AZ165"/>
  <c r="AZ294"/>
  <c r="AZ469"/>
  <c r="AZ424"/>
  <c r="AZ249"/>
  <c r="AZ171"/>
  <c r="AZ139"/>
  <c r="AZ76"/>
  <c r="AZ191"/>
  <c r="AZ167"/>
  <c r="AZ460"/>
  <c r="AZ377"/>
  <c r="AZ253"/>
  <c r="AZ260"/>
  <c r="AZ251"/>
  <c r="AZ447"/>
  <c r="AZ386"/>
  <c r="AZ95"/>
  <c r="AZ268"/>
  <c r="AZ197"/>
  <c r="AZ406"/>
  <c r="AZ226"/>
  <c r="AZ203"/>
  <c r="AZ86"/>
  <c r="AZ276"/>
  <c r="AZ110"/>
  <c r="AZ201"/>
  <c r="AZ135"/>
  <c r="AZ261"/>
  <c r="AZ412"/>
  <c r="AZ419"/>
  <c r="AZ442"/>
  <c r="AZ149"/>
  <c r="AZ470"/>
  <c r="AZ75"/>
  <c r="AZ123"/>
  <c r="AZ408"/>
  <c r="AZ290"/>
  <c r="AZ326"/>
  <c r="AZ265"/>
  <c r="AZ340"/>
  <c r="AZ236"/>
  <c r="AZ74"/>
  <c r="AZ102"/>
  <c r="AZ207"/>
  <c r="AZ175"/>
  <c r="AZ43"/>
  <c r="AZ430"/>
  <c r="AZ354"/>
  <c r="AZ356"/>
  <c r="AZ247"/>
  <c r="AZ239"/>
  <c r="AZ97"/>
  <c r="AZ284"/>
  <c r="AZ404"/>
  <c r="AZ205"/>
  <c r="AZ462"/>
  <c r="AZ211"/>
  <c r="AZ106"/>
  <c r="AZ47"/>
  <c r="AZ292"/>
  <c r="AZ402"/>
  <c r="AZ143"/>
  <c r="AZ82"/>
  <c r="AZ360"/>
  <c r="AZ24"/>
  <c r="AZ398"/>
  <c r="AZ219"/>
  <c r="AZ425"/>
  <c r="AZ255"/>
  <c r="AZ463"/>
  <c r="AZ353"/>
  <c r="AZ423"/>
  <c r="AZ314"/>
  <c r="AZ248"/>
  <c r="AZ318"/>
  <c r="AZ83"/>
  <c r="AZ155"/>
  <c r="AZ127"/>
  <c r="AZ465"/>
  <c r="AZ477"/>
  <c r="AZ230"/>
  <c r="AZ88"/>
  <c r="AZ112"/>
  <c r="AZ161"/>
  <c r="AZ177"/>
  <c r="AZ61"/>
  <c r="AZ434"/>
  <c r="AZ121"/>
  <c r="AZ272"/>
  <c r="AZ256"/>
  <c r="AZ137"/>
  <c r="AZ114"/>
  <c r="AZ320"/>
  <c r="AZ296"/>
  <c r="AZ304"/>
  <c r="AZ270"/>
  <c r="AZ96"/>
  <c r="AZ288"/>
  <c r="AZ432"/>
  <c r="AZ258"/>
  <c r="AZ312"/>
  <c r="AZ394"/>
  <c r="AZ65"/>
  <c r="AZ145"/>
  <c r="AZ153"/>
  <c r="AZ57"/>
  <c r="AZ280"/>
  <c r="AZ129"/>
  <c r="AZ413"/>
  <c r="AZ266"/>
  <c r="AZ421"/>
  <c r="AZ169"/>
  <c r="AZ438"/>
  <c r="AY461"/>
  <c r="AY453"/>
  <c r="BB458"/>
  <c r="AY473"/>
  <c r="AY445"/>
  <c r="BA445"/>
  <c r="BB466"/>
  <c r="AY415"/>
  <c r="BB362"/>
  <c r="AY347"/>
  <c r="AY339"/>
  <c r="AY364"/>
  <c r="AY363"/>
  <c r="BB352"/>
  <c r="AY371"/>
  <c r="BB344"/>
  <c r="AY77"/>
  <c r="AY73"/>
  <c r="AY34"/>
  <c r="BA34"/>
  <c r="AY26"/>
  <c r="BA26"/>
  <c r="BB55"/>
  <c r="AY29"/>
  <c r="BB100"/>
  <c r="AY31"/>
  <c r="BA31"/>
  <c r="AY33"/>
  <c r="AY35"/>
  <c r="AY41"/>
  <c r="BA41"/>
  <c r="AY49"/>
  <c r="BB84"/>
  <c r="AY37"/>
  <c r="BB37"/>
  <c r="AY45"/>
  <c r="BB67"/>
  <c r="AY62"/>
  <c r="BB69"/>
  <c r="AY105"/>
  <c r="BB130"/>
  <c r="BB146"/>
  <c r="BB170"/>
  <c r="BB178"/>
  <c r="AY132"/>
  <c r="AY148"/>
  <c r="AY240"/>
  <c r="AY40"/>
  <c r="BA40"/>
  <c r="BB44"/>
  <c r="AY48"/>
  <c r="BA48"/>
  <c r="AY128"/>
  <c r="AY144"/>
  <c r="AY160"/>
  <c r="AY176"/>
  <c r="BA176"/>
  <c r="AY289"/>
  <c r="AY321"/>
  <c r="BA321"/>
  <c r="BB338"/>
  <c r="BB72"/>
  <c r="BB36"/>
  <c r="BB66"/>
  <c r="AY99"/>
  <c r="BB122"/>
  <c r="BB124"/>
  <c r="BB140"/>
  <c r="BB156"/>
  <c r="BB327"/>
  <c r="AY60"/>
  <c r="BA60"/>
  <c r="BB64"/>
  <c r="BB77"/>
  <c r="BB91"/>
  <c r="AY126"/>
  <c r="BA126"/>
  <c r="AY142"/>
  <c r="AY158"/>
  <c r="BA158"/>
  <c r="AY174"/>
  <c r="BB223"/>
  <c r="BB224"/>
  <c r="BB228"/>
  <c r="AY295"/>
  <c r="BB378"/>
  <c r="AY437"/>
  <c r="AY36"/>
  <c r="AY81"/>
  <c r="BA81"/>
  <c r="BB186"/>
  <c r="BB190"/>
  <c r="BB196"/>
  <c r="BB206"/>
  <c r="AY242"/>
  <c r="AY257"/>
  <c r="AY281"/>
  <c r="AY319"/>
  <c r="BA319"/>
  <c r="AY233"/>
  <c r="BA233"/>
  <c r="BB279"/>
  <c r="AY311"/>
  <c r="BA311"/>
  <c r="AY182"/>
  <c r="BA182"/>
  <c r="AY192"/>
  <c r="AY202"/>
  <c r="AY208"/>
  <c r="AY214"/>
  <c r="BA214"/>
  <c r="AY218"/>
  <c r="AY227"/>
  <c r="BA227"/>
  <c r="BB231"/>
  <c r="AY271"/>
  <c r="BB297"/>
  <c r="AY254"/>
  <c r="AY244"/>
  <c r="AY277"/>
  <c r="AY293"/>
  <c r="AY309"/>
  <c r="AY235"/>
  <c r="BB275"/>
  <c r="BB291"/>
  <c r="BB307"/>
  <c r="BB323"/>
  <c r="BB325"/>
  <c r="BB329"/>
  <c r="BB339"/>
  <c r="BB363"/>
  <c r="AY395"/>
  <c r="BB401"/>
  <c r="AY403"/>
  <c r="BA403"/>
  <c r="BB409"/>
  <c r="AY411"/>
  <c r="BB431"/>
  <c r="AY389"/>
  <c r="BB393"/>
  <c r="AY418"/>
  <c r="BA418"/>
  <c r="BB418"/>
  <c r="AY435"/>
  <c r="BB452"/>
  <c r="BB443"/>
  <c r="AY448"/>
  <c r="BB448"/>
  <c r="AY466"/>
  <c r="AY458"/>
  <c r="BA458"/>
  <c r="AY27"/>
  <c r="BA27"/>
  <c r="BB58"/>
  <c r="BB138"/>
  <c r="BB162"/>
  <c r="BB46"/>
  <c r="AY180"/>
  <c r="BB52"/>
  <c r="BB109"/>
  <c r="AY120"/>
  <c r="AY136"/>
  <c r="BA136"/>
  <c r="AY168"/>
  <c r="BB105"/>
  <c r="BB154"/>
  <c r="AY101"/>
  <c r="AY264"/>
  <c r="BB56"/>
  <c r="AY68"/>
  <c r="BA68"/>
  <c r="AY91"/>
  <c r="AY224"/>
  <c r="AY228"/>
  <c r="BA228"/>
  <c r="BB188"/>
  <c r="BB198"/>
  <c r="AY313"/>
  <c r="BB250"/>
  <c r="AY262"/>
  <c r="BB273"/>
  <c r="AY184"/>
  <c r="AY210"/>
  <c r="BA210"/>
  <c r="AY220"/>
  <c r="BA220"/>
  <c r="BB287"/>
  <c r="BB303"/>
  <c r="BB237"/>
  <c r="AY252"/>
  <c r="BA252"/>
  <c r="AY285"/>
  <c r="BA285"/>
  <c r="AY317"/>
  <c r="AY225"/>
  <c r="BA225"/>
  <c r="BB299"/>
  <c r="BB383"/>
  <c r="AY391"/>
  <c r="BA391"/>
  <c r="BB397"/>
  <c r="AY399"/>
  <c r="BA399"/>
  <c r="BB405"/>
  <c r="AY407"/>
  <c r="AY429"/>
  <c r="AY474"/>
  <c r="BB474"/>
  <c r="BB472"/>
  <c r="AY381"/>
  <c r="BB450"/>
  <c r="BB59"/>
  <c r="BB35"/>
  <c r="AY63"/>
  <c r="BB89"/>
  <c r="AY98"/>
  <c r="AY67"/>
  <c r="AY58"/>
  <c r="AY146"/>
  <c r="BA146"/>
  <c r="AY342"/>
  <c r="AY42"/>
  <c r="BB81"/>
  <c r="BB164"/>
  <c r="BB172"/>
  <c r="BB180"/>
  <c r="BB240"/>
  <c r="AY52"/>
  <c r="BA52"/>
  <c r="BB152"/>
  <c r="BB28"/>
  <c r="AY89"/>
  <c r="BA89"/>
  <c r="AY122"/>
  <c r="AY56"/>
  <c r="BB107"/>
  <c r="BB118"/>
  <c r="BB134"/>
  <c r="BB150"/>
  <c r="AY28"/>
  <c r="AY190"/>
  <c r="BA190"/>
  <c r="AY206"/>
  <c r="BA206"/>
  <c r="BB242"/>
  <c r="BB116"/>
  <c r="AY250"/>
  <c r="AY279"/>
  <c r="BA279"/>
  <c r="BB305"/>
  <c r="BB331"/>
  <c r="BB184"/>
  <c r="BB204"/>
  <c r="BB216"/>
  <c r="BB227"/>
  <c r="AY376"/>
  <c r="BA376"/>
  <c r="BB285"/>
  <c r="BB317"/>
  <c r="AY229"/>
  <c r="AY275"/>
  <c r="AY307"/>
  <c r="BA307"/>
  <c r="BB372"/>
  <c r="AY387"/>
  <c r="AY397"/>
  <c r="BB403"/>
  <c r="AY405"/>
  <c r="BB411"/>
  <c r="BB422"/>
  <c r="BB429"/>
  <c r="AY431"/>
  <c r="BA431"/>
  <c r="BB415"/>
  <c r="AY385"/>
  <c r="BA385"/>
  <c r="BB433"/>
  <c r="AY456"/>
  <c r="BA456"/>
  <c r="BB444"/>
  <c r="BB445"/>
  <c r="AY25"/>
  <c r="BB29"/>
  <c r="AY59"/>
  <c r="AY100"/>
  <c r="BB41"/>
  <c r="BB63"/>
  <c r="BB23"/>
  <c r="BB27"/>
  <c r="BB39"/>
  <c r="AY84"/>
  <c r="BA84"/>
  <c r="BB45"/>
  <c r="BB54"/>
  <c r="AY113"/>
  <c r="BA113"/>
  <c r="AY138"/>
  <c r="BA138"/>
  <c r="AY162"/>
  <c r="BB42"/>
  <c r="BB132"/>
  <c r="BB148"/>
  <c r="AY44"/>
  <c r="BB48"/>
  <c r="BB73"/>
  <c r="AY93"/>
  <c r="BA93"/>
  <c r="BB93"/>
  <c r="BB128"/>
  <c r="BB144"/>
  <c r="BB160"/>
  <c r="BB176"/>
  <c r="BB289"/>
  <c r="BB321"/>
  <c r="AY338"/>
  <c r="AY66"/>
  <c r="AY154"/>
  <c r="BA154"/>
  <c r="AY85"/>
  <c r="BB85"/>
  <c r="AY115"/>
  <c r="BB264"/>
  <c r="AY64"/>
  <c r="BB68"/>
  <c r="AY107"/>
  <c r="BB126"/>
  <c r="BB142"/>
  <c r="BB158"/>
  <c r="BB174"/>
  <c r="AY223"/>
  <c r="BB295"/>
  <c r="BB437"/>
  <c r="BB115"/>
  <c r="AY188"/>
  <c r="AY194"/>
  <c r="BA194"/>
  <c r="AY198"/>
  <c r="BA198"/>
  <c r="AY212"/>
  <c r="BB257"/>
  <c r="BB281"/>
  <c r="BB319"/>
  <c r="BB233"/>
  <c r="BB262"/>
  <c r="AY273"/>
  <c r="BB311"/>
  <c r="BB182"/>
  <c r="BB192"/>
  <c r="BB202"/>
  <c r="BB208"/>
  <c r="BB214"/>
  <c r="BB218"/>
  <c r="AY287"/>
  <c r="AY231"/>
  <c r="BA231"/>
  <c r="BB254"/>
  <c r="BB271"/>
  <c r="AY303"/>
  <c r="AY334"/>
  <c r="BA334"/>
  <c r="BB334"/>
  <c r="AY350"/>
  <c r="BA350"/>
  <c r="BB350"/>
  <c r="BB376"/>
  <c r="BB252"/>
  <c r="BB277"/>
  <c r="BB293"/>
  <c r="BB309"/>
  <c r="AY370"/>
  <c r="BB370"/>
  <c r="BB225"/>
  <c r="AY283"/>
  <c r="AY299"/>
  <c r="AY315"/>
  <c r="BA315"/>
  <c r="AY336"/>
  <c r="BB336"/>
  <c r="AY362"/>
  <c r="BB364"/>
  <c r="BB379"/>
  <c r="AY439"/>
  <c r="BB391"/>
  <c r="BB399"/>
  <c r="AY401"/>
  <c r="BA401"/>
  <c r="BB407"/>
  <c r="AY409"/>
  <c r="AY472"/>
  <c r="BB381"/>
  <c r="AY393"/>
  <c r="BA393"/>
  <c r="AY427"/>
  <c r="BB435"/>
  <c r="AY452"/>
  <c r="BB416"/>
  <c r="AY441"/>
  <c r="BB476"/>
  <c r="AY464"/>
  <c r="BB464"/>
  <c r="BB453"/>
  <c r="BB473"/>
  <c r="BB25"/>
  <c r="AY55"/>
  <c r="BB33"/>
  <c r="AY23"/>
  <c r="AY39"/>
  <c r="AY54"/>
  <c r="BB113"/>
  <c r="AY164"/>
  <c r="AY172"/>
  <c r="BB26"/>
  <c r="AY109"/>
  <c r="AY152"/>
  <c r="AY69"/>
  <c r="BA69"/>
  <c r="BB99"/>
  <c r="BB50"/>
  <c r="BB101"/>
  <c r="AY118"/>
  <c r="AY134"/>
  <c r="BA134"/>
  <c r="AY150"/>
  <c r="AY166"/>
  <c r="AY378"/>
  <c r="BB194"/>
  <c r="BB212"/>
  <c r="AY116"/>
  <c r="AY305"/>
  <c r="AY331"/>
  <c r="BA331"/>
  <c r="AY200"/>
  <c r="BA200"/>
  <c r="AY204"/>
  <c r="BA204"/>
  <c r="AY216"/>
  <c r="BA216"/>
  <c r="AY237"/>
  <c r="AY269"/>
  <c r="AY301"/>
  <c r="BA301"/>
  <c r="BB229"/>
  <c r="BB235"/>
  <c r="BB283"/>
  <c r="BB315"/>
  <c r="AY372"/>
  <c r="AY344"/>
  <c r="AY379"/>
  <c r="BB387"/>
  <c r="BB439"/>
  <c r="BB347"/>
  <c r="AY422"/>
  <c r="BB385"/>
  <c r="BB427"/>
  <c r="AY433"/>
  <c r="BB441"/>
  <c r="AY443"/>
  <c r="AY450"/>
  <c r="AY444"/>
  <c r="BB31"/>
  <c r="BB49"/>
  <c r="BB98"/>
  <c r="BB62"/>
  <c r="AY130"/>
  <c r="AY170"/>
  <c r="AY178"/>
  <c r="BB342"/>
  <c r="AY46"/>
  <c r="BB34"/>
  <c r="BB40"/>
  <c r="BB120"/>
  <c r="BB136"/>
  <c r="BB168"/>
  <c r="AY72"/>
  <c r="AY50"/>
  <c r="AY124"/>
  <c r="AY140"/>
  <c r="AY156"/>
  <c r="AY327"/>
  <c r="BB60"/>
  <c r="BB166"/>
  <c r="AY186"/>
  <c r="AY196"/>
  <c r="BB313"/>
  <c r="BB200"/>
  <c r="BB210"/>
  <c r="BB220"/>
  <c r="AY297"/>
  <c r="BB244"/>
  <c r="BB269"/>
  <c r="BB301"/>
  <c r="AY352"/>
  <c r="AY291"/>
  <c r="BA291"/>
  <c r="AY323"/>
  <c r="BA323"/>
  <c r="AY325"/>
  <c r="BA325"/>
  <c r="AY329"/>
  <c r="BB371"/>
  <c r="AY383"/>
  <c r="BA383"/>
  <c r="BB395"/>
  <c r="BB389"/>
  <c r="AY416"/>
  <c r="BB456"/>
  <c r="AY476"/>
  <c r="BB461"/>
  <c r="AY300"/>
  <c r="BB268"/>
  <c r="BB404"/>
  <c r="AY215"/>
  <c r="AY221"/>
  <c r="BB205"/>
  <c r="BB189"/>
  <c r="BB384"/>
  <c r="BB234"/>
  <c r="BB226"/>
  <c r="AY454"/>
  <c r="AY286"/>
  <c r="BB211"/>
  <c r="BB187"/>
  <c r="AY86"/>
  <c r="AY90"/>
  <c r="AY308"/>
  <c r="BB292"/>
  <c r="BB276"/>
  <c r="BB402"/>
  <c r="AY110"/>
  <c r="BB358"/>
  <c r="BB213"/>
  <c r="AY348"/>
  <c r="BA348"/>
  <c r="AY185"/>
  <c r="AY159"/>
  <c r="BB135"/>
  <c r="BB82"/>
  <c r="AY468"/>
  <c r="AY428"/>
  <c r="BB355"/>
  <c r="BB261"/>
  <c r="BB436"/>
  <c r="AY419"/>
  <c r="BB419"/>
  <c r="BB442"/>
  <c r="AY181"/>
  <c r="BB149"/>
  <c r="AY125"/>
  <c r="BA125"/>
  <c r="AY24"/>
  <c r="BA24"/>
  <c r="AY199"/>
  <c r="BA199"/>
  <c r="BB104"/>
  <c r="BB398"/>
  <c r="AY217"/>
  <c r="BB369"/>
  <c r="BB420"/>
  <c r="AY255"/>
  <c r="AY241"/>
  <c r="BB246"/>
  <c r="BB79"/>
  <c r="AY147"/>
  <c r="BA147"/>
  <c r="AY87"/>
  <c r="AY302"/>
  <c r="BA302"/>
  <c r="BB53"/>
  <c r="AY119"/>
  <c r="BB467"/>
  <c r="AY463"/>
  <c r="BA463"/>
  <c r="BB475"/>
  <c r="AY365"/>
  <c r="BB374"/>
  <c r="AY337"/>
  <c r="AY263"/>
  <c r="BA263"/>
  <c r="BB322"/>
  <c r="AY298"/>
  <c r="BB290"/>
  <c r="AY349"/>
  <c r="AY330"/>
  <c r="AY380"/>
  <c r="AY248"/>
  <c r="BB30"/>
  <c r="AY103"/>
  <c r="BA103"/>
  <c r="AY373"/>
  <c r="BB265"/>
  <c r="BB340"/>
  <c r="BB396"/>
  <c r="BB318"/>
  <c r="AY157"/>
  <c r="BA157"/>
  <c r="BB117"/>
  <c r="BB236"/>
  <c r="AY236"/>
  <c r="BA236"/>
  <c r="AY74"/>
  <c r="BA74"/>
  <c r="AY102"/>
  <c r="BA102"/>
  <c r="AY278"/>
  <c r="AY51"/>
  <c r="AY43"/>
  <c r="BA43"/>
  <c r="BB469"/>
  <c r="AY469"/>
  <c r="AY414"/>
  <c r="AY83"/>
  <c r="BB171"/>
  <c r="BB139"/>
  <c r="AY80"/>
  <c r="BB191"/>
  <c r="BB167"/>
  <c r="AY151"/>
  <c r="BB460"/>
  <c r="AY377"/>
  <c r="BB361"/>
  <c r="AY477"/>
  <c r="BA477"/>
  <c r="BB359"/>
  <c r="AY251"/>
  <c r="AY230"/>
  <c r="BA230"/>
  <c r="BB375"/>
  <c r="AY95"/>
  <c r="AY203"/>
  <c r="BB106"/>
  <c r="BB308"/>
  <c r="AY276"/>
  <c r="BB110"/>
  <c r="AY108"/>
  <c r="BA108"/>
  <c r="AY201"/>
  <c r="BB159"/>
  <c r="AY135"/>
  <c r="BB428"/>
  <c r="AY149"/>
  <c r="BB222"/>
  <c r="AY470"/>
  <c r="BB425"/>
  <c r="BB357"/>
  <c r="BB75"/>
  <c r="AY123"/>
  <c r="AY53"/>
  <c r="BA53"/>
  <c r="BB463"/>
  <c r="BB298"/>
  <c r="AY290"/>
  <c r="BB349"/>
  <c r="AY32"/>
  <c r="AY30"/>
  <c r="BB366"/>
  <c r="AY265"/>
  <c r="BA265"/>
  <c r="BB400"/>
  <c r="AY340"/>
  <c r="AY396"/>
  <c r="AY207"/>
  <c r="AY111"/>
  <c r="AY175"/>
  <c r="BA175"/>
  <c r="BB43"/>
  <c r="BB424"/>
  <c r="AY354"/>
  <c r="BA354"/>
  <c r="BB351"/>
  <c r="AY410"/>
  <c r="AY245"/>
  <c r="AY71"/>
  <c r="BB155"/>
  <c r="BB131"/>
  <c r="BB80"/>
  <c r="AY76"/>
  <c r="BB209"/>
  <c r="BB465"/>
  <c r="AY356"/>
  <c r="BA356"/>
  <c r="BB247"/>
  <c r="BB239"/>
  <c r="BB447"/>
  <c r="AY232"/>
  <c r="AY97"/>
  <c r="BA97"/>
  <c r="AY335"/>
  <c r="BB316"/>
  <c r="AY284"/>
  <c r="BB197"/>
  <c r="AY462"/>
  <c r="BB47"/>
  <c r="AY292"/>
  <c r="BB446"/>
  <c r="AY143"/>
  <c r="BB478"/>
  <c r="BB345"/>
  <c r="AY355"/>
  <c r="BB360"/>
  <c r="BB141"/>
  <c r="AY332"/>
  <c r="BB199"/>
  <c r="AY398"/>
  <c r="AY219"/>
  <c r="BB195"/>
  <c r="BB328"/>
  <c r="BB217"/>
  <c r="AY425"/>
  <c r="BB147"/>
  <c r="BB119"/>
  <c r="AY467"/>
  <c r="BB449"/>
  <c r="AY314"/>
  <c r="BA314"/>
  <c r="AY282"/>
  <c r="BB346"/>
  <c r="AY367"/>
  <c r="BB330"/>
  <c r="BB248"/>
  <c r="BB103"/>
  <c r="BB459"/>
  <c r="AY392"/>
  <c r="AY318"/>
  <c r="BB410"/>
  <c r="BB249"/>
  <c r="BB83"/>
  <c r="AY155"/>
  <c r="BA155"/>
  <c r="BB151"/>
  <c r="AY127"/>
  <c r="BA127"/>
  <c r="AY253"/>
  <c r="BA253"/>
  <c r="BB426"/>
  <c r="AY447"/>
  <c r="AY386"/>
  <c r="AY38"/>
  <c r="BA38"/>
  <c r="BB95"/>
  <c r="AY316"/>
  <c r="BB284"/>
  <c r="BB94"/>
  <c r="AY197"/>
  <c r="AY189"/>
  <c r="AY78"/>
  <c r="BB462"/>
  <c r="AY310"/>
  <c r="BB286"/>
  <c r="BB203"/>
  <c r="AY187"/>
  <c r="BB86"/>
  <c r="BB90"/>
  <c r="AY47"/>
  <c r="AY324"/>
  <c r="AY358"/>
  <c r="BA358"/>
  <c r="AY213"/>
  <c r="AY446"/>
  <c r="BB201"/>
  <c r="BB468"/>
  <c r="BB457"/>
  <c r="AY457"/>
  <c r="BB440"/>
  <c r="AY412"/>
  <c r="AY442"/>
  <c r="BB343"/>
  <c r="AY343"/>
  <c r="BA343"/>
  <c r="AY360"/>
  <c r="BA360"/>
  <c r="BB173"/>
  <c r="AY141"/>
  <c r="BB332"/>
  <c r="BB70"/>
  <c r="AY70"/>
  <c r="BA70"/>
  <c r="BB24"/>
  <c r="AY104"/>
  <c r="BA104"/>
  <c r="AY195"/>
  <c r="BA195"/>
  <c r="AY328"/>
  <c r="BB470"/>
  <c r="AY420"/>
  <c r="AY357"/>
  <c r="BA357"/>
  <c r="BB255"/>
  <c r="BB241"/>
  <c r="AY246"/>
  <c r="BA246"/>
  <c r="AY79"/>
  <c r="BB341"/>
  <c r="BB163"/>
  <c r="BB123"/>
  <c r="BB87"/>
  <c r="BB193"/>
  <c r="BB333"/>
  <c r="AY333"/>
  <c r="AY475"/>
  <c r="BB365"/>
  <c r="BB382"/>
  <c r="AY374"/>
  <c r="AY353"/>
  <c r="BB337"/>
  <c r="BB267"/>
  <c r="AY259"/>
  <c r="BA259"/>
  <c r="BB423"/>
  <c r="AY423"/>
  <c r="BB314"/>
  <c r="AY306"/>
  <c r="BA306"/>
  <c r="BB282"/>
  <c r="AY274"/>
  <c r="BA274"/>
  <c r="AY346"/>
  <c r="BA346"/>
  <c r="BB367"/>
  <c r="BB388"/>
  <c r="AY368"/>
  <c r="BB326"/>
  <c r="BB32"/>
  <c r="BB373"/>
  <c r="BB392"/>
  <c r="AY400"/>
  <c r="AY165"/>
  <c r="BA165"/>
  <c r="BB133"/>
  <c r="AY294"/>
  <c r="BB183"/>
  <c r="BB102"/>
  <c r="BB207"/>
  <c r="BB111"/>
  <c r="BB175"/>
  <c r="AY430"/>
  <c r="BB71"/>
  <c r="AY171"/>
  <c r="AY139"/>
  <c r="BA139"/>
  <c r="AY191"/>
  <c r="BA191"/>
  <c r="AY167"/>
  <c r="BB127"/>
  <c r="AY460"/>
  <c r="BB377"/>
  <c r="BB390"/>
  <c r="BB477"/>
  <c r="BB253"/>
  <c r="AY260"/>
  <c r="AY247"/>
  <c r="AY243"/>
  <c r="AY239"/>
  <c r="BB386"/>
  <c r="BB230"/>
  <c r="BB232"/>
  <c r="BB97"/>
  <c r="BB300"/>
  <c r="AY268"/>
  <c r="AY404"/>
  <c r="AY92"/>
  <c r="BB417"/>
  <c r="AY417"/>
  <c r="AY205"/>
  <c r="AY406"/>
  <c r="BB78"/>
  <c r="AY384"/>
  <c r="AY226"/>
  <c r="BA226"/>
  <c r="BB454"/>
  <c r="AY211"/>
  <c r="AY106"/>
  <c r="BB324"/>
  <c r="BB348"/>
  <c r="BB185"/>
  <c r="BB143"/>
  <c r="AY345"/>
  <c r="AY261"/>
  <c r="AY436"/>
  <c r="BB125"/>
  <c r="BB219"/>
  <c r="AY341"/>
  <c r="BA341"/>
  <c r="AY163"/>
  <c r="BA163"/>
  <c r="BB302"/>
  <c r="AY193"/>
  <c r="AY451"/>
  <c r="BB353"/>
  <c r="BB263"/>
  <c r="AY408"/>
  <c r="AY322"/>
  <c r="BA322"/>
  <c r="BB238"/>
  <c r="AY326"/>
  <c r="BB380"/>
  <c r="AY459"/>
  <c r="BB157"/>
  <c r="AY117"/>
  <c r="AY183"/>
  <c r="BB278"/>
  <c r="BB354"/>
  <c r="AY351"/>
  <c r="AY249"/>
  <c r="BB179"/>
  <c r="BB76"/>
  <c r="AY471"/>
  <c r="AY465"/>
  <c r="BB356"/>
  <c r="AY426"/>
  <c r="AY359"/>
  <c r="BB251"/>
  <c r="BB243"/>
  <c r="BB38"/>
  <c r="BB335"/>
  <c r="AY375"/>
  <c r="BB215"/>
  <c r="AY94"/>
  <c r="BB92"/>
  <c r="BB221"/>
  <c r="BB406"/>
  <c r="AY234"/>
  <c r="BA234"/>
  <c r="BB310"/>
  <c r="AY402"/>
  <c r="BA402"/>
  <c r="BB108"/>
  <c r="AY82"/>
  <c r="BA82"/>
  <c r="AY478"/>
  <c r="BB455"/>
  <c r="AY455"/>
  <c r="AY440"/>
  <c r="BA440"/>
  <c r="BB412"/>
  <c r="BB181"/>
  <c r="AY173"/>
  <c r="AY222"/>
  <c r="BA222"/>
  <c r="AY369"/>
  <c r="AY75"/>
  <c r="BB451"/>
  <c r="AY449"/>
  <c r="AY382"/>
  <c r="AY267"/>
  <c r="BB259"/>
  <c r="BB408"/>
  <c r="BB306"/>
  <c r="BB274"/>
  <c r="AY388"/>
  <c r="AY238"/>
  <c r="BA238"/>
  <c r="BB368"/>
  <c r="AY366"/>
  <c r="BB165"/>
  <c r="AY133"/>
  <c r="BB294"/>
  <c r="BB74"/>
  <c r="BB51"/>
  <c r="AY424"/>
  <c r="BA424"/>
  <c r="BB430"/>
  <c r="BB414"/>
  <c r="BB245"/>
  <c r="AY179"/>
  <c r="BA179"/>
  <c r="AY131"/>
  <c r="AY209"/>
  <c r="BB471"/>
  <c r="AY361"/>
  <c r="AY390"/>
  <c r="BB260"/>
  <c r="AY256"/>
  <c r="AY413"/>
  <c r="BB413"/>
  <c r="BB421"/>
  <c r="AY96"/>
  <c r="BA96"/>
  <c r="BB288"/>
  <c r="BB169"/>
  <c r="BB121"/>
  <c r="AY432"/>
  <c r="AY161"/>
  <c r="BA161"/>
  <c r="AY177"/>
  <c r="BA177"/>
  <c r="BB312"/>
  <c r="BB438"/>
  <c r="AY280"/>
  <c r="BA280"/>
  <c r="BB296"/>
  <c r="BB304"/>
  <c r="AY129"/>
  <c r="BB394"/>
  <c r="BB65"/>
  <c r="AY137"/>
  <c r="BB145"/>
  <c r="AY266"/>
  <c r="AY57"/>
  <c r="BB112"/>
  <c r="AY320"/>
  <c r="AY169"/>
  <c r="BA169"/>
  <c r="BB161"/>
  <c r="BB258"/>
  <c r="BB256"/>
  <c r="AY65"/>
  <c r="BB153"/>
  <c r="AY270"/>
  <c r="BB266"/>
  <c r="AY421"/>
  <c r="BA421"/>
  <c r="BB57"/>
  <c r="AY112"/>
  <c r="BB280"/>
  <c r="AY288"/>
  <c r="BB272"/>
  <c r="BB177"/>
  <c r="AY61"/>
  <c r="BA61"/>
  <c r="AY312"/>
  <c r="BA312"/>
  <c r="BB129"/>
  <c r="AY394"/>
  <c r="BB137"/>
  <c r="AY145"/>
  <c r="AY153"/>
  <c r="BB270"/>
  <c r="BB88"/>
  <c r="BB96"/>
  <c r="BB114"/>
  <c r="BB320"/>
  <c r="AY121"/>
  <c r="AY272"/>
  <c r="AY258"/>
  <c r="BB434"/>
  <c r="AY438"/>
  <c r="BA438"/>
  <c r="AY88"/>
  <c r="AY114"/>
  <c r="BB432"/>
  <c r="AY296"/>
  <c r="AY304"/>
  <c r="BA304"/>
  <c r="BB61"/>
  <c r="AY434"/>
  <c r="BG473"/>
  <c r="BG445"/>
  <c r="BG461"/>
  <c r="BE418"/>
  <c r="BE416"/>
  <c r="BE393"/>
  <c r="BE385"/>
  <c r="BE411"/>
  <c r="BE403"/>
  <c r="BE395"/>
  <c r="BE389"/>
  <c r="BE381"/>
  <c r="BG453"/>
  <c r="BE405"/>
  <c r="BE397"/>
  <c r="BF448"/>
  <c r="BF443"/>
  <c r="BF235"/>
  <c r="BG339"/>
  <c r="BE303"/>
  <c r="BF244"/>
  <c r="BE229"/>
  <c r="BE305"/>
  <c r="BE273"/>
  <c r="BE271"/>
  <c r="BE409"/>
  <c r="BE44"/>
  <c r="BE40"/>
  <c r="BE279"/>
  <c r="BE235"/>
  <c r="BE101"/>
  <c r="BE68"/>
  <c r="BE64"/>
  <c r="BE407"/>
  <c r="BE399"/>
  <c r="BG347"/>
  <c r="BE313"/>
  <c r="BE281"/>
  <c r="BF107"/>
  <c r="BF91"/>
  <c r="BE401"/>
  <c r="BE331"/>
  <c r="BE225"/>
  <c r="BE116"/>
  <c r="BE48"/>
  <c r="BE311"/>
  <c r="BE107"/>
  <c r="BE91"/>
  <c r="BE85"/>
  <c r="BE60"/>
  <c r="BE56"/>
  <c r="BE52"/>
  <c r="BG34"/>
  <c r="BG26"/>
  <c r="BF25"/>
  <c r="BE29"/>
  <c r="BF29"/>
  <c r="BE59"/>
  <c r="BF59"/>
  <c r="BF31"/>
  <c r="BE33"/>
  <c r="BE41"/>
  <c r="BG63"/>
  <c r="BE50"/>
  <c r="BG23"/>
  <c r="BG27"/>
  <c r="BG39"/>
  <c r="BE39"/>
  <c r="BF49"/>
  <c r="BG98"/>
  <c r="BE37"/>
  <c r="BE45"/>
  <c r="BG67"/>
  <c r="BG54"/>
  <c r="BF62"/>
  <c r="BG42"/>
  <c r="BF81"/>
  <c r="BG81"/>
  <c r="BG164"/>
  <c r="BF164"/>
  <c r="BG172"/>
  <c r="BF172"/>
  <c r="BG180"/>
  <c r="BF180"/>
  <c r="BE26"/>
  <c r="BF34"/>
  <c r="BF40"/>
  <c r="BE73"/>
  <c r="BF93"/>
  <c r="BG109"/>
  <c r="BG120"/>
  <c r="BF120"/>
  <c r="BG136"/>
  <c r="BF136"/>
  <c r="BG152"/>
  <c r="BF152"/>
  <c r="BG168"/>
  <c r="BF168"/>
  <c r="BE289"/>
  <c r="BE321"/>
  <c r="BE138"/>
  <c r="BE140"/>
  <c r="BE42"/>
  <c r="BE128"/>
  <c r="BE72"/>
  <c r="BE89"/>
  <c r="BF85"/>
  <c r="BG101"/>
  <c r="BE115"/>
  <c r="BF60"/>
  <c r="BG68"/>
  <c r="BG91"/>
  <c r="BG118"/>
  <c r="BF118"/>
  <c r="BG134"/>
  <c r="BF134"/>
  <c r="BG150"/>
  <c r="BF150"/>
  <c r="BG166"/>
  <c r="BF166"/>
  <c r="BE223"/>
  <c r="BF378"/>
  <c r="BE154"/>
  <c r="BE162"/>
  <c r="BE178"/>
  <c r="BE132"/>
  <c r="BE180"/>
  <c r="BE66"/>
  <c r="BF89"/>
  <c r="BE109"/>
  <c r="BF264"/>
  <c r="BG313"/>
  <c r="BF313"/>
  <c r="BG116"/>
  <c r="BF116"/>
  <c r="BE250"/>
  <c r="BG250"/>
  <c r="BF262"/>
  <c r="BG305"/>
  <c r="BF305"/>
  <c r="BG331"/>
  <c r="BF331"/>
  <c r="BE186"/>
  <c r="BE196"/>
  <c r="BG184"/>
  <c r="BF184"/>
  <c r="BG200"/>
  <c r="BF200"/>
  <c r="BG204"/>
  <c r="BF204"/>
  <c r="BG210"/>
  <c r="BF210"/>
  <c r="BG216"/>
  <c r="BF216"/>
  <c r="BG220"/>
  <c r="BF220"/>
  <c r="BF227"/>
  <c r="BE231"/>
  <c r="BE334"/>
  <c r="BE350"/>
  <c r="BF350"/>
  <c r="BE194"/>
  <c r="BE198"/>
  <c r="BE202"/>
  <c r="BE216"/>
  <c r="BE287"/>
  <c r="BG237"/>
  <c r="BG269"/>
  <c r="BF269"/>
  <c r="BG285"/>
  <c r="BF285"/>
  <c r="BG301"/>
  <c r="BF301"/>
  <c r="BG317"/>
  <c r="BF317"/>
  <c r="BF370"/>
  <c r="BG370"/>
  <c r="BE285"/>
  <c r="BE317"/>
  <c r="BG225"/>
  <c r="BF336"/>
  <c r="BG372"/>
  <c r="BE372"/>
  <c r="BF362"/>
  <c r="BG362"/>
  <c r="BG344"/>
  <c r="BE344"/>
  <c r="BG379"/>
  <c r="BE387"/>
  <c r="BF371"/>
  <c r="BE371"/>
  <c r="BE383"/>
  <c r="BG391"/>
  <c r="BF395"/>
  <c r="BG399"/>
  <c r="BF403"/>
  <c r="BG407"/>
  <c r="BF411"/>
  <c r="BG422"/>
  <c r="BG429"/>
  <c r="BF429"/>
  <c r="BE431"/>
  <c r="BG474"/>
  <c r="BE474"/>
  <c r="BG415"/>
  <c r="BF415"/>
  <c r="BE472"/>
  <c r="BF416"/>
  <c r="BG381"/>
  <c r="BF389"/>
  <c r="BG433"/>
  <c r="BF433"/>
  <c r="BE443"/>
  <c r="BG450"/>
  <c r="BE450"/>
  <c r="BE476"/>
  <c r="BG444"/>
  <c r="BF444"/>
  <c r="BE464"/>
  <c r="BF464"/>
  <c r="BF445"/>
  <c r="BE453"/>
  <c r="BF461"/>
  <c r="BE473"/>
  <c r="BF39"/>
  <c r="BE49"/>
  <c r="BF98"/>
  <c r="BF45"/>
  <c r="BE67"/>
  <c r="BF54"/>
  <c r="BG62"/>
  <c r="BE342"/>
  <c r="BF132"/>
  <c r="BG148"/>
  <c r="BF240"/>
  <c r="BF48"/>
  <c r="BG73"/>
  <c r="BG128"/>
  <c r="BF128"/>
  <c r="BG144"/>
  <c r="BF160"/>
  <c r="BG176"/>
  <c r="BF176"/>
  <c r="BG321"/>
  <c r="BE338"/>
  <c r="BE122"/>
  <c r="BE152"/>
  <c r="BF72"/>
  <c r="BF115"/>
  <c r="BE327"/>
  <c r="BG60"/>
  <c r="BF174"/>
  <c r="BF295"/>
  <c r="BE113"/>
  <c r="BE146"/>
  <c r="BE172"/>
  <c r="BE58"/>
  <c r="BG72"/>
  <c r="BE126"/>
  <c r="BE150"/>
  <c r="BE166"/>
  <c r="BG257"/>
  <c r="BG319"/>
  <c r="BF319"/>
  <c r="BG233"/>
  <c r="BF311"/>
  <c r="BE218"/>
  <c r="BG182"/>
  <c r="BF192"/>
  <c r="BG202"/>
  <c r="BF202"/>
  <c r="BG208"/>
  <c r="BF214"/>
  <c r="BG218"/>
  <c r="BG227"/>
  <c r="BF254"/>
  <c r="BE200"/>
  <c r="BE212"/>
  <c r="BF277"/>
  <c r="BG293"/>
  <c r="BF309"/>
  <c r="BF352"/>
  <c r="BE370"/>
  <c r="BE301"/>
  <c r="BE329"/>
  <c r="BE362"/>
  <c r="BG364"/>
  <c r="BE364"/>
  <c r="BE439"/>
  <c r="BF391"/>
  <c r="BG395"/>
  <c r="BF399"/>
  <c r="BG403"/>
  <c r="BF407"/>
  <c r="BG411"/>
  <c r="BG418"/>
  <c r="BE427"/>
  <c r="BG435"/>
  <c r="BE441"/>
  <c r="BG448"/>
  <c r="BG466"/>
  <c r="BE466"/>
  <c r="BE444"/>
  <c r="BG458"/>
  <c r="BE458"/>
  <c r="BF453"/>
  <c r="BE461"/>
  <c r="BG25"/>
  <c r="BG55"/>
  <c r="BE31"/>
  <c r="BF35"/>
  <c r="BE23"/>
  <c r="BF138"/>
  <c r="BG162"/>
  <c r="BF46"/>
  <c r="BE160"/>
  <c r="BE36"/>
  <c r="BG154"/>
  <c r="BF50"/>
  <c r="BG264"/>
  <c r="BG107"/>
  <c r="BG223"/>
  <c r="BG224"/>
  <c r="BG228"/>
  <c r="BE295"/>
  <c r="BE99"/>
  <c r="BG188"/>
  <c r="BF194"/>
  <c r="BG198"/>
  <c r="BF212"/>
  <c r="BF273"/>
  <c r="BE204"/>
  <c r="BG287"/>
  <c r="BG231"/>
  <c r="BG254"/>
  <c r="BF334"/>
  <c r="BG350"/>
  <c r="BE220"/>
  <c r="BE252"/>
  <c r="BE309"/>
  <c r="BG283"/>
  <c r="BF299"/>
  <c r="BG315"/>
  <c r="BE275"/>
  <c r="BE283"/>
  <c r="BE291"/>
  <c r="BE299"/>
  <c r="BE323"/>
  <c r="BE379"/>
  <c r="BG439"/>
  <c r="BF439"/>
  <c r="BF383"/>
  <c r="BE391"/>
  <c r="BG401"/>
  <c r="BF405"/>
  <c r="BG409"/>
  <c r="BE422"/>
  <c r="BG472"/>
  <c r="BF418"/>
  <c r="BG427"/>
  <c r="BF427"/>
  <c r="BG452"/>
  <c r="BF452"/>
  <c r="BG441"/>
  <c r="BG464"/>
  <c r="BE25"/>
  <c r="BE55"/>
  <c r="BF55"/>
  <c r="BE100"/>
  <c r="BG100"/>
  <c r="BF33"/>
  <c r="BG41"/>
  <c r="BF27"/>
  <c r="BG49"/>
  <c r="BE84"/>
  <c r="BG84"/>
  <c r="BG45"/>
  <c r="BF67"/>
  <c r="BG58"/>
  <c r="BF69"/>
  <c r="BG69"/>
  <c r="BE105"/>
  <c r="BG130"/>
  <c r="BF130"/>
  <c r="BG146"/>
  <c r="BF146"/>
  <c r="BG170"/>
  <c r="BF170"/>
  <c r="BG178"/>
  <c r="BF178"/>
  <c r="BG342"/>
  <c r="BF342"/>
  <c r="BG46"/>
  <c r="BE240"/>
  <c r="BG240"/>
  <c r="BF26"/>
  <c r="BF44"/>
  <c r="BG52"/>
  <c r="BF109"/>
  <c r="BG36"/>
  <c r="BE124"/>
  <c r="BE46"/>
  <c r="BE176"/>
  <c r="BF252"/>
  <c r="BE297"/>
  <c r="BE28"/>
  <c r="BF36"/>
  <c r="BF66"/>
  <c r="BG89"/>
  <c r="BG122"/>
  <c r="BF122"/>
  <c r="BG50"/>
  <c r="BF101"/>
  <c r="BG124"/>
  <c r="BF124"/>
  <c r="BG140"/>
  <c r="BF140"/>
  <c r="BG156"/>
  <c r="BF156"/>
  <c r="BE264"/>
  <c r="BG327"/>
  <c r="BF327"/>
  <c r="BG56"/>
  <c r="BF64"/>
  <c r="BF77"/>
  <c r="BG77"/>
  <c r="BF223"/>
  <c r="BE224"/>
  <c r="BF224"/>
  <c r="BE228"/>
  <c r="BF228"/>
  <c r="BE437"/>
  <c r="BE148"/>
  <c r="BE156"/>
  <c r="BE54"/>
  <c r="BF105"/>
  <c r="BG186"/>
  <c r="BF186"/>
  <c r="BG190"/>
  <c r="BF190"/>
  <c r="BG196"/>
  <c r="BF196"/>
  <c r="BG206"/>
  <c r="BF206"/>
  <c r="BE242"/>
  <c r="BG242"/>
  <c r="BE257"/>
  <c r="BE233"/>
  <c r="BF250"/>
  <c r="BG279"/>
  <c r="BF279"/>
  <c r="BE188"/>
  <c r="BE206"/>
  <c r="BE210"/>
  <c r="BF231"/>
  <c r="BE254"/>
  <c r="BG297"/>
  <c r="BF297"/>
  <c r="BF376"/>
  <c r="BE208"/>
  <c r="BF237"/>
  <c r="BE244"/>
  <c r="BG244"/>
  <c r="BG352"/>
  <c r="BE352"/>
  <c r="BE293"/>
  <c r="BG229"/>
  <c r="BG275"/>
  <c r="BF275"/>
  <c r="BG291"/>
  <c r="BF291"/>
  <c r="BG307"/>
  <c r="BF307"/>
  <c r="BG323"/>
  <c r="BF323"/>
  <c r="BG325"/>
  <c r="BF325"/>
  <c r="BG329"/>
  <c r="BF329"/>
  <c r="BF372"/>
  <c r="BE325"/>
  <c r="BF344"/>
  <c r="BG387"/>
  <c r="BF339"/>
  <c r="BE347"/>
  <c r="BF363"/>
  <c r="BE363"/>
  <c r="BG383"/>
  <c r="BG397"/>
  <c r="BF401"/>
  <c r="BG405"/>
  <c r="BF409"/>
  <c r="BF422"/>
  <c r="BG431"/>
  <c r="BF431"/>
  <c r="BF474"/>
  <c r="BF472"/>
  <c r="BG385"/>
  <c r="BF393"/>
  <c r="BE435"/>
  <c r="BG416"/>
  <c r="BG443"/>
  <c r="BF450"/>
  <c r="BG456"/>
  <c r="BG476"/>
  <c r="BG29"/>
  <c r="BG59"/>
  <c r="BG31"/>
  <c r="BG33"/>
  <c r="BG35"/>
  <c r="BE35"/>
  <c r="BF41"/>
  <c r="BE63"/>
  <c r="BF63"/>
  <c r="BF23"/>
  <c r="BE98"/>
  <c r="BG37"/>
  <c r="BF37"/>
  <c r="BG105"/>
  <c r="BF42"/>
  <c r="BE81"/>
  <c r="BG132"/>
  <c r="BF148"/>
  <c r="BE34"/>
  <c r="BG40"/>
  <c r="BF73"/>
  <c r="BF144"/>
  <c r="BG160"/>
  <c r="BG289"/>
  <c r="BF289"/>
  <c r="BF321"/>
  <c r="BE170"/>
  <c r="BE168"/>
  <c r="BF28"/>
  <c r="BG99"/>
  <c r="BF68"/>
  <c r="BG126"/>
  <c r="BF126"/>
  <c r="BG142"/>
  <c r="BF142"/>
  <c r="BG158"/>
  <c r="BF158"/>
  <c r="BG174"/>
  <c r="BG295"/>
  <c r="BE378"/>
  <c r="BG437"/>
  <c r="BF437"/>
  <c r="BE130"/>
  <c r="BG28"/>
  <c r="BE118"/>
  <c r="BE134"/>
  <c r="BE142"/>
  <c r="BE158"/>
  <c r="BE174"/>
  <c r="BF242"/>
  <c r="BF257"/>
  <c r="BG281"/>
  <c r="BF281"/>
  <c r="BG311"/>
  <c r="BE190"/>
  <c r="BE214"/>
  <c r="BF182"/>
  <c r="BG192"/>
  <c r="BF208"/>
  <c r="BG214"/>
  <c r="BF218"/>
  <c r="BG271"/>
  <c r="BF271"/>
  <c r="BG376"/>
  <c r="BE376"/>
  <c r="BE319"/>
  <c r="BG277"/>
  <c r="BF293"/>
  <c r="BG309"/>
  <c r="BE269"/>
  <c r="BF225"/>
  <c r="BG235"/>
  <c r="BF379"/>
  <c r="BG371"/>
  <c r="BE415"/>
  <c r="BF381"/>
  <c r="BG389"/>
  <c r="BF435"/>
  <c r="BE452"/>
  <c r="BE456"/>
  <c r="BF456"/>
  <c r="BF476"/>
  <c r="BE445"/>
  <c r="BF473"/>
  <c r="BF100"/>
  <c r="BE27"/>
  <c r="BF84"/>
  <c r="BF99"/>
  <c r="BF58"/>
  <c r="BE69"/>
  <c r="BG113"/>
  <c r="BF113"/>
  <c r="BG138"/>
  <c r="BF162"/>
  <c r="BG44"/>
  <c r="BG48"/>
  <c r="BF52"/>
  <c r="BG93"/>
  <c r="BG338"/>
  <c r="BF338"/>
  <c r="BE164"/>
  <c r="BE120"/>
  <c r="BE136"/>
  <c r="BE144"/>
  <c r="BG66"/>
  <c r="BF154"/>
  <c r="BG85"/>
  <c r="BG115"/>
  <c r="BF56"/>
  <c r="BG64"/>
  <c r="BE77"/>
  <c r="BG378"/>
  <c r="BE62"/>
  <c r="BE93"/>
  <c r="BF188"/>
  <c r="BG194"/>
  <c r="BF198"/>
  <c r="BG212"/>
  <c r="BF233"/>
  <c r="BE262"/>
  <c r="BG262"/>
  <c r="BG273"/>
  <c r="BE182"/>
  <c r="BE192"/>
  <c r="BE227"/>
  <c r="BF287"/>
  <c r="BG303"/>
  <c r="BF303"/>
  <c r="BG334"/>
  <c r="BE184"/>
  <c r="BG252"/>
  <c r="BE277"/>
  <c r="BF229"/>
  <c r="BF283"/>
  <c r="BG299"/>
  <c r="BF315"/>
  <c r="BG336"/>
  <c r="BE336"/>
  <c r="BE237"/>
  <c r="BE307"/>
  <c r="BE315"/>
  <c r="BF364"/>
  <c r="BF387"/>
  <c r="BE339"/>
  <c r="BF347"/>
  <c r="BG363"/>
  <c r="BF397"/>
  <c r="BE429"/>
  <c r="BF385"/>
  <c r="BG393"/>
  <c r="BE433"/>
  <c r="BF441"/>
  <c r="BE448"/>
  <c r="BF466"/>
  <c r="BF458"/>
  <c r="BG284"/>
  <c r="BE268"/>
  <c r="BF268"/>
  <c r="BG94"/>
  <c r="BE92"/>
  <c r="BG92"/>
  <c r="BE197"/>
  <c r="BF197"/>
  <c r="BE406"/>
  <c r="BG406"/>
  <c r="BF384"/>
  <c r="BE226"/>
  <c r="BF454"/>
  <c r="BE203"/>
  <c r="BF203"/>
  <c r="BE90"/>
  <c r="BG292"/>
  <c r="BE276"/>
  <c r="BF276"/>
  <c r="BF358"/>
  <c r="BG358"/>
  <c r="BE108"/>
  <c r="BG108"/>
  <c r="BF446"/>
  <c r="BE201"/>
  <c r="BF201"/>
  <c r="BG143"/>
  <c r="BE135"/>
  <c r="BF135"/>
  <c r="BE468"/>
  <c r="BE478"/>
  <c r="BE457"/>
  <c r="BF455"/>
  <c r="BF345"/>
  <c r="BG355"/>
  <c r="BG261"/>
  <c r="BF436"/>
  <c r="BE442"/>
  <c r="BE343"/>
  <c r="BG360"/>
  <c r="BF360"/>
  <c r="BG173"/>
  <c r="BE149"/>
  <c r="BF149"/>
  <c r="BE332"/>
  <c r="BF332"/>
  <c r="BF70"/>
  <c r="BF24"/>
  <c r="BE104"/>
  <c r="BG219"/>
  <c r="BE195"/>
  <c r="BF195"/>
  <c r="BG222"/>
  <c r="BG470"/>
  <c r="BE470"/>
  <c r="BG425"/>
  <c r="BG79"/>
  <c r="BE79"/>
  <c r="BE341"/>
  <c r="BG341"/>
  <c r="BE163"/>
  <c r="BF163"/>
  <c r="BE123"/>
  <c r="BF123"/>
  <c r="BF87"/>
  <c r="BE193"/>
  <c r="BF193"/>
  <c r="BE333"/>
  <c r="BG467"/>
  <c r="BF451"/>
  <c r="BF449"/>
  <c r="BG449"/>
  <c r="BF382"/>
  <c r="BF374"/>
  <c r="BE337"/>
  <c r="BF259"/>
  <c r="BE423"/>
  <c r="BF423"/>
  <c r="BE408"/>
  <c r="BG408"/>
  <c r="BE322"/>
  <c r="BF322"/>
  <c r="BG314"/>
  <c r="BE290"/>
  <c r="BF290"/>
  <c r="BG282"/>
  <c r="BE346"/>
  <c r="BG367"/>
  <c r="BG388"/>
  <c r="BE238"/>
  <c r="BG238"/>
  <c r="BF238"/>
  <c r="BG368"/>
  <c r="BF368"/>
  <c r="BE326"/>
  <c r="BF326"/>
  <c r="BE380"/>
  <c r="BE32"/>
  <c r="BF103"/>
  <c r="BF459"/>
  <c r="BE366"/>
  <c r="BG392"/>
  <c r="BG265"/>
  <c r="BG340"/>
  <c r="BE340"/>
  <c r="BG318"/>
  <c r="BG133"/>
  <c r="BE117"/>
  <c r="BF117"/>
  <c r="BG74"/>
  <c r="BE183"/>
  <c r="BF183"/>
  <c r="BE207"/>
  <c r="BF207"/>
  <c r="BG111"/>
  <c r="BE111"/>
  <c r="BE175"/>
  <c r="BF175"/>
  <c r="BE43"/>
  <c r="BE430"/>
  <c r="BG430"/>
  <c r="BF414"/>
  <c r="BG354"/>
  <c r="BF354"/>
  <c r="BE354"/>
  <c r="BE410"/>
  <c r="BG410"/>
  <c r="BG249"/>
  <c r="BF249"/>
  <c r="BG245"/>
  <c r="BF245"/>
  <c r="BF83"/>
  <c r="BG179"/>
  <c r="BG155"/>
  <c r="BG131"/>
  <c r="BG209"/>
  <c r="BG127"/>
  <c r="BF471"/>
  <c r="BE377"/>
  <c r="BF390"/>
  <c r="BE477"/>
  <c r="BE253"/>
  <c r="BG356"/>
  <c r="BF356"/>
  <c r="BG426"/>
  <c r="BE251"/>
  <c r="BE247"/>
  <c r="BE243"/>
  <c r="BE239"/>
  <c r="BG447"/>
  <c r="BG386"/>
  <c r="BG97"/>
  <c r="BE38"/>
  <c r="BG38"/>
  <c r="BF95"/>
  <c r="BF462"/>
  <c r="BF90"/>
  <c r="BG324"/>
  <c r="BE308"/>
  <c r="BE358"/>
  <c r="BF108"/>
  <c r="BG213"/>
  <c r="BF348"/>
  <c r="BF159"/>
  <c r="BF82"/>
  <c r="BG455"/>
  <c r="BG440"/>
  <c r="BE345"/>
  <c r="BE261"/>
  <c r="BG419"/>
  <c r="BG343"/>
  <c r="BE181"/>
  <c r="BG141"/>
  <c r="BF125"/>
  <c r="BG70"/>
  <c r="BE199"/>
  <c r="BG104"/>
  <c r="BE217"/>
  <c r="BG255"/>
  <c r="BE246"/>
  <c r="BF246"/>
  <c r="BF341"/>
  <c r="BE147"/>
  <c r="BE87"/>
  <c r="BE302"/>
  <c r="BF302"/>
  <c r="BF333"/>
  <c r="BF119"/>
  <c r="BE451"/>
  <c r="BG463"/>
  <c r="BE382"/>
  <c r="BG374"/>
  <c r="BG353"/>
  <c r="BF267"/>
  <c r="BG263"/>
  <c r="BF408"/>
  <c r="BE298"/>
  <c r="BG274"/>
  <c r="BF367"/>
  <c r="BE367"/>
  <c r="BF388"/>
  <c r="BE330"/>
  <c r="BF248"/>
  <c r="BE103"/>
  <c r="BF373"/>
  <c r="BE157"/>
  <c r="BE102"/>
  <c r="BF278"/>
  <c r="BF51"/>
  <c r="BG414"/>
  <c r="BG83"/>
  <c r="BG167"/>
  <c r="BF151"/>
  <c r="BE471"/>
  <c r="BE361"/>
  <c r="BG390"/>
  <c r="BG251"/>
  <c r="BF230"/>
  <c r="BG95"/>
  <c r="BE95"/>
  <c r="BE316"/>
  <c r="BE189"/>
  <c r="BF78"/>
  <c r="BE234"/>
  <c r="BG226"/>
  <c r="BE310"/>
  <c r="BF310"/>
  <c r="BG211"/>
  <c r="BF187"/>
  <c r="BF106"/>
  <c r="BE324"/>
  <c r="BF324"/>
  <c r="BF402"/>
  <c r="BF213"/>
  <c r="BE428"/>
  <c r="BG428"/>
  <c r="BG412"/>
  <c r="BE412"/>
  <c r="BE419"/>
  <c r="BF419"/>
  <c r="BG442"/>
  <c r="BE141"/>
  <c r="BF104"/>
  <c r="BF398"/>
  <c r="BG369"/>
  <c r="BE420"/>
  <c r="BF357"/>
  <c r="BE241"/>
  <c r="BE75"/>
  <c r="BG163"/>
  <c r="BG123"/>
  <c r="BG193"/>
  <c r="BF53"/>
  <c r="BG451"/>
  <c r="BE475"/>
  <c r="BE365"/>
  <c r="BF353"/>
  <c r="BF263"/>
  <c r="BF306"/>
  <c r="BF274"/>
  <c r="BG346"/>
  <c r="BE388"/>
  <c r="BE368"/>
  <c r="BG326"/>
  <c r="BF380"/>
  <c r="BG32"/>
  <c r="BG30"/>
  <c r="BG459"/>
  <c r="BE373"/>
  <c r="BG366"/>
  <c r="BG400"/>
  <c r="BF165"/>
  <c r="BF294"/>
  <c r="BF236"/>
  <c r="BG183"/>
  <c r="BF102"/>
  <c r="BG207"/>
  <c r="BF430"/>
  <c r="BF351"/>
  <c r="BE171"/>
  <c r="BF139"/>
  <c r="BE76"/>
  <c r="BE191"/>
  <c r="BF191"/>
  <c r="BE167"/>
  <c r="BG471"/>
  <c r="BG465"/>
  <c r="BG460"/>
  <c r="BE460"/>
  <c r="BF260"/>
  <c r="BF247"/>
  <c r="BG243"/>
  <c r="BF239"/>
  <c r="BF447"/>
  <c r="BE97"/>
  <c r="BG335"/>
  <c r="BG375"/>
  <c r="BG300"/>
  <c r="BE284"/>
  <c r="BF284"/>
  <c r="BE404"/>
  <c r="BG404"/>
  <c r="BG215"/>
  <c r="BE94"/>
  <c r="BF417"/>
  <c r="BE221"/>
  <c r="BG221"/>
  <c r="BE205"/>
  <c r="BF205"/>
  <c r="BG234"/>
  <c r="BF234"/>
  <c r="BF226"/>
  <c r="BG462"/>
  <c r="BE462"/>
  <c r="BG286"/>
  <c r="BE211"/>
  <c r="BF211"/>
  <c r="BG86"/>
  <c r="BE106"/>
  <c r="BE47"/>
  <c r="BG308"/>
  <c r="BE292"/>
  <c r="BF292"/>
  <c r="BE402"/>
  <c r="BG402"/>
  <c r="BG110"/>
  <c r="BE446"/>
  <c r="BG185"/>
  <c r="BG159"/>
  <c r="BE143"/>
  <c r="BF143"/>
  <c r="BG82"/>
  <c r="BE82"/>
  <c r="BG478"/>
  <c r="BF440"/>
  <c r="BF355"/>
  <c r="BF261"/>
  <c r="BE436"/>
  <c r="BG436"/>
  <c r="BF412"/>
  <c r="BG181"/>
  <c r="BE173"/>
  <c r="BF173"/>
  <c r="BG125"/>
  <c r="BG332"/>
  <c r="BG24"/>
  <c r="BG199"/>
  <c r="BE398"/>
  <c r="BG398"/>
  <c r="BE219"/>
  <c r="BF219"/>
  <c r="BG217"/>
  <c r="BF222"/>
  <c r="BF369"/>
  <c r="BE369"/>
  <c r="BE425"/>
  <c r="BF425"/>
  <c r="BF420"/>
  <c r="BE357"/>
  <c r="BE255"/>
  <c r="BF79"/>
  <c r="BG75"/>
  <c r="BG147"/>
  <c r="BG302"/>
  <c r="BG119"/>
  <c r="BF467"/>
  <c r="BE463"/>
  <c r="BF475"/>
  <c r="BG365"/>
  <c r="BE353"/>
  <c r="BG337"/>
  <c r="BG267"/>
  <c r="BE263"/>
  <c r="BE314"/>
  <c r="BF314"/>
  <c r="BG298"/>
  <c r="BE282"/>
  <c r="BF282"/>
  <c r="BE349"/>
  <c r="BG330"/>
  <c r="BG380"/>
  <c r="BE248"/>
  <c r="BG248"/>
  <c r="BF30"/>
  <c r="BG373"/>
  <c r="BF392"/>
  <c r="BF265"/>
  <c r="BF400"/>
  <c r="BE396"/>
  <c r="BG396"/>
  <c r="BE318"/>
  <c r="BF318"/>
  <c r="BG157"/>
  <c r="BE133"/>
  <c r="BF133"/>
  <c r="BE236"/>
  <c r="BG236"/>
  <c r="BE74"/>
  <c r="BG102"/>
  <c r="BG278"/>
  <c r="BE51"/>
  <c r="BG51"/>
  <c r="BG43"/>
  <c r="BF469"/>
  <c r="BG469"/>
  <c r="BG424"/>
  <c r="BE424"/>
  <c r="BE414"/>
  <c r="BE351"/>
  <c r="BE249"/>
  <c r="BE245"/>
  <c r="BE71"/>
  <c r="BE179"/>
  <c r="BF179"/>
  <c r="BE155"/>
  <c r="BF155"/>
  <c r="BE131"/>
  <c r="BF131"/>
  <c r="BE80"/>
  <c r="BF76"/>
  <c r="BG76"/>
  <c r="BE209"/>
  <c r="BF209"/>
  <c r="BG151"/>
  <c r="BE127"/>
  <c r="BF127"/>
  <c r="BE465"/>
  <c r="BF361"/>
  <c r="BG361"/>
  <c r="BG253"/>
  <c r="BE356"/>
  <c r="BF359"/>
  <c r="BE359"/>
  <c r="BE447"/>
  <c r="BF386"/>
  <c r="BE230"/>
  <c r="BE232"/>
  <c r="BG232"/>
  <c r="BF97"/>
  <c r="BF38"/>
  <c r="BE335"/>
  <c r="BF375"/>
  <c r="BE375"/>
  <c r="BG316"/>
  <c r="BE300"/>
  <c r="BF300"/>
  <c r="BE215"/>
  <c r="BF215"/>
  <c r="BF94"/>
  <c r="BF92"/>
  <c r="BF221"/>
  <c r="BG197"/>
  <c r="BG189"/>
  <c r="BF406"/>
  <c r="BE384"/>
  <c r="BG454"/>
  <c r="BE454"/>
  <c r="BG310"/>
  <c r="BE286"/>
  <c r="BF286"/>
  <c r="BG187"/>
  <c r="BE86"/>
  <c r="BG90"/>
  <c r="BG47"/>
  <c r="BF308"/>
  <c r="BE110"/>
  <c r="BG348"/>
  <c r="BE159"/>
  <c r="BG468"/>
  <c r="BF478"/>
  <c r="BF457"/>
  <c r="BG457"/>
  <c r="BE455"/>
  <c r="BE440"/>
  <c r="BF428"/>
  <c r="BF343"/>
  <c r="BF181"/>
  <c r="BE125"/>
  <c r="BE70"/>
  <c r="BF199"/>
  <c r="BG195"/>
  <c r="BG328"/>
  <c r="BF217"/>
  <c r="BE222"/>
  <c r="BG357"/>
  <c r="BF255"/>
  <c r="BG241"/>
  <c r="BF241"/>
  <c r="BG246"/>
  <c r="BF147"/>
  <c r="BG87"/>
  <c r="BE53"/>
  <c r="BE119"/>
  <c r="BE449"/>
  <c r="BF365"/>
  <c r="BG382"/>
  <c r="BE374"/>
  <c r="BF337"/>
  <c r="BE267"/>
  <c r="BE259"/>
  <c r="BG423"/>
  <c r="BG306"/>
  <c r="BF298"/>
  <c r="BF330"/>
  <c r="BF32"/>
  <c r="BG103"/>
  <c r="BE459"/>
  <c r="BF366"/>
  <c r="BF340"/>
  <c r="BG165"/>
  <c r="BF157"/>
  <c r="BG294"/>
  <c r="BF74"/>
  <c r="BE278"/>
  <c r="BF111"/>
  <c r="BF43"/>
  <c r="BF410"/>
  <c r="BF71"/>
  <c r="BG171"/>
  <c r="BG139"/>
  <c r="BG191"/>
  <c r="BE151"/>
  <c r="BF377"/>
  <c r="BE390"/>
  <c r="BF477"/>
  <c r="BG477"/>
  <c r="BF253"/>
  <c r="BG260"/>
  <c r="BE426"/>
  <c r="BF316"/>
  <c r="BG268"/>
  <c r="BF404"/>
  <c r="BE417"/>
  <c r="BG417"/>
  <c r="BG205"/>
  <c r="BF189"/>
  <c r="BG78"/>
  <c r="BE78"/>
  <c r="BG384"/>
  <c r="BG203"/>
  <c r="BE187"/>
  <c r="BF86"/>
  <c r="BG106"/>
  <c r="BF47"/>
  <c r="BG276"/>
  <c r="BF110"/>
  <c r="BE213"/>
  <c r="BG446"/>
  <c r="BE348"/>
  <c r="BG201"/>
  <c r="BE185"/>
  <c r="BF185"/>
  <c r="BG135"/>
  <c r="BF468"/>
  <c r="BG345"/>
  <c r="BE355"/>
  <c r="BF442"/>
  <c r="BE360"/>
  <c r="BG149"/>
  <c r="BF141"/>
  <c r="BE24"/>
  <c r="BE328"/>
  <c r="BF328"/>
  <c r="BF470"/>
  <c r="BG420"/>
  <c r="BF75"/>
  <c r="BG333"/>
  <c r="BG53"/>
  <c r="BE467"/>
  <c r="BF463"/>
  <c r="BG475"/>
  <c r="BG259"/>
  <c r="BG322"/>
  <c r="BE306"/>
  <c r="BG290"/>
  <c r="BE274"/>
  <c r="BF346"/>
  <c r="BF349"/>
  <c r="BG349"/>
  <c r="BE30"/>
  <c r="BE392"/>
  <c r="BE265"/>
  <c r="BE400"/>
  <c r="BF396"/>
  <c r="BE165"/>
  <c r="BG117"/>
  <c r="BE294"/>
  <c r="BG175"/>
  <c r="BE469"/>
  <c r="BF424"/>
  <c r="BG351"/>
  <c r="BE83"/>
  <c r="BG71"/>
  <c r="BF171"/>
  <c r="BE139"/>
  <c r="BF80"/>
  <c r="BG80"/>
  <c r="BF167"/>
  <c r="BF465"/>
  <c r="BF460"/>
  <c r="BG377"/>
  <c r="BE260"/>
  <c r="BF426"/>
  <c r="BG359"/>
  <c r="BF251"/>
  <c r="BG247"/>
  <c r="BF243"/>
  <c r="BG239"/>
  <c r="BE386"/>
  <c r="BG230"/>
  <c r="BF232"/>
  <c r="BF335"/>
  <c r="BE394"/>
  <c r="BG394"/>
  <c r="BF256"/>
  <c r="BE65"/>
  <c r="BG137"/>
  <c r="BE145"/>
  <c r="BF145"/>
  <c r="BE153"/>
  <c r="BF153"/>
  <c r="BF266"/>
  <c r="BG266"/>
  <c r="BE421"/>
  <c r="BG421"/>
  <c r="BF96"/>
  <c r="BE57"/>
  <c r="BG57"/>
  <c r="BG114"/>
  <c r="BG320"/>
  <c r="BE280"/>
  <c r="BF280"/>
  <c r="BG169"/>
  <c r="BE121"/>
  <c r="BF121"/>
  <c r="BG296"/>
  <c r="BE272"/>
  <c r="BF272"/>
  <c r="BG258"/>
  <c r="BG304"/>
  <c r="BF438"/>
  <c r="BE129"/>
  <c r="BF129"/>
  <c r="BF432"/>
  <c r="BF161"/>
  <c r="BF258"/>
  <c r="BE177"/>
  <c r="BE61"/>
  <c r="BG61"/>
  <c r="BG145"/>
  <c r="BE413"/>
  <c r="BF413"/>
  <c r="BG153"/>
  <c r="BF270"/>
  <c r="BG96"/>
  <c r="BF112"/>
  <c r="BF288"/>
  <c r="BG272"/>
  <c r="BE258"/>
  <c r="BF61"/>
  <c r="BE312"/>
  <c r="BE256"/>
  <c r="BF65"/>
  <c r="BE137"/>
  <c r="BF137"/>
  <c r="BF88"/>
  <c r="BE266"/>
  <c r="BF421"/>
  <c r="BF57"/>
  <c r="BE114"/>
  <c r="BF114"/>
  <c r="BE320"/>
  <c r="BF320"/>
  <c r="BE169"/>
  <c r="BF169"/>
  <c r="BG161"/>
  <c r="BE296"/>
  <c r="BF296"/>
  <c r="BG177"/>
  <c r="BE304"/>
  <c r="BF304"/>
  <c r="BF434"/>
  <c r="BG434"/>
  <c r="BE438"/>
  <c r="BG438"/>
  <c r="BF394"/>
  <c r="BG256"/>
  <c r="BG65"/>
  <c r="BG413"/>
  <c r="BG270"/>
  <c r="BE88"/>
  <c r="BE112"/>
  <c r="BG112"/>
  <c r="BG288"/>
  <c r="BG432"/>
  <c r="BE161"/>
  <c r="BF177"/>
  <c r="BG312"/>
  <c r="BE434"/>
  <c r="BE270"/>
  <c r="BG88"/>
  <c r="BE96"/>
  <c r="BG280"/>
  <c r="BE288"/>
  <c r="BG121"/>
  <c r="BE432"/>
  <c r="BF312"/>
  <c r="BG129"/>
  <c r="B72" i="7"/>
  <c r="A73"/>
  <c r="B75"/>
  <c r="H16" i="25" s="1"/>
  <c r="B76" i="7"/>
  <c r="B77"/>
  <c r="B78"/>
  <c r="B79"/>
  <c r="H20" i="25" s="1"/>
  <c r="B80" i="7"/>
  <c r="B81"/>
  <c r="B82"/>
  <c r="B83"/>
  <c r="H24" i="25" s="1"/>
  <c r="B84" i="7"/>
  <c r="B85"/>
  <c r="B74"/>
  <c r="A75"/>
  <c r="G16" i="25" s="1"/>
  <c r="A76" i="7"/>
  <c r="A77"/>
  <c r="A78"/>
  <c r="A79"/>
  <c r="G20" i="25" s="1"/>
  <c r="A80" i="7"/>
  <c r="A81"/>
  <c r="A82"/>
  <c r="A83"/>
  <c r="G24" i="25" s="1"/>
  <c r="A84" i="7"/>
  <c r="A85"/>
  <c r="B42" i="6"/>
  <c r="A43"/>
  <c r="B45"/>
  <c r="B46"/>
  <c r="B47"/>
  <c r="B48"/>
  <c r="H7" i="25" s="1"/>
  <c r="B49" i="6"/>
  <c r="B50"/>
  <c r="B51"/>
  <c r="B52"/>
  <c r="H11" i="25" s="1"/>
  <c r="B53" i="6"/>
  <c r="B54"/>
  <c r="B55"/>
  <c r="B44"/>
  <c r="H3" i="25" s="1"/>
  <c r="A45" i="6"/>
  <c r="A46"/>
  <c r="A47"/>
  <c r="A48"/>
  <c r="A49"/>
  <c r="A50"/>
  <c r="A51"/>
  <c r="A52"/>
  <c r="G11" i="25" s="1"/>
  <c r="A53" i="6"/>
  <c r="A54"/>
  <c r="A55"/>
  <c r="A44"/>
  <c r="BA129" i="10"/>
  <c r="BA455"/>
  <c r="BA459"/>
  <c r="BA261"/>
  <c r="BA386"/>
  <c r="BA410"/>
  <c r="BA140"/>
  <c r="BA170"/>
  <c r="BA271"/>
  <c r="BA37"/>
  <c r="BA347"/>
  <c r="BA408"/>
  <c r="BA193"/>
  <c r="BA462"/>
  <c r="BA427"/>
  <c r="BA432"/>
  <c r="BA141"/>
  <c r="BA446"/>
  <c r="BA47"/>
  <c r="BA135"/>
  <c r="BA377"/>
  <c r="BA181"/>
  <c r="BA416"/>
  <c r="BA164"/>
  <c r="BA35"/>
  <c r="BA29"/>
  <c r="BA471"/>
  <c r="BA76"/>
  <c r="BA278"/>
  <c r="BA86"/>
  <c r="BA405"/>
  <c r="BA435"/>
  <c r="BA49"/>
  <c r="BA90"/>
  <c r="BA66"/>
  <c r="BA162"/>
  <c r="BA28"/>
  <c r="BA132"/>
  <c r="BA77"/>
  <c r="BA88"/>
  <c r="BA288"/>
  <c r="BA374"/>
  <c r="BA187"/>
  <c r="BA419"/>
  <c r="BA159"/>
  <c r="BA72"/>
  <c r="BA464"/>
  <c r="BA303"/>
  <c r="BA262"/>
  <c r="BA371"/>
  <c r="BA57"/>
  <c r="BA369"/>
  <c r="BA117"/>
  <c r="BA106"/>
  <c r="BA247"/>
  <c r="BA355"/>
  <c r="BA201"/>
  <c r="BA365"/>
  <c r="BA454"/>
  <c r="BA338"/>
  <c r="BA105"/>
  <c r="BA209"/>
  <c r="BA189"/>
  <c r="BA241"/>
  <c r="BA33"/>
  <c r="BA272"/>
  <c r="BA65"/>
  <c r="BA266"/>
  <c r="BA133"/>
  <c r="BA449"/>
  <c r="BA260"/>
  <c r="BA430"/>
  <c r="BA333"/>
  <c r="BA292"/>
  <c r="BA245"/>
  <c r="BA207"/>
  <c r="BA349"/>
  <c r="BA428"/>
  <c r="BA186"/>
  <c r="BA156"/>
  <c r="BA178"/>
  <c r="BA305"/>
  <c r="BA378"/>
  <c r="BA39"/>
  <c r="BA336"/>
  <c r="BA287"/>
  <c r="BA273"/>
  <c r="BA64"/>
  <c r="BA25"/>
  <c r="BA122"/>
  <c r="BA448"/>
  <c r="BA218"/>
  <c r="BA128"/>
  <c r="BA145"/>
  <c r="BA413"/>
  <c r="BA361"/>
  <c r="BA94"/>
  <c r="BA426"/>
  <c r="BA436"/>
  <c r="BA211"/>
  <c r="BA420"/>
  <c r="BA324"/>
  <c r="BA392"/>
  <c r="BA332"/>
  <c r="BA284"/>
  <c r="BA232"/>
  <c r="BA450"/>
  <c r="BA372"/>
  <c r="BA118"/>
  <c r="BA172"/>
  <c r="BA452"/>
  <c r="BA85"/>
  <c r="BA474"/>
  <c r="BA120"/>
  <c r="BA293"/>
  <c r="BA192"/>
  <c r="BA242"/>
  <c r="BA289"/>
  <c r="BA240"/>
  <c r="BA339"/>
  <c r="BA453"/>
  <c r="BA114"/>
  <c r="BA351"/>
  <c r="BA326"/>
  <c r="BA268"/>
  <c r="BA167"/>
  <c r="BA475"/>
  <c r="BA412"/>
  <c r="BA197"/>
  <c r="BA111"/>
  <c r="BA149"/>
  <c r="BA469"/>
  <c r="BA330"/>
  <c r="BA255"/>
  <c r="BA476"/>
  <c r="BA344"/>
  <c r="BA55"/>
  <c r="BA439"/>
  <c r="BA283"/>
  <c r="BA56"/>
  <c r="BA98"/>
  <c r="BA101"/>
  <c r="BA309"/>
  <c r="BA254"/>
  <c r="BA202"/>
  <c r="BA45"/>
  <c r="BA415"/>
  <c r="BA366"/>
  <c r="BA75"/>
  <c r="BA249"/>
  <c r="BA398"/>
  <c r="BA340"/>
  <c r="BA276"/>
  <c r="BA380"/>
  <c r="BA217"/>
  <c r="BA286"/>
  <c r="BA352"/>
  <c r="BA269"/>
  <c r="BA150"/>
  <c r="BA212"/>
  <c r="BA44"/>
  <c r="BA59"/>
  <c r="BA42"/>
  <c r="BA264"/>
  <c r="BA36"/>
  <c r="BA160"/>
  <c r="BA23"/>
  <c r="BA153"/>
  <c r="BA131"/>
  <c r="BA382"/>
  <c r="BA478"/>
  <c r="BA359"/>
  <c r="BA384"/>
  <c r="BA353"/>
  <c r="BA79"/>
  <c r="BA318"/>
  <c r="BA71"/>
  <c r="BA32"/>
  <c r="BA151"/>
  <c r="BA119"/>
  <c r="BA196"/>
  <c r="BA50"/>
  <c r="BA433"/>
  <c r="BA54"/>
  <c r="BA296"/>
  <c r="BA121"/>
  <c r="BA320"/>
  <c r="BA256"/>
  <c r="BA388"/>
  <c r="BA173"/>
  <c r="BA451"/>
  <c r="BA406"/>
  <c r="BA92"/>
  <c r="BA239"/>
  <c r="BA460"/>
  <c r="BA400"/>
  <c r="BA457"/>
  <c r="BA78"/>
  <c r="BA367"/>
  <c r="BA425"/>
  <c r="BA219"/>
  <c r="BA396"/>
  <c r="BA290"/>
  <c r="BA123"/>
  <c r="BA470"/>
  <c r="BA203"/>
  <c r="BA251"/>
  <c r="BA83"/>
  <c r="BA248"/>
  <c r="BA337"/>
  <c r="BA468"/>
  <c r="BA185"/>
  <c r="BA110"/>
  <c r="BA308"/>
  <c r="BA221"/>
  <c r="BA300"/>
  <c r="BA443"/>
  <c r="BA116"/>
  <c r="BA166"/>
  <c r="BA152"/>
  <c r="BA472"/>
  <c r="BA188"/>
  <c r="BA223"/>
  <c r="BA100"/>
  <c r="BA397"/>
  <c r="BA275"/>
  <c r="BA250"/>
  <c r="BA58"/>
  <c r="BA63"/>
  <c r="BA381"/>
  <c r="BA429"/>
  <c r="BA411"/>
  <c r="BA395"/>
  <c r="BA277"/>
  <c r="BA295"/>
  <c r="BA174"/>
  <c r="BA148"/>
  <c r="BA62"/>
  <c r="BA73"/>
  <c r="BA461"/>
  <c r="BA258"/>
  <c r="BA390"/>
  <c r="BA417"/>
  <c r="BA310"/>
  <c r="BA282"/>
  <c r="BA327"/>
  <c r="BA444"/>
  <c r="BA237"/>
  <c r="BA342"/>
  <c r="BA91"/>
  <c r="BA180"/>
  <c r="BA389"/>
  <c r="BA257"/>
  <c r="BA437"/>
  <c r="BA142"/>
  <c r="BA144"/>
  <c r="BA364"/>
  <c r="BA434"/>
  <c r="BA394"/>
  <c r="BA112"/>
  <c r="BA270"/>
  <c r="BA137"/>
  <c r="BA267"/>
  <c r="BA375"/>
  <c r="BA465"/>
  <c r="BA183"/>
  <c r="BA345"/>
  <c r="BA205"/>
  <c r="BA404"/>
  <c r="BA243"/>
  <c r="BA171"/>
  <c r="BA294"/>
  <c r="BA368"/>
  <c r="BA423"/>
  <c r="BA328"/>
  <c r="BA442"/>
  <c r="BA213"/>
  <c r="BA316"/>
  <c r="BA447"/>
  <c r="BA467"/>
  <c r="BA143"/>
  <c r="BA335"/>
  <c r="BA30"/>
  <c r="BA95"/>
  <c r="BA80"/>
  <c r="BA414"/>
  <c r="BA51"/>
  <c r="BA373"/>
  <c r="BA298"/>
  <c r="BA87"/>
  <c r="BA215"/>
  <c r="BA329"/>
  <c r="BA297"/>
  <c r="BA124"/>
  <c r="BA46"/>
  <c r="BA130"/>
  <c r="BA422"/>
  <c r="BA379"/>
  <c r="BA109"/>
  <c r="BA441"/>
  <c r="BA409"/>
  <c r="BA362"/>
  <c r="BA299"/>
  <c r="BA370"/>
  <c r="BA107"/>
  <c r="BA115"/>
  <c r="BA387"/>
  <c r="BA229"/>
  <c r="BA67"/>
  <c r="BA407"/>
  <c r="BA317"/>
  <c r="BA184"/>
  <c r="BA313"/>
  <c r="BA224"/>
  <c r="BA168"/>
  <c r="BA466"/>
  <c r="BA235"/>
  <c r="BA244"/>
  <c r="BA208"/>
  <c r="BA281"/>
  <c r="BA99"/>
  <c r="BA363"/>
  <c r="BA473"/>
  <c r="B33" i="2"/>
  <c r="B65"/>
  <c r="A32" i="5"/>
  <c r="B32" i="2"/>
  <c r="B64"/>
  <c r="A31" i="5"/>
  <c r="B31" i="2"/>
  <c r="B63"/>
  <c r="A30" i="5"/>
  <c r="B30" i="2"/>
  <c r="B62"/>
  <c r="A29" i="5"/>
  <c r="B29" i="2"/>
  <c r="B61"/>
  <c r="A28" i="5"/>
  <c r="B28" i="2"/>
  <c r="B60"/>
  <c r="A27" i="5"/>
  <c r="B27" i="2"/>
  <c r="B59"/>
  <c r="A26" i="5"/>
  <c r="B26" i="2"/>
  <c r="B58"/>
  <c r="A25" i="5"/>
  <c r="B25" i="2"/>
  <c r="B57"/>
  <c r="A24" i="5"/>
  <c r="C436" i="17"/>
  <c r="F436"/>
  <c r="G436"/>
  <c r="H436"/>
  <c r="J436"/>
  <c r="K436"/>
  <c r="L436"/>
  <c r="M436"/>
  <c r="N436"/>
  <c r="O436"/>
  <c r="P436"/>
  <c r="Q436"/>
  <c r="C437"/>
  <c r="F437"/>
  <c r="G437"/>
  <c r="H437"/>
  <c r="J437"/>
  <c r="K437"/>
  <c r="L437"/>
  <c r="M437"/>
  <c r="N437"/>
  <c r="O437"/>
  <c r="P437"/>
  <c r="Q437"/>
  <c r="C438"/>
  <c r="F438"/>
  <c r="G438"/>
  <c r="H438"/>
  <c r="J438"/>
  <c r="K438"/>
  <c r="L438"/>
  <c r="M438"/>
  <c r="N438"/>
  <c r="O438"/>
  <c r="P438"/>
  <c r="Q438"/>
  <c r="C439"/>
  <c r="F439"/>
  <c r="G439"/>
  <c r="H439"/>
  <c r="J439"/>
  <c r="K439"/>
  <c r="L439"/>
  <c r="M439"/>
  <c r="N439"/>
  <c r="O439"/>
  <c r="P439"/>
  <c r="Q439"/>
  <c r="C440"/>
  <c r="F440"/>
  <c r="G440"/>
  <c r="H440"/>
  <c r="J440"/>
  <c r="K440"/>
  <c r="L440"/>
  <c r="M440"/>
  <c r="N440"/>
  <c r="O440"/>
  <c r="P440"/>
  <c r="Q440"/>
  <c r="C441"/>
  <c r="F441"/>
  <c r="G441"/>
  <c r="H441"/>
  <c r="J441"/>
  <c r="K441"/>
  <c r="L441"/>
  <c r="M441"/>
  <c r="N441"/>
  <c r="O441"/>
  <c r="P441"/>
  <c r="Q441"/>
  <c r="C442"/>
  <c r="F442"/>
  <c r="G442"/>
  <c r="H442"/>
  <c r="J442"/>
  <c r="K442"/>
  <c r="L442"/>
  <c r="M442"/>
  <c r="N442"/>
  <c r="O442"/>
  <c r="P442"/>
  <c r="Q442"/>
  <c r="C443"/>
  <c r="F443"/>
  <c r="G443"/>
  <c r="H443"/>
  <c r="J443"/>
  <c r="K443"/>
  <c r="L443"/>
  <c r="M443"/>
  <c r="N443"/>
  <c r="O443"/>
  <c r="P443"/>
  <c r="Q443"/>
  <c r="C444"/>
  <c r="F444"/>
  <c r="G444"/>
  <c r="H444"/>
  <c r="J444"/>
  <c r="K444"/>
  <c r="L444"/>
  <c r="M444"/>
  <c r="N444"/>
  <c r="O444"/>
  <c r="P444"/>
  <c r="Q444"/>
  <c r="C445"/>
  <c r="F445"/>
  <c r="G445"/>
  <c r="H445"/>
  <c r="J445"/>
  <c r="K445"/>
  <c r="L445"/>
  <c r="M445"/>
  <c r="N445"/>
  <c r="O445"/>
  <c r="P445"/>
  <c r="Q445"/>
  <c r="C446"/>
  <c r="F446"/>
  <c r="G446"/>
  <c r="H446"/>
  <c r="J446"/>
  <c r="K446"/>
  <c r="L446"/>
  <c r="M446"/>
  <c r="N446"/>
  <c r="O446"/>
  <c r="P446"/>
  <c r="Q446"/>
  <c r="C448"/>
  <c r="F448"/>
  <c r="G448"/>
  <c r="H448"/>
  <c r="J448"/>
  <c r="K448"/>
  <c r="L448"/>
  <c r="M448"/>
  <c r="N448"/>
  <c r="O448"/>
  <c r="P448"/>
  <c r="Q448"/>
  <c r="C449"/>
  <c r="F449"/>
  <c r="G449"/>
  <c r="H449"/>
  <c r="J449"/>
  <c r="K449"/>
  <c r="L449"/>
  <c r="M449"/>
  <c r="N449"/>
  <c r="O449"/>
  <c r="P449"/>
  <c r="Q449"/>
  <c r="C450"/>
  <c r="F450"/>
  <c r="G450"/>
  <c r="H450"/>
  <c r="J450"/>
  <c r="K450"/>
  <c r="L450"/>
  <c r="M450"/>
  <c r="N450"/>
  <c r="O450"/>
  <c r="P450"/>
  <c r="Q450"/>
  <c r="C451"/>
  <c r="F451"/>
  <c r="G451"/>
  <c r="H451"/>
  <c r="J451"/>
  <c r="K451"/>
  <c r="L451"/>
  <c r="M451"/>
  <c r="N451"/>
  <c r="O451"/>
  <c r="P451"/>
  <c r="Q451"/>
  <c r="C453"/>
  <c r="F453"/>
  <c r="G453"/>
  <c r="H453"/>
  <c r="J453"/>
  <c r="K453"/>
  <c r="L453"/>
  <c r="M453"/>
  <c r="N453"/>
  <c r="O453"/>
  <c r="P453"/>
  <c r="Q453"/>
  <c r="C454"/>
  <c r="F454"/>
  <c r="G454"/>
  <c r="H454"/>
  <c r="J454"/>
  <c r="K454"/>
  <c r="L454"/>
  <c r="M454"/>
  <c r="N454"/>
  <c r="O454"/>
  <c r="P454"/>
  <c r="Q454"/>
  <c r="C455"/>
  <c r="F455"/>
  <c r="G455"/>
  <c r="H455"/>
  <c r="J455"/>
  <c r="K455"/>
  <c r="L455"/>
  <c r="M455"/>
  <c r="N455"/>
  <c r="O455"/>
  <c r="P455"/>
  <c r="Q455"/>
  <c r="C456"/>
  <c r="F456"/>
  <c r="G456"/>
  <c r="H456"/>
  <c r="J456"/>
  <c r="K456"/>
  <c r="L456"/>
  <c r="M456"/>
  <c r="N456"/>
  <c r="O456"/>
  <c r="P456"/>
  <c r="Q456"/>
  <c r="C425"/>
  <c r="F425"/>
  <c r="G425"/>
  <c r="H425"/>
  <c r="J425"/>
  <c r="K425"/>
  <c r="L425"/>
  <c r="M425"/>
  <c r="N425"/>
  <c r="O425"/>
  <c r="P425"/>
  <c r="Q425"/>
  <c r="C426"/>
  <c r="F426"/>
  <c r="G426"/>
  <c r="H426"/>
  <c r="J426"/>
  <c r="K426"/>
  <c r="L426"/>
  <c r="M426"/>
  <c r="N426"/>
  <c r="O426"/>
  <c r="P426"/>
  <c r="Q426"/>
  <c r="C427"/>
  <c r="D64" i="2"/>
  <c r="D31" i="5"/>
  <c r="BD42" i="22"/>
  <c r="BD162"/>
  <c r="E427" i="17"/>
  <c r="F64" i="2"/>
  <c r="F31" i="5"/>
  <c r="F427" i="17"/>
  <c r="G427"/>
  <c r="H427"/>
  <c r="I64" i="2"/>
  <c r="I31" i="5"/>
  <c r="G33" i="3"/>
  <c r="J427" i="17"/>
  <c r="K427"/>
  <c r="L64" i="2"/>
  <c r="L31" i="5"/>
  <c r="L427" i="17"/>
  <c r="M427"/>
  <c r="N64" i="2"/>
  <c r="N31" i="5"/>
  <c r="N427" i="17"/>
  <c r="O427"/>
  <c r="P64" i="2"/>
  <c r="P31" i="5"/>
  <c r="P427" i="17"/>
  <c r="Q427"/>
  <c r="R64" i="2"/>
  <c r="R31" i="5"/>
  <c r="P33" i="3"/>
  <c r="C428" i="17"/>
  <c r="F428"/>
  <c r="G428"/>
  <c r="H428"/>
  <c r="J428"/>
  <c r="K428"/>
  <c r="L428"/>
  <c r="M428"/>
  <c r="N428"/>
  <c r="O428"/>
  <c r="P428"/>
  <c r="Q428"/>
  <c r="C429"/>
  <c r="F429"/>
  <c r="G429"/>
  <c r="H429"/>
  <c r="J429"/>
  <c r="K429"/>
  <c r="L429"/>
  <c r="M429"/>
  <c r="N429"/>
  <c r="O429"/>
  <c r="P429"/>
  <c r="Q429"/>
  <c r="C430"/>
  <c r="F430"/>
  <c r="G430"/>
  <c r="H430"/>
  <c r="J430"/>
  <c r="K430"/>
  <c r="L430"/>
  <c r="M430"/>
  <c r="N430"/>
  <c r="O430"/>
  <c r="P430"/>
  <c r="Q430"/>
  <c r="C431"/>
  <c r="BD46" i="22"/>
  <c r="BD166"/>
  <c r="E431" i="17"/>
  <c r="F431"/>
  <c r="G431"/>
  <c r="H431"/>
  <c r="J431"/>
  <c r="K431"/>
  <c r="L431"/>
  <c r="M431"/>
  <c r="N431"/>
  <c r="O431"/>
  <c r="P431"/>
  <c r="Q431"/>
  <c r="C432"/>
  <c r="D65" i="2"/>
  <c r="D32" i="5"/>
  <c r="F432" i="17"/>
  <c r="G432"/>
  <c r="H432"/>
  <c r="I65" i="2"/>
  <c r="I32" i="5"/>
  <c r="G34" i="3"/>
  <c r="J432" i="17"/>
  <c r="K432"/>
  <c r="L65" i="2"/>
  <c r="L32" i="5"/>
  <c r="L432" i="17"/>
  <c r="M432"/>
  <c r="N65" i="2"/>
  <c r="N32" i="5"/>
  <c r="N432" i="17"/>
  <c r="O432"/>
  <c r="P65" i="2"/>
  <c r="P32" i="5"/>
  <c r="P432" i="17"/>
  <c r="Q432"/>
  <c r="R65" i="2"/>
  <c r="R32" i="5"/>
  <c r="P34" i="3"/>
  <c r="C433" i="17"/>
  <c r="F433"/>
  <c r="G433"/>
  <c r="H433"/>
  <c r="J433"/>
  <c r="K433"/>
  <c r="L433"/>
  <c r="M433"/>
  <c r="N433"/>
  <c r="O433"/>
  <c r="P433"/>
  <c r="Q433"/>
  <c r="C434"/>
  <c r="F434"/>
  <c r="G434"/>
  <c r="H434"/>
  <c r="J434"/>
  <c r="K434"/>
  <c r="L434"/>
  <c r="M434"/>
  <c r="N434"/>
  <c r="O434"/>
  <c r="P434"/>
  <c r="Q434"/>
  <c r="C435"/>
  <c r="BD50" i="22"/>
  <c r="BD170"/>
  <c r="E435" i="17"/>
  <c r="F435"/>
  <c r="G435"/>
  <c r="H435"/>
  <c r="J435"/>
  <c r="K435"/>
  <c r="L435"/>
  <c r="M435"/>
  <c r="N435"/>
  <c r="O435"/>
  <c r="P435"/>
  <c r="Q435"/>
  <c r="C408"/>
  <c r="F408"/>
  <c r="G408"/>
  <c r="H408"/>
  <c r="J408"/>
  <c r="K408"/>
  <c r="L408"/>
  <c r="M408"/>
  <c r="N408"/>
  <c r="O408"/>
  <c r="P408"/>
  <c r="Q408"/>
  <c r="C409"/>
  <c r="F409"/>
  <c r="G409"/>
  <c r="H409"/>
  <c r="J409"/>
  <c r="K409"/>
  <c r="L409"/>
  <c r="M409"/>
  <c r="N409"/>
  <c r="O409"/>
  <c r="P409"/>
  <c r="Q409"/>
  <c r="C410"/>
  <c r="F410"/>
  <c r="G410"/>
  <c r="H410"/>
  <c r="J410"/>
  <c r="K410"/>
  <c r="L410"/>
  <c r="M410"/>
  <c r="N410"/>
  <c r="O410"/>
  <c r="P410"/>
  <c r="Q410"/>
  <c r="C411"/>
  <c r="BD21" i="22"/>
  <c r="BD141"/>
  <c r="E411" i="17"/>
  <c r="F411"/>
  <c r="G411"/>
  <c r="H411"/>
  <c r="J411"/>
  <c r="K411"/>
  <c r="L411"/>
  <c r="M411"/>
  <c r="N411"/>
  <c r="O411"/>
  <c r="P411"/>
  <c r="Q411"/>
  <c r="C412"/>
  <c r="F412"/>
  <c r="G412"/>
  <c r="H412"/>
  <c r="J412"/>
  <c r="K412"/>
  <c r="L412"/>
  <c r="M412"/>
  <c r="N412"/>
  <c r="O412"/>
  <c r="P412"/>
  <c r="Q412"/>
  <c r="C413"/>
  <c r="F413"/>
  <c r="G413"/>
  <c r="H413"/>
  <c r="J413"/>
  <c r="K413"/>
  <c r="L413"/>
  <c r="M413"/>
  <c r="N413"/>
  <c r="O413"/>
  <c r="P413"/>
  <c r="Q413"/>
  <c r="C414"/>
  <c r="F414"/>
  <c r="G414"/>
  <c r="H414"/>
  <c r="J414"/>
  <c r="K414"/>
  <c r="L414"/>
  <c r="M414"/>
  <c r="N414"/>
  <c r="O414"/>
  <c r="P414"/>
  <c r="Q414"/>
  <c r="C415"/>
  <c r="BD25" i="22"/>
  <c r="BD145"/>
  <c r="E415" i="17"/>
  <c r="F415"/>
  <c r="G415"/>
  <c r="H415"/>
  <c r="J415"/>
  <c r="K415"/>
  <c r="L415"/>
  <c r="M415"/>
  <c r="N415"/>
  <c r="O415"/>
  <c r="P415"/>
  <c r="Q415"/>
  <c r="C416"/>
  <c r="F416"/>
  <c r="G416"/>
  <c r="H416"/>
  <c r="J416"/>
  <c r="K416"/>
  <c r="L416"/>
  <c r="M416"/>
  <c r="N416"/>
  <c r="O416"/>
  <c r="P416"/>
  <c r="Q416"/>
  <c r="C417"/>
  <c r="F417"/>
  <c r="G417"/>
  <c r="H417"/>
  <c r="J417"/>
  <c r="K417"/>
  <c r="L417"/>
  <c r="M417"/>
  <c r="N417"/>
  <c r="O417"/>
  <c r="P417"/>
  <c r="Q417"/>
  <c r="C418"/>
  <c r="BD33" i="22"/>
  <c r="BD153"/>
  <c r="E418" i="17"/>
  <c r="F418"/>
  <c r="G418"/>
  <c r="H418"/>
  <c r="J418"/>
  <c r="K418"/>
  <c r="L418"/>
  <c r="M418"/>
  <c r="N418"/>
  <c r="O418"/>
  <c r="P418"/>
  <c r="Q418"/>
  <c r="C419"/>
  <c r="F419"/>
  <c r="G419"/>
  <c r="H419"/>
  <c r="J419"/>
  <c r="K419"/>
  <c r="L419"/>
  <c r="M419"/>
  <c r="N419"/>
  <c r="O419"/>
  <c r="P419"/>
  <c r="Q419"/>
  <c r="C420"/>
  <c r="F420"/>
  <c r="G420"/>
  <c r="H420"/>
  <c r="J420"/>
  <c r="K420"/>
  <c r="L420"/>
  <c r="M420"/>
  <c r="N420"/>
  <c r="O420"/>
  <c r="P420"/>
  <c r="Q420"/>
  <c r="C421"/>
  <c r="F421"/>
  <c r="G421"/>
  <c r="H421"/>
  <c r="J421"/>
  <c r="K421"/>
  <c r="L421"/>
  <c r="M421"/>
  <c r="N421"/>
  <c r="O421"/>
  <c r="P421"/>
  <c r="Q421"/>
  <c r="C422"/>
  <c r="D63" i="2"/>
  <c r="D30" i="5"/>
  <c r="BD37" i="22"/>
  <c r="BD157"/>
  <c r="E422" i="17"/>
  <c r="F63" i="2"/>
  <c r="F30" i="5"/>
  <c r="F422" i="17"/>
  <c r="G63" i="2"/>
  <c r="G30" i="5"/>
  <c r="E32" i="3"/>
  <c r="G422" i="17"/>
  <c r="H63" i="2"/>
  <c r="H30" i="5"/>
  <c r="F32" i="3"/>
  <c r="H422" i="17"/>
  <c r="I63" i="2"/>
  <c r="I30" i="5"/>
  <c r="G32" i="3"/>
  <c r="J422" i="17"/>
  <c r="K63" i="2"/>
  <c r="K30" i="5"/>
  <c r="I32" i="3"/>
  <c r="K422" i="17"/>
  <c r="L63" i="2"/>
  <c r="L30" i="5"/>
  <c r="L422" i="17"/>
  <c r="M63" i="2"/>
  <c r="M30" i="5"/>
  <c r="K32" i="3"/>
  <c r="M422" i="17"/>
  <c r="N63" i="2"/>
  <c r="N30" i="5"/>
  <c r="N422" i="17"/>
  <c r="O63" i="2"/>
  <c r="O30" i="5"/>
  <c r="M32" i="3"/>
  <c r="O422" i="17"/>
  <c r="P63" i="2"/>
  <c r="P30" i="5"/>
  <c r="P422" i="17"/>
  <c r="Q63" i="2"/>
  <c r="Q30" i="5"/>
  <c r="Q422" i="17"/>
  <c r="R63" i="2"/>
  <c r="R30" i="5"/>
  <c r="P32" i="3"/>
  <c r="C423" i="17"/>
  <c r="F423"/>
  <c r="G423"/>
  <c r="H423"/>
  <c r="J423"/>
  <c r="K423"/>
  <c r="L423"/>
  <c r="M423"/>
  <c r="N423"/>
  <c r="O423"/>
  <c r="P423"/>
  <c r="Q423"/>
  <c r="C424"/>
  <c r="F424"/>
  <c r="G424"/>
  <c r="H424"/>
  <c r="J424"/>
  <c r="K424"/>
  <c r="L424"/>
  <c r="M424"/>
  <c r="N424"/>
  <c r="O424"/>
  <c r="P424"/>
  <c r="Q424"/>
  <c r="B24" i="2"/>
  <c r="B56"/>
  <c r="B23"/>
  <c r="B55"/>
  <c r="B22"/>
  <c r="B54"/>
  <c r="B21"/>
  <c r="B53"/>
  <c r="B20"/>
  <c r="B52"/>
  <c r="B19"/>
  <c r="B51"/>
  <c r="B18"/>
  <c r="B50"/>
  <c r="B17"/>
  <c r="B49"/>
  <c r="B16"/>
  <c r="B48"/>
  <c r="B15"/>
  <c r="B47"/>
  <c r="A14" i="5"/>
  <c r="B8" i="2"/>
  <c r="B40"/>
  <c r="A7" i="5"/>
  <c r="B9" i="2"/>
  <c r="B41"/>
  <c r="A8" i="5"/>
  <c r="B10" i="2"/>
  <c r="B42"/>
  <c r="A9" i="5"/>
  <c r="B11" i="2"/>
  <c r="B43"/>
  <c r="A10" i="5"/>
  <c r="B12" i="2"/>
  <c r="B44"/>
  <c r="A11" i="5"/>
  <c r="B13" i="2"/>
  <c r="B45"/>
  <c r="A12" i="5"/>
  <c r="B14" i="2"/>
  <c r="B46"/>
  <c r="A13" i="5"/>
  <c r="B7" i="2"/>
  <c r="B39"/>
  <c r="A6" i="5"/>
  <c r="Q406" i="17"/>
  <c r="O406"/>
  <c r="N406"/>
  <c r="M406"/>
  <c r="L406"/>
  <c r="K406"/>
  <c r="J406"/>
  <c r="I406"/>
  <c r="H406"/>
  <c r="G406"/>
  <c r="F406"/>
  <c r="C406"/>
  <c r="Q405"/>
  <c r="O405"/>
  <c r="N405"/>
  <c r="M405"/>
  <c r="L405"/>
  <c r="K405"/>
  <c r="J405"/>
  <c r="I405"/>
  <c r="H405"/>
  <c r="G405"/>
  <c r="F405"/>
  <c r="BD135" i="22"/>
  <c r="E405" i="17"/>
  <c r="C405"/>
  <c r="Q404"/>
  <c r="O404"/>
  <c r="N404"/>
  <c r="M404"/>
  <c r="L404"/>
  <c r="K404"/>
  <c r="J404"/>
  <c r="I404"/>
  <c r="H404"/>
  <c r="G404"/>
  <c r="F404"/>
  <c r="C404"/>
  <c r="Q403"/>
  <c r="O403"/>
  <c r="N403"/>
  <c r="M403"/>
  <c r="L403"/>
  <c r="K403"/>
  <c r="J403"/>
  <c r="I403"/>
  <c r="H403"/>
  <c r="G403"/>
  <c r="F403"/>
  <c r="C403"/>
  <c r="Q401"/>
  <c r="O401"/>
  <c r="N401"/>
  <c r="M401"/>
  <c r="L401"/>
  <c r="K401"/>
  <c r="J401"/>
  <c r="I401"/>
  <c r="H401"/>
  <c r="G401"/>
  <c r="F401"/>
  <c r="BD131" i="22"/>
  <c r="E401" i="17"/>
  <c r="C401"/>
  <c r="Q400"/>
  <c r="O400"/>
  <c r="N400"/>
  <c r="M400"/>
  <c r="L400"/>
  <c r="K400"/>
  <c r="J400"/>
  <c r="I400"/>
  <c r="H400"/>
  <c r="G400"/>
  <c r="F400"/>
  <c r="C400"/>
  <c r="Q399"/>
  <c r="O399"/>
  <c r="N399"/>
  <c r="M399"/>
  <c r="L399"/>
  <c r="K399"/>
  <c r="J399"/>
  <c r="I399"/>
  <c r="H399"/>
  <c r="G399"/>
  <c r="F399"/>
  <c r="C399"/>
  <c r="Q398"/>
  <c r="O398"/>
  <c r="N398"/>
  <c r="M398"/>
  <c r="L398"/>
  <c r="K398"/>
  <c r="J398"/>
  <c r="I398"/>
  <c r="H398"/>
  <c r="G398"/>
  <c r="F398"/>
  <c r="C398"/>
  <c r="Q396"/>
  <c r="O396"/>
  <c r="N396"/>
  <c r="M396"/>
  <c r="L396"/>
  <c r="K396"/>
  <c r="J396"/>
  <c r="I396"/>
  <c r="H396"/>
  <c r="G396"/>
  <c r="F396"/>
  <c r="C396"/>
  <c r="Q395"/>
  <c r="O395"/>
  <c r="N395"/>
  <c r="M395"/>
  <c r="L395"/>
  <c r="K395"/>
  <c r="J395"/>
  <c r="I395"/>
  <c r="H395"/>
  <c r="G395"/>
  <c r="F395"/>
  <c r="C395"/>
  <c r="Q394"/>
  <c r="O394"/>
  <c r="N394"/>
  <c r="M394"/>
  <c r="L394"/>
  <c r="K394"/>
  <c r="J394"/>
  <c r="I394"/>
  <c r="H394"/>
  <c r="G394"/>
  <c r="F394"/>
  <c r="C394"/>
  <c r="Q393"/>
  <c r="O393"/>
  <c r="N393"/>
  <c r="M393"/>
  <c r="L393"/>
  <c r="K393"/>
  <c r="J393"/>
  <c r="I393"/>
  <c r="H393"/>
  <c r="G393"/>
  <c r="F393"/>
  <c r="C393"/>
  <c r="Q392"/>
  <c r="O392"/>
  <c r="N392"/>
  <c r="M392"/>
  <c r="L392"/>
  <c r="K392"/>
  <c r="J392"/>
  <c r="I392"/>
  <c r="H392"/>
  <c r="G392"/>
  <c r="F392"/>
  <c r="C392"/>
  <c r="Q391"/>
  <c r="O391"/>
  <c r="N391"/>
  <c r="M391"/>
  <c r="L391"/>
  <c r="K391"/>
  <c r="J391"/>
  <c r="I391"/>
  <c r="H391"/>
  <c r="G391"/>
  <c r="F391"/>
  <c r="C391"/>
  <c r="Q390"/>
  <c r="O390"/>
  <c r="N390"/>
  <c r="M390"/>
  <c r="L390"/>
  <c r="K390"/>
  <c r="J390"/>
  <c r="I390"/>
  <c r="H390"/>
  <c r="G390"/>
  <c r="F390"/>
  <c r="BD115" i="22"/>
  <c r="E390" i="17"/>
  <c r="C390"/>
  <c r="Q389"/>
  <c r="O389"/>
  <c r="N389"/>
  <c r="M389"/>
  <c r="L389"/>
  <c r="K389"/>
  <c r="J389"/>
  <c r="I389"/>
  <c r="H389"/>
  <c r="G389"/>
  <c r="F389"/>
  <c r="C389"/>
  <c r="Q388"/>
  <c r="O388"/>
  <c r="N388"/>
  <c r="M388"/>
  <c r="L388"/>
  <c r="K388"/>
  <c r="J388"/>
  <c r="I388"/>
  <c r="H388"/>
  <c r="G388"/>
  <c r="F388"/>
  <c r="C388"/>
  <c r="Q387"/>
  <c r="O387"/>
  <c r="N387"/>
  <c r="M387"/>
  <c r="L387"/>
  <c r="K387"/>
  <c r="J387"/>
  <c r="I387"/>
  <c r="H387"/>
  <c r="G387"/>
  <c r="F387"/>
  <c r="C387"/>
  <c r="Q386"/>
  <c r="O386"/>
  <c r="N386"/>
  <c r="M386"/>
  <c r="L386"/>
  <c r="K386"/>
  <c r="J386"/>
  <c r="I386"/>
  <c r="H386"/>
  <c r="G386"/>
  <c r="F386"/>
  <c r="C386"/>
  <c r="Q385"/>
  <c r="O385"/>
  <c r="N385"/>
  <c r="M385"/>
  <c r="L385"/>
  <c r="K385"/>
  <c r="J385"/>
  <c r="I385"/>
  <c r="H385"/>
  <c r="G385"/>
  <c r="F385"/>
  <c r="C385"/>
  <c r="Q384"/>
  <c r="O384"/>
  <c r="N384"/>
  <c r="M384"/>
  <c r="L384"/>
  <c r="K384"/>
  <c r="J384"/>
  <c r="I384"/>
  <c r="H384"/>
  <c r="G384"/>
  <c r="F384"/>
  <c r="C384"/>
  <c r="Q383"/>
  <c r="O383"/>
  <c r="N383"/>
  <c r="M383"/>
  <c r="L383"/>
  <c r="K383"/>
  <c r="J383"/>
  <c r="I383"/>
  <c r="H383"/>
  <c r="G383"/>
  <c r="F383"/>
  <c r="C383"/>
  <c r="Q382"/>
  <c r="R62" i="2"/>
  <c r="R29" i="5"/>
  <c r="P31" i="3"/>
  <c r="O382" i="17"/>
  <c r="P62" i="2"/>
  <c r="P29" i="5"/>
  <c r="N382" i="17"/>
  <c r="M382"/>
  <c r="N62" i="2"/>
  <c r="N29" i="5"/>
  <c r="L382" i="17"/>
  <c r="K382"/>
  <c r="L62" i="2"/>
  <c r="L29" i="5"/>
  <c r="J382" i="17"/>
  <c r="I382"/>
  <c r="H382"/>
  <c r="I62" i="2"/>
  <c r="I29" i="5"/>
  <c r="G31" i="3"/>
  <c r="G382" i="17"/>
  <c r="F382"/>
  <c r="C382"/>
  <c r="D62" i="2"/>
  <c r="D29" i="5"/>
  <c r="Q381" i="17"/>
  <c r="O381"/>
  <c r="N381"/>
  <c r="M381"/>
  <c r="L381"/>
  <c r="K381"/>
  <c r="J381"/>
  <c r="I381"/>
  <c r="H381"/>
  <c r="G381"/>
  <c r="F381"/>
  <c r="C381"/>
  <c r="Q380"/>
  <c r="O380"/>
  <c r="N380"/>
  <c r="M380"/>
  <c r="L380"/>
  <c r="K380"/>
  <c r="J380"/>
  <c r="I380"/>
  <c r="H380"/>
  <c r="G380"/>
  <c r="F380"/>
  <c r="C380"/>
  <c r="Q379"/>
  <c r="O379"/>
  <c r="N379"/>
  <c r="M379"/>
  <c r="L379"/>
  <c r="K379"/>
  <c r="J379"/>
  <c r="I379"/>
  <c r="H379"/>
  <c r="G379"/>
  <c r="F379"/>
  <c r="C379"/>
  <c r="Q378"/>
  <c r="O378"/>
  <c r="N378"/>
  <c r="M378"/>
  <c r="L378"/>
  <c r="K378"/>
  <c r="J378"/>
  <c r="I378"/>
  <c r="H378"/>
  <c r="G378"/>
  <c r="F378"/>
  <c r="BD103" i="22"/>
  <c r="E378" i="17"/>
  <c r="C378"/>
  <c r="Q377"/>
  <c r="R61" i="2"/>
  <c r="R28" i="5"/>
  <c r="P30" i="3"/>
  <c r="O377" i="17"/>
  <c r="P61" i="2"/>
  <c r="P28" i="5"/>
  <c r="N377" i="17"/>
  <c r="M377"/>
  <c r="N61" i="2"/>
  <c r="N28" i="5"/>
  <c r="L377" i="17"/>
  <c r="K377"/>
  <c r="L61" i="2"/>
  <c r="L28" i="5"/>
  <c r="J377" i="17"/>
  <c r="I377"/>
  <c r="H377"/>
  <c r="I61" i="2"/>
  <c r="I28" i="5"/>
  <c r="G30" i="3"/>
  <c r="G377" i="17"/>
  <c r="F377"/>
  <c r="C377"/>
  <c r="D61" i="2"/>
  <c r="D28" i="5"/>
  <c r="Q376" i="17"/>
  <c r="O376"/>
  <c r="N376"/>
  <c r="M376"/>
  <c r="L376"/>
  <c r="K376"/>
  <c r="J376"/>
  <c r="I376"/>
  <c r="H376"/>
  <c r="G376"/>
  <c r="F376"/>
  <c r="BD101" i="22"/>
  <c r="E376" i="17"/>
  <c r="C376"/>
  <c r="Q375"/>
  <c r="O375"/>
  <c r="N375"/>
  <c r="M375"/>
  <c r="L375"/>
  <c r="K375"/>
  <c r="J375"/>
  <c r="I375"/>
  <c r="H375"/>
  <c r="G375"/>
  <c r="F375"/>
  <c r="C375"/>
  <c r="Q374"/>
  <c r="O374"/>
  <c r="N374"/>
  <c r="M374"/>
  <c r="L374"/>
  <c r="K374"/>
  <c r="J374"/>
  <c r="I374"/>
  <c r="H374"/>
  <c r="G374"/>
  <c r="F374"/>
  <c r="BD99" i="22"/>
  <c r="E374" i="17"/>
  <c r="C374"/>
  <c r="Q373"/>
  <c r="O373"/>
  <c r="N373"/>
  <c r="M373"/>
  <c r="L373"/>
  <c r="K373"/>
  <c r="J373"/>
  <c r="I373"/>
  <c r="H373"/>
  <c r="G373"/>
  <c r="F373"/>
  <c r="C373"/>
  <c r="Q372"/>
  <c r="R60" i="2"/>
  <c r="R27" i="5"/>
  <c r="P29" i="3"/>
  <c r="O372" i="17"/>
  <c r="P60" i="2"/>
  <c r="P27" i="5"/>
  <c r="N372" i="17"/>
  <c r="O60" i="2"/>
  <c r="O27" i="5"/>
  <c r="M29" i="3"/>
  <c r="M372" i="17"/>
  <c r="N60" i="2"/>
  <c r="N27" i="5"/>
  <c r="L372" i="17"/>
  <c r="M60" i="2"/>
  <c r="M27" i="5"/>
  <c r="K29" i="3"/>
  <c r="K372" i="17"/>
  <c r="L60" i="2"/>
  <c r="L27" i="5"/>
  <c r="J372" i="17"/>
  <c r="K60" i="2"/>
  <c r="K27" i="5"/>
  <c r="I29" i="3"/>
  <c r="I372" i="17"/>
  <c r="J60" i="2"/>
  <c r="J27" i="5"/>
  <c r="H372" i="17"/>
  <c r="I60" i="2"/>
  <c r="I27" i="5"/>
  <c r="G29" i="3"/>
  <c r="G372" i="17"/>
  <c r="H60" i="2"/>
  <c r="H27" i="5"/>
  <c r="F29" i="3"/>
  <c r="F372" i="17"/>
  <c r="G60" i="2"/>
  <c r="G27" i="5"/>
  <c r="E29" i="3"/>
  <c r="C372" i="17"/>
  <c r="D60" i="2"/>
  <c r="D27" i="5"/>
  <c r="Q371" i="17"/>
  <c r="O371"/>
  <c r="N371"/>
  <c r="M371"/>
  <c r="L371"/>
  <c r="K371"/>
  <c r="J371"/>
  <c r="I371"/>
  <c r="H371"/>
  <c r="G371"/>
  <c r="F371"/>
  <c r="C371"/>
  <c r="Q370"/>
  <c r="O370"/>
  <c r="N370"/>
  <c r="M370"/>
  <c r="L370"/>
  <c r="K370"/>
  <c r="J370"/>
  <c r="I370"/>
  <c r="H370"/>
  <c r="G370"/>
  <c r="F370"/>
  <c r="C370"/>
  <c r="Q369"/>
  <c r="O369"/>
  <c r="N369"/>
  <c r="M369"/>
  <c r="L369"/>
  <c r="K369"/>
  <c r="J369"/>
  <c r="I369"/>
  <c r="H369"/>
  <c r="G369"/>
  <c r="F369"/>
  <c r="C369"/>
  <c r="Q368"/>
  <c r="O368"/>
  <c r="N368"/>
  <c r="M368"/>
  <c r="L368"/>
  <c r="K368"/>
  <c r="J368"/>
  <c r="I368"/>
  <c r="H368"/>
  <c r="G368"/>
  <c r="F368"/>
  <c r="C368"/>
  <c r="Q367"/>
  <c r="O367"/>
  <c r="N367"/>
  <c r="M367"/>
  <c r="L367"/>
  <c r="K367"/>
  <c r="J367"/>
  <c r="I367"/>
  <c r="H367"/>
  <c r="G367"/>
  <c r="F367"/>
  <c r="BD87" i="22"/>
  <c r="E367" i="17"/>
  <c r="C367"/>
  <c r="Q366"/>
  <c r="O366"/>
  <c r="N366"/>
  <c r="M366"/>
  <c r="L366"/>
  <c r="K366"/>
  <c r="J366"/>
  <c r="I366"/>
  <c r="H366"/>
  <c r="G366"/>
  <c r="F366"/>
  <c r="C366"/>
  <c r="Q365"/>
  <c r="O365"/>
  <c r="N365"/>
  <c r="M365"/>
  <c r="L365"/>
  <c r="K365"/>
  <c r="J365"/>
  <c r="I365"/>
  <c r="H365"/>
  <c r="G365"/>
  <c r="F365"/>
  <c r="BD85" i="22"/>
  <c r="E365" i="17"/>
  <c r="C365"/>
  <c r="Q364"/>
  <c r="O364"/>
  <c r="N364"/>
  <c r="M364"/>
  <c r="L364"/>
  <c r="K364"/>
  <c r="J364"/>
  <c r="I364"/>
  <c r="H364"/>
  <c r="G364"/>
  <c r="F364"/>
  <c r="C364"/>
  <c r="Q363"/>
  <c r="O363"/>
  <c r="N363"/>
  <c r="M363"/>
  <c r="L363"/>
  <c r="K363"/>
  <c r="J363"/>
  <c r="I363"/>
  <c r="H363"/>
  <c r="G363"/>
  <c r="F363"/>
  <c r="BD83" i="22"/>
  <c r="E363" i="17"/>
  <c r="C363"/>
  <c r="Q362"/>
  <c r="O362"/>
  <c r="N362"/>
  <c r="M362"/>
  <c r="L362"/>
  <c r="K362"/>
  <c r="J362"/>
  <c r="I362"/>
  <c r="H362"/>
  <c r="G362"/>
  <c r="F362"/>
  <c r="C362"/>
  <c r="Q361"/>
  <c r="O361"/>
  <c r="N361"/>
  <c r="M361"/>
  <c r="L361"/>
  <c r="K361"/>
  <c r="J361"/>
  <c r="I361"/>
  <c r="H361"/>
  <c r="G361"/>
  <c r="F361"/>
  <c r="BD81" i="22"/>
  <c r="E361" i="17"/>
  <c r="C361"/>
  <c r="Q360"/>
  <c r="O360"/>
  <c r="N360"/>
  <c r="M360"/>
  <c r="L360"/>
  <c r="K360"/>
  <c r="J360"/>
  <c r="I360"/>
  <c r="H360"/>
  <c r="G360"/>
  <c r="F360"/>
  <c r="C360"/>
  <c r="Q359"/>
  <c r="O359"/>
  <c r="N359"/>
  <c r="M359"/>
  <c r="L359"/>
  <c r="K359"/>
  <c r="J359"/>
  <c r="I359"/>
  <c r="H359"/>
  <c r="G359"/>
  <c r="F359"/>
  <c r="C359"/>
  <c r="Q358"/>
  <c r="O358"/>
  <c r="N358"/>
  <c r="M358"/>
  <c r="L358"/>
  <c r="K358"/>
  <c r="J358"/>
  <c r="I358"/>
  <c r="H358"/>
  <c r="G358"/>
  <c r="F358"/>
  <c r="C358"/>
  <c r="Q356"/>
  <c r="O356"/>
  <c r="N356"/>
  <c r="M356"/>
  <c r="L356"/>
  <c r="K356"/>
  <c r="J356"/>
  <c r="H356"/>
  <c r="G356"/>
  <c r="C356"/>
  <c r="Q355"/>
  <c r="O355"/>
  <c r="N355"/>
  <c r="M355"/>
  <c r="L355"/>
  <c r="K355"/>
  <c r="J355"/>
  <c r="H355"/>
  <c r="G355"/>
  <c r="C355"/>
  <c r="Q354"/>
  <c r="O354"/>
  <c r="N354"/>
  <c r="M354"/>
  <c r="L354"/>
  <c r="K354"/>
  <c r="J354"/>
  <c r="H354"/>
  <c r="G354"/>
  <c r="C354"/>
  <c r="Q353"/>
  <c r="O353"/>
  <c r="N353"/>
  <c r="M353"/>
  <c r="L353"/>
  <c r="K353"/>
  <c r="J353"/>
  <c r="H353"/>
  <c r="G353"/>
  <c r="C353"/>
  <c r="Q351"/>
  <c r="O351"/>
  <c r="N351"/>
  <c r="M351"/>
  <c r="L351"/>
  <c r="K351"/>
  <c r="J351"/>
  <c r="H351"/>
  <c r="G351"/>
  <c r="C351"/>
  <c r="Q350"/>
  <c r="O350"/>
  <c r="N350"/>
  <c r="M350"/>
  <c r="L350"/>
  <c r="K350"/>
  <c r="J350"/>
  <c r="H350"/>
  <c r="G350"/>
  <c r="C350"/>
  <c r="Q349"/>
  <c r="O349"/>
  <c r="N349"/>
  <c r="M349"/>
  <c r="L349"/>
  <c r="K349"/>
  <c r="J349"/>
  <c r="H349"/>
  <c r="G349"/>
  <c r="C349"/>
  <c r="Q348"/>
  <c r="O348"/>
  <c r="N348"/>
  <c r="M348"/>
  <c r="L348"/>
  <c r="K348"/>
  <c r="J348"/>
  <c r="H348"/>
  <c r="G348"/>
  <c r="C348"/>
  <c r="Q346"/>
  <c r="O346"/>
  <c r="N346"/>
  <c r="M346"/>
  <c r="L346"/>
  <c r="K346"/>
  <c r="J346"/>
  <c r="H346"/>
  <c r="G346"/>
  <c r="C346"/>
  <c r="Q345"/>
  <c r="O345"/>
  <c r="N345"/>
  <c r="M345"/>
  <c r="L345"/>
  <c r="K345"/>
  <c r="J345"/>
  <c r="H345"/>
  <c r="G345"/>
  <c r="C345"/>
  <c r="Q344"/>
  <c r="O344"/>
  <c r="N344"/>
  <c r="M344"/>
  <c r="L344"/>
  <c r="K344"/>
  <c r="J344"/>
  <c r="H344"/>
  <c r="G344"/>
  <c r="C344"/>
  <c r="Q343"/>
  <c r="O343"/>
  <c r="N343"/>
  <c r="M343"/>
  <c r="L343"/>
  <c r="K343"/>
  <c r="J343"/>
  <c r="H343"/>
  <c r="G343"/>
  <c r="C343"/>
  <c r="Q342"/>
  <c r="O342"/>
  <c r="N342"/>
  <c r="M342"/>
  <c r="L342"/>
  <c r="K342"/>
  <c r="J342"/>
  <c r="H342"/>
  <c r="G342"/>
  <c r="C342"/>
  <c r="Q341"/>
  <c r="O341"/>
  <c r="N341"/>
  <c r="M341"/>
  <c r="L341"/>
  <c r="K341"/>
  <c r="J341"/>
  <c r="H341"/>
  <c r="G341"/>
  <c r="C341"/>
  <c r="Q340"/>
  <c r="O340"/>
  <c r="N340"/>
  <c r="M340"/>
  <c r="L340"/>
  <c r="K340"/>
  <c r="J340"/>
  <c r="H340"/>
  <c r="G340"/>
  <c r="C340"/>
  <c r="Q339"/>
  <c r="O339"/>
  <c r="N339"/>
  <c r="M339"/>
  <c r="L339"/>
  <c r="K339"/>
  <c r="J339"/>
  <c r="H339"/>
  <c r="G339"/>
  <c r="C339"/>
  <c r="Q338"/>
  <c r="O338"/>
  <c r="N338"/>
  <c r="M338"/>
  <c r="L338"/>
  <c r="K338"/>
  <c r="J338"/>
  <c r="H338"/>
  <c r="G338"/>
  <c r="C338"/>
  <c r="Q337"/>
  <c r="O337"/>
  <c r="N337"/>
  <c r="M337"/>
  <c r="L337"/>
  <c r="K337"/>
  <c r="J337"/>
  <c r="H337"/>
  <c r="G337"/>
  <c r="C337"/>
  <c r="Q336"/>
  <c r="O336"/>
  <c r="N336"/>
  <c r="M336"/>
  <c r="L336"/>
  <c r="K336"/>
  <c r="J336"/>
  <c r="H336"/>
  <c r="G336"/>
  <c r="C336"/>
  <c r="Q335"/>
  <c r="O335"/>
  <c r="N335"/>
  <c r="M335"/>
  <c r="L335"/>
  <c r="K335"/>
  <c r="J335"/>
  <c r="H335"/>
  <c r="G335"/>
  <c r="C335"/>
  <c r="Q334"/>
  <c r="O334"/>
  <c r="N334"/>
  <c r="M334"/>
  <c r="L334"/>
  <c r="K334"/>
  <c r="J334"/>
  <c r="H334"/>
  <c r="G334"/>
  <c r="C334"/>
  <c r="Q333"/>
  <c r="O333"/>
  <c r="N333"/>
  <c r="M333"/>
  <c r="L333"/>
  <c r="K333"/>
  <c r="J333"/>
  <c r="H333"/>
  <c r="G333"/>
  <c r="C333"/>
  <c r="Q332"/>
  <c r="R59" i="2"/>
  <c r="R26" i="5"/>
  <c r="P28" i="3"/>
  <c r="O332" i="17"/>
  <c r="P59" i="2"/>
  <c r="P26" i="5"/>
  <c r="N332" i="17"/>
  <c r="M332"/>
  <c r="N59" i="2"/>
  <c r="N26" i="5"/>
  <c r="L332" i="17"/>
  <c r="K332"/>
  <c r="L59" i="2"/>
  <c r="L26" i="5"/>
  <c r="J332" i="17"/>
  <c r="H332"/>
  <c r="I59" i="2"/>
  <c r="I26" i="5"/>
  <c r="G28" i="3"/>
  <c r="G332" i="17"/>
  <c r="C332"/>
  <c r="D59" i="2"/>
  <c r="D26" i="5"/>
  <c r="Q331" i="17"/>
  <c r="O331"/>
  <c r="N331"/>
  <c r="M331"/>
  <c r="L331"/>
  <c r="K331"/>
  <c r="J331"/>
  <c r="H331"/>
  <c r="G331"/>
  <c r="C331"/>
  <c r="Q330"/>
  <c r="O330"/>
  <c r="N330"/>
  <c r="M330"/>
  <c r="L330"/>
  <c r="K330"/>
  <c r="J330"/>
  <c r="H330"/>
  <c r="G330"/>
  <c r="C330"/>
  <c r="Q329"/>
  <c r="O329"/>
  <c r="N329"/>
  <c r="M329"/>
  <c r="L329"/>
  <c r="K329"/>
  <c r="J329"/>
  <c r="H329"/>
  <c r="G329"/>
  <c r="C329"/>
  <c r="Q328"/>
  <c r="O328"/>
  <c r="N328"/>
  <c r="M328"/>
  <c r="L328"/>
  <c r="K328"/>
  <c r="J328"/>
  <c r="H328"/>
  <c r="G328"/>
  <c r="C328"/>
  <c r="Q327"/>
  <c r="R58" i="2"/>
  <c r="R25" i="5"/>
  <c r="P27" i="3"/>
  <c r="O327" i="17"/>
  <c r="P58" i="2"/>
  <c r="P25" i="5"/>
  <c r="N327" i="17"/>
  <c r="M327"/>
  <c r="N58" i="2"/>
  <c r="N25" i="5"/>
  <c r="L327" i="17"/>
  <c r="K327"/>
  <c r="L58" i="2"/>
  <c r="L25" i="5"/>
  <c r="J327" i="17"/>
  <c r="H327"/>
  <c r="I58" i="2"/>
  <c r="I25" i="5"/>
  <c r="G27" i="3"/>
  <c r="G327" i="17"/>
  <c r="C327"/>
  <c r="D58" i="2"/>
  <c r="D25" i="5"/>
  <c r="Q326" i="17"/>
  <c r="O326"/>
  <c r="N326"/>
  <c r="M326"/>
  <c r="L326"/>
  <c r="K326"/>
  <c r="J326"/>
  <c r="H326"/>
  <c r="G326"/>
  <c r="C326"/>
  <c r="Q325"/>
  <c r="O325"/>
  <c r="N325"/>
  <c r="M325"/>
  <c r="L325"/>
  <c r="K325"/>
  <c r="J325"/>
  <c r="H325"/>
  <c r="G325"/>
  <c r="C325"/>
  <c r="Q324"/>
  <c r="O324"/>
  <c r="N324"/>
  <c r="M324"/>
  <c r="L324"/>
  <c r="K324"/>
  <c r="J324"/>
  <c r="H324"/>
  <c r="G324"/>
  <c r="C324"/>
  <c r="Q323"/>
  <c r="O323"/>
  <c r="N323"/>
  <c r="M323"/>
  <c r="L323"/>
  <c r="K323"/>
  <c r="J323"/>
  <c r="H323"/>
  <c r="G323"/>
  <c r="C323"/>
  <c r="Q322"/>
  <c r="R57" i="2"/>
  <c r="R24" i="5"/>
  <c r="P26" i="3"/>
  <c r="O322" i="17"/>
  <c r="P57" i="2"/>
  <c r="P24" i="5"/>
  <c r="N322" i="17"/>
  <c r="O57" i="2"/>
  <c r="O24" i="5"/>
  <c r="M26" i="3"/>
  <c r="M322" i="17"/>
  <c r="N57" i="2"/>
  <c r="N24" i="5"/>
  <c r="L322" i="17"/>
  <c r="M57" i="2"/>
  <c r="M24" i="5"/>
  <c r="K26" i="3"/>
  <c r="K322" i="17"/>
  <c r="L57" i="2"/>
  <c r="L24" i="5"/>
  <c r="J322" i="17"/>
  <c r="K57" i="2"/>
  <c r="K24" i="5"/>
  <c r="I26" i="3"/>
  <c r="H322" i="17"/>
  <c r="I57" i="2"/>
  <c r="I24" i="5"/>
  <c r="G26" i="3"/>
  <c r="G322" i="17"/>
  <c r="H57" i="2"/>
  <c r="H24" i="5"/>
  <c r="F26" i="3"/>
  <c r="C322" i="17"/>
  <c r="D57" i="2"/>
  <c r="D24" i="5"/>
  <c r="Q321" i="17"/>
  <c r="O321"/>
  <c r="N321"/>
  <c r="M321"/>
  <c r="L321"/>
  <c r="K321"/>
  <c r="J321"/>
  <c r="H321"/>
  <c r="G321"/>
  <c r="C321"/>
  <c r="Q320"/>
  <c r="O320"/>
  <c r="N320"/>
  <c r="M320"/>
  <c r="L320"/>
  <c r="K320"/>
  <c r="J320"/>
  <c r="H320"/>
  <c r="G320"/>
  <c r="C320"/>
  <c r="Q319"/>
  <c r="O319"/>
  <c r="N319"/>
  <c r="M319"/>
  <c r="L319"/>
  <c r="K319"/>
  <c r="J319"/>
  <c r="H319"/>
  <c r="G319"/>
  <c r="C319"/>
  <c r="Q318"/>
  <c r="O318"/>
  <c r="N318"/>
  <c r="M318"/>
  <c r="L318"/>
  <c r="K318"/>
  <c r="J318"/>
  <c r="H318"/>
  <c r="G318"/>
  <c r="C318"/>
  <c r="Q317"/>
  <c r="O317"/>
  <c r="N317"/>
  <c r="M317"/>
  <c r="L317"/>
  <c r="K317"/>
  <c r="J317"/>
  <c r="H317"/>
  <c r="G317"/>
  <c r="C317"/>
  <c r="Q316"/>
  <c r="O316"/>
  <c r="N316"/>
  <c r="M316"/>
  <c r="L316"/>
  <c r="K316"/>
  <c r="J316"/>
  <c r="H316"/>
  <c r="G316"/>
  <c r="C316"/>
  <c r="Q315"/>
  <c r="O315"/>
  <c r="N315"/>
  <c r="M315"/>
  <c r="L315"/>
  <c r="K315"/>
  <c r="J315"/>
  <c r="H315"/>
  <c r="G315"/>
  <c r="C315"/>
  <c r="Q314"/>
  <c r="O314"/>
  <c r="N314"/>
  <c r="M314"/>
  <c r="L314"/>
  <c r="K314"/>
  <c r="J314"/>
  <c r="H314"/>
  <c r="G314"/>
  <c r="C314"/>
  <c r="Q313"/>
  <c r="O313"/>
  <c r="N313"/>
  <c r="M313"/>
  <c r="L313"/>
  <c r="K313"/>
  <c r="J313"/>
  <c r="H313"/>
  <c r="G313"/>
  <c r="C313"/>
  <c r="Q312"/>
  <c r="O312"/>
  <c r="N312"/>
  <c r="M312"/>
  <c r="L312"/>
  <c r="K312"/>
  <c r="J312"/>
  <c r="H312"/>
  <c r="G312"/>
  <c r="C312"/>
  <c r="Q311"/>
  <c r="O311"/>
  <c r="N311"/>
  <c r="M311"/>
  <c r="L311"/>
  <c r="K311"/>
  <c r="J311"/>
  <c r="H311"/>
  <c r="G311"/>
  <c r="C311"/>
  <c r="Q310"/>
  <c r="O310"/>
  <c r="N310"/>
  <c r="M310"/>
  <c r="L310"/>
  <c r="K310"/>
  <c r="J310"/>
  <c r="H310"/>
  <c r="G310"/>
  <c r="C310"/>
  <c r="Q309"/>
  <c r="O309"/>
  <c r="N309"/>
  <c r="M309"/>
  <c r="L309"/>
  <c r="K309"/>
  <c r="J309"/>
  <c r="H309"/>
  <c r="G309"/>
  <c r="C309"/>
  <c r="Q308"/>
  <c r="O308"/>
  <c r="N308"/>
  <c r="M308"/>
  <c r="L308"/>
  <c r="K308"/>
  <c r="J308"/>
  <c r="H308"/>
  <c r="G308"/>
  <c r="C308"/>
  <c r="Q306"/>
  <c r="P306"/>
  <c r="O306"/>
  <c r="N306"/>
  <c r="M306"/>
  <c r="L306"/>
  <c r="K306"/>
  <c r="J306"/>
  <c r="H306"/>
  <c r="G306"/>
  <c r="F306"/>
  <c r="C306"/>
  <c r="Q305"/>
  <c r="P305"/>
  <c r="O305"/>
  <c r="N305"/>
  <c r="M305"/>
  <c r="L305"/>
  <c r="K305"/>
  <c r="J305"/>
  <c r="H305"/>
  <c r="G305"/>
  <c r="F305"/>
  <c r="C305"/>
  <c r="Q304"/>
  <c r="P304"/>
  <c r="O304"/>
  <c r="N304"/>
  <c r="M304"/>
  <c r="L304"/>
  <c r="K304"/>
  <c r="J304"/>
  <c r="H304"/>
  <c r="G304"/>
  <c r="F304"/>
  <c r="C304"/>
  <c r="Q303"/>
  <c r="P303"/>
  <c r="O303"/>
  <c r="N303"/>
  <c r="M303"/>
  <c r="L303"/>
  <c r="K303"/>
  <c r="J303"/>
  <c r="H303"/>
  <c r="G303"/>
  <c r="F303"/>
  <c r="BD73" i="21"/>
  <c r="BD193"/>
  <c r="E303" i="17"/>
  <c r="C303"/>
  <c r="Q301"/>
  <c r="P301"/>
  <c r="O301"/>
  <c r="N301"/>
  <c r="M301"/>
  <c r="L301"/>
  <c r="K301"/>
  <c r="J301"/>
  <c r="H301"/>
  <c r="G301"/>
  <c r="F301"/>
  <c r="C301"/>
  <c r="Q300"/>
  <c r="P300"/>
  <c r="O300"/>
  <c r="N300"/>
  <c r="M300"/>
  <c r="L300"/>
  <c r="K300"/>
  <c r="J300"/>
  <c r="H300"/>
  <c r="G300"/>
  <c r="F300"/>
  <c r="C300"/>
  <c r="Q299"/>
  <c r="P299"/>
  <c r="O299"/>
  <c r="N299"/>
  <c r="M299"/>
  <c r="L299"/>
  <c r="K299"/>
  <c r="J299"/>
  <c r="H299"/>
  <c r="G299"/>
  <c r="F299"/>
  <c r="BD69" i="21"/>
  <c r="BD189"/>
  <c r="E299" i="17"/>
  <c r="C299"/>
  <c r="Q298"/>
  <c r="P298"/>
  <c r="O298"/>
  <c r="N298"/>
  <c r="M298"/>
  <c r="L298"/>
  <c r="K298"/>
  <c r="J298"/>
  <c r="H298"/>
  <c r="G298"/>
  <c r="F298"/>
  <c r="C298"/>
  <c r="Q296"/>
  <c r="P296"/>
  <c r="O296"/>
  <c r="N296"/>
  <c r="M296"/>
  <c r="L296"/>
  <c r="K296"/>
  <c r="J296"/>
  <c r="H296"/>
  <c r="G296"/>
  <c r="F296"/>
  <c r="C296"/>
  <c r="Q295"/>
  <c r="P295"/>
  <c r="O295"/>
  <c r="N295"/>
  <c r="M295"/>
  <c r="L295"/>
  <c r="K295"/>
  <c r="J295"/>
  <c r="H295"/>
  <c r="G295"/>
  <c r="F295"/>
  <c r="BD65" i="21"/>
  <c r="BD185"/>
  <c r="E295" i="17"/>
  <c r="C295"/>
  <c r="Q294"/>
  <c r="P294"/>
  <c r="O294"/>
  <c r="N294"/>
  <c r="M294"/>
  <c r="L294"/>
  <c r="K294"/>
  <c r="J294"/>
  <c r="H294"/>
  <c r="G294"/>
  <c r="F294"/>
  <c r="C294"/>
  <c r="Q293"/>
  <c r="P293"/>
  <c r="O293"/>
  <c r="N293"/>
  <c r="M293"/>
  <c r="L293"/>
  <c r="K293"/>
  <c r="J293"/>
  <c r="H293"/>
  <c r="G293"/>
  <c r="F293"/>
  <c r="C293"/>
  <c r="Q292"/>
  <c r="P292"/>
  <c r="O292"/>
  <c r="N292"/>
  <c r="M292"/>
  <c r="L292"/>
  <c r="K292"/>
  <c r="J292"/>
  <c r="H292"/>
  <c r="G292"/>
  <c r="F292"/>
  <c r="BD57" i="21"/>
  <c r="BD177"/>
  <c r="E292" i="17"/>
  <c r="C292"/>
  <c r="Q291"/>
  <c r="P291"/>
  <c r="O291"/>
  <c r="N291"/>
  <c r="M291"/>
  <c r="L291"/>
  <c r="K291"/>
  <c r="J291"/>
  <c r="H291"/>
  <c r="G291"/>
  <c r="F291"/>
  <c r="C291"/>
  <c r="Q290"/>
  <c r="P290"/>
  <c r="O290"/>
  <c r="N290"/>
  <c r="M290"/>
  <c r="L290"/>
  <c r="K290"/>
  <c r="J290"/>
  <c r="H290"/>
  <c r="G290"/>
  <c r="F290"/>
  <c r="C290"/>
  <c r="Q289"/>
  <c r="P289"/>
  <c r="O289"/>
  <c r="N289"/>
  <c r="M289"/>
  <c r="L289"/>
  <c r="K289"/>
  <c r="J289"/>
  <c r="H289"/>
  <c r="G289"/>
  <c r="F289"/>
  <c r="C289"/>
  <c r="Q288"/>
  <c r="P288"/>
  <c r="O288"/>
  <c r="N288"/>
  <c r="M288"/>
  <c r="L288"/>
  <c r="K288"/>
  <c r="J288"/>
  <c r="H288"/>
  <c r="G288"/>
  <c r="F288"/>
  <c r="BD53" i="21"/>
  <c r="BD173"/>
  <c r="E288" i="17"/>
  <c r="C288"/>
  <c r="Q287"/>
  <c r="P287"/>
  <c r="O287"/>
  <c r="N287"/>
  <c r="M287"/>
  <c r="L287"/>
  <c r="K287"/>
  <c r="J287"/>
  <c r="H287"/>
  <c r="G287"/>
  <c r="F287"/>
  <c r="C287"/>
  <c r="Q286"/>
  <c r="P286"/>
  <c r="O286"/>
  <c r="N286"/>
  <c r="M286"/>
  <c r="L286"/>
  <c r="K286"/>
  <c r="J286"/>
  <c r="H286"/>
  <c r="G286"/>
  <c r="F286"/>
  <c r="C286"/>
  <c r="Q285"/>
  <c r="P285"/>
  <c r="O285"/>
  <c r="N285"/>
  <c r="M285"/>
  <c r="L285"/>
  <c r="K285"/>
  <c r="J285"/>
  <c r="H285"/>
  <c r="G285"/>
  <c r="F285"/>
  <c r="C285"/>
  <c r="Q284"/>
  <c r="P284"/>
  <c r="O284"/>
  <c r="N284"/>
  <c r="M284"/>
  <c r="L284"/>
  <c r="K284"/>
  <c r="J284"/>
  <c r="H284"/>
  <c r="G284"/>
  <c r="F284"/>
  <c r="BD49" i="21"/>
  <c r="BD169"/>
  <c r="E284" i="17"/>
  <c r="C284"/>
  <c r="Q283"/>
  <c r="P283"/>
  <c r="O283"/>
  <c r="N283"/>
  <c r="M283"/>
  <c r="L283"/>
  <c r="K283"/>
  <c r="J283"/>
  <c r="H283"/>
  <c r="G283"/>
  <c r="F283"/>
  <c r="C283"/>
  <c r="Q282"/>
  <c r="R56" i="2"/>
  <c r="P282" i="17"/>
  <c r="O282"/>
  <c r="P56" i="2"/>
  <c r="N282" i="17"/>
  <c r="M282"/>
  <c r="N56" i="2"/>
  <c r="L282" i="17"/>
  <c r="K282"/>
  <c r="L56" i="2"/>
  <c r="J282" i="17"/>
  <c r="H282"/>
  <c r="I56" i="2"/>
  <c r="I41" i="5"/>
  <c r="G43" i="3"/>
  <c r="G282" i="17"/>
  <c r="F282"/>
  <c r="C282"/>
  <c r="D56" i="2"/>
  <c r="Q281" i="17"/>
  <c r="P281"/>
  <c r="O281"/>
  <c r="N281"/>
  <c r="M281"/>
  <c r="L281"/>
  <c r="K281"/>
  <c r="J281"/>
  <c r="H281"/>
  <c r="G281"/>
  <c r="F281"/>
  <c r="C281"/>
  <c r="Q280"/>
  <c r="P280"/>
  <c r="O280"/>
  <c r="N280"/>
  <c r="M280"/>
  <c r="L280"/>
  <c r="K280"/>
  <c r="J280"/>
  <c r="H280"/>
  <c r="G280"/>
  <c r="F280"/>
  <c r="BD45" i="21"/>
  <c r="BD165"/>
  <c r="E280" i="17"/>
  <c r="C280"/>
  <c r="Q279"/>
  <c r="P279"/>
  <c r="O279"/>
  <c r="N279"/>
  <c r="M279"/>
  <c r="L279"/>
  <c r="K279"/>
  <c r="J279"/>
  <c r="H279"/>
  <c r="G279"/>
  <c r="F279"/>
  <c r="C279"/>
  <c r="Q278"/>
  <c r="P278"/>
  <c r="O278"/>
  <c r="N278"/>
  <c r="M278"/>
  <c r="L278"/>
  <c r="K278"/>
  <c r="J278"/>
  <c r="H278"/>
  <c r="G278"/>
  <c r="F278"/>
  <c r="C278"/>
  <c r="Q277"/>
  <c r="R55" i="2"/>
  <c r="P277" i="17"/>
  <c r="O277"/>
  <c r="P55" i="2"/>
  <c r="P40" i="5"/>
  <c r="N277" i="17"/>
  <c r="M277"/>
  <c r="N55" i="2"/>
  <c r="L277" i="17"/>
  <c r="K277"/>
  <c r="L55" i="2"/>
  <c r="J277" i="17"/>
  <c r="H277"/>
  <c r="I55" i="2"/>
  <c r="G277" i="17"/>
  <c r="F277"/>
  <c r="C277"/>
  <c r="D55" i="2"/>
  <c r="Q276" i="17"/>
  <c r="P276"/>
  <c r="O276"/>
  <c r="N276"/>
  <c r="M276"/>
  <c r="L276"/>
  <c r="K276"/>
  <c r="J276"/>
  <c r="H276"/>
  <c r="G276"/>
  <c r="F276"/>
  <c r="BD41" i="21"/>
  <c r="BD161"/>
  <c r="E276" i="17"/>
  <c r="C276"/>
  <c r="Q275"/>
  <c r="P275"/>
  <c r="O275"/>
  <c r="N275"/>
  <c r="M275"/>
  <c r="L275"/>
  <c r="K275"/>
  <c r="J275"/>
  <c r="H275"/>
  <c r="G275"/>
  <c r="F275"/>
  <c r="C275"/>
  <c r="Q274"/>
  <c r="P274"/>
  <c r="O274"/>
  <c r="N274"/>
  <c r="M274"/>
  <c r="L274"/>
  <c r="K274"/>
  <c r="J274"/>
  <c r="H274"/>
  <c r="G274"/>
  <c r="F274"/>
  <c r="C274"/>
  <c r="Q273"/>
  <c r="P273"/>
  <c r="O273"/>
  <c r="N273"/>
  <c r="M273"/>
  <c r="L273"/>
  <c r="K273"/>
  <c r="J273"/>
  <c r="H273"/>
  <c r="G273"/>
  <c r="F273"/>
  <c r="C273"/>
  <c r="Q272"/>
  <c r="R54" i="2"/>
  <c r="P272" i="17"/>
  <c r="Q54" i="2"/>
  <c r="Q21" i="5"/>
  <c r="O272" i="17"/>
  <c r="P54" i="2"/>
  <c r="N272" i="17"/>
  <c r="O54" i="2"/>
  <c r="M272" i="17"/>
  <c r="N54" i="2"/>
  <c r="L272" i="17"/>
  <c r="M54" i="2"/>
  <c r="K272" i="17"/>
  <c r="L54" i="2"/>
  <c r="J272" i="17"/>
  <c r="K54" i="2"/>
  <c r="H272" i="17"/>
  <c r="I54" i="2"/>
  <c r="G272" i="17"/>
  <c r="H54" i="2"/>
  <c r="H21" i="5"/>
  <c r="F23" i="3"/>
  <c r="F272" i="17"/>
  <c r="G54" i="2"/>
  <c r="BD37" i="21"/>
  <c r="BD157"/>
  <c r="E272" i="17"/>
  <c r="F54" i="2"/>
  <c r="C272" i="17"/>
  <c r="D54" i="2"/>
  <c r="D39" i="5"/>
  <c r="Q271" i="17"/>
  <c r="P271"/>
  <c r="O271"/>
  <c r="N271"/>
  <c r="M271"/>
  <c r="L271"/>
  <c r="K271"/>
  <c r="J271"/>
  <c r="H271"/>
  <c r="G271"/>
  <c r="F271"/>
  <c r="C271"/>
  <c r="Q270"/>
  <c r="P270"/>
  <c r="O270"/>
  <c r="N270"/>
  <c r="M270"/>
  <c r="L270"/>
  <c r="K270"/>
  <c r="J270"/>
  <c r="H270"/>
  <c r="G270"/>
  <c r="F270"/>
  <c r="C270"/>
  <c r="Q269"/>
  <c r="P269"/>
  <c r="O269"/>
  <c r="N269"/>
  <c r="M269"/>
  <c r="L269"/>
  <c r="K269"/>
  <c r="J269"/>
  <c r="H269"/>
  <c r="G269"/>
  <c r="F269"/>
  <c r="C269"/>
  <c r="Q268"/>
  <c r="P268"/>
  <c r="O268"/>
  <c r="N268"/>
  <c r="M268"/>
  <c r="L268"/>
  <c r="K268"/>
  <c r="J268"/>
  <c r="H268"/>
  <c r="G268"/>
  <c r="F268"/>
  <c r="BD33" i="21"/>
  <c r="BD153"/>
  <c r="E268" i="17"/>
  <c r="C268"/>
  <c r="Q267"/>
  <c r="P267"/>
  <c r="O267"/>
  <c r="N267"/>
  <c r="M267"/>
  <c r="L267"/>
  <c r="K267"/>
  <c r="J267"/>
  <c r="H267"/>
  <c r="G267"/>
  <c r="F267"/>
  <c r="C267"/>
  <c r="Q266"/>
  <c r="P266"/>
  <c r="O266"/>
  <c r="N266"/>
  <c r="M266"/>
  <c r="L266"/>
  <c r="K266"/>
  <c r="J266"/>
  <c r="H266"/>
  <c r="G266"/>
  <c r="F266"/>
  <c r="C266"/>
  <c r="Q265"/>
  <c r="P265"/>
  <c r="O265"/>
  <c r="N265"/>
  <c r="M265"/>
  <c r="L265"/>
  <c r="K265"/>
  <c r="J265"/>
  <c r="H265"/>
  <c r="G265"/>
  <c r="F265"/>
  <c r="BD25" i="21"/>
  <c r="BD145"/>
  <c r="E265" i="17"/>
  <c r="C265"/>
  <c r="Q264"/>
  <c r="P264"/>
  <c r="O264"/>
  <c r="N264"/>
  <c r="M264"/>
  <c r="L264"/>
  <c r="K264"/>
  <c r="J264"/>
  <c r="H264"/>
  <c r="G264"/>
  <c r="F264"/>
  <c r="C264"/>
  <c r="Q263"/>
  <c r="P263"/>
  <c r="O263"/>
  <c r="N263"/>
  <c r="M263"/>
  <c r="L263"/>
  <c r="K263"/>
  <c r="J263"/>
  <c r="H263"/>
  <c r="G263"/>
  <c r="F263"/>
  <c r="C263"/>
  <c r="Q262"/>
  <c r="P262"/>
  <c r="O262"/>
  <c r="N262"/>
  <c r="M262"/>
  <c r="L262"/>
  <c r="K262"/>
  <c r="J262"/>
  <c r="H262"/>
  <c r="G262"/>
  <c r="F262"/>
  <c r="C262"/>
  <c r="Q261"/>
  <c r="P261"/>
  <c r="O261"/>
  <c r="N261"/>
  <c r="M261"/>
  <c r="L261"/>
  <c r="K261"/>
  <c r="J261"/>
  <c r="H261"/>
  <c r="G261"/>
  <c r="F261"/>
  <c r="BD21" i="21"/>
  <c r="BD141"/>
  <c r="E261" i="17"/>
  <c r="C261"/>
  <c r="Q260"/>
  <c r="P260"/>
  <c r="O260"/>
  <c r="N260"/>
  <c r="M260"/>
  <c r="L260"/>
  <c r="K260"/>
  <c r="J260"/>
  <c r="H260"/>
  <c r="G260"/>
  <c r="F260"/>
  <c r="C260"/>
  <c r="Q259"/>
  <c r="P259"/>
  <c r="O259"/>
  <c r="N259"/>
  <c r="M259"/>
  <c r="L259"/>
  <c r="K259"/>
  <c r="J259"/>
  <c r="H259"/>
  <c r="G259"/>
  <c r="F259"/>
  <c r="C259"/>
  <c r="Q258"/>
  <c r="P258"/>
  <c r="O258"/>
  <c r="N258"/>
  <c r="M258"/>
  <c r="L258"/>
  <c r="K258"/>
  <c r="J258"/>
  <c r="H258"/>
  <c r="G258"/>
  <c r="F258"/>
  <c r="C258"/>
  <c r="Q256"/>
  <c r="O256"/>
  <c r="N256"/>
  <c r="M256"/>
  <c r="L256"/>
  <c r="K256"/>
  <c r="J256"/>
  <c r="I256"/>
  <c r="H256"/>
  <c r="G256"/>
  <c r="F256"/>
  <c r="C256"/>
  <c r="Q255"/>
  <c r="O255"/>
  <c r="N255"/>
  <c r="M255"/>
  <c r="L255"/>
  <c r="K255"/>
  <c r="J255"/>
  <c r="I255"/>
  <c r="H255"/>
  <c r="G255"/>
  <c r="F255"/>
  <c r="C255"/>
  <c r="Q254"/>
  <c r="O254"/>
  <c r="N254"/>
  <c r="M254"/>
  <c r="L254"/>
  <c r="K254"/>
  <c r="J254"/>
  <c r="I254"/>
  <c r="H254"/>
  <c r="G254"/>
  <c r="F254"/>
  <c r="C254"/>
  <c r="Q253"/>
  <c r="O253"/>
  <c r="N253"/>
  <c r="M253"/>
  <c r="L253"/>
  <c r="K253"/>
  <c r="J253"/>
  <c r="I253"/>
  <c r="H253"/>
  <c r="G253"/>
  <c r="F253"/>
  <c r="C253"/>
  <c r="Q251"/>
  <c r="O251"/>
  <c r="N251"/>
  <c r="M251"/>
  <c r="L251"/>
  <c r="K251"/>
  <c r="J251"/>
  <c r="I251"/>
  <c r="H251"/>
  <c r="G251"/>
  <c r="F251"/>
  <c r="BD131" i="21"/>
  <c r="E251" i="17"/>
  <c r="C251"/>
  <c r="Q250"/>
  <c r="O250"/>
  <c r="N250"/>
  <c r="M250"/>
  <c r="L250"/>
  <c r="K250"/>
  <c r="J250"/>
  <c r="I250"/>
  <c r="H250"/>
  <c r="G250"/>
  <c r="F250"/>
  <c r="C250"/>
  <c r="Q249"/>
  <c r="O249"/>
  <c r="N249"/>
  <c r="M249"/>
  <c r="L249"/>
  <c r="K249"/>
  <c r="J249"/>
  <c r="I249"/>
  <c r="H249"/>
  <c r="G249"/>
  <c r="F249"/>
  <c r="C249"/>
  <c r="Q248"/>
  <c r="O248"/>
  <c r="N248"/>
  <c r="M248"/>
  <c r="L248"/>
  <c r="K248"/>
  <c r="J248"/>
  <c r="I248"/>
  <c r="H248"/>
  <c r="G248"/>
  <c r="F248"/>
  <c r="C248"/>
  <c r="Q246"/>
  <c r="O246"/>
  <c r="N246"/>
  <c r="M246"/>
  <c r="L246"/>
  <c r="K246"/>
  <c r="J246"/>
  <c r="I246"/>
  <c r="H246"/>
  <c r="G246"/>
  <c r="F246"/>
  <c r="C246"/>
  <c r="Q245"/>
  <c r="O245"/>
  <c r="N245"/>
  <c r="M245"/>
  <c r="L245"/>
  <c r="K245"/>
  <c r="J245"/>
  <c r="I245"/>
  <c r="H245"/>
  <c r="G245"/>
  <c r="F245"/>
  <c r="C245"/>
  <c r="Q244"/>
  <c r="O244"/>
  <c r="N244"/>
  <c r="M244"/>
  <c r="L244"/>
  <c r="K244"/>
  <c r="J244"/>
  <c r="I244"/>
  <c r="H244"/>
  <c r="G244"/>
  <c r="F244"/>
  <c r="C244"/>
  <c r="Q243"/>
  <c r="O243"/>
  <c r="N243"/>
  <c r="M243"/>
  <c r="L243"/>
  <c r="K243"/>
  <c r="J243"/>
  <c r="I243"/>
  <c r="H243"/>
  <c r="G243"/>
  <c r="F243"/>
  <c r="BD123" i="21"/>
  <c r="E243" i="17"/>
  <c r="C243"/>
  <c r="Q242"/>
  <c r="O242"/>
  <c r="N242"/>
  <c r="M242"/>
  <c r="L242"/>
  <c r="K242"/>
  <c r="J242"/>
  <c r="I242"/>
  <c r="H242"/>
  <c r="G242"/>
  <c r="F242"/>
  <c r="C242"/>
  <c r="Q241"/>
  <c r="O241"/>
  <c r="N241"/>
  <c r="M241"/>
  <c r="L241"/>
  <c r="K241"/>
  <c r="J241"/>
  <c r="I241"/>
  <c r="H241"/>
  <c r="G241"/>
  <c r="F241"/>
  <c r="C241"/>
  <c r="Q240"/>
  <c r="O240"/>
  <c r="N240"/>
  <c r="M240"/>
  <c r="L240"/>
  <c r="K240"/>
  <c r="J240"/>
  <c r="I240"/>
  <c r="H240"/>
  <c r="G240"/>
  <c r="F240"/>
  <c r="BD115" i="21"/>
  <c r="E240" i="17"/>
  <c r="C240"/>
  <c r="Q239"/>
  <c r="O239"/>
  <c r="N239"/>
  <c r="M239"/>
  <c r="L239"/>
  <c r="K239"/>
  <c r="J239"/>
  <c r="I239"/>
  <c r="H239"/>
  <c r="G239"/>
  <c r="F239"/>
  <c r="C239"/>
  <c r="Q238"/>
  <c r="O238"/>
  <c r="N238"/>
  <c r="M238"/>
  <c r="L238"/>
  <c r="K238"/>
  <c r="J238"/>
  <c r="I238"/>
  <c r="H238"/>
  <c r="G238"/>
  <c r="F238"/>
  <c r="C238"/>
  <c r="Q237"/>
  <c r="O237"/>
  <c r="N237"/>
  <c r="M237"/>
  <c r="L237"/>
  <c r="K237"/>
  <c r="J237"/>
  <c r="I237"/>
  <c r="H237"/>
  <c r="G237"/>
  <c r="F237"/>
  <c r="C237"/>
  <c r="Q236"/>
  <c r="O236"/>
  <c r="N236"/>
  <c r="M236"/>
  <c r="L236"/>
  <c r="K236"/>
  <c r="J236"/>
  <c r="I236"/>
  <c r="H236"/>
  <c r="G236"/>
  <c r="F236"/>
  <c r="BD111" i="21"/>
  <c r="E236" i="17"/>
  <c r="C236"/>
  <c r="Q235"/>
  <c r="O235"/>
  <c r="N235"/>
  <c r="M235"/>
  <c r="L235"/>
  <c r="K235"/>
  <c r="J235"/>
  <c r="I235"/>
  <c r="H235"/>
  <c r="G235"/>
  <c r="F235"/>
  <c r="C235"/>
  <c r="Q234"/>
  <c r="O234"/>
  <c r="N234"/>
  <c r="M234"/>
  <c r="L234"/>
  <c r="K234"/>
  <c r="J234"/>
  <c r="I234"/>
  <c r="H234"/>
  <c r="G234"/>
  <c r="F234"/>
  <c r="C234"/>
  <c r="Q233"/>
  <c r="O233"/>
  <c r="N233"/>
  <c r="M233"/>
  <c r="L233"/>
  <c r="K233"/>
  <c r="J233"/>
  <c r="I233"/>
  <c r="H233"/>
  <c r="G233"/>
  <c r="F233"/>
  <c r="C233"/>
  <c r="Q232"/>
  <c r="R53" i="2"/>
  <c r="O232" i="17"/>
  <c r="P53" i="2"/>
  <c r="N232" i="17"/>
  <c r="M232"/>
  <c r="N53" i="2"/>
  <c r="L232" i="17"/>
  <c r="K232"/>
  <c r="L53" i="2"/>
  <c r="J232" i="17"/>
  <c r="I232"/>
  <c r="H232"/>
  <c r="I53" i="2"/>
  <c r="G232" i="17"/>
  <c r="F232"/>
  <c r="BD107" i="21"/>
  <c r="E232" i="17"/>
  <c r="F53" i="2"/>
  <c r="F20" i="5"/>
  <c r="C232" i="17"/>
  <c r="D53" i="2"/>
  <c r="D20" i="5"/>
  <c r="Q231" i="17"/>
  <c r="O231"/>
  <c r="N231"/>
  <c r="M231"/>
  <c r="L231"/>
  <c r="K231"/>
  <c r="J231"/>
  <c r="I231"/>
  <c r="H231"/>
  <c r="G231"/>
  <c r="F231"/>
  <c r="C231"/>
  <c r="Q230"/>
  <c r="O230"/>
  <c r="N230"/>
  <c r="M230"/>
  <c r="L230"/>
  <c r="K230"/>
  <c r="J230"/>
  <c r="I230"/>
  <c r="H230"/>
  <c r="G230"/>
  <c r="F230"/>
  <c r="C230"/>
  <c r="Q229"/>
  <c r="O229"/>
  <c r="N229"/>
  <c r="M229"/>
  <c r="L229"/>
  <c r="K229"/>
  <c r="J229"/>
  <c r="I229"/>
  <c r="H229"/>
  <c r="G229"/>
  <c r="F229"/>
  <c r="C229"/>
  <c r="Q228"/>
  <c r="O228"/>
  <c r="N228"/>
  <c r="M228"/>
  <c r="L228"/>
  <c r="K228"/>
  <c r="J228"/>
  <c r="I228"/>
  <c r="H228"/>
  <c r="G228"/>
  <c r="F228"/>
  <c r="BD103" i="21"/>
  <c r="E228" i="17"/>
  <c r="C228"/>
  <c r="Q227"/>
  <c r="R52" i="2"/>
  <c r="O227" i="17"/>
  <c r="P52" i="2"/>
  <c r="N227" i="17"/>
  <c r="M227"/>
  <c r="N52" i="2"/>
  <c r="L227" i="17"/>
  <c r="K227"/>
  <c r="L52" i="2"/>
  <c r="J227" i="17"/>
  <c r="I227"/>
  <c r="H227"/>
  <c r="I52" i="2"/>
  <c r="G227" i="17"/>
  <c r="F227"/>
  <c r="C227"/>
  <c r="D52" i="2"/>
  <c r="Q226" i="17"/>
  <c r="O226"/>
  <c r="N226"/>
  <c r="M226"/>
  <c r="L226"/>
  <c r="K226"/>
  <c r="J226"/>
  <c r="I226"/>
  <c r="H226"/>
  <c r="G226"/>
  <c r="F226"/>
  <c r="C226"/>
  <c r="Q225"/>
  <c r="O225"/>
  <c r="N225"/>
  <c r="M225"/>
  <c r="L225"/>
  <c r="K225"/>
  <c r="J225"/>
  <c r="I225"/>
  <c r="H225"/>
  <c r="G225"/>
  <c r="F225"/>
  <c r="C225"/>
  <c r="Q224"/>
  <c r="O224"/>
  <c r="N224"/>
  <c r="M224"/>
  <c r="L224"/>
  <c r="K224"/>
  <c r="J224"/>
  <c r="I224"/>
  <c r="H224"/>
  <c r="G224"/>
  <c r="F224"/>
  <c r="BD99" i="21"/>
  <c r="E224" i="17"/>
  <c r="C224"/>
  <c r="Q223"/>
  <c r="O223"/>
  <c r="N223"/>
  <c r="M223"/>
  <c r="L223"/>
  <c r="K223"/>
  <c r="J223"/>
  <c r="I223"/>
  <c r="H223"/>
  <c r="G223"/>
  <c r="F223"/>
  <c r="C223"/>
  <c r="Q222"/>
  <c r="R51" i="2"/>
  <c r="O222" i="17"/>
  <c r="P51" i="2"/>
  <c r="N222" i="17"/>
  <c r="O51" i="2"/>
  <c r="M222" i="17"/>
  <c r="N51" i="2"/>
  <c r="N36" i="5"/>
  <c r="L222" i="17"/>
  <c r="M51" i="2"/>
  <c r="K222" i="17"/>
  <c r="L51" i="2"/>
  <c r="J222" i="17"/>
  <c r="K51" i="2"/>
  <c r="I222" i="17"/>
  <c r="J51" i="2"/>
  <c r="H222" i="17"/>
  <c r="I51" i="2"/>
  <c r="G222" i="17"/>
  <c r="H51" i="2"/>
  <c r="F222" i="17"/>
  <c r="G51" i="2"/>
  <c r="C222" i="17"/>
  <c r="D51" i="2"/>
  <c r="Q221" i="17"/>
  <c r="O221"/>
  <c r="N221"/>
  <c r="M221"/>
  <c r="L221"/>
  <c r="K221"/>
  <c r="J221"/>
  <c r="I221"/>
  <c r="H221"/>
  <c r="G221"/>
  <c r="F221"/>
  <c r="C221"/>
  <c r="Q220"/>
  <c r="O220"/>
  <c r="N220"/>
  <c r="M220"/>
  <c r="L220"/>
  <c r="K220"/>
  <c r="J220"/>
  <c r="I220"/>
  <c r="H220"/>
  <c r="G220"/>
  <c r="F220"/>
  <c r="BD95" i="21"/>
  <c r="E220" i="17"/>
  <c r="C220"/>
  <c r="Q219"/>
  <c r="O219"/>
  <c r="N219"/>
  <c r="M219"/>
  <c r="L219"/>
  <c r="K219"/>
  <c r="J219"/>
  <c r="I219"/>
  <c r="H219"/>
  <c r="G219"/>
  <c r="F219"/>
  <c r="C219"/>
  <c r="Q218"/>
  <c r="O218"/>
  <c r="N218"/>
  <c r="M218"/>
  <c r="L218"/>
  <c r="K218"/>
  <c r="J218"/>
  <c r="I218"/>
  <c r="H218"/>
  <c r="G218"/>
  <c r="F218"/>
  <c r="C218"/>
  <c r="Q217"/>
  <c r="O217"/>
  <c r="N217"/>
  <c r="M217"/>
  <c r="L217"/>
  <c r="K217"/>
  <c r="J217"/>
  <c r="I217"/>
  <c r="H217"/>
  <c r="G217"/>
  <c r="F217"/>
  <c r="BD87" i="21"/>
  <c r="E217" i="17"/>
  <c r="C217"/>
  <c r="Q216"/>
  <c r="O216"/>
  <c r="N216"/>
  <c r="M216"/>
  <c r="L216"/>
  <c r="K216"/>
  <c r="J216"/>
  <c r="I216"/>
  <c r="H216"/>
  <c r="G216"/>
  <c r="F216"/>
  <c r="C216"/>
  <c r="Q215"/>
  <c r="O215"/>
  <c r="N215"/>
  <c r="M215"/>
  <c r="L215"/>
  <c r="K215"/>
  <c r="J215"/>
  <c r="I215"/>
  <c r="H215"/>
  <c r="G215"/>
  <c r="F215"/>
  <c r="C215"/>
  <c r="Q214"/>
  <c r="O214"/>
  <c r="N214"/>
  <c r="M214"/>
  <c r="L214"/>
  <c r="K214"/>
  <c r="J214"/>
  <c r="I214"/>
  <c r="H214"/>
  <c r="G214"/>
  <c r="F214"/>
  <c r="C214"/>
  <c r="Q213"/>
  <c r="O213"/>
  <c r="N213"/>
  <c r="M213"/>
  <c r="L213"/>
  <c r="K213"/>
  <c r="J213"/>
  <c r="I213"/>
  <c r="H213"/>
  <c r="G213"/>
  <c r="F213"/>
  <c r="BD83" i="21"/>
  <c r="E213" i="17"/>
  <c r="C213"/>
  <c r="Q212"/>
  <c r="O212"/>
  <c r="N212"/>
  <c r="M212"/>
  <c r="L212"/>
  <c r="K212"/>
  <c r="J212"/>
  <c r="I212"/>
  <c r="H212"/>
  <c r="G212"/>
  <c r="F212"/>
  <c r="C212"/>
  <c r="Q211"/>
  <c r="O211"/>
  <c r="N211"/>
  <c r="M211"/>
  <c r="L211"/>
  <c r="K211"/>
  <c r="J211"/>
  <c r="I211"/>
  <c r="H211"/>
  <c r="G211"/>
  <c r="F211"/>
  <c r="C211"/>
  <c r="Q210"/>
  <c r="O210"/>
  <c r="N210"/>
  <c r="M210"/>
  <c r="L210"/>
  <c r="K210"/>
  <c r="J210"/>
  <c r="I210"/>
  <c r="H210"/>
  <c r="G210"/>
  <c r="F210"/>
  <c r="C210"/>
  <c r="Q209"/>
  <c r="O209"/>
  <c r="N209"/>
  <c r="M209"/>
  <c r="L209"/>
  <c r="K209"/>
  <c r="J209"/>
  <c r="I209"/>
  <c r="H209"/>
  <c r="G209"/>
  <c r="F209"/>
  <c r="BD79" i="21"/>
  <c r="E209" i="17"/>
  <c r="C209"/>
  <c r="Q208"/>
  <c r="O208"/>
  <c r="N208"/>
  <c r="M208"/>
  <c r="L208"/>
  <c r="K208"/>
  <c r="J208"/>
  <c r="I208"/>
  <c r="H208"/>
  <c r="G208"/>
  <c r="F208"/>
  <c r="C208"/>
  <c r="Q206"/>
  <c r="O206"/>
  <c r="N206"/>
  <c r="M206"/>
  <c r="L206"/>
  <c r="K206"/>
  <c r="J206"/>
  <c r="H206"/>
  <c r="G206"/>
  <c r="C206"/>
  <c r="Q205"/>
  <c r="O205"/>
  <c r="N205"/>
  <c r="M205"/>
  <c r="L205"/>
  <c r="K205"/>
  <c r="J205"/>
  <c r="H205"/>
  <c r="G205"/>
  <c r="C205"/>
  <c r="Q204"/>
  <c r="O204"/>
  <c r="N204"/>
  <c r="M204"/>
  <c r="L204"/>
  <c r="K204"/>
  <c r="J204"/>
  <c r="H204"/>
  <c r="G204"/>
  <c r="C204"/>
  <c r="Q203"/>
  <c r="O203"/>
  <c r="N203"/>
  <c r="M203"/>
  <c r="L203"/>
  <c r="K203"/>
  <c r="J203"/>
  <c r="H203"/>
  <c r="G203"/>
  <c r="C203"/>
  <c r="Q201"/>
  <c r="O201"/>
  <c r="N201"/>
  <c r="M201"/>
  <c r="L201"/>
  <c r="K201"/>
  <c r="J201"/>
  <c r="H201"/>
  <c r="G201"/>
  <c r="C201"/>
  <c r="Q200"/>
  <c r="O200"/>
  <c r="N200"/>
  <c r="M200"/>
  <c r="L200"/>
  <c r="K200"/>
  <c r="J200"/>
  <c r="H200"/>
  <c r="G200"/>
  <c r="C200"/>
  <c r="Q199"/>
  <c r="O199"/>
  <c r="N199"/>
  <c r="M199"/>
  <c r="L199"/>
  <c r="K199"/>
  <c r="J199"/>
  <c r="H199"/>
  <c r="G199"/>
  <c r="C199"/>
  <c r="Q198"/>
  <c r="O198"/>
  <c r="N198"/>
  <c r="M198"/>
  <c r="L198"/>
  <c r="K198"/>
  <c r="J198"/>
  <c r="H198"/>
  <c r="G198"/>
  <c r="C198"/>
  <c r="Q196"/>
  <c r="O196"/>
  <c r="N196"/>
  <c r="M196"/>
  <c r="L196"/>
  <c r="K196"/>
  <c r="J196"/>
  <c r="H196"/>
  <c r="G196"/>
  <c r="C196"/>
  <c r="Q195"/>
  <c r="O195"/>
  <c r="N195"/>
  <c r="M195"/>
  <c r="L195"/>
  <c r="K195"/>
  <c r="J195"/>
  <c r="H195"/>
  <c r="G195"/>
  <c r="C195"/>
  <c r="Q194"/>
  <c r="O194"/>
  <c r="N194"/>
  <c r="M194"/>
  <c r="L194"/>
  <c r="K194"/>
  <c r="J194"/>
  <c r="H194"/>
  <c r="G194"/>
  <c r="C194"/>
  <c r="Q193"/>
  <c r="O193"/>
  <c r="N193"/>
  <c r="M193"/>
  <c r="L193"/>
  <c r="K193"/>
  <c r="J193"/>
  <c r="H193"/>
  <c r="G193"/>
  <c r="C193"/>
  <c r="Q192"/>
  <c r="O192"/>
  <c r="N192"/>
  <c r="M192"/>
  <c r="L192"/>
  <c r="K192"/>
  <c r="J192"/>
  <c r="H192"/>
  <c r="G192"/>
  <c r="C192"/>
  <c r="Q191"/>
  <c r="O191"/>
  <c r="N191"/>
  <c r="M191"/>
  <c r="L191"/>
  <c r="K191"/>
  <c r="J191"/>
  <c r="H191"/>
  <c r="G191"/>
  <c r="C191"/>
  <c r="Q190"/>
  <c r="O190"/>
  <c r="N190"/>
  <c r="M190"/>
  <c r="L190"/>
  <c r="K190"/>
  <c r="J190"/>
  <c r="H190"/>
  <c r="G190"/>
  <c r="C190"/>
  <c r="Q189"/>
  <c r="O189"/>
  <c r="N189"/>
  <c r="M189"/>
  <c r="L189"/>
  <c r="K189"/>
  <c r="J189"/>
  <c r="H189"/>
  <c r="G189"/>
  <c r="C189"/>
  <c r="Q188"/>
  <c r="O188"/>
  <c r="N188"/>
  <c r="M188"/>
  <c r="L188"/>
  <c r="K188"/>
  <c r="J188"/>
  <c r="H188"/>
  <c r="G188"/>
  <c r="C188"/>
  <c r="Q187"/>
  <c r="O187"/>
  <c r="N187"/>
  <c r="M187"/>
  <c r="L187"/>
  <c r="K187"/>
  <c r="J187"/>
  <c r="H187"/>
  <c r="G187"/>
  <c r="C187"/>
  <c r="Q186"/>
  <c r="O186"/>
  <c r="N186"/>
  <c r="M186"/>
  <c r="L186"/>
  <c r="K186"/>
  <c r="J186"/>
  <c r="H186"/>
  <c r="G186"/>
  <c r="C186"/>
  <c r="Q185"/>
  <c r="O185"/>
  <c r="N185"/>
  <c r="M185"/>
  <c r="L185"/>
  <c r="K185"/>
  <c r="J185"/>
  <c r="H185"/>
  <c r="G185"/>
  <c r="C185"/>
  <c r="Q184"/>
  <c r="O184"/>
  <c r="N184"/>
  <c r="M184"/>
  <c r="L184"/>
  <c r="K184"/>
  <c r="J184"/>
  <c r="H184"/>
  <c r="G184"/>
  <c r="C184"/>
  <c r="Q183"/>
  <c r="O183"/>
  <c r="N183"/>
  <c r="M183"/>
  <c r="L183"/>
  <c r="K183"/>
  <c r="J183"/>
  <c r="H183"/>
  <c r="G183"/>
  <c r="C183"/>
  <c r="Q182"/>
  <c r="R50" i="2"/>
  <c r="O182" i="17"/>
  <c r="P50" i="2"/>
  <c r="P17" i="5"/>
  <c r="N182" i="17"/>
  <c r="M182"/>
  <c r="N50" i="2"/>
  <c r="L182" i="17"/>
  <c r="K182"/>
  <c r="L50" i="2"/>
  <c r="L35" i="5"/>
  <c r="J182" i="17"/>
  <c r="H182"/>
  <c r="I50" i="2"/>
  <c r="G182" i="17"/>
  <c r="C182"/>
  <c r="D50" i="2"/>
  <c r="Q181" i="17"/>
  <c r="O181"/>
  <c r="N181"/>
  <c r="M181"/>
  <c r="L181"/>
  <c r="K181"/>
  <c r="J181"/>
  <c r="H181"/>
  <c r="G181"/>
  <c r="C181"/>
  <c r="Q180"/>
  <c r="O180"/>
  <c r="N180"/>
  <c r="M180"/>
  <c r="L180"/>
  <c r="K180"/>
  <c r="J180"/>
  <c r="H180"/>
  <c r="G180"/>
  <c r="C180"/>
  <c r="Q179"/>
  <c r="O179"/>
  <c r="N179"/>
  <c r="M179"/>
  <c r="L179"/>
  <c r="K179"/>
  <c r="J179"/>
  <c r="H179"/>
  <c r="G179"/>
  <c r="C179"/>
  <c r="Q178"/>
  <c r="O178"/>
  <c r="N178"/>
  <c r="M178"/>
  <c r="L178"/>
  <c r="K178"/>
  <c r="J178"/>
  <c r="H178"/>
  <c r="G178"/>
  <c r="C178"/>
  <c r="Q177"/>
  <c r="R49" i="2"/>
  <c r="O177" i="17"/>
  <c r="P49" i="2"/>
  <c r="P34" i="5"/>
  <c r="N177" i="17"/>
  <c r="M177"/>
  <c r="N49" i="2"/>
  <c r="L177" i="17"/>
  <c r="K177"/>
  <c r="L49" i="2"/>
  <c r="L16" i="5"/>
  <c r="J177" i="17"/>
  <c r="H177"/>
  <c r="I49" i="2"/>
  <c r="G177" i="17"/>
  <c r="C177"/>
  <c r="D49" i="2"/>
  <c r="Q176" i="17"/>
  <c r="O176"/>
  <c r="N176"/>
  <c r="M176"/>
  <c r="L176"/>
  <c r="K176"/>
  <c r="J176"/>
  <c r="H176"/>
  <c r="G176"/>
  <c r="C176"/>
  <c r="Q175"/>
  <c r="O175"/>
  <c r="N175"/>
  <c r="M175"/>
  <c r="L175"/>
  <c r="K175"/>
  <c r="J175"/>
  <c r="H175"/>
  <c r="G175"/>
  <c r="C175"/>
  <c r="Q174"/>
  <c r="O174"/>
  <c r="N174"/>
  <c r="M174"/>
  <c r="L174"/>
  <c r="K174"/>
  <c r="J174"/>
  <c r="H174"/>
  <c r="G174"/>
  <c r="C174"/>
  <c r="Q173"/>
  <c r="O173"/>
  <c r="N173"/>
  <c r="M173"/>
  <c r="L173"/>
  <c r="K173"/>
  <c r="J173"/>
  <c r="H173"/>
  <c r="G173"/>
  <c r="C173"/>
  <c r="Q172"/>
  <c r="R48" i="2"/>
  <c r="O172" i="17"/>
  <c r="P48" i="2"/>
  <c r="N172" i="17"/>
  <c r="O48" i="2"/>
  <c r="M172" i="17"/>
  <c r="N48" i="2"/>
  <c r="L172" i="17"/>
  <c r="M48" i="2"/>
  <c r="M33" i="5"/>
  <c r="K35" i="3"/>
  <c r="K172" i="17"/>
  <c r="L48" i="2"/>
  <c r="J172" i="17"/>
  <c r="K48" i="2"/>
  <c r="H172" i="17"/>
  <c r="I48" i="2"/>
  <c r="G172" i="17"/>
  <c r="H48" i="2"/>
  <c r="C172" i="17"/>
  <c r="D48" i="2"/>
  <c r="Q171" i="17"/>
  <c r="O171"/>
  <c r="N171"/>
  <c r="M171"/>
  <c r="L171"/>
  <c r="K171"/>
  <c r="J171"/>
  <c r="H171"/>
  <c r="G171"/>
  <c r="C171"/>
  <c r="Q170"/>
  <c r="O170"/>
  <c r="N170"/>
  <c r="M170"/>
  <c r="L170"/>
  <c r="K170"/>
  <c r="J170"/>
  <c r="H170"/>
  <c r="G170"/>
  <c r="C170"/>
  <c r="Q169"/>
  <c r="O169"/>
  <c r="N169"/>
  <c r="M169"/>
  <c r="L169"/>
  <c r="K169"/>
  <c r="J169"/>
  <c r="H169"/>
  <c r="G169"/>
  <c r="C169"/>
  <c r="Q168"/>
  <c r="O168"/>
  <c r="N168"/>
  <c r="M168"/>
  <c r="L168"/>
  <c r="K168"/>
  <c r="J168"/>
  <c r="H168"/>
  <c r="G168"/>
  <c r="C168"/>
  <c r="Q167"/>
  <c r="O167"/>
  <c r="N167"/>
  <c r="M167"/>
  <c r="L167"/>
  <c r="K167"/>
  <c r="J167"/>
  <c r="H167"/>
  <c r="G167"/>
  <c r="C167"/>
  <c r="Q166"/>
  <c r="O166"/>
  <c r="N166"/>
  <c r="M166"/>
  <c r="L166"/>
  <c r="K166"/>
  <c r="J166"/>
  <c r="H166"/>
  <c r="G166"/>
  <c r="C166"/>
  <c r="Q165"/>
  <c r="O165"/>
  <c r="N165"/>
  <c r="M165"/>
  <c r="L165"/>
  <c r="K165"/>
  <c r="J165"/>
  <c r="H165"/>
  <c r="G165"/>
  <c r="C165"/>
  <c r="Q164"/>
  <c r="O164"/>
  <c r="N164"/>
  <c r="M164"/>
  <c r="L164"/>
  <c r="K164"/>
  <c r="J164"/>
  <c r="H164"/>
  <c r="G164"/>
  <c r="C164"/>
  <c r="Q163"/>
  <c r="O163"/>
  <c r="N163"/>
  <c r="M163"/>
  <c r="L163"/>
  <c r="K163"/>
  <c r="J163"/>
  <c r="H163"/>
  <c r="G163"/>
  <c r="C163"/>
  <c r="Q162"/>
  <c r="O162"/>
  <c r="N162"/>
  <c r="M162"/>
  <c r="L162"/>
  <c r="K162"/>
  <c r="J162"/>
  <c r="H162"/>
  <c r="G162"/>
  <c r="C162"/>
  <c r="Q161"/>
  <c r="O161"/>
  <c r="N161"/>
  <c r="M161"/>
  <c r="L161"/>
  <c r="K161"/>
  <c r="J161"/>
  <c r="H161"/>
  <c r="G161"/>
  <c r="C161"/>
  <c r="Q160"/>
  <c r="O160"/>
  <c r="N160"/>
  <c r="M160"/>
  <c r="L160"/>
  <c r="K160"/>
  <c r="J160"/>
  <c r="H160"/>
  <c r="G160"/>
  <c r="C160"/>
  <c r="Q159"/>
  <c r="O159"/>
  <c r="N159"/>
  <c r="M159"/>
  <c r="L159"/>
  <c r="K159"/>
  <c r="J159"/>
  <c r="H159"/>
  <c r="G159"/>
  <c r="C159"/>
  <c r="Q158"/>
  <c r="O158"/>
  <c r="N158"/>
  <c r="M158"/>
  <c r="L158"/>
  <c r="K158"/>
  <c r="J158"/>
  <c r="H158"/>
  <c r="G158"/>
  <c r="C158"/>
  <c r="B138" i="22"/>
  <c r="C138"/>
  <c r="A138"/>
  <c r="BE137"/>
  <c r="AS137"/>
  <c r="AV137"/>
  <c r="BE136"/>
  <c r="BD136"/>
  <c r="E406" i="17"/>
  <c r="AV136" i="22"/>
  <c r="AS136"/>
  <c r="BE135"/>
  <c r="AV135"/>
  <c r="AS135"/>
  <c r="BE134"/>
  <c r="BD134"/>
  <c r="E404" i="17"/>
  <c r="AV134" i="22"/>
  <c r="AS134"/>
  <c r="BE133"/>
  <c r="BD133"/>
  <c r="E403" i="17"/>
  <c r="AV133" i="22"/>
  <c r="AS133"/>
  <c r="BE132"/>
  <c r="AV132"/>
  <c r="AS132"/>
  <c r="BE131"/>
  <c r="AV131"/>
  <c r="AS131"/>
  <c r="BE130"/>
  <c r="BD130"/>
  <c r="E400" i="17"/>
  <c r="AV130" i="22"/>
  <c r="AS130"/>
  <c r="BE129"/>
  <c r="AS129"/>
  <c r="BD129"/>
  <c r="E399" i="17"/>
  <c r="AV129" i="22"/>
  <c r="BE128"/>
  <c r="BD128"/>
  <c r="E398" i="17"/>
  <c r="AV128" i="22"/>
  <c r="AS128"/>
  <c r="BE127"/>
  <c r="AV127"/>
  <c r="AS127"/>
  <c r="BE126"/>
  <c r="BD126"/>
  <c r="E396" i="17"/>
  <c r="AV126" i="22"/>
  <c r="AS126"/>
  <c r="BE125"/>
  <c r="AS125"/>
  <c r="BD125"/>
  <c r="E395" i="17"/>
  <c r="AV125" i="22"/>
  <c r="BE124"/>
  <c r="BD124"/>
  <c r="E394" i="17"/>
  <c r="AV124" i="22"/>
  <c r="AS124"/>
  <c r="BE123"/>
  <c r="BD123"/>
  <c r="E393" i="17"/>
  <c r="AV123" i="22"/>
  <c r="AS123"/>
  <c r="BE122"/>
  <c r="BD122"/>
  <c r="AV122"/>
  <c r="AS122"/>
  <c r="BE121"/>
  <c r="AS121"/>
  <c r="BD121"/>
  <c r="AV121"/>
  <c r="BE120"/>
  <c r="BD120"/>
  <c r="AV120"/>
  <c r="AS120"/>
  <c r="BE119"/>
  <c r="BD119"/>
  <c r="AV119"/>
  <c r="AS119"/>
  <c r="BE118"/>
  <c r="BD118"/>
  <c r="AV118"/>
  <c r="AS118"/>
  <c r="BE117"/>
  <c r="AS117"/>
  <c r="BD117"/>
  <c r="E392" i="17"/>
  <c r="AV117" i="22"/>
  <c r="BE116"/>
  <c r="BD116"/>
  <c r="E391" i="17"/>
  <c r="AV116" i="22"/>
  <c r="AS116"/>
  <c r="BE115"/>
  <c r="AV115"/>
  <c r="AS115"/>
  <c r="BE114"/>
  <c r="BD114"/>
  <c r="E389" i="17"/>
  <c r="AV114" i="22"/>
  <c r="AS114"/>
  <c r="BE113"/>
  <c r="AS113"/>
  <c r="BD113"/>
  <c r="E388" i="17"/>
  <c r="AV113" i="22"/>
  <c r="BE112"/>
  <c r="BD112"/>
  <c r="E387" i="17"/>
  <c r="AV112" i="22"/>
  <c r="AS112"/>
  <c r="BE111"/>
  <c r="AS111"/>
  <c r="BD111"/>
  <c r="E386" i="17"/>
  <c r="AV111" i="22"/>
  <c r="BE110"/>
  <c r="BD110"/>
  <c r="E385" i="17"/>
  <c r="AV110" i="22"/>
  <c r="AS110"/>
  <c r="BE109"/>
  <c r="BD109"/>
  <c r="E384" i="17"/>
  <c r="AV109" i="22"/>
  <c r="AS109"/>
  <c r="BE108"/>
  <c r="BD108"/>
  <c r="E383" i="17"/>
  <c r="AV108" i="22"/>
  <c r="AS108"/>
  <c r="BE107"/>
  <c r="AS107"/>
  <c r="BD107"/>
  <c r="E382" i="17"/>
  <c r="F62" i="2"/>
  <c r="F29" i="5"/>
  <c r="AV107" i="22"/>
  <c r="BE106"/>
  <c r="BD106"/>
  <c r="E381" i="17"/>
  <c r="AV106" i="22"/>
  <c r="AS106"/>
  <c r="BE105"/>
  <c r="BD105"/>
  <c r="E380" i="17"/>
  <c r="AV105" i="22"/>
  <c r="AS105"/>
  <c r="BE104"/>
  <c r="BD104"/>
  <c r="E379" i="17"/>
  <c r="AV104" i="22"/>
  <c r="AS104"/>
  <c r="BE103"/>
  <c r="AS103"/>
  <c r="AV103"/>
  <c r="BE102"/>
  <c r="BD102"/>
  <c r="E377" i="17"/>
  <c r="F61" i="2"/>
  <c r="F28" i="5"/>
  <c r="AV102" i="22"/>
  <c r="AS102"/>
  <c r="BE101"/>
  <c r="AV101"/>
  <c r="AS101"/>
  <c r="BE100"/>
  <c r="BD100"/>
  <c r="E375" i="17"/>
  <c r="AV100" i="22"/>
  <c r="AS100"/>
  <c r="BE99"/>
  <c r="AS99"/>
  <c r="AV99"/>
  <c r="BE98"/>
  <c r="BD98"/>
  <c r="E373" i="17"/>
  <c r="AV98" i="22"/>
  <c r="AS98"/>
  <c r="BE97"/>
  <c r="BD97"/>
  <c r="E372" i="17"/>
  <c r="F60" i="2"/>
  <c r="F27" i="5"/>
  <c r="AV97" i="22"/>
  <c r="AS97"/>
  <c r="BE96"/>
  <c r="BD96"/>
  <c r="E371" i="17"/>
  <c r="AV96" i="22"/>
  <c r="AS96"/>
  <c r="BE95"/>
  <c r="AS95"/>
  <c r="BD95"/>
  <c r="E370" i="17"/>
  <c r="AV95" i="22"/>
  <c r="BE94"/>
  <c r="BD94"/>
  <c r="E369" i="17"/>
  <c r="AV94" i="22"/>
  <c r="AS94"/>
  <c r="BE93"/>
  <c r="BD93"/>
  <c r="E368" i="17"/>
  <c r="AV93" i="22"/>
  <c r="AS93"/>
  <c r="BE92"/>
  <c r="BD92"/>
  <c r="AV92"/>
  <c r="AS92"/>
  <c r="BE91"/>
  <c r="AS91"/>
  <c r="BD91"/>
  <c r="AV91"/>
  <c r="BE90"/>
  <c r="BD90"/>
  <c r="AV90"/>
  <c r="AS90"/>
  <c r="BE89"/>
  <c r="AS89"/>
  <c r="BD89"/>
  <c r="AV89"/>
  <c r="BE88"/>
  <c r="BD88"/>
  <c r="AV88"/>
  <c r="AS88"/>
  <c r="BE87"/>
  <c r="AV87"/>
  <c r="AS87"/>
  <c r="BE86"/>
  <c r="BD86"/>
  <c r="E366" i="17"/>
  <c r="AV86" i="22"/>
  <c r="AS86"/>
  <c r="BE85"/>
  <c r="AV85"/>
  <c r="AS85"/>
  <c r="BE84"/>
  <c r="BD84"/>
  <c r="E364" i="17"/>
  <c r="AV84" i="22"/>
  <c r="AS84"/>
  <c r="BE83"/>
  <c r="AV83"/>
  <c r="AS83"/>
  <c r="BE82"/>
  <c r="BD82"/>
  <c r="E362" i="17"/>
  <c r="AV82" i="22"/>
  <c r="AS82"/>
  <c r="BE81"/>
  <c r="AS81"/>
  <c r="AV81"/>
  <c r="BE80"/>
  <c r="BD80"/>
  <c r="E360" i="17"/>
  <c r="AV80" i="22"/>
  <c r="AS80"/>
  <c r="BE79"/>
  <c r="BD79"/>
  <c r="E359" i="17"/>
  <c r="AV79" i="22"/>
  <c r="AS79"/>
  <c r="A79"/>
  <c r="BE78"/>
  <c r="BD78"/>
  <c r="E358" i="17"/>
  <c r="AV78" i="22"/>
  <c r="AS78"/>
  <c r="C78"/>
  <c r="B78"/>
  <c r="BD76"/>
  <c r="BD75"/>
  <c r="BD74"/>
  <c r="BD194"/>
  <c r="E454" i="17"/>
  <c r="BD73" i="22"/>
  <c r="BD193"/>
  <c r="E453" i="17"/>
  <c r="BD71" i="22"/>
  <c r="BD70"/>
  <c r="BD190"/>
  <c r="E450" i="17"/>
  <c r="BD69" i="22"/>
  <c r="BD189"/>
  <c r="E449" i="17"/>
  <c r="BD68" i="22"/>
  <c r="BD66"/>
  <c r="BD186"/>
  <c r="E446" i="17"/>
  <c r="BD65" i="22"/>
  <c r="BD185"/>
  <c r="E445" i="17"/>
  <c r="BD64" i="22"/>
  <c r="BD63"/>
  <c r="BD62"/>
  <c r="BD182"/>
  <c r="BD61"/>
  <c r="BD181"/>
  <c r="BD60"/>
  <c r="BD59"/>
  <c r="BD58"/>
  <c r="BD178"/>
  <c r="BD57"/>
  <c r="BD177"/>
  <c r="E442" i="17"/>
  <c r="BD56" i="22"/>
  <c r="BD55"/>
  <c r="BD54"/>
  <c r="BD174"/>
  <c r="E439" i="17"/>
  <c r="BD53" i="22"/>
  <c r="E338" i="17"/>
  <c r="BD52" i="22"/>
  <c r="BD51"/>
  <c r="BD49"/>
  <c r="BD169"/>
  <c r="E434" i="17"/>
  <c r="BD48" i="22"/>
  <c r="BD47"/>
  <c r="BD45"/>
  <c r="BD165"/>
  <c r="E430" i="17"/>
  <c r="BD44" i="22"/>
  <c r="BD43"/>
  <c r="BD41"/>
  <c r="BD161"/>
  <c r="E426" i="17"/>
  <c r="BD40" i="22"/>
  <c r="BD39"/>
  <c r="BD38"/>
  <c r="BD158"/>
  <c r="E423" i="17"/>
  <c r="BD36" i="22"/>
  <c r="BD35"/>
  <c r="BD34"/>
  <c r="BD154"/>
  <c r="E419" i="17"/>
  <c r="BD32" i="22"/>
  <c r="BD31"/>
  <c r="BD30"/>
  <c r="BD150"/>
  <c r="BD29"/>
  <c r="BD149"/>
  <c r="BD28"/>
  <c r="BD27"/>
  <c r="BD26"/>
  <c r="BD146"/>
  <c r="E416" i="17"/>
  <c r="BD24" i="22"/>
  <c r="BD23"/>
  <c r="BD22"/>
  <c r="BD142"/>
  <c r="E412" i="17"/>
  <c r="BD20" i="22"/>
  <c r="B20"/>
  <c r="A20"/>
  <c r="BD19"/>
  <c r="A19"/>
  <c r="A139"/>
  <c r="BD18"/>
  <c r="BD138"/>
  <c r="E408" i="17"/>
  <c r="E18" i="22"/>
  <c r="I18"/>
  <c r="B18"/>
  <c r="C18"/>
  <c r="D18"/>
  <c r="AL17"/>
  <c r="AK17"/>
  <c r="AE17"/>
  <c r="AO17"/>
  <c r="AD17"/>
  <c r="AN17"/>
  <c r="AC17"/>
  <c r="AM17"/>
  <c r="AB17"/>
  <c r="AA17"/>
  <c r="Z17"/>
  <c r="AJ17"/>
  <c r="Y17"/>
  <c r="AI17"/>
  <c r="X17"/>
  <c r="AH17"/>
  <c r="AL5"/>
  <c r="AL4"/>
  <c r="AI4"/>
  <c r="AI5"/>
  <c r="AI6"/>
  <c r="AI3"/>
  <c r="K17" i="27"/>
  <c r="J17"/>
  <c r="I17"/>
  <c r="H17"/>
  <c r="G17"/>
  <c r="K2"/>
  <c r="J2"/>
  <c r="I2"/>
  <c r="G2"/>
  <c r="F2"/>
  <c r="F17"/>
  <c r="D17"/>
  <c r="C17"/>
  <c r="H3"/>
  <c r="D3"/>
  <c r="H3" i="22"/>
  <c r="C3" i="27"/>
  <c r="H2" i="22"/>
  <c r="G18"/>
  <c r="K17" i="26"/>
  <c r="J17"/>
  <c r="I17"/>
  <c r="H17"/>
  <c r="G17"/>
  <c r="F17"/>
  <c r="D17"/>
  <c r="C17"/>
  <c r="K2"/>
  <c r="J2"/>
  <c r="I2"/>
  <c r="G2"/>
  <c r="F2"/>
  <c r="H3"/>
  <c r="K4" i="21"/>
  <c r="O4"/>
  <c r="D3" i="26"/>
  <c r="H3" i="21"/>
  <c r="C3" i="26"/>
  <c r="H2" i="21"/>
  <c r="G138"/>
  <c r="H2" i="26"/>
  <c r="BD71" i="21"/>
  <c r="BD191"/>
  <c r="E301" i="17"/>
  <c r="C138" i="21"/>
  <c r="B138"/>
  <c r="A138"/>
  <c r="BE137"/>
  <c r="AS137"/>
  <c r="AV137"/>
  <c r="BE136"/>
  <c r="BD136"/>
  <c r="E256" i="17"/>
  <c r="AV136" i="21"/>
  <c r="AS136"/>
  <c r="BE135"/>
  <c r="BD135"/>
  <c r="E255" i="17"/>
  <c r="AV135" i="21"/>
  <c r="AS135"/>
  <c r="BE134"/>
  <c r="BD134"/>
  <c r="E254" i="17"/>
  <c r="AV134" i="21"/>
  <c r="AS134"/>
  <c r="BE133"/>
  <c r="BD133"/>
  <c r="E253" i="17"/>
  <c r="AV133" i="21"/>
  <c r="AS133"/>
  <c r="BE132"/>
  <c r="AV132"/>
  <c r="AS132"/>
  <c r="BE131"/>
  <c r="AV131"/>
  <c r="AS131"/>
  <c r="BE130"/>
  <c r="BD130"/>
  <c r="E250" i="17"/>
  <c r="AV130" i="21"/>
  <c r="AS130"/>
  <c r="BE129"/>
  <c r="BD129"/>
  <c r="E249" i="17"/>
  <c r="AV129" i="21"/>
  <c r="AS129"/>
  <c r="BE128"/>
  <c r="BD128"/>
  <c r="E248" i="17"/>
  <c r="AV128" i="21"/>
  <c r="AS128"/>
  <c r="BE127"/>
  <c r="AV127"/>
  <c r="AS127"/>
  <c r="BE126"/>
  <c r="BD126"/>
  <c r="E246" i="17"/>
  <c r="AV126" i="21"/>
  <c r="AS126"/>
  <c r="BE125"/>
  <c r="BD125"/>
  <c r="E245" i="17"/>
  <c r="AV125" i="21"/>
  <c r="AS125"/>
  <c r="BE124"/>
  <c r="BD124"/>
  <c r="E244" i="17"/>
  <c r="AV124" i="21"/>
  <c r="AS124"/>
  <c r="BE123"/>
  <c r="AV123"/>
  <c r="AS123"/>
  <c r="BE122"/>
  <c r="BD122"/>
  <c r="AV122"/>
  <c r="AS122"/>
  <c r="BE121"/>
  <c r="BD121"/>
  <c r="AV121"/>
  <c r="AS121"/>
  <c r="BE120"/>
  <c r="BD120"/>
  <c r="AV120"/>
  <c r="AS120"/>
  <c r="BE119"/>
  <c r="BD119"/>
  <c r="AV119"/>
  <c r="AS119"/>
  <c r="BE118"/>
  <c r="BD118"/>
  <c r="AV118"/>
  <c r="AS118"/>
  <c r="BE117"/>
  <c r="BD117"/>
  <c r="E242" i="17"/>
  <c r="AV117" i="21"/>
  <c r="AS117"/>
  <c r="BE116"/>
  <c r="BD116"/>
  <c r="E241" i="17"/>
  <c r="AV116" i="21"/>
  <c r="AS116"/>
  <c r="BE115"/>
  <c r="AV115"/>
  <c r="AS115"/>
  <c r="BE114"/>
  <c r="BD114"/>
  <c r="E239" i="17"/>
  <c r="AV114" i="21"/>
  <c r="AS114"/>
  <c r="BE113"/>
  <c r="BD113"/>
  <c r="E238" i="17"/>
  <c r="AV113" i="21"/>
  <c r="AS113"/>
  <c r="BE112"/>
  <c r="BD112"/>
  <c r="E237" i="17"/>
  <c r="AV112" i="21"/>
  <c r="AS112"/>
  <c r="BE111"/>
  <c r="AV111"/>
  <c r="AS111"/>
  <c r="BE110"/>
  <c r="BD110"/>
  <c r="E235" i="17"/>
  <c r="AV110" i="21"/>
  <c r="AS110"/>
  <c r="BE109"/>
  <c r="BD109"/>
  <c r="E234" i="17"/>
  <c r="AV109" i="21"/>
  <c r="AS109"/>
  <c r="BE108"/>
  <c r="BD108"/>
  <c r="E233" i="17"/>
  <c r="AV108" i="21"/>
  <c r="AS108"/>
  <c r="BE107"/>
  <c r="AV107"/>
  <c r="AS107"/>
  <c r="BE106"/>
  <c r="BD106"/>
  <c r="E231" i="17"/>
  <c r="AV106" i="21"/>
  <c r="AS106"/>
  <c r="BE105"/>
  <c r="BD105"/>
  <c r="E230" i="17"/>
  <c r="AV105" i="21"/>
  <c r="AS105"/>
  <c r="BE104"/>
  <c r="BD104"/>
  <c r="E229" i="17"/>
  <c r="AV104" i="21"/>
  <c r="AS104"/>
  <c r="BE103"/>
  <c r="AV103"/>
  <c r="AS103"/>
  <c r="BE102"/>
  <c r="BD102"/>
  <c r="E227" i="17"/>
  <c r="F52" i="2"/>
  <c r="AV102" i="21"/>
  <c r="AS102"/>
  <c r="BE101"/>
  <c r="BD101"/>
  <c r="E226" i="17"/>
  <c r="AV101" i="21"/>
  <c r="AS101"/>
  <c r="BE100"/>
  <c r="BD100"/>
  <c r="E225" i="17"/>
  <c r="AV100" i="21"/>
  <c r="AS100"/>
  <c r="BE99"/>
  <c r="AV99"/>
  <c r="AS99"/>
  <c r="BE98"/>
  <c r="BD98"/>
  <c r="E223" i="17"/>
  <c r="AV98" i="21"/>
  <c r="AS98"/>
  <c r="BE97"/>
  <c r="BD97"/>
  <c r="E222" i="17"/>
  <c r="F51" i="2"/>
  <c r="AV97" i="21"/>
  <c r="AS97"/>
  <c r="BE96"/>
  <c r="BD96"/>
  <c r="E221" i="17"/>
  <c r="AV96" i="21"/>
  <c r="AS96"/>
  <c r="BE95"/>
  <c r="AV95"/>
  <c r="AS95"/>
  <c r="BE94"/>
  <c r="BD94"/>
  <c r="E219" i="17"/>
  <c r="AV94" i="21"/>
  <c r="AS94"/>
  <c r="BE93"/>
  <c r="BD93"/>
  <c r="E218" i="17"/>
  <c r="AV93" i="21"/>
  <c r="AS93"/>
  <c r="BE92"/>
  <c r="BD92"/>
  <c r="AV92"/>
  <c r="AS92"/>
  <c r="BE91"/>
  <c r="BD91"/>
  <c r="AV91"/>
  <c r="AS91"/>
  <c r="BE90"/>
  <c r="BD90"/>
  <c r="AV90"/>
  <c r="AS90"/>
  <c r="BE89"/>
  <c r="BD89"/>
  <c r="AV89"/>
  <c r="AS89"/>
  <c r="BE88"/>
  <c r="BD88"/>
  <c r="AV88"/>
  <c r="AS88"/>
  <c r="BE87"/>
  <c r="AV87"/>
  <c r="AS87"/>
  <c r="BE86"/>
  <c r="BD86"/>
  <c r="E216" i="17"/>
  <c r="AV86" i="21"/>
  <c r="AS86"/>
  <c r="BE85"/>
  <c r="BD85"/>
  <c r="E215" i="17"/>
  <c r="AV85" i="21"/>
  <c r="AS85"/>
  <c r="BE84"/>
  <c r="BD84"/>
  <c r="E214" i="17"/>
  <c r="AV84" i="21"/>
  <c r="AS84"/>
  <c r="BE83"/>
  <c r="AV83"/>
  <c r="AS83"/>
  <c r="BE82"/>
  <c r="BD82"/>
  <c r="E212" i="17"/>
  <c r="AV82" i="21"/>
  <c r="AS82"/>
  <c r="BE81"/>
  <c r="BD81"/>
  <c r="E211" i="17"/>
  <c r="AV81" i="21"/>
  <c r="AS81"/>
  <c r="BE80"/>
  <c r="BD80"/>
  <c r="E210" i="17"/>
  <c r="AV80" i="21"/>
  <c r="AS80"/>
  <c r="BE79"/>
  <c r="AV79"/>
  <c r="AS79"/>
  <c r="A79"/>
  <c r="BE78"/>
  <c r="BD78"/>
  <c r="E208" i="17"/>
  <c r="AV78" i="21"/>
  <c r="AS78"/>
  <c r="B78"/>
  <c r="BD76"/>
  <c r="BD196"/>
  <c r="E306" i="17"/>
  <c r="BD75" i="21"/>
  <c r="BD74"/>
  <c r="E201" i="17"/>
  <c r="BD70" i="21"/>
  <c r="BD68"/>
  <c r="BD188"/>
  <c r="E298" i="17"/>
  <c r="BD66" i="21"/>
  <c r="BD64"/>
  <c r="BD184"/>
  <c r="E294" i="17"/>
  <c r="BD63" i="21"/>
  <c r="BD62"/>
  <c r="BD61"/>
  <c r="BD181"/>
  <c r="BD60"/>
  <c r="BD180"/>
  <c r="BD59"/>
  <c r="BD58"/>
  <c r="BD56"/>
  <c r="BD176"/>
  <c r="E291" i="17"/>
  <c r="BD55" i="21"/>
  <c r="BD54"/>
  <c r="BD52"/>
  <c r="BD172"/>
  <c r="E287" i="17"/>
  <c r="BD51" i="21"/>
  <c r="BD50"/>
  <c r="BD48"/>
  <c r="BD168"/>
  <c r="E283" i="17"/>
  <c r="BD47" i="21"/>
  <c r="BD46"/>
  <c r="BD44"/>
  <c r="BD164"/>
  <c r="E279" i="17"/>
  <c r="BD43" i="21"/>
  <c r="BD42"/>
  <c r="BD40"/>
  <c r="BD160"/>
  <c r="E275" i="17"/>
  <c r="BD39" i="21"/>
  <c r="E174" i="17"/>
  <c r="BD38" i="21"/>
  <c r="BD36"/>
  <c r="BD156"/>
  <c r="E271" i="17"/>
  <c r="BD35" i="21"/>
  <c r="BD34"/>
  <c r="BD32"/>
  <c r="BD152"/>
  <c r="BD31"/>
  <c r="BD30"/>
  <c r="BD29"/>
  <c r="BD149"/>
  <c r="BD28"/>
  <c r="BD148"/>
  <c r="BD27"/>
  <c r="BD26"/>
  <c r="BD24"/>
  <c r="BD144"/>
  <c r="E264" i="17"/>
  <c r="BD23" i="21"/>
  <c r="E163" i="17"/>
  <c r="BD22" i="21"/>
  <c r="BD20"/>
  <c r="BD140"/>
  <c r="E260" i="17"/>
  <c r="BD19" i="21"/>
  <c r="B19"/>
  <c r="A19"/>
  <c r="A139"/>
  <c r="BD18"/>
  <c r="BD138"/>
  <c r="E258" i="17"/>
  <c r="D18" i="21"/>
  <c r="C18"/>
  <c r="B18"/>
  <c r="AJ17"/>
  <c r="AE17"/>
  <c r="AO17"/>
  <c r="AD17"/>
  <c r="AN17"/>
  <c r="AC17"/>
  <c r="AM17"/>
  <c r="AB17"/>
  <c r="AL17"/>
  <c r="AA17"/>
  <c r="AK17"/>
  <c r="Z17"/>
  <c r="Y17"/>
  <c r="AI17"/>
  <c r="X17"/>
  <c r="AH17"/>
  <c r="AL5"/>
  <c r="AL4"/>
  <c r="AI3"/>
  <c r="AI4"/>
  <c r="AI5"/>
  <c r="AI6"/>
  <c r="B16" i="19"/>
  <c r="B16" i="20"/>
  <c r="H52" i="2"/>
  <c r="H19" i="5"/>
  <c r="F21" i="3"/>
  <c r="J53" i="2"/>
  <c r="J20" i="5"/>
  <c r="H56" i="2"/>
  <c r="H41" i="5"/>
  <c r="F43" i="3"/>
  <c r="M56" i="2"/>
  <c r="M23" i="5"/>
  <c r="K25" i="3"/>
  <c r="Q56" i="2"/>
  <c r="Q23" i="5"/>
  <c r="H62" i="2"/>
  <c r="H29" i="5"/>
  <c r="F31" i="3"/>
  <c r="K65" i="2"/>
  <c r="K32" i="5"/>
  <c r="I34" i="3"/>
  <c r="O64" i="2"/>
  <c r="O31" i="5"/>
  <c r="M33" i="3"/>
  <c r="O52" i="2"/>
  <c r="O19" i="5"/>
  <c r="M21" i="3"/>
  <c r="L17" i="5"/>
  <c r="G64" i="2"/>
  <c r="G31" i="5"/>
  <c r="E33" i="3"/>
  <c r="K50" i="2"/>
  <c r="K35" i="5"/>
  <c r="I37" i="3"/>
  <c r="O50" i="2"/>
  <c r="O17" i="5"/>
  <c r="M19" i="3"/>
  <c r="G53" i="2"/>
  <c r="G20" i="5"/>
  <c r="E22" i="3"/>
  <c r="K53" i="2"/>
  <c r="K38" i="5"/>
  <c r="I40" i="3"/>
  <c r="O53" i="2"/>
  <c r="O38" i="5"/>
  <c r="M40" i="3"/>
  <c r="K55" i="2"/>
  <c r="K22" i="5"/>
  <c r="I24" i="3"/>
  <c r="K58" i="2"/>
  <c r="K25" i="5"/>
  <c r="I27" i="3"/>
  <c r="O58" i="2"/>
  <c r="O25" i="5"/>
  <c r="M27" i="3"/>
  <c r="Q65" i="2"/>
  <c r="Q32" i="5"/>
  <c r="M65" i="2"/>
  <c r="M32" i="5"/>
  <c r="K34" i="3"/>
  <c r="H65" i="2"/>
  <c r="H32" i="5"/>
  <c r="F34" i="3"/>
  <c r="L34" i="5"/>
  <c r="M49" i="2"/>
  <c r="M16" i="5"/>
  <c r="K18" i="3"/>
  <c r="J52" i="2"/>
  <c r="J19" i="5"/>
  <c r="O56" i="2"/>
  <c r="O23" i="5"/>
  <c r="M25" i="3"/>
  <c r="J62" i="2"/>
  <c r="J29" i="5"/>
  <c r="D21"/>
  <c r="P35"/>
  <c r="H55" i="2"/>
  <c r="H22" i="5"/>
  <c r="F24" i="3"/>
  <c r="M55" i="2"/>
  <c r="M22" i="5"/>
  <c r="K24" i="3"/>
  <c r="Q55" i="2"/>
  <c r="Q22" i="5"/>
  <c r="G56" i="2"/>
  <c r="G41" i="5"/>
  <c r="E43" i="3"/>
  <c r="H61" i="2"/>
  <c r="H28" i="5"/>
  <c r="F30" i="3"/>
  <c r="G62" i="2"/>
  <c r="G29" i="5"/>
  <c r="E31" i="3"/>
  <c r="K62" i="2"/>
  <c r="K29" i="5"/>
  <c r="I31" i="3"/>
  <c r="O62" i="2"/>
  <c r="O29" i="5"/>
  <c r="M31" i="3"/>
  <c r="N18" i="5"/>
  <c r="D38"/>
  <c r="G20" i="22"/>
  <c r="S20"/>
  <c r="G138"/>
  <c r="G21" i="5"/>
  <c r="E23" i="3"/>
  <c r="G39" i="5"/>
  <c r="E41" i="3"/>
  <c r="F36" i="5"/>
  <c r="F18"/>
  <c r="D16"/>
  <c r="D34"/>
  <c r="I35"/>
  <c r="G37" i="3"/>
  <c r="I17" i="5"/>
  <c r="G19" i="3"/>
  <c r="I18" i="5"/>
  <c r="G20" i="3"/>
  <c r="I36" i="5"/>
  <c r="G38" i="3"/>
  <c r="P37" i="5"/>
  <c r="P19"/>
  <c r="N20"/>
  <c r="N38"/>
  <c r="R22"/>
  <c r="P24" i="3"/>
  <c r="R40" i="5"/>
  <c r="P42" i="3"/>
  <c r="K4" i="22"/>
  <c r="O4"/>
  <c r="H2" i="27"/>
  <c r="BD140" i="22"/>
  <c r="E410" i="17"/>
  <c r="E310"/>
  <c r="BD148" i="22"/>
  <c r="BD156"/>
  <c r="E421" i="17"/>
  <c r="E321"/>
  <c r="BD168" i="22"/>
  <c r="E433" i="17"/>
  <c r="E333"/>
  <c r="BD180" i="22"/>
  <c r="BD188"/>
  <c r="E448" i="17"/>
  <c r="E348"/>
  <c r="BD196" i="22"/>
  <c r="E456" i="17"/>
  <c r="E356"/>
  <c r="H33" i="5"/>
  <c r="F35" i="3"/>
  <c r="H15" i="5"/>
  <c r="F17" i="3"/>
  <c r="R33" i="5"/>
  <c r="P35" i="3"/>
  <c r="R15" i="5"/>
  <c r="P17" i="3"/>
  <c r="N34" i="5"/>
  <c r="N16"/>
  <c r="D41"/>
  <c r="D23"/>
  <c r="P15"/>
  <c r="P33"/>
  <c r="I22"/>
  <c r="G24" i="3"/>
  <c r="I40" i="5"/>
  <c r="G42" i="3"/>
  <c r="BD139" i="21"/>
  <c r="E259" i="17"/>
  <c r="E159"/>
  <c r="BD147" i="21"/>
  <c r="E267" i="17"/>
  <c r="E167"/>
  <c r="BD167" i="21"/>
  <c r="E282" i="17"/>
  <c r="F56" i="2"/>
  <c r="E182" i="17"/>
  <c r="F50" i="2"/>
  <c r="E190" i="17"/>
  <c r="BD175" i="21"/>
  <c r="E290" i="17"/>
  <c r="BD179" i="21"/>
  <c r="E193" i="17"/>
  <c r="BD183" i="21"/>
  <c r="E293" i="17"/>
  <c r="BD195" i="21"/>
  <c r="E305" i="17"/>
  <c r="E205"/>
  <c r="BD147" i="22"/>
  <c r="E417" i="17"/>
  <c r="E317"/>
  <c r="BD151" i="22"/>
  <c r="BD159"/>
  <c r="E424" i="17"/>
  <c r="E324"/>
  <c r="BD171" i="22"/>
  <c r="E436" i="17"/>
  <c r="E336"/>
  <c r="BD179" i="22"/>
  <c r="BD191"/>
  <c r="E451" i="17"/>
  <c r="E351"/>
  <c r="R34" i="5"/>
  <c r="P36" i="3"/>
  <c r="R16" i="5"/>
  <c r="P18" i="3"/>
  <c r="N35" i="5"/>
  <c r="N17"/>
  <c r="P21"/>
  <c r="P39"/>
  <c r="N41"/>
  <c r="N23"/>
  <c r="D18"/>
  <c r="D36"/>
  <c r="A38"/>
  <c r="A20"/>
  <c r="BD146" i="21"/>
  <c r="E266" i="17"/>
  <c r="E166"/>
  <c r="BD154" i="21"/>
  <c r="E269" i="17"/>
  <c r="E169"/>
  <c r="BD162" i="21"/>
  <c r="E277" i="17"/>
  <c r="F55" i="2"/>
  <c r="E177" i="17"/>
  <c r="F49" i="2"/>
  <c r="BD170" i="21"/>
  <c r="E285" i="17"/>
  <c r="E185"/>
  <c r="BD178" i="21"/>
  <c r="BD182"/>
  <c r="BD190"/>
  <c r="E300" i="17"/>
  <c r="E200"/>
  <c r="K15" i="5"/>
  <c r="I17" i="3"/>
  <c r="K33" i="5"/>
  <c r="I35" i="3"/>
  <c r="G36" i="5"/>
  <c r="E38" i="3"/>
  <c r="G18" i="5"/>
  <c r="E20" i="3"/>
  <c r="K36" i="5"/>
  <c r="I38" i="3"/>
  <c r="K18" i="5"/>
  <c r="I20" i="3"/>
  <c r="O36" i="5"/>
  <c r="M38" i="3"/>
  <c r="O18" i="5"/>
  <c r="M20" i="3"/>
  <c r="D37" i="5"/>
  <c r="D19"/>
  <c r="K39"/>
  <c r="I41" i="3"/>
  <c r="K21" i="5"/>
  <c r="I23" i="3"/>
  <c r="N22" i="5"/>
  <c r="N40"/>
  <c r="M61" i="2"/>
  <c r="M28" i="5"/>
  <c r="K30" i="3"/>
  <c r="M62" i="2"/>
  <c r="M29" i="5"/>
  <c r="K31" i="3"/>
  <c r="F39" i="5"/>
  <c r="F21"/>
  <c r="H39"/>
  <c r="F41" i="3"/>
  <c r="H53" i="2"/>
  <c r="O59"/>
  <c r="O26" i="5"/>
  <c r="M28" i="3"/>
  <c r="F38" i="5"/>
  <c r="BD143" i="21"/>
  <c r="E263" i="17"/>
  <c r="M41" i="5"/>
  <c r="K43" i="3"/>
  <c r="BD139" i="22"/>
  <c r="E409" i="17"/>
  <c r="E309"/>
  <c r="BD144" i="22"/>
  <c r="E414" i="17"/>
  <c r="E314"/>
  <c r="BD152" i="22"/>
  <c r="BD160"/>
  <c r="E425" i="17"/>
  <c r="E325"/>
  <c r="BD164" i="22"/>
  <c r="E429" i="17"/>
  <c r="E329"/>
  <c r="BD172" i="22"/>
  <c r="E437" i="17"/>
  <c r="E337"/>
  <c r="BD176" i="22"/>
  <c r="E441" i="17"/>
  <c r="E341"/>
  <c r="BD184" i="22"/>
  <c r="E444" i="17"/>
  <c r="E344"/>
  <c r="I34" i="5"/>
  <c r="G36" i="3"/>
  <c r="I16" i="5"/>
  <c r="G18" i="3"/>
  <c r="R18" i="5"/>
  <c r="P20" i="3"/>
  <c r="R36" i="5"/>
  <c r="P38" i="3"/>
  <c r="L19" i="5"/>
  <c r="L37"/>
  <c r="M39"/>
  <c r="K41" i="3"/>
  <c r="M21" i="5"/>
  <c r="K23" i="3"/>
  <c r="M18" i="5"/>
  <c r="K20" i="3"/>
  <c r="M36" i="5"/>
  <c r="K38" i="3"/>
  <c r="BD151" i="21"/>
  <c r="BD155"/>
  <c r="E270" i="17"/>
  <c r="E170"/>
  <c r="BD163" i="21"/>
  <c r="E278" i="17"/>
  <c r="E178"/>
  <c r="BD171" i="21"/>
  <c r="E286" i="17"/>
  <c r="E186"/>
  <c r="BD143" i="22"/>
  <c r="E413" i="17"/>
  <c r="E313"/>
  <c r="BD155" i="22"/>
  <c r="E420" i="17"/>
  <c r="E320"/>
  <c r="BD163" i="22"/>
  <c r="E428" i="17"/>
  <c r="E328"/>
  <c r="BD167" i="22"/>
  <c r="E432" i="17"/>
  <c r="F65" i="2"/>
  <c r="F32" i="5"/>
  <c r="E332" i="17"/>
  <c r="F59" i="2"/>
  <c r="F26" i="5"/>
  <c r="BD175" i="22"/>
  <c r="E440" i="17"/>
  <c r="E340"/>
  <c r="BD183" i="22"/>
  <c r="E443" i="17"/>
  <c r="E343"/>
  <c r="BD195" i="22"/>
  <c r="E455" i="17"/>
  <c r="E355"/>
  <c r="D15" i="5"/>
  <c r="D33"/>
  <c r="L33"/>
  <c r="L15"/>
  <c r="L21"/>
  <c r="L39"/>
  <c r="D22"/>
  <c r="D40"/>
  <c r="O39"/>
  <c r="M41" i="3"/>
  <c r="O21" i="5"/>
  <c r="M23" i="3"/>
  <c r="BD142" i="21"/>
  <c r="E262" i="17"/>
  <c r="E162"/>
  <c r="BD150" i="21"/>
  <c r="BD158"/>
  <c r="E273" i="17"/>
  <c r="E173"/>
  <c r="BD166" i="21"/>
  <c r="E281" i="17"/>
  <c r="E181"/>
  <c r="BD174" i="21"/>
  <c r="E289" i="17"/>
  <c r="E189"/>
  <c r="BD186" i="21"/>
  <c r="E296" i="17"/>
  <c r="E196"/>
  <c r="BD194" i="21"/>
  <c r="E304" i="17"/>
  <c r="E204"/>
  <c r="F37" i="5"/>
  <c r="F19"/>
  <c r="O15"/>
  <c r="M17" i="3"/>
  <c r="O33" i="5"/>
  <c r="M35" i="3"/>
  <c r="I33" i="5"/>
  <c r="G35" i="3"/>
  <c r="I15" i="5"/>
  <c r="G17" i="3"/>
  <c r="N33" i="5"/>
  <c r="N15"/>
  <c r="D17"/>
  <c r="D35"/>
  <c r="J18"/>
  <c r="J36"/>
  <c r="I37"/>
  <c r="G39" i="3"/>
  <c r="I19" i="5"/>
  <c r="G21" i="3"/>
  <c r="R37" i="5"/>
  <c r="P39" i="3"/>
  <c r="R19" i="5"/>
  <c r="P21" i="3"/>
  <c r="L38" i="5"/>
  <c r="L20"/>
  <c r="N39"/>
  <c r="N21"/>
  <c r="L23"/>
  <c r="L41"/>
  <c r="P23"/>
  <c r="P41"/>
  <c r="R41"/>
  <c r="P43" i="3"/>
  <c r="R23" i="5"/>
  <c r="P25" i="3"/>
  <c r="A21" i="5"/>
  <c r="A39"/>
  <c r="BD159" i="21"/>
  <c r="E274" i="17"/>
  <c r="H49" i="2"/>
  <c r="K49"/>
  <c r="O49"/>
  <c r="M52"/>
  <c r="K59"/>
  <c r="K26" i="5"/>
  <c r="I28" i="3"/>
  <c r="R35" i="5"/>
  <c r="P37" i="3"/>
  <c r="R17" i="5"/>
  <c r="P19" i="3"/>
  <c r="I20" i="5"/>
  <c r="G22" i="3"/>
  <c r="I38" i="5"/>
  <c r="G40" i="3"/>
  <c r="R20" i="5"/>
  <c r="P22" i="3"/>
  <c r="R38" i="5"/>
  <c r="P40" i="3"/>
  <c r="I39" i="5"/>
  <c r="G41" i="3"/>
  <c r="I21" i="5"/>
  <c r="G23" i="3"/>
  <c r="R39" i="5"/>
  <c r="P41" i="3"/>
  <c r="R21" i="5"/>
  <c r="P23" i="3"/>
  <c r="L40" i="5"/>
  <c r="L22"/>
  <c r="A34"/>
  <c r="A16"/>
  <c r="I23"/>
  <c r="G25" i="3"/>
  <c r="H50" i="2"/>
  <c r="M50"/>
  <c r="G52"/>
  <c r="K52"/>
  <c r="M53"/>
  <c r="G55"/>
  <c r="H58"/>
  <c r="H25" i="5"/>
  <c r="F27" i="3"/>
  <c r="M58" i="2"/>
  <c r="M25" i="5"/>
  <c r="K27" i="3"/>
  <c r="H59" i="2"/>
  <c r="H26" i="5"/>
  <c r="F28" i="3"/>
  <c r="M59" i="2"/>
  <c r="M26" i="5"/>
  <c r="K28" i="3"/>
  <c r="G61" i="2"/>
  <c r="G28" i="5"/>
  <c r="E30" i="3"/>
  <c r="K61" i="2"/>
  <c r="K28" i="5"/>
  <c r="I30" i="3"/>
  <c r="O61" i="2"/>
  <c r="O28" i="5"/>
  <c r="M30" i="3"/>
  <c r="O65" i="2"/>
  <c r="O32" i="5"/>
  <c r="M34" i="3"/>
  <c r="G65" i="2"/>
  <c r="G32" i="5"/>
  <c r="E34" i="3"/>
  <c r="Q64" i="2"/>
  <c r="Q31" i="5"/>
  <c r="P16"/>
  <c r="Q39"/>
  <c r="P38"/>
  <c r="P20"/>
  <c r="A17"/>
  <c r="A35"/>
  <c r="H36"/>
  <c r="F38" i="3"/>
  <c r="H18" i="5"/>
  <c r="F20" i="3"/>
  <c r="L36" i="5"/>
  <c r="L18"/>
  <c r="P36"/>
  <c r="P18"/>
  <c r="N37"/>
  <c r="N19"/>
  <c r="K56" i="2"/>
  <c r="O55"/>
  <c r="K64"/>
  <c r="K31" i="5"/>
  <c r="I33" i="3"/>
  <c r="BD173" i="22"/>
  <c r="E438" i="17"/>
  <c r="E158"/>
  <c r="E160"/>
  <c r="E161"/>
  <c r="E164"/>
  <c r="E165"/>
  <c r="E168"/>
  <c r="E171"/>
  <c r="E172"/>
  <c r="F48" i="2"/>
  <c r="E175" i="17"/>
  <c r="E176"/>
  <c r="E179"/>
  <c r="E180"/>
  <c r="E183"/>
  <c r="E184"/>
  <c r="E187"/>
  <c r="E188"/>
  <c r="E191"/>
  <c r="E192"/>
  <c r="E194"/>
  <c r="E195"/>
  <c r="E198"/>
  <c r="E199"/>
  <c r="E203"/>
  <c r="E206"/>
  <c r="E308"/>
  <c r="E311"/>
  <c r="E312"/>
  <c r="E315"/>
  <c r="E316"/>
  <c r="E318"/>
  <c r="E319"/>
  <c r="E322"/>
  <c r="F57" i="2"/>
  <c r="F24" i="5"/>
  <c r="E323" i="17"/>
  <c r="E326"/>
  <c r="E327"/>
  <c r="F58" i="2"/>
  <c r="F25" i="5"/>
  <c r="E330" i="17"/>
  <c r="E331"/>
  <c r="E334"/>
  <c r="E335"/>
  <c r="E339"/>
  <c r="E342"/>
  <c r="E345"/>
  <c r="E346"/>
  <c r="E349"/>
  <c r="E350"/>
  <c r="E353"/>
  <c r="E354"/>
  <c r="J61" i="2"/>
  <c r="J28" i="5"/>
  <c r="P22"/>
  <c r="M15"/>
  <c r="K17" i="3"/>
  <c r="A15" i="5"/>
  <c r="A33"/>
  <c r="A19"/>
  <c r="A37"/>
  <c r="A41"/>
  <c r="A23"/>
  <c r="M64" i="2"/>
  <c r="M31" i="5"/>
  <c r="K33" i="3"/>
  <c r="H64" i="2"/>
  <c r="H31" i="5"/>
  <c r="F33" i="3"/>
  <c r="A36" i="5"/>
  <c r="A18"/>
  <c r="A22"/>
  <c r="A40"/>
  <c r="S18" i="22"/>
  <c r="A80"/>
  <c r="C79"/>
  <c r="B79"/>
  <c r="G79"/>
  <c r="A140"/>
  <c r="A21"/>
  <c r="C20"/>
  <c r="K18"/>
  <c r="M18"/>
  <c r="J18"/>
  <c r="L18"/>
  <c r="G78"/>
  <c r="B19"/>
  <c r="C139"/>
  <c r="B139"/>
  <c r="G139"/>
  <c r="E78"/>
  <c r="D78"/>
  <c r="E138"/>
  <c r="D138"/>
  <c r="G18" i="21"/>
  <c r="G19"/>
  <c r="E18"/>
  <c r="E138"/>
  <c r="D138"/>
  <c r="C19"/>
  <c r="A20"/>
  <c r="G78"/>
  <c r="C78"/>
  <c r="A80"/>
  <c r="C79"/>
  <c r="B79"/>
  <c r="G79"/>
  <c r="C139"/>
  <c r="B139"/>
  <c r="G139"/>
  <c r="M40" i="5"/>
  <c r="K42" i="3"/>
  <c r="H23" i="5"/>
  <c r="F25" i="3"/>
  <c r="G38" i="5"/>
  <c r="E40" i="3"/>
  <c r="O41" i="5"/>
  <c r="M43" i="3"/>
  <c r="O35" i="5"/>
  <c r="M37" i="3"/>
  <c r="K20" i="5"/>
  <c r="I22" i="3"/>
  <c r="J38" i="5"/>
  <c r="K17"/>
  <c r="I19" i="3"/>
  <c r="Q41" i="5"/>
  <c r="H37"/>
  <c r="F39" i="3"/>
  <c r="K40" i="5"/>
  <c r="I42" i="3"/>
  <c r="O37" i="5"/>
  <c r="M39" i="3"/>
  <c r="O20" i="5"/>
  <c r="M22" i="3"/>
  <c r="M34" i="5"/>
  <c r="K36" i="3"/>
  <c r="H40" i="5"/>
  <c r="F42" i="3"/>
  <c r="Q40" i="5"/>
  <c r="G23"/>
  <c r="E25" i="3"/>
  <c r="J37" i="5"/>
  <c r="M20"/>
  <c r="K22" i="3"/>
  <c r="M38" i="5"/>
  <c r="K40" i="3"/>
  <c r="G40" i="5"/>
  <c r="E42" i="3"/>
  <c r="G22" i="5"/>
  <c r="E24" i="3"/>
  <c r="M37" i="5"/>
  <c r="K39" i="3"/>
  <c r="M19" i="5"/>
  <c r="K21" i="3"/>
  <c r="H34" i="5"/>
  <c r="F36" i="3"/>
  <c r="H16" i="5"/>
  <c r="F18" i="3"/>
  <c r="K41" i="5"/>
  <c r="I43" i="3"/>
  <c r="K23" i="5"/>
  <c r="I25" i="3"/>
  <c r="G19" i="5"/>
  <c r="E21" i="3"/>
  <c r="G37" i="5"/>
  <c r="E39" i="3"/>
  <c r="H38" i="5"/>
  <c r="F40" i="3"/>
  <c r="H20" i="5"/>
  <c r="F22" i="3"/>
  <c r="F41" i="5"/>
  <c r="F23"/>
  <c r="H35"/>
  <c r="F37" i="3"/>
  <c r="H17" i="5"/>
  <c r="F19" i="3"/>
  <c r="O16" i="5"/>
  <c r="M18" i="3"/>
  <c r="O34" i="5"/>
  <c r="M36" i="3"/>
  <c r="F40" i="5"/>
  <c r="F22"/>
  <c r="F15"/>
  <c r="F33"/>
  <c r="M35"/>
  <c r="K37" i="3"/>
  <c r="M17" i="5"/>
  <c r="K19" i="3"/>
  <c r="F34" i="5"/>
  <c r="F16"/>
  <c r="O40"/>
  <c r="M42" i="3"/>
  <c r="O22" i="5"/>
  <c r="M24" i="3"/>
  <c r="K19" i="5"/>
  <c r="I21" i="3"/>
  <c r="K37" i="5"/>
  <c r="I39" i="3"/>
  <c r="K16" i="5"/>
  <c r="I18" i="3"/>
  <c r="K34" i="5"/>
  <c r="I36" i="3"/>
  <c r="F17" i="5"/>
  <c r="F35"/>
  <c r="J138" i="22"/>
  <c r="I138"/>
  <c r="K138"/>
  <c r="D139"/>
  <c r="B140"/>
  <c r="G140"/>
  <c r="A141"/>
  <c r="A22"/>
  <c r="B21"/>
  <c r="G21"/>
  <c r="A81"/>
  <c r="B80"/>
  <c r="G80"/>
  <c r="C80"/>
  <c r="J78"/>
  <c r="L78"/>
  <c r="I78"/>
  <c r="K78"/>
  <c r="M78"/>
  <c r="G19"/>
  <c r="C19"/>
  <c r="D20"/>
  <c r="E79"/>
  <c r="D79"/>
  <c r="S19" i="21"/>
  <c r="S18"/>
  <c r="D79"/>
  <c r="D139"/>
  <c r="D78"/>
  <c r="A140"/>
  <c r="B20"/>
  <c r="G20"/>
  <c r="A21"/>
  <c r="K18"/>
  <c r="M18"/>
  <c r="J18"/>
  <c r="L18"/>
  <c r="I18"/>
  <c r="J138"/>
  <c r="I138"/>
  <c r="K138"/>
  <c r="B80"/>
  <c r="G80"/>
  <c r="A81"/>
  <c r="C80"/>
  <c r="D19"/>
  <c r="S19" i="22"/>
  <c r="S21"/>
  <c r="D80"/>
  <c r="K79"/>
  <c r="M79"/>
  <c r="I79"/>
  <c r="J79"/>
  <c r="L79"/>
  <c r="E19"/>
  <c r="D19"/>
  <c r="A142"/>
  <c r="A23"/>
  <c r="B22"/>
  <c r="G22"/>
  <c r="C22"/>
  <c r="C21"/>
  <c r="E139"/>
  <c r="A82"/>
  <c r="B81"/>
  <c r="G81"/>
  <c r="C141"/>
  <c r="B141"/>
  <c r="G141"/>
  <c r="E20"/>
  <c r="C140"/>
  <c r="S20" i="21"/>
  <c r="A82"/>
  <c r="C81"/>
  <c r="B81"/>
  <c r="G81"/>
  <c r="A141"/>
  <c r="A22"/>
  <c r="C21"/>
  <c r="B21"/>
  <c r="G21"/>
  <c r="B140"/>
  <c r="G140"/>
  <c r="C20"/>
  <c r="E139"/>
  <c r="E19"/>
  <c r="E78"/>
  <c r="E79"/>
  <c r="E80"/>
  <c r="D80"/>
  <c r="S22" i="22"/>
  <c r="D140"/>
  <c r="D141"/>
  <c r="E21"/>
  <c r="D21"/>
  <c r="B142"/>
  <c r="G142"/>
  <c r="I20"/>
  <c r="J20"/>
  <c r="L20"/>
  <c r="K20"/>
  <c r="M20"/>
  <c r="C81"/>
  <c r="E80"/>
  <c r="E22"/>
  <c r="D22"/>
  <c r="J19"/>
  <c r="L19"/>
  <c r="K19"/>
  <c r="M19"/>
  <c r="I19"/>
  <c r="C82"/>
  <c r="B82"/>
  <c r="G82"/>
  <c r="A83"/>
  <c r="K139"/>
  <c r="I139"/>
  <c r="J139"/>
  <c r="A143"/>
  <c r="A24"/>
  <c r="C23"/>
  <c r="B23"/>
  <c r="G23"/>
  <c r="S21" i="21"/>
  <c r="I19"/>
  <c r="J19"/>
  <c r="L19"/>
  <c r="K19"/>
  <c r="M19"/>
  <c r="D81"/>
  <c r="J80"/>
  <c r="L80"/>
  <c r="I80"/>
  <c r="K80"/>
  <c r="M80"/>
  <c r="K79"/>
  <c r="M79"/>
  <c r="I79"/>
  <c r="J79"/>
  <c r="L79"/>
  <c r="E20"/>
  <c r="D20"/>
  <c r="D21"/>
  <c r="E21"/>
  <c r="K139"/>
  <c r="J139"/>
  <c r="I139"/>
  <c r="A83"/>
  <c r="B82"/>
  <c r="G82"/>
  <c r="C140"/>
  <c r="B141"/>
  <c r="G141"/>
  <c r="J78"/>
  <c r="L78"/>
  <c r="I78"/>
  <c r="K78"/>
  <c r="M78"/>
  <c r="A142"/>
  <c r="B22"/>
  <c r="G22"/>
  <c r="A23"/>
  <c r="S23" i="22"/>
  <c r="D81"/>
  <c r="E81"/>
  <c r="C143"/>
  <c r="B143"/>
  <c r="G143"/>
  <c r="A84"/>
  <c r="C83"/>
  <c r="B83"/>
  <c r="G83"/>
  <c r="C142"/>
  <c r="E140"/>
  <c r="A144"/>
  <c r="B24"/>
  <c r="G24"/>
  <c r="C24"/>
  <c r="A25"/>
  <c r="J22"/>
  <c r="L22"/>
  <c r="K22"/>
  <c r="M22"/>
  <c r="I22"/>
  <c r="J80"/>
  <c r="L80"/>
  <c r="I80"/>
  <c r="K80"/>
  <c r="M80"/>
  <c r="E23"/>
  <c r="D23"/>
  <c r="E82"/>
  <c r="D82"/>
  <c r="J21"/>
  <c r="L21"/>
  <c r="K21"/>
  <c r="M21"/>
  <c r="I21"/>
  <c r="E141"/>
  <c r="S22" i="21"/>
  <c r="B142"/>
  <c r="G142"/>
  <c r="I21"/>
  <c r="J21"/>
  <c r="L21"/>
  <c r="K21"/>
  <c r="M21"/>
  <c r="E140"/>
  <c r="D140"/>
  <c r="A143"/>
  <c r="A24"/>
  <c r="C23"/>
  <c r="B23"/>
  <c r="G23"/>
  <c r="A84"/>
  <c r="C83"/>
  <c r="B83"/>
  <c r="G83"/>
  <c r="C82"/>
  <c r="C141"/>
  <c r="E81"/>
  <c r="K20"/>
  <c r="M20"/>
  <c r="J20"/>
  <c r="L20"/>
  <c r="I20"/>
  <c r="C22"/>
  <c r="S24" i="22"/>
  <c r="K141"/>
  <c r="I141"/>
  <c r="J141"/>
  <c r="I23"/>
  <c r="K23"/>
  <c r="M23"/>
  <c r="J23"/>
  <c r="L23"/>
  <c r="E24"/>
  <c r="D24"/>
  <c r="D83"/>
  <c r="K81"/>
  <c r="M81"/>
  <c r="J81"/>
  <c r="L81"/>
  <c r="I81"/>
  <c r="A145"/>
  <c r="A26"/>
  <c r="C25"/>
  <c r="B25"/>
  <c r="G25"/>
  <c r="J140"/>
  <c r="I140"/>
  <c r="K140"/>
  <c r="D143"/>
  <c r="J82"/>
  <c r="L82"/>
  <c r="I82"/>
  <c r="K82"/>
  <c r="M82"/>
  <c r="B144"/>
  <c r="G144"/>
  <c r="E142"/>
  <c r="D142"/>
  <c r="A85"/>
  <c r="C84"/>
  <c r="B84"/>
  <c r="G84"/>
  <c r="S23" i="21"/>
  <c r="D22"/>
  <c r="K81"/>
  <c r="M81"/>
  <c r="J81"/>
  <c r="L81"/>
  <c r="I81"/>
  <c r="B84"/>
  <c r="G84"/>
  <c r="A85"/>
  <c r="D83"/>
  <c r="E82"/>
  <c r="D82"/>
  <c r="D23"/>
  <c r="J140"/>
  <c r="I140"/>
  <c r="K140"/>
  <c r="B143"/>
  <c r="G143"/>
  <c r="A144"/>
  <c r="B24"/>
  <c r="G24"/>
  <c r="A25"/>
  <c r="C24"/>
  <c r="E141"/>
  <c r="D141"/>
  <c r="C142"/>
  <c r="S25" i="22"/>
  <c r="J142"/>
  <c r="I142"/>
  <c r="K142"/>
  <c r="J24"/>
  <c r="L24"/>
  <c r="I24"/>
  <c r="K24"/>
  <c r="M24"/>
  <c r="A86"/>
  <c r="C85"/>
  <c r="B85"/>
  <c r="G85"/>
  <c r="A146"/>
  <c r="A27"/>
  <c r="B26"/>
  <c r="G26"/>
  <c r="E83"/>
  <c r="E84"/>
  <c r="D84"/>
  <c r="D25"/>
  <c r="C145"/>
  <c r="B145"/>
  <c r="G145"/>
  <c r="E143"/>
  <c r="C144"/>
  <c r="S24" i="21"/>
  <c r="D24"/>
  <c r="K141"/>
  <c r="I141"/>
  <c r="J141"/>
  <c r="B144"/>
  <c r="G144"/>
  <c r="E142"/>
  <c r="D142"/>
  <c r="A145"/>
  <c r="A26"/>
  <c r="C25"/>
  <c r="B25"/>
  <c r="G25"/>
  <c r="C84"/>
  <c r="C143"/>
  <c r="E23"/>
  <c r="E83"/>
  <c r="E22"/>
  <c r="J82"/>
  <c r="L82"/>
  <c r="I82"/>
  <c r="K82"/>
  <c r="M82"/>
  <c r="A86"/>
  <c r="C85"/>
  <c r="B85"/>
  <c r="G85"/>
  <c r="S26" i="22"/>
  <c r="D144"/>
  <c r="J84"/>
  <c r="L84"/>
  <c r="I84"/>
  <c r="K84"/>
  <c r="M84"/>
  <c r="E145"/>
  <c r="D145"/>
  <c r="K143"/>
  <c r="I143"/>
  <c r="J143"/>
  <c r="K83"/>
  <c r="M83"/>
  <c r="I83"/>
  <c r="J83"/>
  <c r="L83"/>
  <c r="A147"/>
  <c r="A28"/>
  <c r="C27"/>
  <c r="B27"/>
  <c r="G27"/>
  <c r="B86"/>
  <c r="G86"/>
  <c r="A87"/>
  <c r="C26"/>
  <c r="E25"/>
  <c r="D85"/>
  <c r="E85"/>
  <c r="B146"/>
  <c r="G146"/>
  <c r="S25" i="21"/>
  <c r="C86"/>
  <c r="A87"/>
  <c r="B86"/>
  <c r="G86"/>
  <c r="K83"/>
  <c r="M83"/>
  <c r="I83"/>
  <c r="J83"/>
  <c r="L83"/>
  <c r="E84"/>
  <c r="D84"/>
  <c r="A146"/>
  <c r="B26"/>
  <c r="G26"/>
  <c r="A27"/>
  <c r="D85"/>
  <c r="K22"/>
  <c r="M22"/>
  <c r="J22"/>
  <c r="L22"/>
  <c r="I22"/>
  <c r="D25"/>
  <c r="J142"/>
  <c r="I142"/>
  <c r="K142"/>
  <c r="I23"/>
  <c r="J23"/>
  <c r="L23"/>
  <c r="K23"/>
  <c r="M23"/>
  <c r="B145"/>
  <c r="G145"/>
  <c r="C144"/>
  <c r="E24"/>
  <c r="D143"/>
  <c r="S27" i="22"/>
  <c r="K85"/>
  <c r="M85"/>
  <c r="J85"/>
  <c r="L85"/>
  <c r="I85"/>
  <c r="A88"/>
  <c r="B87"/>
  <c r="G87"/>
  <c r="D27"/>
  <c r="J25"/>
  <c r="L25"/>
  <c r="K25"/>
  <c r="M25"/>
  <c r="I25"/>
  <c r="B147"/>
  <c r="G147"/>
  <c r="C146"/>
  <c r="C86"/>
  <c r="E144"/>
  <c r="A148"/>
  <c r="B28"/>
  <c r="G28"/>
  <c r="A29"/>
  <c r="K145"/>
  <c r="I145"/>
  <c r="J145"/>
  <c r="E26"/>
  <c r="D26"/>
  <c r="S26" i="21"/>
  <c r="B146"/>
  <c r="G146"/>
  <c r="E144"/>
  <c r="D144"/>
  <c r="A88"/>
  <c r="C87"/>
  <c r="B87"/>
  <c r="G87"/>
  <c r="K24"/>
  <c r="M24"/>
  <c r="J24"/>
  <c r="L24"/>
  <c r="I24"/>
  <c r="J84"/>
  <c r="L84"/>
  <c r="I84"/>
  <c r="K84"/>
  <c r="M84"/>
  <c r="E143"/>
  <c r="E25"/>
  <c r="C26"/>
  <c r="E86"/>
  <c r="D86"/>
  <c r="A147"/>
  <c r="A28"/>
  <c r="B27"/>
  <c r="G27"/>
  <c r="E85"/>
  <c r="C145"/>
  <c r="S28" i="22"/>
  <c r="B148"/>
  <c r="G148"/>
  <c r="C148"/>
  <c r="J144"/>
  <c r="I144"/>
  <c r="K144"/>
  <c r="D146"/>
  <c r="C28"/>
  <c r="C147"/>
  <c r="C87"/>
  <c r="J26"/>
  <c r="L26"/>
  <c r="K26"/>
  <c r="M26"/>
  <c r="I26"/>
  <c r="A149"/>
  <c r="A30"/>
  <c r="C29"/>
  <c r="B29"/>
  <c r="G29"/>
  <c r="D86"/>
  <c r="A89"/>
  <c r="B88"/>
  <c r="G88"/>
  <c r="E27"/>
  <c r="S27" i="21"/>
  <c r="K85"/>
  <c r="M85"/>
  <c r="J85"/>
  <c r="L85"/>
  <c r="I85"/>
  <c r="J86"/>
  <c r="L86"/>
  <c r="I86"/>
  <c r="K86"/>
  <c r="M86"/>
  <c r="B88"/>
  <c r="G88"/>
  <c r="A89"/>
  <c r="K143"/>
  <c r="J143"/>
  <c r="I143"/>
  <c r="E87"/>
  <c r="D87"/>
  <c r="I25"/>
  <c r="J25"/>
  <c r="L25"/>
  <c r="K25"/>
  <c r="M25"/>
  <c r="E26"/>
  <c r="D26"/>
  <c r="C27"/>
  <c r="C146"/>
  <c r="J144"/>
  <c r="I144"/>
  <c r="K144"/>
  <c r="C147"/>
  <c r="B147"/>
  <c r="G147"/>
  <c r="E145"/>
  <c r="D145"/>
  <c r="A148"/>
  <c r="B28"/>
  <c r="G28"/>
  <c r="A29"/>
  <c r="C28"/>
  <c r="S29" i="22"/>
  <c r="E28"/>
  <c r="D28"/>
  <c r="H28"/>
  <c r="I27"/>
  <c r="J27"/>
  <c r="L27"/>
  <c r="K27"/>
  <c r="M27"/>
  <c r="A90"/>
  <c r="C89"/>
  <c r="B89"/>
  <c r="G89"/>
  <c r="C149"/>
  <c r="B149"/>
  <c r="G149"/>
  <c r="E87"/>
  <c r="D87"/>
  <c r="E148"/>
  <c r="D148"/>
  <c r="H148"/>
  <c r="C88"/>
  <c r="E86"/>
  <c r="E146"/>
  <c r="A150"/>
  <c r="A31"/>
  <c r="B30"/>
  <c r="G30"/>
  <c r="D29"/>
  <c r="H29"/>
  <c r="E29"/>
  <c r="D147"/>
  <c r="S28" i="21"/>
  <c r="E28"/>
  <c r="D28"/>
  <c r="H28"/>
  <c r="B148"/>
  <c r="G148"/>
  <c r="D147"/>
  <c r="D27"/>
  <c r="E27"/>
  <c r="K26"/>
  <c r="M26"/>
  <c r="J26"/>
  <c r="L26"/>
  <c r="I26"/>
  <c r="K87"/>
  <c r="M87"/>
  <c r="I87"/>
  <c r="J87"/>
  <c r="L87"/>
  <c r="E146"/>
  <c r="D146"/>
  <c r="C88"/>
  <c r="A149"/>
  <c r="A30"/>
  <c r="C29"/>
  <c r="B29"/>
  <c r="G29"/>
  <c r="K145"/>
  <c r="I145"/>
  <c r="J145"/>
  <c r="A90"/>
  <c r="C89"/>
  <c r="B89"/>
  <c r="G89"/>
  <c r="AC29" i="22"/>
  <c r="AM29"/>
  <c r="AC28"/>
  <c r="AM28"/>
  <c r="S30"/>
  <c r="A32"/>
  <c r="C31"/>
  <c r="B31"/>
  <c r="G31"/>
  <c r="A151"/>
  <c r="D88"/>
  <c r="H88"/>
  <c r="K87"/>
  <c r="M87"/>
  <c r="I87"/>
  <c r="J87"/>
  <c r="L87"/>
  <c r="D89"/>
  <c r="H89"/>
  <c r="BA29"/>
  <c r="B150"/>
  <c r="G150"/>
  <c r="J146"/>
  <c r="I146"/>
  <c r="K146"/>
  <c r="C90"/>
  <c r="B90"/>
  <c r="G90"/>
  <c r="A91"/>
  <c r="BA28"/>
  <c r="E147"/>
  <c r="C30"/>
  <c r="J29"/>
  <c r="L29"/>
  <c r="K29"/>
  <c r="M29"/>
  <c r="I29"/>
  <c r="J86"/>
  <c r="L86"/>
  <c r="I86"/>
  <c r="K86"/>
  <c r="M86"/>
  <c r="J148"/>
  <c r="I148"/>
  <c r="BA148"/>
  <c r="K148"/>
  <c r="D149"/>
  <c r="H149"/>
  <c r="J28"/>
  <c r="L28"/>
  <c r="I28"/>
  <c r="K28"/>
  <c r="M28"/>
  <c r="AC28" i="21"/>
  <c r="AM28"/>
  <c r="S29"/>
  <c r="J146"/>
  <c r="I146"/>
  <c r="K146"/>
  <c r="I27"/>
  <c r="J27"/>
  <c r="L27"/>
  <c r="K27"/>
  <c r="M27"/>
  <c r="K28"/>
  <c r="M28"/>
  <c r="J28"/>
  <c r="L28"/>
  <c r="I28"/>
  <c r="D89"/>
  <c r="H89"/>
  <c r="E88"/>
  <c r="D88"/>
  <c r="H88"/>
  <c r="C149"/>
  <c r="B149"/>
  <c r="G149"/>
  <c r="C148"/>
  <c r="A150"/>
  <c r="B30"/>
  <c r="G30"/>
  <c r="A31"/>
  <c r="C30"/>
  <c r="C90"/>
  <c r="A91"/>
  <c r="B90"/>
  <c r="G90"/>
  <c r="D29"/>
  <c r="H29"/>
  <c r="BA28"/>
  <c r="E147"/>
  <c r="AR29" i="22"/>
  <c r="AR28" i="21"/>
  <c r="AR28" i="22"/>
  <c r="S31"/>
  <c r="E30"/>
  <c r="D30"/>
  <c r="H30"/>
  <c r="E90"/>
  <c r="D90"/>
  <c r="H90"/>
  <c r="A92"/>
  <c r="C91"/>
  <c r="B91"/>
  <c r="G91"/>
  <c r="A152"/>
  <c r="B32"/>
  <c r="G32"/>
  <c r="A33"/>
  <c r="C32"/>
  <c r="C150"/>
  <c r="E89"/>
  <c r="E88"/>
  <c r="K147"/>
  <c r="J147"/>
  <c r="I147"/>
  <c r="D31"/>
  <c r="H31"/>
  <c r="C151"/>
  <c r="B151"/>
  <c r="G151"/>
  <c r="E149"/>
  <c r="AC29" i="21"/>
  <c r="AM29"/>
  <c r="S30"/>
  <c r="D90"/>
  <c r="H90"/>
  <c r="B150"/>
  <c r="G150"/>
  <c r="D149"/>
  <c r="H149"/>
  <c r="A92"/>
  <c r="C91"/>
  <c r="B91"/>
  <c r="G91"/>
  <c r="K147"/>
  <c r="J147"/>
  <c r="I147"/>
  <c r="A151"/>
  <c r="A32"/>
  <c r="B31"/>
  <c r="G31"/>
  <c r="E29"/>
  <c r="E89"/>
  <c r="D30"/>
  <c r="H30"/>
  <c r="E148"/>
  <c r="D148"/>
  <c r="H148"/>
  <c r="J88"/>
  <c r="L88"/>
  <c r="I88"/>
  <c r="BA88"/>
  <c r="K88"/>
  <c r="M88"/>
  <c r="AR88"/>
  <c r="S32" i="22"/>
  <c r="AC31"/>
  <c r="AM31"/>
  <c r="AC30"/>
  <c r="AM30"/>
  <c r="D151"/>
  <c r="H151"/>
  <c r="E151"/>
  <c r="K89"/>
  <c r="M89"/>
  <c r="J89"/>
  <c r="L89"/>
  <c r="I89"/>
  <c r="BA89"/>
  <c r="A153"/>
  <c r="A34"/>
  <c r="C33"/>
  <c r="B33"/>
  <c r="G33"/>
  <c r="J90"/>
  <c r="L90"/>
  <c r="I90"/>
  <c r="BA90"/>
  <c r="K90"/>
  <c r="M90"/>
  <c r="D32"/>
  <c r="H32"/>
  <c r="B92"/>
  <c r="G92"/>
  <c r="A93"/>
  <c r="E150"/>
  <c r="D150"/>
  <c r="H150"/>
  <c r="K149"/>
  <c r="I149"/>
  <c r="BA149"/>
  <c r="J149"/>
  <c r="J88"/>
  <c r="L88"/>
  <c r="I88"/>
  <c r="BA88"/>
  <c r="K88"/>
  <c r="M88"/>
  <c r="C152"/>
  <c r="B152"/>
  <c r="G152"/>
  <c r="E91"/>
  <c r="D91"/>
  <c r="H91"/>
  <c r="J30"/>
  <c r="L30"/>
  <c r="K30"/>
  <c r="M30"/>
  <c r="I30"/>
  <c r="BA30"/>
  <c r="E31"/>
  <c r="AC30" i="21"/>
  <c r="AM30"/>
  <c r="S31"/>
  <c r="I29"/>
  <c r="BA29"/>
  <c r="J29"/>
  <c r="L29"/>
  <c r="K29"/>
  <c r="M29"/>
  <c r="J148"/>
  <c r="I148"/>
  <c r="BA148"/>
  <c r="K148"/>
  <c r="K89"/>
  <c r="M89"/>
  <c r="J89"/>
  <c r="L89"/>
  <c r="I89"/>
  <c r="BA89"/>
  <c r="B92"/>
  <c r="G92"/>
  <c r="A93"/>
  <c r="E30"/>
  <c r="C31"/>
  <c r="E149"/>
  <c r="E90"/>
  <c r="C151"/>
  <c r="B151"/>
  <c r="G151"/>
  <c r="A152"/>
  <c r="B32"/>
  <c r="G32"/>
  <c r="A33"/>
  <c r="D91"/>
  <c r="H91"/>
  <c r="C150"/>
  <c r="AR88" i="22"/>
  <c r="AR89" i="21"/>
  <c r="AR29"/>
  <c r="AR30" i="22"/>
  <c r="AR90"/>
  <c r="AR89"/>
  <c r="AC32"/>
  <c r="AM32"/>
  <c r="S33"/>
  <c r="K151"/>
  <c r="I151"/>
  <c r="BA151"/>
  <c r="J151"/>
  <c r="I31"/>
  <c r="BA31"/>
  <c r="K31"/>
  <c r="M31"/>
  <c r="J31"/>
  <c r="L31"/>
  <c r="A154"/>
  <c r="B34"/>
  <c r="G34"/>
  <c r="A35"/>
  <c r="C92"/>
  <c r="E32"/>
  <c r="K91"/>
  <c r="M91"/>
  <c r="I91"/>
  <c r="BA91"/>
  <c r="J91"/>
  <c r="L91"/>
  <c r="J150"/>
  <c r="I150"/>
  <c r="BA150"/>
  <c r="K150"/>
  <c r="C153"/>
  <c r="B153"/>
  <c r="G153"/>
  <c r="E152"/>
  <c r="D152"/>
  <c r="H152"/>
  <c r="A94"/>
  <c r="B93"/>
  <c r="G93"/>
  <c r="D33"/>
  <c r="S32" i="21"/>
  <c r="K149"/>
  <c r="I149"/>
  <c r="BA149"/>
  <c r="J149"/>
  <c r="D151"/>
  <c r="H151"/>
  <c r="J90"/>
  <c r="L90"/>
  <c r="I90"/>
  <c r="BA90"/>
  <c r="K90"/>
  <c r="M90"/>
  <c r="K30"/>
  <c r="M30"/>
  <c r="J30"/>
  <c r="L30"/>
  <c r="I30"/>
  <c r="BA30"/>
  <c r="A34"/>
  <c r="A153"/>
  <c r="B33"/>
  <c r="G33"/>
  <c r="D31"/>
  <c r="H31"/>
  <c r="A94"/>
  <c r="C93"/>
  <c r="B93"/>
  <c r="G93"/>
  <c r="E150"/>
  <c r="D150"/>
  <c r="H150"/>
  <c r="C152"/>
  <c r="B152"/>
  <c r="G152"/>
  <c r="C32"/>
  <c r="E91"/>
  <c r="C92"/>
  <c r="AR30"/>
  <c r="AR31" i="22"/>
  <c r="AR91"/>
  <c r="AR90" i="21"/>
  <c r="S34" i="22"/>
  <c r="J152"/>
  <c r="I152"/>
  <c r="BA152"/>
  <c r="K152"/>
  <c r="E92"/>
  <c r="D92"/>
  <c r="H92"/>
  <c r="A155"/>
  <c r="A36"/>
  <c r="C35"/>
  <c r="B35"/>
  <c r="G35"/>
  <c r="B94"/>
  <c r="G94"/>
  <c r="A95"/>
  <c r="C94"/>
  <c r="D153"/>
  <c r="K32"/>
  <c r="M32"/>
  <c r="J32"/>
  <c r="L32"/>
  <c r="I32"/>
  <c r="BA32"/>
  <c r="B154"/>
  <c r="G154"/>
  <c r="E33"/>
  <c r="C34"/>
  <c r="C93"/>
  <c r="S33" i="21"/>
  <c r="AC31"/>
  <c r="AM31"/>
  <c r="E32"/>
  <c r="D32"/>
  <c r="H32"/>
  <c r="E152"/>
  <c r="D152"/>
  <c r="H152"/>
  <c r="D93"/>
  <c r="A154"/>
  <c r="B34"/>
  <c r="G34"/>
  <c r="C34"/>
  <c r="A35"/>
  <c r="K91"/>
  <c r="M91"/>
  <c r="I91"/>
  <c r="BA91"/>
  <c r="J91"/>
  <c r="L91"/>
  <c r="J150"/>
  <c r="I150"/>
  <c r="K150"/>
  <c r="E92"/>
  <c r="D92"/>
  <c r="H92"/>
  <c r="A95"/>
  <c r="B94"/>
  <c r="G94"/>
  <c r="C153"/>
  <c r="B153"/>
  <c r="G153"/>
  <c r="E31"/>
  <c r="C33"/>
  <c r="BA150"/>
  <c r="E151"/>
  <c r="AR91"/>
  <c r="AR32" i="22"/>
  <c r="S35"/>
  <c r="A156"/>
  <c r="B36"/>
  <c r="G36"/>
  <c r="A37"/>
  <c r="C154"/>
  <c r="A96"/>
  <c r="C95"/>
  <c r="B95"/>
  <c r="G95"/>
  <c r="I33"/>
  <c r="K33"/>
  <c r="M33"/>
  <c r="J33"/>
  <c r="L33"/>
  <c r="E94"/>
  <c r="D94"/>
  <c r="D35"/>
  <c r="E35"/>
  <c r="J92"/>
  <c r="L92"/>
  <c r="K92"/>
  <c r="M92"/>
  <c r="I92"/>
  <c r="BA92"/>
  <c r="E34"/>
  <c r="D34"/>
  <c r="D93"/>
  <c r="B155"/>
  <c r="G155"/>
  <c r="E153"/>
  <c r="AC32" i="21"/>
  <c r="AM32"/>
  <c r="S34"/>
  <c r="D33"/>
  <c r="E33"/>
  <c r="J92"/>
  <c r="L92"/>
  <c r="I92"/>
  <c r="K92"/>
  <c r="M92"/>
  <c r="E34"/>
  <c r="D34"/>
  <c r="K32"/>
  <c r="M32"/>
  <c r="J32"/>
  <c r="L32"/>
  <c r="I32"/>
  <c r="E153"/>
  <c r="D153"/>
  <c r="BA92"/>
  <c r="A155"/>
  <c r="A36"/>
  <c r="C35"/>
  <c r="B35"/>
  <c r="G35"/>
  <c r="BA32"/>
  <c r="B154"/>
  <c r="G154"/>
  <c r="J152"/>
  <c r="I152"/>
  <c r="BA152"/>
  <c r="K152"/>
  <c r="K151"/>
  <c r="J151"/>
  <c r="I151"/>
  <c r="BA151"/>
  <c r="I31"/>
  <c r="BA31"/>
  <c r="J31"/>
  <c r="L31"/>
  <c r="K31"/>
  <c r="M31"/>
  <c r="A96"/>
  <c r="C95"/>
  <c r="B95"/>
  <c r="G95"/>
  <c r="E93"/>
  <c r="C94"/>
  <c r="AR31"/>
  <c r="AR32"/>
  <c r="AR92"/>
  <c r="AR92" i="22"/>
  <c r="S36"/>
  <c r="K34"/>
  <c r="M34"/>
  <c r="J34"/>
  <c r="L34"/>
  <c r="I34"/>
  <c r="I35"/>
  <c r="J35"/>
  <c r="L35"/>
  <c r="K35"/>
  <c r="M35"/>
  <c r="J94"/>
  <c r="L94"/>
  <c r="K94"/>
  <c r="M94"/>
  <c r="I94"/>
  <c r="E154"/>
  <c r="D154"/>
  <c r="B96"/>
  <c r="G96"/>
  <c r="A97"/>
  <c r="C96"/>
  <c r="B156"/>
  <c r="G156"/>
  <c r="C36"/>
  <c r="C155"/>
  <c r="E93"/>
  <c r="D95"/>
  <c r="E95"/>
  <c r="K153"/>
  <c r="I153"/>
  <c r="J153"/>
  <c r="A157"/>
  <c r="A38"/>
  <c r="B37"/>
  <c r="G37"/>
  <c r="S35" i="21"/>
  <c r="D35"/>
  <c r="E35"/>
  <c r="K34"/>
  <c r="M34"/>
  <c r="J34"/>
  <c r="L34"/>
  <c r="I34"/>
  <c r="E95"/>
  <c r="D95"/>
  <c r="C155"/>
  <c r="B155"/>
  <c r="G155"/>
  <c r="K93"/>
  <c r="M93"/>
  <c r="J93"/>
  <c r="L93"/>
  <c r="I93"/>
  <c r="A156"/>
  <c r="B36"/>
  <c r="G36"/>
  <c r="A37"/>
  <c r="C36"/>
  <c r="C154"/>
  <c r="E94"/>
  <c r="D94"/>
  <c r="I33"/>
  <c r="J33"/>
  <c r="L33"/>
  <c r="K33"/>
  <c r="M33"/>
  <c r="B96"/>
  <c r="G96"/>
  <c r="A97"/>
  <c r="C96"/>
  <c r="K153"/>
  <c r="I153"/>
  <c r="J153"/>
  <c r="S37" i="22"/>
  <c r="D36"/>
  <c r="A98"/>
  <c r="C97"/>
  <c r="B97"/>
  <c r="G97"/>
  <c r="C157"/>
  <c r="B157"/>
  <c r="G157"/>
  <c r="J154"/>
  <c r="I154"/>
  <c r="K154"/>
  <c r="C37"/>
  <c r="C156"/>
  <c r="I95"/>
  <c r="K95"/>
  <c r="M95"/>
  <c r="J95"/>
  <c r="L95"/>
  <c r="D155"/>
  <c r="E96"/>
  <c r="D96"/>
  <c r="A158"/>
  <c r="B38"/>
  <c r="G38"/>
  <c r="A39"/>
  <c r="I93"/>
  <c r="J93"/>
  <c r="L93"/>
  <c r="K93"/>
  <c r="M93"/>
  <c r="S36" i="21"/>
  <c r="A98"/>
  <c r="C97"/>
  <c r="B97"/>
  <c r="G97"/>
  <c r="A157"/>
  <c r="A38"/>
  <c r="C37"/>
  <c r="B37"/>
  <c r="G37"/>
  <c r="K95"/>
  <c r="M95"/>
  <c r="I95"/>
  <c r="J95"/>
  <c r="L95"/>
  <c r="E36"/>
  <c r="D36"/>
  <c r="E154"/>
  <c r="D154"/>
  <c r="J94"/>
  <c r="L94"/>
  <c r="I94"/>
  <c r="K94"/>
  <c r="M94"/>
  <c r="I35"/>
  <c r="J35"/>
  <c r="L35"/>
  <c r="K35"/>
  <c r="M35"/>
  <c r="E96"/>
  <c r="D96"/>
  <c r="C156"/>
  <c r="B156"/>
  <c r="G156"/>
  <c r="D155"/>
  <c r="E155"/>
  <c r="S38" i="22"/>
  <c r="B98"/>
  <c r="G98"/>
  <c r="A99"/>
  <c r="C98"/>
  <c r="J96"/>
  <c r="L96"/>
  <c r="K96"/>
  <c r="M96"/>
  <c r="I96"/>
  <c r="D97"/>
  <c r="A159"/>
  <c r="A40"/>
  <c r="C39"/>
  <c r="B39"/>
  <c r="G39"/>
  <c r="D37"/>
  <c r="E37"/>
  <c r="E155"/>
  <c r="C38"/>
  <c r="E36"/>
  <c r="B158"/>
  <c r="G158"/>
  <c r="E156"/>
  <c r="D156"/>
  <c r="D157"/>
  <c r="S37" i="21"/>
  <c r="K155"/>
  <c r="J155"/>
  <c r="I155"/>
  <c r="J96"/>
  <c r="L96"/>
  <c r="I96"/>
  <c r="K96"/>
  <c r="M96"/>
  <c r="J154"/>
  <c r="I154"/>
  <c r="K154"/>
  <c r="A158"/>
  <c r="B38"/>
  <c r="G38"/>
  <c r="A39"/>
  <c r="C98"/>
  <c r="A99"/>
  <c r="B98"/>
  <c r="G98"/>
  <c r="D156"/>
  <c r="K36"/>
  <c r="M36"/>
  <c r="J36"/>
  <c r="L36"/>
  <c r="I36"/>
  <c r="D37"/>
  <c r="D97"/>
  <c r="E97"/>
  <c r="C157"/>
  <c r="B157"/>
  <c r="G157"/>
  <c r="S39" i="22"/>
  <c r="D39"/>
  <c r="E39"/>
  <c r="E98"/>
  <c r="D98"/>
  <c r="J156"/>
  <c r="I156"/>
  <c r="K156"/>
  <c r="K36"/>
  <c r="M36"/>
  <c r="J36"/>
  <c r="L36"/>
  <c r="I36"/>
  <c r="A160"/>
  <c r="B40"/>
  <c r="G40"/>
  <c r="A41"/>
  <c r="A100"/>
  <c r="C99"/>
  <c r="B99"/>
  <c r="G99"/>
  <c r="E97"/>
  <c r="I37"/>
  <c r="K37"/>
  <c r="M37"/>
  <c r="J37"/>
  <c r="L37"/>
  <c r="K155"/>
  <c r="I155"/>
  <c r="J155"/>
  <c r="E38"/>
  <c r="D38"/>
  <c r="B159"/>
  <c r="G159"/>
  <c r="E157"/>
  <c r="C158"/>
  <c r="S38" i="21"/>
  <c r="D157"/>
  <c r="A159"/>
  <c r="A40"/>
  <c r="C39"/>
  <c r="B39"/>
  <c r="G39"/>
  <c r="E156"/>
  <c r="K97"/>
  <c r="M97"/>
  <c r="J97"/>
  <c r="L97"/>
  <c r="I97"/>
  <c r="E98"/>
  <c r="D98"/>
  <c r="B158"/>
  <c r="G158"/>
  <c r="A100"/>
  <c r="C99"/>
  <c r="B99"/>
  <c r="G99"/>
  <c r="E37"/>
  <c r="C38"/>
  <c r="S40" i="22"/>
  <c r="K157"/>
  <c r="I157"/>
  <c r="J157"/>
  <c r="I97"/>
  <c r="J97"/>
  <c r="L97"/>
  <c r="K97"/>
  <c r="M97"/>
  <c r="B100"/>
  <c r="G100"/>
  <c r="A101"/>
  <c r="B160"/>
  <c r="G160"/>
  <c r="I39"/>
  <c r="J39"/>
  <c r="L39"/>
  <c r="K39"/>
  <c r="M39"/>
  <c r="E158"/>
  <c r="D158"/>
  <c r="D99"/>
  <c r="E99"/>
  <c r="J98"/>
  <c r="L98"/>
  <c r="K98"/>
  <c r="M98"/>
  <c r="I98"/>
  <c r="A161"/>
  <c r="A42"/>
  <c r="C41"/>
  <c r="B41"/>
  <c r="G41"/>
  <c r="C159"/>
  <c r="C40"/>
  <c r="K38"/>
  <c r="M38"/>
  <c r="J38"/>
  <c r="L38"/>
  <c r="I38"/>
  <c r="S39" i="21"/>
  <c r="I37"/>
  <c r="J37"/>
  <c r="L37"/>
  <c r="K37"/>
  <c r="M37"/>
  <c r="D39"/>
  <c r="C159"/>
  <c r="B159"/>
  <c r="G159"/>
  <c r="C158"/>
  <c r="E157"/>
  <c r="B100"/>
  <c r="G100"/>
  <c r="A101"/>
  <c r="C100"/>
  <c r="J98"/>
  <c r="L98"/>
  <c r="I98"/>
  <c r="K98"/>
  <c r="M98"/>
  <c r="J156"/>
  <c r="I156"/>
  <c r="K156"/>
  <c r="A160"/>
  <c r="B40"/>
  <c r="G40"/>
  <c r="A41"/>
  <c r="D99"/>
  <c r="E38"/>
  <c r="D38"/>
  <c r="S41" i="22"/>
  <c r="A162"/>
  <c r="B42"/>
  <c r="G42"/>
  <c r="A43"/>
  <c r="I99"/>
  <c r="K99"/>
  <c r="M99"/>
  <c r="J99"/>
  <c r="L99"/>
  <c r="J158"/>
  <c r="I158"/>
  <c r="K158"/>
  <c r="B161"/>
  <c r="G161"/>
  <c r="C160"/>
  <c r="C100"/>
  <c r="D159"/>
  <c r="D40"/>
  <c r="D41"/>
  <c r="A102"/>
  <c r="C101"/>
  <c r="B101"/>
  <c r="G101"/>
  <c r="S40" i="21"/>
  <c r="D100"/>
  <c r="K38"/>
  <c r="M38"/>
  <c r="J38"/>
  <c r="L38"/>
  <c r="I38"/>
  <c r="A161"/>
  <c r="A42"/>
  <c r="C41"/>
  <c r="B41"/>
  <c r="G41"/>
  <c r="D159"/>
  <c r="C160"/>
  <c r="B160"/>
  <c r="G160"/>
  <c r="A102"/>
  <c r="B101"/>
  <c r="G101"/>
  <c r="E99"/>
  <c r="E158"/>
  <c r="D158"/>
  <c r="K157"/>
  <c r="I157"/>
  <c r="J157"/>
  <c r="C40"/>
  <c r="E39"/>
  <c r="S42" i="22"/>
  <c r="B102"/>
  <c r="G102"/>
  <c r="A103"/>
  <c r="A163"/>
  <c r="A44"/>
  <c r="C43"/>
  <c r="B43"/>
  <c r="G43"/>
  <c r="D101"/>
  <c r="E101"/>
  <c r="B162"/>
  <c r="G162"/>
  <c r="E40"/>
  <c r="C161"/>
  <c r="E100"/>
  <c r="D100"/>
  <c r="D160"/>
  <c r="E41"/>
  <c r="E159"/>
  <c r="C42"/>
  <c r="S41" i="21"/>
  <c r="D160"/>
  <c r="C161"/>
  <c r="B161"/>
  <c r="G161"/>
  <c r="E40"/>
  <c r="D40"/>
  <c r="J158"/>
  <c r="I158"/>
  <c r="K158"/>
  <c r="K99"/>
  <c r="M99"/>
  <c r="I99"/>
  <c r="J99"/>
  <c r="L99"/>
  <c r="A162"/>
  <c r="B42"/>
  <c r="G42"/>
  <c r="C42"/>
  <c r="A43"/>
  <c r="A103"/>
  <c r="B102"/>
  <c r="G102"/>
  <c r="D41"/>
  <c r="I39"/>
  <c r="J39"/>
  <c r="L39"/>
  <c r="K39"/>
  <c r="M39"/>
  <c r="C101"/>
  <c r="E159"/>
  <c r="E100"/>
  <c r="S43" i="22"/>
  <c r="D42"/>
  <c r="I101"/>
  <c r="J101"/>
  <c r="L101"/>
  <c r="K101"/>
  <c r="M101"/>
  <c r="A164"/>
  <c r="B44"/>
  <c r="G44"/>
  <c r="A45"/>
  <c r="A104"/>
  <c r="C103"/>
  <c r="B103"/>
  <c r="G103"/>
  <c r="J100"/>
  <c r="L100"/>
  <c r="K100"/>
  <c r="M100"/>
  <c r="I100"/>
  <c r="D43"/>
  <c r="I41"/>
  <c r="K41"/>
  <c r="M41"/>
  <c r="J41"/>
  <c r="L41"/>
  <c r="K159"/>
  <c r="I159"/>
  <c r="J159"/>
  <c r="K40"/>
  <c r="M40"/>
  <c r="J40"/>
  <c r="L40"/>
  <c r="I40"/>
  <c r="C163"/>
  <c r="B163"/>
  <c r="G163"/>
  <c r="C162"/>
  <c r="E160"/>
  <c r="C102"/>
  <c r="E161"/>
  <c r="D161"/>
  <c r="S42" i="21"/>
  <c r="D101"/>
  <c r="E101"/>
  <c r="K40"/>
  <c r="M40"/>
  <c r="J40"/>
  <c r="L40"/>
  <c r="I40"/>
  <c r="D42"/>
  <c r="K159"/>
  <c r="J159"/>
  <c r="I159"/>
  <c r="A163"/>
  <c r="A44"/>
  <c r="C43"/>
  <c r="B43"/>
  <c r="G43"/>
  <c r="D161"/>
  <c r="J100"/>
  <c r="L100"/>
  <c r="I100"/>
  <c r="K100"/>
  <c r="M100"/>
  <c r="B162"/>
  <c r="G162"/>
  <c r="A104"/>
  <c r="B103"/>
  <c r="G103"/>
  <c r="E41"/>
  <c r="C102"/>
  <c r="E160"/>
  <c r="S44" i="22"/>
  <c r="E102"/>
  <c r="D102"/>
  <c r="D163"/>
  <c r="B104"/>
  <c r="G104"/>
  <c r="A105"/>
  <c r="B164"/>
  <c r="G164"/>
  <c r="C164"/>
  <c r="E162"/>
  <c r="D162"/>
  <c r="J160"/>
  <c r="I160"/>
  <c r="K160"/>
  <c r="A165"/>
  <c r="A46"/>
  <c r="C45"/>
  <c r="B45"/>
  <c r="G45"/>
  <c r="E43"/>
  <c r="E42"/>
  <c r="K161"/>
  <c r="I161"/>
  <c r="J161"/>
  <c r="D103"/>
  <c r="C44"/>
  <c r="S43" i="21"/>
  <c r="K101"/>
  <c r="M101"/>
  <c r="J101"/>
  <c r="L101"/>
  <c r="I101"/>
  <c r="J160"/>
  <c r="I160"/>
  <c r="K160"/>
  <c r="C163"/>
  <c r="B163"/>
  <c r="G163"/>
  <c r="C162"/>
  <c r="C103"/>
  <c r="E161"/>
  <c r="A164"/>
  <c r="B44"/>
  <c r="G44"/>
  <c r="A45"/>
  <c r="I41"/>
  <c r="J41"/>
  <c r="L41"/>
  <c r="K41"/>
  <c r="M41"/>
  <c r="D43"/>
  <c r="E102"/>
  <c r="D102"/>
  <c r="B104"/>
  <c r="G104"/>
  <c r="A105"/>
  <c r="C104"/>
  <c r="E42"/>
  <c r="S45" i="22"/>
  <c r="I43"/>
  <c r="J43"/>
  <c r="L43"/>
  <c r="K43"/>
  <c r="M43"/>
  <c r="J162"/>
  <c r="I162"/>
  <c r="K162"/>
  <c r="E44"/>
  <c r="D44"/>
  <c r="D45"/>
  <c r="C104"/>
  <c r="A166"/>
  <c r="B46"/>
  <c r="G46"/>
  <c r="A47"/>
  <c r="D164"/>
  <c r="J102"/>
  <c r="L102"/>
  <c r="K102"/>
  <c r="M102"/>
  <c r="I102"/>
  <c r="K42"/>
  <c r="M42"/>
  <c r="J42"/>
  <c r="L42"/>
  <c r="I42"/>
  <c r="A106"/>
  <c r="C105"/>
  <c r="B105"/>
  <c r="G105"/>
  <c r="C165"/>
  <c r="B165"/>
  <c r="G165"/>
  <c r="E103"/>
  <c r="E163"/>
  <c r="S44" i="21"/>
  <c r="K161"/>
  <c r="I161"/>
  <c r="J161"/>
  <c r="C164"/>
  <c r="B164"/>
  <c r="G164"/>
  <c r="D162"/>
  <c r="A106"/>
  <c r="B105"/>
  <c r="G105"/>
  <c r="E103"/>
  <c r="D103"/>
  <c r="E43"/>
  <c r="C44"/>
  <c r="D104"/>
  <c r="J102"/>
  <c r="L102"/>
  <c r="I102"/>
  <c r="K102"/>
  <c r="M102"/>
  <c r="A165"/>
  <c r="A46"/>
  <c r="B45"/>
  <c r="G45"/>
  <c r="D163"/>
  <c r="K42"/>
  <c r="M42"/>
  <c r="J42"/>
  <c r="L42"/>
  <c r="I42"/>
  <c r="S46" i="22"/>
  <c r="K44"/>
  <c r="M44"/>
  <c r="J44"/>
  <c r="L44"/>
  <c r="I44"/>
  <c r="I103"/>
  <c r="K103"/>
  <c r="M103"/>
  <c r="J103"/>
  <c r="L103"/>
  <c r="E104"/>
  <c r="D104"/>
  <c r="K163"/>
  <c r="J163"/>
  <c r="I163"/>
  <c r="B106"/>
  <c r="G106"/>
  <c r="A107"/>
  <c r="B166"/>
  <c r="G166"/>
  <c r="E164"/>
  <c r="D105"/>
  <c r="E105"/>
  <c r="D165"/>
  <c r="A167"/>
  <c r="A48"/>
  <c r="C47"/>
  <c r="B47"/>
  <c r="G47"/>
  <c r="C46"/>
  <c r="E45"/>
  <c r="S45" i="21"/>
  <c r="B165"/>
  <c r="G165"/>
  <c r="A166"/>
  <c r="B46"/>
  <c r="G46"/>
  <c r="A47"/>
  <c r="C106"/>
  <c r="A107"/>
  <c r="B106"/>
  <c r="G106"/>
  <c r="E163"/>
  <c r="E104"/>
  <c r="E162"/>
  <c r="K103"/>
  <c r="M103"/>
  <c r="I103"/>
  <c r="J103"/>
  <c r="L103"/>
  <c r="I43"/>
  <c r="J43"/>
  <c r="L43"/>
  <c r="K43"/>
  <c r="M43"/>
  <c r="E164"/>
  <c r="D164"/>
  <c r="E44"/>
  <c r="D44"/>
  <c r="C45"/>
  <c r="C105"/>
  <c r="S47" i="22"/>
  <c r="I105"/>
  <c r="J105"/>
  <c r="L105"/>
  <c r="K105"/>
  <c r="M105"/>
  <c r="I45"/>
  <c r="K45"/>
  <c r="M45"/>
  <c r="J45"/>
  <c r="L45"/>
  <c r="A108"/>
  <c r="C107"/>
  <c r="B107"/>
  <c r="G107"/>
  <c r="C166"/>
  <c r="E165"/>
  <c r="C167"/>
  <c r="B167"/>
  <c r="G167"/>
  <c r="J104"/>
  <c r="L104"/>
  <c r="K104"/>
  <c r="M104"/>
  <c r="I104"/>
  <c r="A168"/>
  <c r="B48"/>
  <c r="G48"/>
  <c r="A49"/>
  <c r="C48"/>
  <c r="D46"/>
  <c r="D47"/>
  <c r="J164"/>
  <c r="I164"/>
  <c r="K164"/>
  <c r="C106"/>
  <c r="S46" i="21"/>
  <c r="A108"/>
  <c r="C107"/>
  <c r="B107"/>
  <c r="G107"/>
  <c r="B166"/>
  <c r="G166"/>
  <c r="D45"/>
  <c r="J162"/>
  <c r="I162"/>
  <c r="K162"/>
  <c r="D105"/>
  <c r="E105"/>
  <c r="K163"/>
  <c r="J163"/>
  <c r="I163"/>
  <c r="C46"/>
  <c r="C165"/>
  <c r="K44"/>
  <c r="M44"/>
  <c r="J44"/>
  <c r="L44"/>
  <c r="I44"/>
  <c r="D106"/>
  <c r="A167"/>
  <c r="A48"/>
  <c r="B47"/>
  <c r="G47"/>
  <c r="J104"/>
  <c r="L104"/>
  <c r="I104"/>
  <c r="K104"/>
  <c r="M104"/>
  <c r="J164"/>
  <c r="I164"/>
  <c r="K164"/>
  <c r="S48" i="22"/>
  <c r="D167"/>
  <c r="D166"/>
  <c r="D107"/>
  <c r="C168"/>
  <c r="B168"/>
  <c r="G168"/>
  <c r="E106"/>
  <c r="D106"/>
  <c r="A169"/>
  <c r="A50"/>
  <c r="C49"/>
  <c r="B49"/>
  <c r="G49"/>
  <c r="K165"/>
  <c r="I165"/>
  <c r="J165"/>
  <c r="B108"/>
  <c r="G108"/>
  <c r="A109"/>
  <c r="E47"/>
  <c r="E46"/>
  <c r="D48"/>
  <c r="S47" i="21"/>
  <c r="B108"/>
  <c r="G108"/>
  <c r="A109"/>
  <c r="A168"/>
  <c r="B48"/>
  <c r="G48"/>
  <c r="A49"/>
  <c r="E46"/>
  <c r="D46"/>
  <c r="E107"/>
  <c r="D107"/>
  <c r="E165"/>
  <c r="D165"/>
  <c r="C166"/>
  <c r="C47"/>
  <c r="E106"/>
  <c r="E45"/>
  <c r="K105"/>
  <c r="M105"/>
  <c r="J105"/>
  <c r="L105"/>
  <c r="I105"/>
  <c r="C167"/>
  <c r="B167"/>
  <c r="G167"/>
  <c r="S49" i="22"/>
  <c r="I47"/>
  <c r="J47"/>
  <c r="L47"/>
  <c r="K47"/>
  <c r="M47"/>
  <c r="J106"/>
  <c r="L106"/>
  <c r="K106"/>
  <c r="M106"/>
  <c r="I106"/>
  <c r="K46"/>
  <c r="M46"/>
  <c r="J46"/>
  <c r="L46"/>
  <c r="I46"/>
  <c r="A110"/>
  <c r="B109"/>
  <c r="G109"/>
  <c r="C169"/>
  <c r="B169"/>
  <c r="G169"/>
  <c r="E107"/>
  <c r="E167"/>
  <c r="E166"/>
  <c r="D49"/>
  <c r="E168"/>
  <c r="D168"/>
  <c r="A170"/>
  <c r="B50"/>
  <c r="G50"/>
  <c r="A51"/>
  <c r="C50"/>
  <c r="E48"/>
  <c r="C108"/>
  <c r="S48" i="21"/>
  <c r="K165"/>
  <c r="I165"/>
  <c r="J165"/>
  <c r="D167"/>
  <c r="E167"/>
  <c r="J106"/>
  <c r="L106"/>
  <c r="I106"/>
  <c r="K106"/>
  <c r="M106"/>
  <c r="K107"/>
  <c r="M107"/>
  <c r="I107"/>
  <c r="J107"/>
  <c r="L107"/>
  <c r="A50"/>
  <c r="C49"/>
  <c r="A169"/>
  <c r="B49"/>
  <c r="G49"/>
  <c r="A110"/>
  <c r="C109"/>
  <c r="B109"/>
  <c r="G109"/>
  <c r="D166"/>
  <c r="K46"/>
  <c r="M46"/>
  <c r="J46"/>
  <c r="L46"/>
  <c r="I46"/>
  <c r="C168"/>
  <c r="B168"/>
  <c r="G168"/>
  <c r="D47"/>
  <c r="I45"/>
  <c r="J45"/>
  <c r="L45"/>
  <c r="K45"/>
  <c r="M45"/>
  <c r="C48"/>
  <c r="C108"/>
  <c r="S50" i="22"/>
  <c r="E50"/>
  <c r="D50"/>
  <c r="J166"/>
  <c r="I166"/>
  <c r="K166"/>
  <c r="D169"/>
  <c r="K48"/>
  <c r="M48"/>
  <c r="J48"/>
  <c r="L48"/>
  <c r="I48"/>
  <c r="B110"/>
  <c r="G110"/>
  <c r="A111"/>
  <c r="C110"/>
  <c r="E108"/>
  <c r="D108"/>
  <c r="A171"/>
  <c r="A52"/>
  <c r="C51"/>
  <c r="B51"/>
  <c r="G51"/>
  <c r="I107"/>
  <c r="K107"/>
  <c r="M107"/>
  <c r="J107"/>
  <c r="L107"/>
  <c r="E49"/>
  <c r="C109"/>
  <c r="J168"/>
  <c r="I168"/>
  <c r="K168"/>
  <c r="K167"/>
  <c r="I167"/>
  <c r="J167"/>
  <c r="B170"/>
  <c r="G170"/>
  <c r="S49" i="21"/>
  <c r="D168"/>
  <c r="K167"/>
  <c r="J167"/>
  <c r="I167"/>
  <c r="E108"/>
  <c r="D108"/>
  <c r="A111"/>
  <c r="B110"/>
  <c r="G110"/>
  <c r="A170"/>
  <c r="B50"/>
  <c r="G50"/>
  <c r="A51"/>
  <c r="C50"/>
  <c r="E47"/>
  <c r="E166"/>
  <c r="D109"/>
  <c r="D49"/>
  <c r="C169"/>
  <c r="B169"/>
  <c r="G169"/>
  <c r="D48"/>
  <c r="S51" i="22"/>
  <c r="I49"/>
  <c r="J49"/>
  <c r="L49"/>
  <c r="K49"/>
  <c r="M49"/>
  <c r="A172"/>
  <c r="A53"/>
  <c r="B52"/>
  <c r="G52"/>
  <c r="D110"/>
  <c r="K50"/>
  <c r="M50"/>
  <c r="J50"/>
  <c r="L50"/>
  <c r="I50"/>
  <c r="D109"/>
  <c r="D51"/>
  <c r="J108"/>
  <c r="L108"/>
  <c r="K108"/>
  <c r="M108"/>
  <c r="I108"/>
  <c r="C171"/>
  <c r="B171"/>
  <c r="G171"/>
  <c r="A112"/>
  <c r="C111"/>
  <c r="B111"/>
  <c r="G111"/>
  <c r="C170"/>
  <c r="E169"/>
  <c r="S50" i="21"/>
  <c r="D50"/>
  <c r="I47"/>
  <c r="J47"/>
  <c r="L47"/>
  <c r="K47"/>
  <c r="M47"/>
  <c r="B170"/>
  <c r="G170"/>
  <c r="C170"/>
  <c r="J166"/>
  <c r="I166"/>
  <c r="K166"/>
  <c r="E49"/>
  <c r="E48"/>
  <c r="E109"/>
  <c r="C110"/>
  <c r="E168"/>
  <c r="A171"/>
  <c r="A52"/>
  <c r="C51"/>
  <c r="B51"/>
  <c r="G51"/>
  <c r="A112"/>
  <c r="C111"/>
  <c r="B111"/>
  <c r="G111"/>
  <c r="D169"/>
  <c r="J108"/>
  <c r="L108"/>
  <c r="I108"/>
  <c r="K108"/>
  <c r="M108"/>
  <c r="S52" i="22"/>
  <c r="B112"/>
  <c r="G112"/>
  <c r="A113"/>
  <c r="A173"/>
  <c r="A54"/>
  <c r="B53"/>
  <c r="G53"/>
  <c r="D111"/>
  <c r="K169"/>
  <c r="I169"/>
  <c r="J169"/>
  <c r="D171"/>
  <c r="E170"/>
  <c r="D170"/>
  <c r="B172"/>
  <c r="G172"/>
  <c r="E51"/>
  <c r="E109"/>
  <c r="C52"/>
  <c r="E110"/>
  <c r="S51" i="21"/>
  <c r="K48"/>
  <c r="M48"/>
  <c r="J48"/>
  <c r="L48"/>
  <c r="I48"/>
  <c r="E170"/>
  <c r="D170"/>
  <c r="E111"/>
  <c r="D111"/>
  <c r="A172"/>
  <c r="B52"/>
  <c r="G52"/>
  <c r="C52"/>
  <c r="A53"/>
  <c r="J168"/>
  <c r="I168"/>
  <c r="K168"/>
  <c r="I49"/>
  <c r="J49"/>
  <c r="L49"/>
  <c r="K49"/>
  <c r="M49"/>
  <c r="E169"/>
  <c r="E50"/>
  <c r="B112"/>
  <c r="G112"/>
  <c r="A113"/>
  <c r="C112"/>
  <c r="C171"/>
  <c r="B171"/>
  <c r="G171"/>
  <c r="K109"/>
  <c r="M109"/>
  <c r="J109"/>
  <c r="L109"/>
  <c r="I109"/>
  <c r="D51"/>
  <c r="E51"/>
  <c r="E110"/>
  <c r="D110"/>
  <c r="S53" i="22"/>
  <c r="J110"/>
  <c r="L110"/>
  <c r="K110"/>
  <c r="M110"/>
  <c r="I110"/>
  <c r="J170"/>
  <c r="I170"/>
  <c r="K170"/>
  <c r="I51"/>
  <c r="J51"/>
  <c r="L51"/>
  <c r="K51"/>
  <c r="M51"/>
  <c r="C173"/>
  <c r="B173"/>
  <c r="G173"/>
  <c r="I109"/>
  <c r="J109"/>
  <c r="L109"/>
  <c r="K109"/>
  <c r="M109"/>
  <c r="A174"/>
  <c r="A55"/>
  <c r="C54"/>
  <c r="B54"/>
  <c r="G54"/>
  <c r="A114"/>
  <c r="C113"/>
  <c r="B113"/>
  <c r="G113"/>
  <c r="E52"/>
  <c r="D52"/>
  <c r="E171"/>
  <c r="C112"/>
  <c r="E111"/>
  <c r="C172"/>
  <c r="C53"/>
  <c r="S52" i="21"/>
  <c r="I51"/>
  <c r="J51"/>
  <c r="L51"/>
  <c r="K51"/>
  <c r="M51"/>
  <c r="E52"/>
  <c r="D52"/>
  <c r="J110"/>
  <c r="L110"/>
  <c r="I110"/>
  <c r="K110"/>
  <c r="M110"/>
  <c r="D112"/>
  <c r="A173"/>
  <c r="A54"/>
  <c r="B53"/>
  <c r="G53"/>
  <c r="K169"/>
  <c r="I169"/>
  <c r="J169"/>
  <c r="A114"/>
  <c r="C113"/>
  <c r="B113"/>
  <c r="G113"/>
  <c r="K50"/>
  <c r="M50"/>
  <c r="J50"/>
  <c r="L50"/>
  <c r="I50"/>
  <c r="K111"/>
  <c r="M111"/>
  <c r="I111"/>
  <c r="J111"/>
  <c r="L111"/>
  <c r="D171"/>
  <c r="B172"/>
  <c r="G172"/>
  <c r="J170"/>
  <c r="I170"/>
  <c r="K170"/>
  <c r="S54" i="22"/>
  <c r="E112"/>
  <c r="D112"/>
  <c r="D113"/>
  <c r="A175"/>
  <c r="C55"/>
  <c r="B55"/>
  <c r="G55"/>
  <c r="A56"/>
  <c r="I111"/>
  <c r="K111"/>
  <c r="M111"/>
  <c r="J111"/>
  <c r="L111"/>
  <c r="D54"/>
  <c r="E172"/>
  <c r="D172"/>
  <c r="K171"/>
  <c r="I171"/>
  <c r="J171"/>
  <c r="K52"/>
  <c r="M52"/>
  <c r="J52"/>
  <c r="L52"/>
  <c r="I52"/>
  <c r="D173"/>
  <c r="E173"/>
  <c r="E53"/>
  <c r="D53"/>
  <c r="B114"/>
  <c r="G114"/>
  <c r="A115"/>
  <c r="C114"/>
  <c r="B174"/>
  <c r="G174"/>
  <c r="S53" i="21"/>
  <c r="D113"/>
  <c r="E113"/>
  <c r="A174"/>
  <c r="B54"/>
  <c r="G54"/>
  <c r="A55"/>
  <c r="A115"/>
  <c r="B114"/>
  <c r="G114"/>
  <c r="C172"/>
  <c r="C53"/>
  <c r="E112"/>
  <c r="C173"/>
  <c r="B173"/>
  <c r="G173"/>
  <c r="K52"/>
  <c r="M52"/>
  <c r="J52"/>
  <c r="L52"/>
  <c r="I52"/>
  <c r="E171"/>
  <c r="S55" i="22"/>
  <c r="A116"/>
  <c r="C115"/>
  <c r="B115"/>
  <c r="G115"/>
  <c r="K173"/>
  <c r="I173"/>
  <c r="J173"/>
  <c r="J172"/>
  <c r="I172"/>
  <c r="K172"/>
  <c r="B175"/>
  <c r="G175"/>
  <c r="J112"/>
  <c r="L112"/>
  <c r="K112"/>
  <c r="M112"/>
  <c r="I112"/>
  <c r="E114"/>
  <c r="D114"/>
  <c r="J53"/>
  <c r="L53"/>
  <c r="K53"/>
  <c r="M53"/>
  <c r="I53"/>
  <c r="E55"/>
  <c r="D55"/>
  <c r="A176"/>
  <c r="A57"/>
  <c r="C56"/>
  <c r="B56"/>
  <c r="G56"/>
  <c r="E54"/>
  <c r="C174"/>
  <c r="E113"/>
  <c r="S54" i="21"/>
  <c r="D53"/>
  <c r="E53"/>
  <c r="A116"/>
  <c r="B115"/>
  <c r="G115"/>
  <c r="A175"/>
  <c r="A56"/>
  <c r="B55"/>
  <c r="G55"/>
  <c r="K113"/>
  <c r="M113"/>
  <c r="J113"/>
  <c r="L113"/>
  <c r="I113"/>
  <c r="B174"/>
  <c r="G174"/>
  <c r="C174"/>
  <c r="K171"/>
  <c r="J171"/>
  <c r="I171"/>
  <c r="D172"/>
  <c r="C114"/>
  <c r="C54"/>
  <c r="E173"/>
  <c r="D173"/>
  <c r="J112"/>
  <c r="L112"/>
  <c r="I112"/>
  <c r="K112"/>
  <c r="M112"/>
  <c r="S56" i="22"/>
  <c r="I113"/>
  <c r="K113"/>
  <c r="M113"/>
  <c r="J113"/>
  <c r="L113"/>
  <c r="A177"/>
  <c r="A58"/>
  <c r="C57"/>
  <c r="B57"/>
  <c r="G57"/>
  <c r="J114"/>
  <c r="L114"/>
  <c r="K114"/>
  <c r="M114"/>
  <c r="I114"/>
  <c r="B116"/>
  <c r="G116"/>
  <c r="A117"/>
  <c r="C116"/>
  <c r="I54"/>
  <c r="J54"/>
  <c r="L54"/>
  <c r="K54"/>
  <c r="M54"/>
  <c r="E56"/>
  <c r="D56"/>
  <c r="J55"/>
  <c r="L55"/>
  <c r="I55"/>
  <c r="K55"/>
  <c r="M55"/>
  <c r="D115"/>
  <c r="E174"/>
  <c r="D174"/>
  <c r="B176"/>
  <c r="G176"/>
  <c r="C175"/>
  <c r="S55" i="21"/>
  <c r="D114"/>
  <c r="C175"/>
  <c r="B175"/>
  <c r="G175"/>
  <c r="I53"/>
  <c r="K53"/>
  <c r="M53"/>
  <c r="J53"/>
  <c r="L53"/>
  <c r="B116"/>
  <c r="G116"/>
  <c r="A117"/>
  <c r="D174"/>
  <c r="E172"/>
  <c r="E54"/>
  <c r="D54"/>
  <c r="A176"/>
  <c r="B56"/>
  <c r="G56"/>
  <c r="A57"/>
  <c r="K173"/>
  <c r="I173"/>
  <c r="J173"/>
  <c r="C55"/>
  <c r="C115"/>
  <c r="S57" i="22"/>
  <c r="J174"/>
  <c r="I174"/>
  <c r="K174"/>
  <c r="K56"/>
  <c r="M56"/>
  <c r="J56"/>
  <c r="L56"/>
  <c r="I56"/>
  <c r="E116"/>
  <c r="D116"/>
  <c r="A178"/>
  <c r="A59"/>
  <c r="C58"/>
  <c r="B58"/>
  <c r="G58"/>
  <c r="E57"/>
  <c r="D57"/>
  <c r="D175"/>
  <c r="A118"/>
  <c r="C117"/>
  <c r="B117"/>
  <c r="G117"/>
  <c r="C177"/>
  <c r="B177"/>
  <c r="G177"/>
  <c r="C176"/>
  <c r="E115"/>
  <c r="S56" i="21"/>
  <c r="A58"/>
  <c r="A177"/>
  <c r="B57"/>
  <c r="G57"/>
  <c r="K54"/>
  <c r="M54"/>
  <c r="J54"/>
  <c r="L54"/>
  <c r="I54"/>
  <c r="D175"/>
  <c r="D55"/>
  <c r="J172"/>
  <c r="I172"/>
  <c r="K172"/>
  <c r="D115"/>
  <c r="C176"/>
  <c r="B176"/>
  <c r="G176"/>
  <c r="C56"/>
  <c r="E174"/>
  <c r="E114"/>
  <c r="A118"/>
  <c r="C117"/>
  <c r="B117"/>
  <c r="G117"/>
  <c r="C116"/>
  <c r="S58" i="22"/>
  <c r="E177"/>
  <c r="D177"/>
  <c r="D117"/>
  <c r="J57"/>
  <c r="L57"/>
  <c r="K57"/>
  <c r="M57"/>
  <c r="I57"/>
  <c r="B178"/>
  <c r="G178"/>
  <c r="C178"/>
  <c r="I115"/>
  <c r="J115"/>
  <c r="L115"/>
  <c r="K115"/>
  <c r="M115"/>
  <c r="A179"/>
  <c r="B59"/>
  <c r="G59"/>
  <c r="A60"/>
  <c r="D58"/>
  <c r="H58"/>
  <c r="E58"/>
  <c r="J116"/>
  <c r="L116"/>
  <c r="K116"/>
  <c r="M116"/>
  <c r="I116"/>
  <c r="E176"/>
  <c r="D176"/>
  <c r="B118"/>
  <c r="G118"/>
  <c r="A119"/>
  <c r="C118"/>
  <c r="E175"/>
  <c r="S57" i="21"/>
  <c r="E176"/>
  <c r="D176"/>
  <c r="A178"/>
  <c r="B58"/>
  <c r="G58"/>
  <c r="A59"/>
  <c r="J174"/>
  <c r="I174"/>
  <c r="K174"/>
  <c r="C57"/>
  <c r="B118"/>
  <c r="G118"/>
  <c r="A119"/>
  <c r="E56"/>
  <c r="D56"/>
  <c r="D117"/>
  <c r="E116"/>
  <c r="D116"/>
  <c r="J114"/>
  <c r="L114"/>
  <c r="I114"/>
  <c r="K114"/>
  <c r="M114"/>
  <c r="B177"/>
  <c r="G177"/>
  <c r="E175"/>
  <c r="E115"/>
  <c r="E55"/>
  <c r="S59" i="22"/>
  <c r="AC58"/>
  <c r="AM58"/>
  <c r="E118"/>
  <c r="D118"/>
  <c r="H118"/>
  <c r="J176"/>
  <c r="I176"/>
  <c r="K176"/>
  <c r="I58"/>
  <c r="J58"/>
  <c r="L58"/>
  <c r="K58"/>
  <c r="M58"/>
  <c r="D178"/>
  <c r="H178"/>
  <c r="K177"/>
  <c r="I177"/>
  <c r="J177"/>
  <c r="K175"/>
  <c r="I175"/>
  <c r="J175"/>
  <c r="A180"/>
  <c r="A61"/>
  <c r="B60"/>
  <c r="G60"/>
  <c r="A120"/>
  <c r="C119"/>
  <c r="B119"/>
  <c r="G119"/>
  <c r="BA58"/>
  <c r="C179"/>
  <c r="B179"/>
  <c r="G179"/>
  <c r="C59"/>
  <c r="E117"/>
  <c r="S58" i="21"/>
  <c r="I55"/>
  <c r="K55"/>
  <c r="M55"/>
  <c r="J55"/>
  <c r="L55"/>
  <c r="D57"/>
  <c r="A179"/>
  <c r="A60"/>
  <c r="C59"/>
  <c r="B59"/>
  <c r="G59"/>
  <c r="J176"/>
  <c r="I176"/>
  <c r="K176"/>
  <c r="K175"/>
  <c r="J175"/>
  <c r="I175"/>
  <c r="K115"/>
  <c r="M115"/>
  <c r="I115"/>
  <c r="J115"/>
  <c r="L115"/>
  <c r="B178"/>
  <c r="G178"/>
  <c r="E117"/>
  <c r="C177"/>
  <c r="C118"/>
  <c r="A120"/>
  <c r="C119"/>
  <c r="B119"/>
  <c r="G119"/>
  <c r="J116"/>
  <c r="L116"/>
  <c r="I116"/>
  <c r="K116"/>
  <c r="M116"/>
  <c r="K56"/>
  <c r="M56"/>
  <c r="J56"/>
  <c r="L56"/>
  <c r="I56"/>
  <c r="C58"/>
  <c r="AR58" i="22"/>
  <c r="S60"/>
  <c r="D179"/>
  <c r="H179"/>
  <c r="J118"/>
  <c r="L118"/>
  <c r="K118"/>
  <c r="M118"/>
  <c r="I118"/>
  <c r="E59"/>
  <c r="D59"/>
  <c r="H59"/>
  <c r="B120"/>
  <c r="G120"/>
  <c r="A121"/>
  <c r="C120"/>
  <c r="B180"/>
  <c r="G180"/>
  <c r="BA118"/>
  <c r="I117"/>
  <c r="K117"/>
  <c r="M117"/>
  <c r="J117"/>
  <c r="L117"/>
  <c r="D119"/>
  <c r="H119"/>
  <c r="A181"/>
  <c r="B61"/>
  <c r="G61"/>
  <c r="A62"/>
  <c r="C60"/>
  <c r="E178"/>
  <c r="S59" i="21"/>
  <c r="B120"/>
  <c r="G120"/>
  <c r="A121"/>
  <c r="C120"/>
  <c r="K117"/>
  <c r="M117"/>
  <c r="J117"/>
  <c r="L117"/>
  <c r="I117"/>
  <c r="E119"/>
  <c r="D119"/>
  <c r="H119"/>
  <c r="A180"/>
  <c r="B60"/>
  <c r="G60"/>
  <c r="A61"/>
  <c r="C178"/>
  <c r="D59"/>
  <c r="H59"/>
  <c r="E59"/>
  <c r="E58"/>
  <c r="D58"/>
  <c r="H58"/>
  <c r="D177"/>
  <c r="D118"/>
  <c r="H118"/>
  <c r="B179"/>
  <c r="G179"/>
  <c r="E57"/>
  <c r="AR118" i="22"/>
  <c r="S61"/>
  <c r="AC59"/>
  <c r="AM59"/>
  <c r="D60"/>
  <c r="H60"/>
  <c r="D120"/>
  <c r="H120"/>
  <c r="K59"/>
  <c r="M59"/>
  <c r="J59"/>
  <c r="L59"/>
  <c r="I59"/>
  <c r="J178"/>
  <c r="I178"/>
  <c r="BA178"/>
  <c r="K178"/>
  <c r="A182"/>
  <c r="A63"/>
  <c r="C62"/>
  <c r="B62"/>
  <c r="G62"/>
  <c r="BA59"/>
  <c r="B181"/>
  <c r="G181"/>
  <c r="A122"/>
  <c r="C121"/>
  <c r="B121"/>
  <c r="G121"/>
  <c r="E179"/>
  <c r="C61"/>
  <c r="E119"/>
  <c r="C180"/>
  <c r="AC58" i="21"/>
  <c r="AM58"/>
  <c r="AC59"/>
  <c r="AM59"/>
  <c r="S60"/>
  <c r="I59"/>
  <c r="J59"/>
  <c r="L59"/>
  <c r="K59"/>
  <c r="M59"/>
  <c r="A122"/>
  <c r="B121"/>
  <c r="G121"/>
  <c r="I57"/>
  <c r="J57"/>
  <c r="L57"/>
  <c r="K57"/>
  <c r="M57"/>
  <c r="K58"/>
  <c r="M58"/>
  <c r="J58"/>
  <c r="L58"/>
  <c r="I58"/>
  <c r="BA58"/>
  <c r="D178"/>
  <c r="H178"/>
  <c r="K119"/>
  <c r="M119"/>
  <c r="I119"/>
  <c r="J119"/>
  <c r="L119"/>
  <c r="BA59"/>
  <c r="C179"/>
  <c r="E118"/>
  <c r="E177"/>
  <c r="C60"/>
  <c r="A181"/>
  <c r="A62"/>
  <c r="B61"/>
  <c r="G61"/>
  <c r="C180"/>
  <c r="B180"/>
  <c r="G180"/>
  <c r="D120"/>
  <c r="H120"/>
  <c r="BA119"/>
  <c r="AR58"/>
  <c r="AR59"/>
  <c r="AR119"/>
  <c r="AR59" i="22"/>
  <c r="S62"/>
  <c r="AC60"/>
  <c r="AM60"/>
  <c r="I119"/>
  <c r="BA119"/>
  <c r="J119"/>
  <c r="L119"/>
  <c r="K119"/>
  <c r="M119"/>
  <c r="B63"/>
  <c r="G63"/>
  <c r="C63"/>
  <c r="A183"/>
  <c r="A64"/>
  <c r="E180"/>
  <c r="D180"/>
  <c r="H180"/>
  <c r="B122"/>
  <c r="G122"/>
  <c r="A123"/>
  <c r="D62"/>
  <c r="H62"/>
  <c r="E62"/>
  <c r="K179"/>
  <c r="J179"/>
  <c r="I179"/>
  <c r="BA179"/>
  <c r="D121"/>
  <c r="H121"/>
  <c r="E61"/>
  <c r="D61"/>
  <c r="H61"/>
  <c r="B182"/>
  <c r="G182"/>
  <c r="E60"/>
  <c r="C181"/>
  <c r="E120"/>
  <c r="S61" i="21"/>
  <c r="E180"/>
  <c r="D180"/>
  <c r="H180"/>
  <c r="C181"/>
  <c r="B181"/>
  <c r="G181"/>
  <c r="D179"/>
  <c r="H179"/>
  <c r="K177"/>
  <c r="I177"/>
  <c r="J177"/>
  <c r="E120"/>
  <c r="C61"/>
  <c r="E60"/>
  <c r="D60"/>
  <c r="H60"/>
  <c r="A123"/>
  <c r="B122"/>
  <c r="G122"/>
  <c r="A182"/>
  <c r="B62"/>
  <c r="G62"/>
  <c r="C62"/>
  <c r="A63"/>
  <c r="J118"/>
  <c r="L118"/>
  <c r="I118"/>
  <c r="BA118"/>
  <c r="K118"/>
  <c r="M118"/>
  <c r="E178"/>
  <c r="C121"/>
  <c r="AR118"/>
  <c r="AR119" i="22"/>
  <c r="AC61"/>
  <c r="AM61"/>
  <c r="S63"/>
  <c r="AC62"/>
  <c r="AM62"/>
  <c r="I62"/>
  <c r="K62"/>
  <c r="M62"/>
  <c r="J62"/>
  <c r="L62"/>
  <c r="E63"/>
  <c r="D63"/>
  <c r="I60"/>
  <c r="BA60"/>
  <c r="J60"/>
  <c r="L60"/>
  <c r="K60"/>
  <c r="M60"/>
  <c r="K61"/>
  <c r="M61"/>
  <c r="J61"/>
  <c r="L61"/>
  <c r="I61"/>
  <c r="A124"/>
  <c r="C123"/>
  <c r="B123"/>
  <c r="G123"/>
  <c r="C183"/>
  <c r="B183"/>
  <c r="G183"/>
  <c r="D181"/>
  <c r="H181"/>
  <c r="BA61"/>
  <c r="J180"/>
  <c r="I180"/>
  <c r="K180"/>
  <c r="A184"/>
  <c r="A65"/>
  <c r="B64"/>
  <c r="G64"/>
  <c r="J120"/>
  <c r="L120"/>
  <c r="K120"/>
  <c r="M120"/>
  <c r="I120"/>
  <c r="BA120"/>
  <c r="BA62"/>
  <c r="E121"/>
  <c r="C122"/>
  <c r="C182"/>
  <c r="BA180"/>
  <c r="S62" i="21"/>
  <c r="AC60"/>
  <c r="AM60"/>
  <c r="D121"/>
  <c r="H121"/>
  <c r="E121"/>
  <c r="A183"/>
  <c r="A64"/>
  <c r="B63"/>
  <c r="G63"/>
  <c r="K60"/>
  <c r="M60"/>
  <c r="J60"/>
  <c r="L60"/>
  <c r="I60"/>
  <c r="BA60"/>
  <c r="J178"/>
  <c r="I178"/>
  <c r="BA178"/>
  <c r="K178"/>
  <c r="J120"/>
  <c r="L120"/>
  <c r="I120"/>
  <c r="BA120"/>
  <c r="K120"/>
  <c r="M120"/>
  <c r="C122"/>
  <c r="E179"/>
  <c r="D62"/>
  <c r="H62"/>
  <c r="A124"/>
  <c r="C123"/>
  <c r="B123"/>
  <c r="G123"/>
  <c r="D61"/>
  <c r="H61"/>
  <c r="E181"/>
  <c r="D181"/>
  <c r="H181"/>
  <c r="B182"/>
  <c r="G182"/>
  <c r="J180"/>
  <c r="I180"/>
  <c r="BA180"/>
  <c r="K180"/>
  <c r="AR62" i="22"/>
  <c r="AR120" i="21"/>
  <c r="AR60" i="22"/>
  <c r="AR61"/>
  <c r="AR60" i="21"/>
  <c r="AR120" i="22"/>
  <c r="S64"/>
  <c r="D183"/>
  <c r="E183"/>
  <c r="E122"/>
  <c r="D122"/>
  <c r="H122"/>
  <c r="C184"/>
  <c r="B184"/>
  <c r="G184"/>
  <c r="B124"/>
  <c r="G124"/>
  <c r="C124"/>
  <c r="A125"/>
  <c r="K63"/>
  <c r="M63"/>
  <c r="J63"/>
  <c r="L63"/>
  <c r="I63"/>
  <c r="E182"/>
  <c r="D182"/>
  <c r="H182"/>
  <c r="A185"/>
  <c r="B65"/>
  <c r="G65"/>
  <c r="A66"/>
  <c r="D123"/>
  <c r="E123"/>
  <c r="I121"/>
  <c r="BA121"/>
  <c r="K121"/>
  <c r="M121"/>
  <c r="J121"/>
  <c r="L121"/>
  <c r="E181"/>
  <c r="C64"/>
  <c r="S63" i="21"/>
  <c r="AC61"/>
  <c r="AM61"/>
  <c r="AC62"/>
  <c r="AM62"/>
  <c r="D122"/>
  <c r="H122"/>
  <c r="C183"/>
  <c r="B183"/>
  <c r="G183"/>
  <c r="K181"/>
  <c r="I181"/>
  <c r="BA181"/>
  <c r="J181"/>
  <c r="E123"/>
  <c r="D123"/>
  <c r="E61"/>
  <c r="C182"/>
  <c r="E62"/>
  <c r="C63"/>
  <c r="K121"/>
  <c r="M121"/>
  <c r="J121"/>
  <c r="L121"/>
  <c r="I121"/>
  <c r="BA121"/>
  <c r="B124"/>
  <c r="G124"/>
  <c r="A125"/>
  <c r="C124"/>
  <c r="K179"/>
  <c r="J179"/>
  <c r="I179"/>
  <c r="BA179"/>
  <c r="A184"/>
  <c r="B64"/>
  <c r="G64"/>
  <c r="A65"/>
  <c r="C64"/>
  <c r="AR121" i="22"/>
  <c r="AR121" i="21"/>
  <c r="S65" i="22"/>
  <c r="K181"/>
  <c r="I181"/>
  <c r="BA181"/>
  <c r="J181"/>
  <c r="I123"/>
  <c r="J123"/>
  <c r="L123"/>
  <c r="K123"/>
  <c r="M123"/>
  <c r="E124"/>
  <c r="D124"/>
  <c r="K183"/>
  <c r="I183"/>
  <c r="J183"/>
  <c r="J182"/>
  <c r="I182"/>
  <c r="K182"/>
  <c r="A126"/>
  <c r="C125"/>
  <c r="B125"/>
  <c r="G125"/>
  <c r="E184"/>
  <c r="D184"/>
  <c r="J122"/>
  <c r="L122"/>
  <c r="K122"/>
  <c r="M122"/>
  <c r="I122"/>
  <c r="D64"/>
  <c r="A186"/>
  <c r="A67"/>
  <c r="C66"/>
  <c r="B66"/>
  <c r="G66"/>
  <c r="BA122"/>
  <c r="B185"/>
  <c r="G185"/>
  <c r="C65"/>
  <c r="BA182"/>
  <c r="S64" i="21"/>
  <c r="C184"/>
  <c r="B184"/>
  <c r="G184"/>
  <c r="A126"/>
  <c r="C125"/>
  <c r="B125"/>
  <c r="G125"/>
  <c r="D63"/>
  <c r="E63"/>
  <c r="I61"/>
  <c r="BA61"/>
  <c r="K61"/>
  <c r="M61"/>
  <c r="J61"/>
  <c r="L61"/>
  <c r="E122"/>
  <c r="A66"/>
  <c r="C65"/>
  <c r="A185"/>
  <c r="B65"/>
  <c r="G65"/>
  <c r="E124"/>
  <c r="D124"/>
  <c r="E182"/>
  <c r="D182"/>
  <c r="H182"/>
  <c r="E64"/>
  <c r="D64"/>
  <c r="D183"/>
  <c r="K62"/>
  <c r="M62"/>
  <c r="J62"/>
  <c r="L62"/>
  <c r="I62"/>
  <c r="BA62"/>
  <c r="K123"/>
  <c r="M123"/>
  <c r="I123"/>
  <c r="J123"/>
  <c r="L123"/>
  <c r="AR61"/>
  <c r="AR62"/>
  <c r="AR122" i="22"/>
  <c r="S66"/>
  <c r="E65"/>
  <c r="D65"/>
  <c r="A187"/>
  <c r="B67"/>
  <c r="G67"/>
  <c r="A68"/>
  <c r="C67"/>
  <c r="J184"/>
  <c r="I184"/>
  <c r="K184"/>
  <c r="D66"/>
  <c r="E66"/>
  <c r="B126"/>
  <c r="G126"/>
  <c r="A127"/>
  <c r="J124"/>
  <c r="L124"/>
  <c r="K124"/>
  <c r="M124"/>
  <c r="I124"/>
  <c r="D125"/>
  <c r="B186"/>
  <c r="G186"/>
  <c r="E64"/>
  <c r="C185"/>
  <c r="S65" i="21"/>
  <c r="K64"/>
  <c r="M64"/>
  <c r="J64"/>
  <c r="L64"/>
  <c r="I64"/>
  <c r="A186"/>
  <c r="B66"/>
  <c r="G66"/>
  <c r="A67"/>
  <c r="C66"/>
  <c r="A127"/>
  <c r="B126"/>
  <c r="G126"/>
  <c r="E184"/>
  <c r="D184"/>
  <c r="D65"/>
  <c r="E65"/>
  <c r="D125"/>
  <c r="J182"/>
  <c r="I182"/>
  <c r="K182"/>
  <c r="C185"/>
  <c r="B185"/>
  <c r="G185"/>
  <c r="J122"/>
  <c r="L122"/>
  <c r="I122"/>
  <c r="BA122"/>
  <c r="K122"/>
  <c r="M122"/>
  <c r="E183"/>
  <c r="BA182"/>
  <c r="J124"/>
  <c r="L124"/>
  <c r="I124"/>
  <c r="K124"/>
  <c r="M124"/>
  <c r="I63"/>
  <c r="K63"/>
  <c r="M63"/>
  <c r="J63"/>
  <c r="L63"/>
  <c r="AR122"/>
  <c r="S67" i="22"/>
  <c r="I64"/>
  <c r="K64"/>
  <c r="M64"/>
  <c r="J64"/>
  <c r="L64"/>
  <c r="I66"/>
  <c r="J66"/>
  <c r="L66"/>
  <c r="K66"/>
  <c r="M66"/>
  <c r="A188"/>
  <c r="A69"/>
  <c r="C68"/>
  <c r="B68"/>
  <c r="G68"/>
  <c r="K65"/>
  <c r="M65"/>
  <c r="J65"/>
  <c r="L65"/>
  <c r="I65"/>
  <c r="D185"/>
  <c r="D67"/>
  <c r="A128"/>
  <c r="C127"/>
  <c r="B127"/>
  <c r="G127"/>
  <c r="C187"/>
  <c r="B187"/>
  <c r="G187"/>
  <c r="E125"/>
  <c r="C186"/>
  <c r="C126"/>
  <c r="S66" i="21"/>
  <c r="A187"/>
  <c r="A68"/>
  <c r="B67"/>
  <c r="G67"/>
  <c r="K183"/>
  <c r="J183"/>
  <c r="I183"/>
  <c r="E66"/>
  <c r="D66"/>
  <c r="I65"/>
  <c r="J65"/>
  <c r="L65"/>
  <c r="K65"/>
  <c r="M65"/>
  <c r="A128"/>
  <c r="B127"/>
  <c r="G127"/>
  <c r="E185"/>
  <c r="D185"/>
  <c r="J184"/>
  <c r="I184"/>
  <c r="K184"/>
  <c r="B186"/>
  <c r="G186"/>
  <c r="E125"/>
  <c r="C126"/>
  <c r="S68" i="22"/>
  <c r="E126"/>
  <c r="D126"/>
  <c r="D187"/>
  <c r="A189"/>
  <c r="B69"/>
  <c r="G69"/>
  <c r="A70"/>
  <c r="B128"/>
  <c r="G128"/>
  <c r="A129"/>
  <c r="D68"/>
  <c r="E68"/>
  <c r="I125"/>
  <c r="J125"/>
  <c r="L125"/>
  <c r="K125"/>
  <c r="M125"/>
  <c r="D127"/>
  <c r="E186"/>
  <c r="D186"/>
  <c r="B188"/>
  <c r="G188"/>
  <c r="E67"/>
  <c r="E185"/>
  <c r="S67" i="21"/>
  <c r="K66"/>
  <c r="M66"/>
  <c r="J66"/>
  <c r="L66"/>
  <c r="I66"/>
  <c r="K185"/>
  <c r="I185"/>
  <c r="J185"/>
  <c r="B128"/>
  <c r="G128"/>
  <c r="A129"/>
  <c r="K125"/>
  <c r="M125"/>
  <c r="J125"/>
  <c r="L125"/>
  <c r="I125"/>
  <c r="C67"/>
  <c r="D126"/>
  <c r="C187"/>
  <c r="B187"/>
  <c r="G187"/>
  <c r="A188"/>
  <c r="B68"/>
  <c r="G68"/>
  <c r="A69"/>
  <c r="C186"/>
  <c r="C127"/>
  <c r="S69" i="22"/>
  <c r="I68"/>
  <c r="J68"/>
  <c r="L68"/>
  <c r="K68"/>
  <c r="M68"/>
  <c r="C189"/>
  <c r="B189"/>
  <c r="G189"/>
  <c r="J126"/>
  <c r="L126"/>
  <c r="K126"/>
  <c r="M126"/>
  <c r="I126"/>
  <c r="J186"/>
  <c r="I186"/>
  <c r="K186"/>
  <c r="K67"/>
  <c r="M67"/>
  <c r="J67"/>
  <c r="L67"/>
  <c r="I67"/>
  <c r="A130"/>
  <c r="C129"/>
  <c r="B129"/>
  <c r="G129"/>
  <c r="A190"/>
  <c r="A71"/>
  <c r="C70"/>
  <c r="B70"/>
  <c r="G70"/>
  <c r="K185"/>
  <c r="I185"/>
  <c r="J185"/>
  <c r="E127"/>
  <c r="C128"/>
  <c r="C188"/>
  <c r="C69"/>
  <c r="E187"/>
  <c r="S68" i="21"/>
  <c r="D67"/>
  <c r="E67"/>
  <c r="A130"/>
  <c r="C129"/>
  <c r="B129"/>
  <c r="G129"/>
  <c r="A189"/>
  <c r="A70"/>
  <c r="C69"/>
  <c r="B69"/>
  <c r="G69"/>
  <c r="D187"/>
  <c r="E187"/>
  <c r="D127"/>
  <c r="E186"/>
  <c r="D186"/>
  <c r="B188"/>
  <c r="G188"/>
  <c r="C68"/>
  <c r="E126"/>
  <c r="C128"/>
  <c r="S70" i="22"/>
  <c r="E69"/>
  <c r="D69"/>
  <c r="E128"/>
  <c r="D128"/>
  <c r="B71"/>
  <c r="G71"/>
  <c r="A191"/>
  <c r="A72"/>
  <c r="B130"/>
  <c r="G130"/>
  <c r="A131"/>
  <c r="K187"/>
  <c r="I187"/>
  <c r="J187"/>
  <c r="D70"/>
  <c r="D129"/>
  <c r="D189"/>
  <c r="E188"/>
  <c r="D188"/>
  <c r="I127"/>
  <c r="J127"/>
  <c r="L127"/>
  <c r="K127"/>
  <c r="M127"/>
  <c r="B190"/>
  <c r="G190"/>
  <c r="C190"/>
  <c r="S69" i="21"/>
  <c r="K187"/>
  <c r="J187"/>
  <c r="I187"/>
  <c r="A190"/>
  <c r="B70"/>
  <c r="G70"/>
  <c r="C70"/>
  <c r="A71"/>
  <c r="A131"/>
  <c r="B130"/>
  <c r="G130"/>
  <c r="E68"/>
  <c r="D68"/>
  <c r="J186"/>
  <c r="I186"/>
  <c r="K186"/>
  <c r="D69"/>
  <c r="E69"/>
  <c r="D129"/>
  <c r="J126"/>
  <c r="L126"/>
  <c r="I126"/>
  <c r="K126"/>
  <c r="M126"/>
  <c r="E128"/>
  <c r="D128"/>
  <c r="B189"/>
  <c r="G189"/>
  <c r="I67"/>
  <c r="J67"/>
  <c r="L67"/>
  <c r="K67"/>
  <c r="M67"/>
  <c r="C188"/>
  <c r="E127"/>
  <c r="S71" i="22"/>
  <c r="E190"/>
  <c r="D190"/>
  <c r="K69"/>
  <c r="M69"/>
  <c r="J69"/>
  <c r="L69"/>
  <c r="I69"/>
  <c r="C131"/>
  <c r="A132"/>
  <c r="B131"/>
  <c r="G131"/>
  <c r="B191"/>
  <c r="G191"/>
  <c r="J188"/>
  <c r="I188"/>
  <c r="K188"/>
  <c r="J128"/>
  <c r="L128"/>
  <c r="K128"/>
  <c r="M128"/>
  <c r="I128"/>
  <c r="A192"/>
  <c r="A73"/>
  <c r="C72"/>
  <c r="B72"/>
  <c r="G72"/>
  <c r="E129"/>
  <c r="C130"/>
  <c r="C71"/>
  <c r="E189"/>
  <c r="E70"/>
  <c r="S70" i="21"/>
  <c r="D188"/>
  <c r="K127"/>
  <c r="M127"/>
  <c r="I127"/>
  <c r="J127"/>
  <c r="L127"/>
  <c r="J128"/>
  <c r="L128"/>
  <c r="I128"/>
  <c r="K128"/>
  <c r="M128"/>
  <c r="A132"/>
  <c r="C131"/>
  <c r="B131"/>
  <c r="G131"/>
  <c r="B190"/>
  <c r="G190"/>
  <c r="C190"/>
  <c r="E70"/>
  <c r="D70"/>
  <c r="K68"/>
  <c r="M68"/>
  <c r="J68"/>
  <c r="L68"/>
  <c r="I68"/>
  <c r="A191"/>
  <c r="A72"/>
  <c r="B71"/>
  <c r="G71"/>
  <c r="I69"/>
  <c r="K69"/>
  <c r="M69"/>
  <c r="J69"/>
  <c r="L69"/>
  <c r="E129"/>
  <c r="C189"/>
  <c r="C130"/>
  <c r="S72" i="22"/>
  <c r="K189"/>
  <c r="I189"/>
  <c r="J189"/>
  <c r="A193"/>
  <c r="B73"/>
  <c r="G73"/>
  <c r="A74"/>
  <c r="D131"/>
  <c r="J190"/>
  <c r="I190"/>
  <c r="K190"/>
  <c r="I70"/>
  <c r="K70"/>
  <c r="M70"/>
  <c r="J70"/>
  <c r="L70"/>
  <c r="E130"/>
  <c r="D130"/>
  <c r="D72"/>
  <c r="E72"/>
  <c r="A133"/>
  <c r="B132"/>
  <c r="G132"/>
  <c r="E71"/>
  <c r="D71"/>
  <c r="I129"/>
  <c r="K129"/>
  <c r="M129"/>
  <c r="J129"/>
  <c r="L129"/>
  <c r="B192"/>
  <c r="G192"/>
  <c r="C192"/>
  <c r="C191"/>
  <c r="S71" i="21"/>
  <c r="D190"/>
  <c r="A133"/>
  <c r="C132"/>
  <c r="B132"/>
  <c r="G132"/>
  <c r="E130"/>
  <c r="D130"/>
  <c r="B191"/>
  <c r="G191"/>
  <c r="K129"/>
  <c r="M129"/>
  <c r="J129"/>
  <c r="L129"/>
  <c r="I129"/>
  <c r="C71"/>
  <c r="E188"/>
  <c r="E189"/>
  <c r="D189"/>
  <c r="K70"/>
  <c r="M70"/>
  <c r="J70"/>
  <c r="L70"/>
  <c r="I70"/>
  <c r="E131"/>
  <c r="D131"/>
  <c r="A192"/>
  <c r="B72"/>
  <c r="G72"/>
  <c r="A73"/>
  <c r="S73" i="22"/>
  <c r="E192"/>
  <c r="D192"/>
  <c r="K71"/>
  <c r="M71"/>
  <c r="J71"/>
  <c r="L71"/>
  <c r="I71"/>
  <c r="I72"/>
  <c r="K72"/>
  <c r="M72"/>
  <c r="J72"/>
  <c r="L72"/>
  <c r="A134"/>
  <c r="B133"/>
  <c r="G133"/>
  <c r="J130"/>
  <c r="L130"/>
  <c r="K130"/>
  <c r="M130"/>
  <c r="I130"/>
  <c r="A194"/>
  <c r="A75"/>
  <c r="C74"/>
  <c r="B74"/>
  <c r="G74"/>
  <c r="D191"/>
  <c r="C193"/>
  <c r="B193"/>
  <c r="G193"/>
  <c r="C73"/>
  <c r="E131"/>
  <c r="C132"/>
  <c r="S72" i="21"/>
  <c r="A134"/>
  <c r="B133"/>
  <c r="G133"/>
  <c r="C192"/>
  <c r="B192"/>
  <c r="G192"/>
  <c r="J188"/>
  <c r="I188"/>
  <c r="K188"/>
  <c r="C191"/>
  <c r="K189"/>
  <c r="I189"/>
  <c r="J189"/>
  <c r="A74"/>
  <c r="A193"/>
  <c r="B73"/>
  <c r="G73"/>
  <c r="K131"/>
  <c r="M131"/>
  <c r="J131"/>
  <c r="L131"/>
  <c r="I131"/>
  <c r="J130"/>
  <c r="L130"/>
  <c r="I130"/>
  <c r="K130"/>
  <c r="M130"/>
  <c r="D132"/>
  <c r="D71"/>
  <c r="C72"/>
  <c r="E190"/>
  <c r="S74" i="22"/>
  <c r="B194"/>
  <c r="G194"/>
  <c r="J192"/>
  <c r="I192"/>
  <c r="K192"/>
  <c r="E73"/>
  <c r="D73"/>
  <c r="A195"/>
  <c r="B75"/>
  <c r="G75"/>
  <c r="A76"/>
  <c r="C75"/>
  <c r="K131"/>
  <c r="M131"/>
  <c r="I131"/>
  <c r="J131"/>
  <c r="L131"/>
  <c r="E193"/>
  <c r="D193"/>
  <c r="D74"/>
  <c r="E74"/>
  <c r="D132"/>
  <c r="E132"/>
  <c r="C134"/>
  <c r="A135"/>
  <c r="B134"/>
  <c r="G134"/>
  <c r="E191"/>
  <c r="C133"/>
  <c r="S73" i="21"/>
  <c r="A194"/>
  <c r="A75"/>
  <c r="B74"/>
  <c r="G74"/>
  <c r="C74"/>
  <c r="E192"/>
  <c r="D192"/>
  <c r="J190"/>
  <c r="I190"/>
  <c r="K190"/>
  <c r="B193"/>
  <c r="G193"/>
  <c r="E71"/>
  <c r="E132"/>
  <c r="C133"/>
  <c r="D191"/>
  <c r="E191"/>
  <c r="D72"/>
  <c r="B134"/>
  <c r="G134"/>
  <c r="A135"/>
  <c r="C73"/>
  <c r="S75" i="22"/>
  <c r="K191"/>
  <c r="I191"/>
  <c r="J191"/>
  <c r="D134"/>
  <c r="I132"/>
  <c r="K132"/>
  <c r="M132"/>
  <c r="J132"/>
  <c r="L132"/>
  <c r="I74"/>
  <c r="J74"/>
  <c r="L74"/>
  <c r="K74"/>
  <c r="M74"/>
  <c r="A196"/>
  <c r="A77"/>
  <c r="B76"/>
  <c r="G76"/>
  <c r="K73"/>
  <c r="M73"/>
  <c r="J73"/>
  <c r="L73"/>
  <c r="I73"/>
  <c r="D133"/>
  <c r="A136"/>
  <c r="B135"/>
  <c r="G135"/>
  <c r="K193"/>
  <c r="I193"/>
  <c r="J193"/>
  <c r="E75"/>
  <c r="D75"/>
  <c r="C195"/>
  <c r="B195"/>
  <c r="G195"/>
  <c r="C194"/>
  <c r="S74" i="21"/>
  <c r="I71"/>
  <c r="K71"/>
  <c r="M71"/>
  <c r="J71"/>
  <c r="L71"/>
  <c r="A136"/>
  <c r="B135"/>
  <c r="G135"/>
  <c r="K191"/>
  <c r="J191"/>
  <c r="I191"/>
  <c r="D133"/>
  <c r="E133"/>
  <c r="C134"/>
  <c r="E72"/>
  <c r="D74"/>
  <c r="J192"/>
  <c r="I192"/>
  <c r="K192"/>
  <c r="B194"/>
  <c r="G194"/>
  <c r="C194"/>
  <c r="D73"/>
  <c r="J132"/>
  <c r="L132"/>
  <c r="I132"/>
  <c r="K132"/>
  <c r="M132"/>
  <c r="B75"/>
  <c r="G75"/>
  <c r="A195"/>
  <c r="A76"/>
  <c r="C75"/>
  <c r="C193"/>
  <c r="S76" i="22"/>
  <c r="K75"/>
  <c r="M75"/>
  <c r="J75"/>
  <c r="L75"/>
  <c r="I75"/>
  <c r="D194"/>
  <c r="D195"/>
  <c r="B196"/>
  <c r="G196"/>
  <c r="C196"/>
  <c r="A137"/>
  <c r="B136"/>
  <c r="G136"/>
  <c r="A197"/>
  <c r="B77"/>
  <c r="G77"/>
  <c r="E133"/>
  <c r="C135"/>
  <c r="C76"/>
  <c r="E134"/>
  <c r="S75" i="21"/>
  <c r="D194"/>
  <c r="E134"/>
  <c r="D134"/>
  <c r="D75"/>
  <c r="A137"/>
  <c r="B136"/>
  <c r="G136"/>
  <c r="E193"/>
  <c r="D193"/>
  <c r="C195"/>
  <c r="B195"/>
  <c r="G195"/>
  <c r="A196"/>
  <c r="A77"/>
  <c r="B76"/>
  <c r="G76"/>
  <c r="K133"/>
  <c r="M133"/>
  <c r="J133"/>
  <c r="L133"/>
  <c r="I133"/>
  <c r="K72"/>
  <c r="M72"/>
  <c r="J72"/>
  <c r="L72"/>
  <c r="I72"/>
  <c r="E73"/>
  <c r="E74"/>
  <c r="C135"/>
  <c r="S77" i="22"/>
  <c r="D76"/>
  <c r="E76"/>
  <c r="C197"/>
  <c r="B197"/>
  <c r="G197"/>
  <c r="D196"/>
  <c r="J134"/>
  <c r="L134"/>
  <c r="I134"/>
  <c r="K134"/>
  <c r="M134"/>
  <c r="B137"/>
  <c r="G137"/>
  <c r="K133"/>
  <c r="M133"/>
  <c r="J133"/>
  <c r="L133"/>
  <c r="I133"/>
  <c r="D135"/>
  <c r="C77"/>
  <c r="E195"/>
  <c r="C136"/>
  <c r="E194"/>
  <c r="S76" i="21"/>
  <c r="D135"/>
  <c r="K193"/>
  <c r="I193"/>
  <c r="J193"/>
  <c r="B77"/>
  <c r="G77"/>
  <c r="A197"/>
  <c r="C77"/>
  <c r="C137"/>
  <c r="B137"/>
  <c r="G137"/>
  <c r="K74"/>
  <c r="M74"/>
  <c r="J74"/>
  <c r="L74"/>
  <c r="I74"/>
  <c r="C136"/>
  <c r="E75"/>
  <c r="E194"/>
  <c r="B196"/>
  <c r="G196"/>
  <c r="J134"/>
  <c r="L134"/>
  <c r="I134"/>
  <c r="K134"/>
  <c r="M134"/>
  <c r="I73"/>
  <c r="J73"/>
  <c r="L73"/>
  <c r="K73"/>
  <c r="M73"/>
  <c r="D195"/>
  <c r="E195"/>
  <c r="C76"/>
  <c r="I76" i="22"/>
  <c r="J76"/>
  <c r="L76"/>
  <c r="K76"/>
  <c r="M76"/>
  <c r="K195"/>
  <c r="J195"/>
  <c r="I195"/>
  <c r="D197"/>
  <c r="E136"/>
  <c r="D136"/>
  <c r="J194"/>
  <c r="I194"/>
  <c r="K194"/>
  <c r="E135"/>
  <c r="C137"/>
  <c r="E196"/>
  <c r="E77"/>
  <c r="D77"/>
  <c r="S77" i="21"/>
  <c r="K195"/>
  <c r="J195"/>
  <c r="I195"/>
  <c r="D136"/>
  <c r="K75"/>
  <c r="M75"/>
  <c r="J75"/>
  <c r="L75"/>
  <c r="I75"/>
  <c r="E137"/>
  <c r="D137"/>
  <c r="D76"/>
  <c r="E76"/>
  <c r="C197"/>
  <c r="B197"/>
  <c r="G197"/>
  <c r="C196"/>
  <c r="E135"/>
  <c r="E77"/>
  <c r="D77"/>
  <c r="J194"/>
  <c r="I194"/>
  <c r="K194"/>
  <c r="D137" i="22"/>
  <c r="E137"/>
  <c r="J136"/>
  <c r="L136"/>
  <c r="I136"/>
  <c r="K136"/>
  <c r="M136"/>
  <c r="J196"/>
  <c r="I196"/>
  <c r="K196"/>
  <c r="K135"/>
  <c r="M135"/>
  <c r="I135"/>
  <c r="J135"/>
  <c r="L135"/>
  <c r="E197"/>
  <c r="K77"/>
  <c r="M77"/>
  <c r="J77"/>
  <c r="L77"/>
  <c r="I77"/>
  <c r="D197" i="21"/>
  <c r="K77"/>
  <c r="M77"/>
  <c r="J77"/>
  <c r="L77"/>
  <c r="I77"/>
  <c r="E196"/>
  <c r="D196"/>
  <c r="I76"/>
  <c r="K76"/>
  <c r="M76"/>
  <c r="J76"/>
  <c r="L76"/>
  <c r="K135"/>
  <c r="M135"/>
  <c r="J135"/>
  <c r="L135"/>
  <c r="I135"/>
  <c r="K137"/>
  <c r="M137"/>
  <c r="J137"/>
  <c r="L137"/>
  <c r="I137"/>
  <c r="E136"/>
  <c r="K137" i="22"/>
  <c r="M137"/>
  <c r="J137"/>
  <c r="L137"/>
  <c r="I137"/>
  <c r="K197"/>
  <c r="I197"/>
  <c r="J197"/>
  <c r="J196" i="21"/>
  <c r="I196"/>
  <c r="K196"/>
  <c r="E197"/>
  <c r="J136"/>
  <c r="L136"/>
  <c r="I136"/>
  <c r="K136"/>
  <c r="M136"/>
  <c r="K197"/>
  <c r="I197"/>
  <c r="J197"/>
  <c r="A85" i="20"/>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84"/>
  <c r="E67"/>
  <c r="F63"/>
  <c r="E62"/>
  <c r="D63"/>
  <c r="B63"/>
  <c r="C62"/>
  <c r="F62"/>
  <c r="E61"/>
  <c r="D62"/>
  <c r="B62"/>
  <c r="C61"/>
  <c r="F61"/>
  <c r="D61"/>
  <c r="B61"/>
  <c r="F60"/>
  <c r="E58"/>
  <c r="D60"/>
  <c r="B60"/>
  <c r="F59"/>
  <c r="E57"/>
  <c r="D59"/>
  <c r="B59"/>
  <c r="C57"/>
  <c r="C58"/>
  <c r="F56"/>
  <c r="F67"/>
  <c r="B56"/>
  <c r="B58"/>
  <c r="F55"/>
  <c r="F66"/>
  <c r="B55"/>
  <c r="B57"/>
  <c r="A34"/>
  <c r="A35"/>
  <c r="C5"/>
  <c r="A84" i="19"/>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E67"/>
  <c r="F63"/>
  <c r="E62"/>
  <c r="D63"/>
  <c r="B63"/>
  <c r="C62"/>
  <c r="F62"/>
  <c r="E61"/>
  <c r="D62"/>
  <c r="B62"/>
  <c r="C61"/>
  <c r="F61"/>
  <c r="D61"/>
  <c r="B61"/>
  <c r="F60"/>
  <c r="E58"/>
  <c r="D60"/>
  <c r="B60"/>
  <c r="F59"/>
  <c r="E57"/>
  <c r="D59"/>
  <c r="B59"/>
  <c r="C57"/>
  <c r="C58"/>
  <c r="F56"/>
  <c r="F58"/>
  <c r="B56"/>
  <c r="B58"/>
  <c r="F55"/>
  <c r="F57"/>
  <c r="B55"/>
  <c r="B57"/>
  <c r="A35"/>
  <c r="A34"/>
  <c r="C5"/>
  <c r="Q156" i="17"/>
  <c r="P156"/>
  <c r="O156"/>
  <c r="N156"/>
  <c r="M156"/>
  <c r="L156"/>
  <c r="K156"/>
  <c r="J156"/>
  <c r="H156"/>
  <c r="G156"/>
  <c r="F156"/>
  <c r="C156"/>
  <c r="Q155"/>
  <c r="P155"/>
  <c r="O155"/>
  <c r="N155"/>
  <c r="M155"/>
  <c r="L155"/>
  <c r="K155"/>
  <c r="J155"/>
  <c r="H155"/>
  <c r="G155"/>
  <c r="F155"/>
  <c r="C155"/>
  <c r="Q154"/>
  <c r="P154"/>
  <c r="O154"/>
  <c r="N154"/>
  <c r="M154"/>
  <c r="L154"/>
  <c r="K154"/>
  <c r="J154"/>
  <c r="H154"/>
  <c r="G154"/>
  <c r="F154"/>
  <c r="C154"/>
  <c r="Q153"/>
  <c r="P153"/>
  <c r="O153"/>
  <c r="N153"/>
  <c r="M153"/>
  <c r="L153"/>
  <c r="K153"/>
  <c r="J153"/>
  <c r="H153"/>
  <c r="G153"/>
  <c r="F153"/>
  <c r="C153"/>
  <c r="Q151"/>
  <c r="P151"/>
  <c r="O151"/>
  <c r="N151"/>
  <c r="M151"/>
  <c r="L151"/>
  <c r="K151"/>
  <c r="J151"/>
  <c r="H151"/>
  <c r="G151"/>
  <c r="F151"/>
  <c r="BD71" i="15"/>
  <c r="BD191"/>
  <c r="E151" i="17"/>
  <c r="C151"/>
  <c r="Q150"/>
  <c r="P150"/>
  <c r="O150"/>
  <c r="N150"/>
  <c r="M150"/>
  <c r="L150"/>
  <c r="K150"/>
  <c r="J150"/>
  <c r="H150"/>
  <c r="G150"/>
  <c r="F150"/>
  <c r="C150"/>
  <c r="Q149"/>
  <c r="P149"/>
  <c r="O149"/>
  <c r="N149"/>
  <c r="M149"/>
  <c r="L149"/>
  <c r="K149"/>
  <c r="J149"/>
  <c r="H149"/>
  <c r="G149"/>
  <c r="F149"/>
  <c r="C149"/>
  <c r="Q148"/>
  <c r="P148"/>
  <c r="O148"/>
  <c r="N148"/>
  <c r="M148"/>
  <c r="L148"/>
  <c r="K148"/>
  <c r="J148"/>
  <c r="H148"/>
  <c r="G148"/>
  <c r="F148"/>
  <c r="C148"/>
  <c r="Q146"/>
  <c r="P146"/>
  <c r="O146"/>
  <c r="N146"/>
  <c r="M146"/>
  <c r="L146"/>
  <c r="K146"/>
  <c r="J146"/>
  <c r="H146"/>
  <c r="G146"/>
  <c r="F146"/>
  <c r="C146"/>
  <c r="Q145"/>
  <c r="P145"/>
  <c r="O145"/>
  <c r="N145"/>
  <c r="M145"/>
  <c r="L145"/>
  <c r="K145"/>
  <c r="J145"/>
  <c r="H145"/>
  <c r="G145"/>
  <c r="F145"/>
  <c r="C145"/>
  <c r="Q144"/>
  <c r="P144"/>
  <c r="O144"/>
  <c r="N144"/>
  <c r="M144"/>
  <c r="L144"/>
  <c r="K144"/>
  <c r="J144"/>
  <c r="H144"/>
  <c r="G144"/>
  <c r="F144"/>
  <c r="C144"/>
  <c r="Q143"/>
  <c r="P143"/>
  <c r="O143"/>
  <c r="N143"/>
  <c r="M143"/>
  <c r="L143"/>
  <c r="K143"/>
  <c r="J143"/>
  <c r="H143"/>
  <c r="G143"/>
  <c r="F143"/>
  <c r="BD63" i="15"/>
  <c r="BD183"/>
  <c r="E143" i="17"/>
  <c r="C143"/>
  <c r="Q142"/>
  <c r="P142"/>
  <c r="O142"/>
  <c r="N142"/>
  <c r="M142"/>
  <c r="L142"/>
  <c r="K142"/>
  <c r="J142"/>
  <c r="H142"/>
  <c r="G142"/>
  <c r="F142"/>
  <c r="C142"/>
  <c r="Q141"/>
  <c r="P141"/>
  <c r="O141"/>
  <c r="N141"/>
  <c r="M141"/>
  <c r="L141"/>
  <c r="K141"/>
  <c r="J141"/>
  <c r="H141"/>
  <c r="G141"/>
  <c r="F141"/>
  <c r="C141"/>
  <c r="Q140"/>
  <c r="P140"/>
  <c r="O140"/>
  <c r="N140"/>
  <c r="M140"/>
  <c r="L140"/>
  <c r="K140"/>
  <c r="J140"/>
  <c r="H140"/>
  <c r="G140"/>
  <c r="F140"/>
  <c r="BD55" i="15"/>
  <c r="BD175"/>
  <c r="E140" i="17"/>
  <c r="C140"/>
  <c r="Q139"/>
  <c r="P139"/>
  <c r="O139"/>
  <c r="N139"/>
  <c r="M139"/>
  <c r="L139"/>
  <c r="K139"/>
  <c r="J139"/>
  <c r="H139"/>
  <c r="G139"/>
  <c r="F139"/>
  <c r="C139"/>
  <c r="Q138"/>
  <c r="P138"/>
  <c r="O138"/>
  <c r="N138"/>
  <c r="M138"/>
  <c r="L138"/>
  <c r="K138"/>
  <c r="J138"/>
  <c r="H138"/>
  <c r="G138"/>
  <c r="F138"/>
  <c r="C138"/>
  <c r="Q137"/>
  <c r="P137"/>
  <c r="O137"/>
  <c r="N137"/>
  <c r="M137"/>
  <c r="L137"/>
  <c r="K137"/>
  <c r="J137"/>
  <c r="H137"/>
  <c r="G137"/>
  <c r="F137"/>
  <c r="C137"/>
  <c r="Q136"/>
  <c r="P136"/>
  <c r="O136"/>
  <c r="N136"/>
  <c r="M136"/>
  <c r="L136"/>
  <c r="K136"/>
  <c r="J136"/>
  <c r="H136"/>
  <c r="G136"/>
  <c r="F136"/>
  <c r="C136"/>
  <c r="Q135"/>
  <c r="P135"/>
  <c r="O135"/>
  <c r="N135"/>
  <c r="M135"/>
  <c r="L135"/>
  <c r="K135"/>
  <c r="J135"/>
  <c r="H135"/>
  <c r="G135"/>
  <c r="F135"/>
  <c r="C135"/>
  <c r="Q134"/>
  <c r="P134"/>
  <c r="O134"/>
  <c r="N134"/>
  <c r="M134"/>
  <c r="L134"/>
  <c r="K134"/>
  <c r="J134"/>
  <c r="H134"/>
  <c r="G134"/>
  <c r="F134"/>
  <c r="C134"/>
  <c r="Q133"/>
  <c r="P133"/>
  <c r="O133"/>
  <c r="N133"/>
  <c r="M133"/>
  <c r="L133"/>
  <c r="K133"/>
  <c r="J133"/>
  <c r="H133"/>
  <c r="G133"/>
  <c r="F133"/>
  <c r="C133"/>
  <c r="Q132"/>
  <c r="R47" i="2"/>
  <c r="R14" i="5"/>
  <c r="P16" i="3"/>
  <c r="P132" i="17"/>
  <c r="O132"/>
  <c r="P47" i="2"/>
  <c r="P14" i="5"/>
  <c r="N132" i="17"/>
  <c r="M132"/>
  <c r="N47" i="2"/>
  <c r="N14" i="5"/>
  <c r="L132" i="17"/>
  <c r="K132"/>
  <c r="L47" i="2"/>
  <c r="L14" i="5"/>
  <c r="J132" i="17"/>
  <c r="H132"/>
  <c r="I47" i="2"/>
  <c r="I14" i="5"/>
  <c r="G16" i="3"/>
  <c r="G132" i="17"/>
  <c r="F132"/>
  <c r="BD47" i="15"/>
  <c r="BD167"/>
  <c r="E132" i="17"/>
  <c r="F47" i="2"/>
  <c r="F14" i="5"/>
  <c r="C132" i="17"/>
  <c r="D47" i="2"/>
  <c r="D14" i="5"/>
  <c r="Q131" i="17"/>
  <c r="P131"/>
  <c r="O131"/>
  <c r="N131"/>
  <c r="M131"/>
  <c r="L131"/>
  <c r="K131"/>
  <c r="J131"/>
  <c r="H131"/>
  <c r="G131"/>
  <c r="F131"/>
  <c r="C131"/>
  <c r="Q130"/>
  <c r="P130"/>
  <c r="O130"/>
  <c r="N130"/>
  <c r="M130"/>
  <c r="L130"/>
  <c r="K130"/>
  <c r="J130"/>
  <c r="H130"/>
  <c r="G130"/>
  <c r="F130"/>
  <c r="C130"/>
  <c r="Q129"/>
  <c r="P129"/>
  <c r="O129"/>
  <c r="N129"/>
  <c r="M129"/>
  <c r="L129"/>
  <c r="K129"/>
  <c r="J129"/>
  <c r="H129"/>
  <c r="G129"/>
  <c r="F129"/>
  <c r="C129"/>
  <c r="Q128"/>
  <c r="P128"/>
  <c r="O128"/>
  <c r="N128"/>
  <c r="M128"/>
  <c r="L128"/>
  <c r="K128"/>
  <c r="J128"/>
  <c r="H128"/>
  <c r="G128"/>
  <c r="F128"/>
  <c r="BD43" i="15"/>
  <c r="BD163"/>
  <c r="E128" i="17"/>
  <c r="C128"/>
  <c r="Q127"/>
  <c r="R46" i="2"/>
  <c r="R13" i="5"/>
  <c r="P15" i="3"/>
  <c r="P127" i="17"/>
  <c r="O127"/>
  <c r="P46" i="2"/>
  <c r="P13" i="5"/>
  <c r="N127" i="17"/>
  <c r="M127"/>
  <c r="N46" i="2"/>
  <c r="N13" i="5"/>
  <c r="L127" i="17"/>
  <c r="K127"/>
  <c r="L46" i="2"/>
  <c r="L13" i="5"/>
  <c r="J127" i="17"/>
  <c r="H127"/>
  <c r="I46" i="2"/>
  <c r="I13" i="5"/>
  <c r="G15" i="3"/>
  <c r="G127" i="17"/>
  <c r="F127"/>
  <c r="C127"/>
  <c r="D46" i="2"/>
  <c r="D13" i="5"/>
  <c r="Q126" i="17"/>
  <c r="P126"/>
  <c r="O126"/>
  <c r="N126"/>
  <c r="M126"/>
  <c r="L126"/>
  <c r="K126"/>
  <c r="J126"/>
  <c r="H126"/>
  <c r="G126"/>
  <c r="F126"/>
  <c r="C126"/>
  <c r="Q125"/>
  <c r="P125"/>
  <c r="O125"/>
  <c r="N125"/>
  <c r="M125"/>
  <c r="L125"/>
  <c r="K125"/>
  <c r="J125"/>
  <c r="H125"/>
  <c r="G125"/>
  <c r="F125"/>
  <c r="BD40" i="15"/>
  <c r="BD160"/>
  <c r="E125" i="17"/>
  <c r="C125"/>
  <c r="Q124"/>
  <c r="P124"/>
  <c r="O124"/>
  <c r="N124"/>
  <c r="M124"/>
  <c r="L124"/>
  <c r="K124"/>
  <c r="J124"/>
  <c r="H124"/>
  <c r="G124"/>
  <c r="F124"/>
  <c r="C124"/>
  <c r="Q123"/>
  <c r="P123"/>
  <c r="O123"/>
  <c r="N123"/>
  <c r="M123"/>
  <c r="L123"/>
  <c r="K123"/>
  <c r="J123"/>
  <c r="H123"/>
  <c r="G123"/>
  <c r="F123"/>
  <c r="C123"/>
  <c r="Q122"/>
  <c r="R45" i="2"/>
  <c r="R12" i="5"/>
  <c r="P14" i="3"/>
  <c r="P122" i="17"/>
  <c r="Q45" i="2"/>
  <c r="Q12" i="5"/>
  <c r="O122" i="17"/>
  <c r="P45" i="2"/>
  <c r="P12" i="5"/>
  <c r="N122" i="17"/>
  <c r="O45" i="2"/>
  <c r="O12" i="5"/>
  <c r="M14" i="3"/>
  <c r="M122" i="17"/>
  <c r="N45" i="2"/>
  <c r="N12" i="5"/>
  <c r="L122" i="17"/>
  <c r="M45" i="2"/>
  <c r="M12" i="5"/>
  <c r="K14" i="3"/>
  <c r="K122" i="17"/>
  <c r="L45" i="2"/>
  <c r="L12" i="5"/>
  <c r="J122" i="17"/>
  <c r="K45" i="2"/>
  <c r="K12" i="5"/>
  <c r="I14" i="3"/>
  <c r="H122" i="17"/>
  <c r="I45" i="2"/>
  <c r="I12" i="5"/>
  <c r="G14" i="3"/>
  <c r="G122" i="17"/>
  <c r="H45" i="2"/>
  <c r="H12" i="5"/>
  <c r="F14" i="3"/>
  <c r="F122" i="17"/>
  <c r="G45" i="2"/>
  <c r="G12" i="5"/>
  <c r="E14" i="3"/>
  <c r="C122" i="17"/>
  <c r="D45" i="2"/>
  <c r="D12" i="5"/>
  <c r="Q121" i="17"/>
  <c r="P121"/>
  <c r="O121"/>
  <c r="N121"/>
  <c r="M121"/>
  <c r="L121"/>
  <c r="K121"/>
  <c r="J121"/>
  <c r="H121"/>
  <c r="G121"/>
  <c r="F121"/>
  <c r="BD36" i="15"/>
  <c r="BD156"/>
  <c r="E121" i="17"/>
  <c r="C121"/>
  <c r="Q120"/>
  <c r="P120"/>
  <c r="O120"/>
  <c r="N120"/>
  <c r="M120"/>
  <c r="L120"/>
  <c r="K120"/>
  <c r="J120"/>
  <c r="H120"/>
  <c r="G120"/>
  <c r="F120"/>
  <c r="C120"/>
  <c r="Q119"/>
  <c r="P119"/>
  <c r="O119"/>
  <c r="N119"/>
  <c r="M119"/>
  <c r="L119"/>
  <c r="K119"/>
  <c r="J119"/>
  <c r="H119"/>
  <c r="G119"/>
  <c r="F119"/>
  <c r="C119"/>
  <c r="Q118"/>
  <c r="P118"/>
  <c r="O118"/>
  <c r="N118"/>
  <c r="M118"/>
  <c r="L118"/>
  <c r="K118"/>
  <c r="J118"/>
  <c r="H118"/>
  <c r="G118"/>
  <c r="F118"/>
  <c r="C118"/>
  <c r="Q117"/>
  <c r="P117"/>
  <c r="O117"/>
  <c r="N117"/>
  <c r="M117"/>
  <c r="L117"/>
  <c r="K117"/>
  <c r="J117"/>
  <c r="H117"/>
  <c r="G117"/>
  <c r="F117"/>
  <c r="C117"/>
  <c r="Q116"/>
  <c r="P116"/>
  <c r="O116"/>
  <c r="N116"/>
  <c r="M116"/>
  <c r="L116"/>
  <c r="K116"/>
  <c r="J116"/>
  <c r="H116"/>
  <c r="G116"/>
  <c r="F116"/>
  <c r="C116"/>
  <c r="Q115"/>
  <c r="P115"/>
  <c r="O115"/>
  <c r="N115"/>
  <c r="M115"/>
  <c r="L115"/>
  <c r="K115"/>
  <c r="J115"/>
  <c r="H115"/>
  <c r="G115"/>
  <c r="F115"/>
  <c r="C115"/>
  <c r="Q114"/>
  <c r="P114"/>
  <c r="O114"/>
  <c r="N114"/>
  <c r="M114"/>
  <c r="L114"/>
  <c r="K114"/>
  <c r="J114"/>
  <c r="H114"/>
  <c r="G114"/>
  <c r="F114"/>
  <c r="C114"/>
  <c r="Q113"/>
  <c r="P113"/>
  <c r="O113"/>
  <c r="N113"/>
  <c r="M113"/>
  <c r="L113"/>
  <c r="K113"/>
  <c r="J113"/>
  <c r="H113"/>
  <c r="G113"/>
  <c r="F113"/>
  <c r="C113"/>
  <c r="Q112"/>
  <c r="P112"/>
  <c r="O112"/>
  <c r="N112"/>
  <c r="M112"/>
  <c r="L112"/>
  <c r="K112"/>
  <c r="J112"/>
  <c r="H112"/>
  <c r="G112"/>
  <c r="F112"/>
  <c r="C112"/>
  <c r="Q111"/>
  <c r="P111"/>
  <c r="O111"/>
  <c r="N111"/>
  <c r="M111"/>
  <c r="L111"/>
  <c r="K111"/>
  <c r="J111"/>
  <c r="H111"/>
  <c r="G111"/>
  <c r="F111"/>
  <c r="C111"/>
  <c r="Q110"/>
  <c r="P110"/>
  <c r="O110"/>
  <c r="N110"/>
  <c r="M110"/>
  <c r="L110"/>
  <c r="K110"/>
  <c r="J110"/>
  <c r="H110"/>
  <c r="G110"/>
  <c r="F110"/>
  <c r="C110"/>
  <c r="Q109"/>
  <c r="P109"/>
  <c r="O109"/>
  <c r="N109"/>
  <c r="M109"/>
  <c r="L109"/>
  <c r="K109"/>
  <c r="J109"/>
  <c r="H109"/>
  <c r="G109"/>
  <c r="F109"/>
  <c r="C109"/>
  <c r="Q108"/>
  <c r="P108"/>
  <c r="O108"/>
  <c r="N108"/>
  <c r="M108"/>
  <c r="L108"/>
  <c r="K108"/>
  <c r="J108"/>
  <c r="H108"/>
  <c r="G108"/>
  <c r="F108"/>
  <c r="C108"/>
  <c r="Q106"/>
  <c r="P106"/>
  <c r="O106"/>
  <c r="N106"/>
  <c r="M106"/>
  <c r="L106"/>
  <c r="K106"/>
  <c r="J106"/>
  <c r="I106"/>
  <c r="H106"/>
  <c r="G106"/>
  <c r="F106"/>
  <c r="C106"/>
  <c r="Q105"/>
  <c r="P105"/>
  <c r="O105"/>
  <c r="N105"/>
  <c r="M105"/>
  <c r="L105"/>
  <c r="K105"/>
  <c r="J105"/>
  <c r="I105"/>
  <c r="H105"/>
  <c r="G105"/>
  <c r="F105"/>
  <c r="BD135" i="15"/>
  <c r="E105" i="17"/>
  <c r="C105"/>
  <c r="Q104"/>
  <c r="P104"/>
  <c r="O104"/>
  <c r="N104"/>
  <c r="M104"/>
  <c r="L104"/>
  <c r="K104"/>
  <c r="J104"/>
  <c r="I104"/>
  <c r="H104"/>
  <c r="G104"/>
  <c r="F104"/>
  <c r="C104"/>
  <c r="Q103"/>
  <c r="P103"/>
  <c r="O103"/>
  <c r="N103"/>
  <c r="M103"/>
  <c r="L103"/>
  <c r="K103"/>
  <c r="J103"/>
  <c r="I103"/>
  <c r="H103"/>
  <c r="G103"/>
  <c r="F103"/>
  <c r="BD133" i="15"/>
  <c r="E103" i="17"/>
  <c r="C103"/>
  <c r="Q101"/>
  <c r="P101"/>
  <c r="O101"/>
  <c r="N101"/>
  <c r="M101"/>
  <c r="L101"/>
  <c r="K101"/>
  <c r="J101"/>
  <c r="I101"/>
  <c r="H101"/>
  <c r="G101"/>
  <c r="F101"/>
  <c r="BD131" i="15"/>
  <c r="E101" i="17"/>
  <c r="C101"/>
  <c r="Q100"/>
  <c r="P100"/>
  <c r="O100"/>
  <c r="N100"/>
  <c r="M100"/>
  <c r="L100"/>
  <c r="K100"/>
  <c r="J100"/>
  <c r="I100"/>
  <c r="H100"/>
  <c r="G100"/>
  <c r="F100"/>
  <c r="C100"/>
  <c r="Q99"/>
  <c r="P99"/>
  <c r="O99"/>
  <c r="N99"/>
  <c r="M99"/>
  <c r="L99"/>
  <c r="K99"/>
  <c r="J99"/>
  <c r="I99"/>
  <c r="H99"/>
  <c r="G99"/>
  <c r="F99"/>
  <c r="BD129" i="15"/>
  <c r="E99" i="17"/>
  <c r="C99"/>
  <c r="Q98"/>
  <c r="P98"/>
  <c r="O98"/>
  <c r="N98"/>
  <c r="M98"/>
  <c r="L98"/>
  <c r="K98"/>
  <c r="J98"/>
  <c r="I98"/>
  <c r="H98"/>
  <c r="G98"/>
  <c r="F98"/>
  <c r="C98"/>
  <c r="Q96"/>
  <c r="P96"/>
  <c r="O96"/>
  <c r="N96"/>
  <c r="M96"/>
  <c r="L96"/>
  <c r="K96"/>
  <c r="J96"/>
  <c r="I96"/>
  <c r="H96"/>
  <c r="G96"/>
  <c r="F96"/>
  <c r="C96"/>
  <c r="Q95"/>
  <c r="P95"/>
  <c r="O95"/>
  <c r="N95"/>
  <c r="M95"/>
  <c r="L95"/>
  <c r="K95"/>
  <c r="J95"/>
  <c r="I95"/>
  <c r="H95"/>
  <c r="G95"/>
  <c r="F95"/>
  <c r="BD125" i="15"/>
  <c r="E95" i="17"/>
  <c r="C95"/>
  <c r="Q94"/>
  <c r="P94"/>
  <c r="O94"/>
  <c r="N94"/>
  <c r="M94"/>
  <c r="L94"/>
  <c r="K94"/>
  <c r="J94"/>
  <c r="I94"/>
  <c r="H94"/>
  <c r="G94"/>
  <c r="F94"/>
  <c r="C94"/>
  <c r="Q93"/>
  <c r="P93"/>
  <c r="O93"/>
  <c r="N93"/>
  <c r="M93"/>
  <c r="L93"/>
  <c r="K93"/>
  <c r="J93"/>
  <c r="I93"/>
  <c r="H93"/>
  <c r="G93"/>
  <c r="F93"/>
  <c r="BD123" i="15"/>
  <c r="E93" i="17"/>
  <c r="C93"/>
  <c r="Q92"/>
  <c r="P92"/>
  <c r="O92"/>
  <c r="N92"/>
  <c r="M92"/>
  <c r="L92"/>
  <c r="K92"/>
  <c r="J92"/>
  <c r="I92"/>
  <c r="H92"/>
  <c r="G92"/>
  <c r="F92"/>
  <c r="BD117" i="15"/>
  <c r="E92" i="17"/>
  <c r="C92"/>
  <c r="Q91"/>
  <c r="P91"/>
  <c r="O91"/>
  <c r="N91"/>
  <c r="M91"/>
  <c r="L91"/>
  <c r="K91"/>
  <c r="J91"/>
  <c r="I91"/>
  <c r="H91"/>
  <c r="G91"/>
  <c r="F91"/>
  <c r="C91"/>
  <c r="Q90"/>
  <c r="P90"/>
  <c r="O90"/>
  <c r="N90"/>
  <c r="M90"/>
  <c r="L90"/>
  <c r="K90"/>
  <c r="J90"/>
  <c r="I90"/>
  <c r="H90"/>
  <c r="G90"/>
  <c r="F90"/>
  <c r="BD115" i="15"/>
  <c r="E90" i="17"/>
  <c r="C90"/>
  <c r="Q89"/>
  <c r="P89"/>
  <c r="O89"/>
  <c r="N89"/>
  <c r="M89"/>
  <c r="L89"/>
  <c r="K89"/>
  <c r="J89"/>
  <c r="I89"/>
  <c r="H89"/>
  <c r="G89"/>
  <c r="F89"/>
  <c r="C89"/>
  <c r="Q88"/>
  <c r="P88"/>
  <c r="O88"/>
  <c r="N88"/>
  <c r="M88"/>
  <c r="L88"/>
  <c r="K88"/>
  <c r="J88"/>
  <c r="I88"/>
  <c r="H88"/>
  <c r="G88"/>
  <c r="F88"/>
  <c r="BD113" i="15"/>
  <c r="E88" i="17"/>
  <c r="C88"/>
  <c r="Q87"/>
  <c r="P87"/>
  <c r="O87"/>
  <c r="N87"/>
  <c r="M87"/>
  <c r="L87"/>
  <c r="K87"/>
  <c r="J87"/>
  <c r="I87"/>
  <c r="H87"/>
  <c r="G87"/>
  <c r="F87"/>
  <c r="C87"/>
  <c r="Q86"/>
  <c r="P86"/>
  <c r="O86"/>
  <c r="N86"/>
  <c r="M86"/>
  <c r="L86"/>
  <c r="K86"/>
  <c r="J86"/>
  <c r="I86"/>
  <c r="H86"/>
  <c r="G86"/>
  <c r="F86"/>
  <c r="BD111" i="15"/>
  <c r="E86" i="17"/>
  <c r="C86"/>
  <c r="Q85"/>
  <c r="P85"/>
  <c r="O85"/>
  <c r="N85"/>
  <c r="M85"/>
  <c r="L85"/>
  <c r="K85"/>
  <c r="J85"/>
  <c r="I85"/>
  <c r="H85"/>
  <c r="G85"/>
  <c r="F85"/>
  <c r="C85"/>
  <c r="Q84"/>
  <c r="P84"/>
  <c r="O84"/>
  <c r="N84"/>
  <c r="M84"/>
  <c r="L84"/>
  <c r="K84"/>
  <c r="J84"/>
  <c r="I84"/>
  <c r="H84"/>
  <c r="G84"/>
  <c r="F84"/>
  <c r="BD109" i="15"/>
  <c r="E84" i="17"/>
  <c r="C84"/>
  <c r="Q83"/>
  <c r="P83"/>
  <c r="O83"/>
  <c r="N83"/>
  <c r="M83"/>
  <c r="L83"/>
  <c r="K83"/>
  <c r="J83"/>
  <c r="I83"/>
  <c r="H83"/>
  <c r="G83"/>
  <c r="F83"/>
  <c r="C83"/>
  <c r="Q82"/>
  <c r="R44" i="2"/>
  <c r="R11" i="5"/>
  <c r="P13" i="3"/>
  <c r="P82" i="17"/>
  <c r="O82"/>
  <c r="P44" i="2"/>
  <c r="P11" i="5"/>
  <c r="N82" i="17"/>
  <c r="M82"/>
  <c r="N44" i="2"/>
  <c r="N11" i="5"/>
  <c r="L82" i="17"/>
  <c r="K82"/>
  <c r="L44" i="2"/>
  <c r="L11" i="5"/>
  <c r="J82" i="17"/>
  <c r="I82"/>
  <c r="H82"/>
  <c r="I44" i="2"/>
  <c r="I11" i="5"/>
  <c r="G13" i="3"/>
  <c r="G82" i="17"/>
  <c r="F82"/>
  <c r="BD107" i="15"/>
  <c r="E82" i="17"/>
  <c r="F44" i="2"/>
  <c r="F11" i="5"/>
  <c r="C82" i="17"/>
  <c r="D44" i="2"/>
  <c r="D11" i="5"/>
  <c r="Q81" i="17"/>
  <c r="P81"/>
  <c r="O81"/>
  <c r="N81"/>
  <c r="M81"/>
  <c r="L81"/>
  <c r="K81"/>
  <c r="J81"/>
  <c r="I81"/>
  <c r="H81"/>
  <c r="G81"/>
  <c r="F81"/>
  <c r="C81"/>
  <c r="Q80"/>
  <c r="P80"/>
  <c r="O80"/>
  <c r="N80"/>
  <c r="M80"/>
  <c r="L80"/>
  <c r="K80"/>
  <c r="J80"/>
  <c r="I80"/>
  <c r="H80"/>
  <c r="G80"/>
  <c r="F80"/>
  <c r="BD105" i="15"/>
  <c r="E80" i="17"/>
  <c r="C80"/>
  <c r="Q79"/>
  <c r="P79"/>
  <c r="O79"/>
  <c r="N79"/>
  <c r="M79"/>
  <c r="L79"/>
  <c r="K79"/>
  <c r="J79"/>
  <c r="I79"/>
  <c r="H79"/>
  <c r="G79"/>
  <c r="F79"/>
  <c r="C79"/>
  <c r="Q78"/>
  <c r="P78"/>
  <c r="O78"/>
  <c r="N78"/>
  <c r="M78"/>
  <c r="L78"/>
  <c r="K78"/>
  <c r="J78"/>
  <c r="I78"/>
  <c r="H78"/>
  <c r="G78"/>
  <c r="F78"/>
  <c r="BD103" i="15"/>
  <c r="E78" i="17"/>
  <c r="C78"/>
  <c r="Q77"/>
  <c r="R43" i="2"/>
  <c r="R10" i="5"/>
  <c r="P12" i="3"/>
  <c r="P77" i="17"/>
  <c r="O77"/>
  <c r="P43" i="2"/>
  <c r="P10" i="5"/>
  <c r="N77" i="17"/>
  <c r="M77"/>
  <c r="N43" i="2"/>
  <c r="N10" i="5"/>
  <c r="L77" i="17"/>
  <c r="K77"/>
  <c r="L43" i="2"/>
  <c r="L10" i="5"/>
  <c r="J77" i="17"/>
  <c r="I77"/>
  <c r="H77"/>
  <c r="I43" i="2"/>
  <c r="I10" i="5"/>
  <c r="G12" i="3"/>
  <c r="G77" i="17"/>
  <c r="F77"/>
  <c r="C77"/>
  <c r="D43" i="2"/>
  <c r="D10" i="5"/>
  <c r="Q76" i="17"/>
  <c r="P76"/>
  <c r="O76"/>
  <c r="N76"/>
  <c r="M76"/>
  <c r="L76"/>
  <c r="K76"/>
  <c r="J76"/>
  <c r="I76"/>
  <c r="H76"/>
  <c r="G76"/>
  <c r="F76"/>
  <c r="BD101" i="15"/>
  <c r="E76" i="17"/>
  <c r="C76"/>
  <c r="Q75"/>
  <c r="P75"/>
  <c r="O75"/>
  <c r="N75"/>
  <c r="M75"/>
  <c r="L75"/>
  <c r="K75"/>
  <c r="J75"/>
  <c r="I75"/>
  <c r="H75"/>
  <c r="G75"/>
  <c r="F75"/>
  <c r="C75"/>
  <c r="Q74"/>
  <c r="P74"/>
  <c r="O74"/>
  <c r="N74"/>
  <c r="M74"/>
  <c r="L74"/>
  <c r="K74"/>
  <c r="J74"/>
  <c r="I74"/>
  <c r="H74"/>
  <c r="G74"/>
  <c r="F74"/>
  <c r="BD99" i="15"/>
  <c r="E74" i="17"/>
  <c r="C74"/>
  <c r="Q73"/>
  <c r="P73"/>
  <c r="O73"/>
  <c r="N73"/>
  <c r="M73"/>
  <c r="L73"/>
  <c r="K73"/>
  <c r="J73"/>
  <c r="I73"/>
  <c r="H73"/>
  <c r="G73"/>
  <c r="F73"/>
  <c r="C73"/>
  <c r="Q72"/>
  <c r="R42" i="2"/>
  <c r="R9" i="5"/>
  <c r="P11" i="3"/>
  <c r="P72" i="17"/>
  <c r="Q42" i="2"/>
  <c r="Q9" i="5"/>
  <c r="O72" i="17"/>
  <c r="P42" i="2"/>
  <c r="P9" i="5"/>
  <c r="N72" i="17"/>
  <c r="O42" i="2"/>
  <c r="O9" i="5"/>
  <c r="M11" i="3"/>
  <c r="M72" i="17"/>
  <c r="N42" i="2"/>
  <c r="N9" i="5"/>
  <c r="L72" i="17"/>
  <c r="M42" i="2"/>
  <c r="M9" i="5"/>
  <c r="K11" i="3"/>
  <c r="K72" i="17"/>
  <c r="L42" i="2"/>
  <c r="L9" i="5"/>
  <c r="J72" i="17"/>
  <c r="K42" i="2"/>
  <c r="K9" i="5"/>
  <c r="I11" i="3"/>
  <c r="I72" i="17"/>
  <c r="J42" i="2"/>
  <c r="J9" i="5"/>
  <c r="H72" i="17"/>
  <c r="I42" i="2"/>
  <c r="I9" i="5"/>
  <c r="G11" i="3"/>
  <c r="G72" i="17"/>
  <c r="H42" i="2"/>
  <c r="H9" i="5"/>
  <c r="F11" i="3"/>
  <c r="F72" i="17"/>
  <c r="G42" i="2"/>
  <c r="G9" i="5"/>
  <c r="E11" i="3"/>
  <c r="BD97" i="15"/>
  <c r="E72" i="17"/>
  <c r="F42" i="2"/>
  <c r="F9" i="5"/>
  <c r="C72" i="17"/>
  <c r="D42" i="2"/>
  <c r="D9" i="5"/>
  <c r="Q71" i="17"/>
  <c r="P71"/>
  <c r="O71"/>
  <c r="N71"/>
  <c r="M71"/>
  <c r="L71"/>
  <c r="K71"/>
  <c r="J71"/>
  <c r="I71"/>
  <c r="H71"/>
  <c r="G71"/>
  <c r="F71"/>
  <c r="C71"/>
  <c r="Q70"/>
  <c r="P70"/>
  <c r="O70"/>
  <c r="N70"/>
  <c r="M70"/>
  <c r="L70"/>
  <c r="K70"/>
  <c r="J70"/>
  <c r="I70"/>
  <c r="H70"/>
  <c r="G70"/>
  <c r="F70"/>
  <c r="BD95" i="15"/>
  <c r="E70" i="17"/>
  <c r="C70"/>
  <c r="Q69"/>
  <c r="P69"/>
  <c r="O69"/>
  <c r="N69"/>
  <c r="M69"/>
  <c r="L69"/>
  <c r="K69"/>
  <c r="J69"/>
  <c r="I69"/>
  <c r="H69"/>
  <c r="G69"/>
  <c r="F69"/>
  <c r="C69"/>
  <c r="Q68"/>
  <c r="P68"/>
  <c r="O68"/>
  <c r="N68"/>
  <c r="M68"/>
  <c r="L68"/>
  <c r="K68"/>
  <c r="J68"/>
  <c r="I68"/>
  <c r="H68"/>
  <c r="G68"/>
  <c r="F68"/>
  <c r="BD93" i="15"/>
  <c r="E68" i="17"/>
  <c r="C68"/>
  <c r="Q67"/>
  <c r="P67"/>
  <c r="O67"/>
  <c r="N67"/>
  <c r="M67"/>
  <c r="L67"/>
  <c r="K67"/>
  <c r="J67"/>
  <c r="I67"/>
  <c r="H67"/>
  <c r="G67"/>
  <c r="F67"/>
  <c r="BD87" i="15"/>
  <c r="E67" i="17"/>
  <c r="C67"/>
  <c r="Q66"/>
  <c r="P66"/>
  <c r="O66"/>
  <c r="N66"/>
  <c r="M66"/>
  <c r="L66"/>
  <c r="K66"/>
  <c r="J66"/>
  <c r="I66"/>
  <c r="H66"/>
  <c r="G66"/>
  <c r="F66"/>
  <c r="C66"/>
  <c r="Q65"/>
  <c r="P65"/>
  <c r="O65"/>
  <c r="N65"/>
  <c r="M65"/>
  <c r="L65"/>
  <c r="K65"/>
  <c r="J65"/>
  <c r="I65"/>
  <c r="H65"/>
  <c r="G65"/>
  <c r="F65"/>
  <c r="BD85" i="15"/>
  <c r="E65" i="17"/>
  <c r="C65"/>
  <c r="Q64"/>
  <c r="P64"/>
  <c r="O64"/>
  <c r="N64"/>
  <c r="M64"/>
  <c r="L64"/>
  <c r="K64"/>
  <c r="J64"/>
  <c r="I64"/>
  <c r="H64"/>
  <c r="G64"/>
  <c r="F64"/>
  <c r="C64"/>
  <c r="Q63"/>
  <c r="P63"/>
  <c r="O63"/>
  <c r="N63"/>
  <c r="M63"/>
  <c r="L63"/>
  <c r="K63"/>
  <c r="J63"/>
  <c r="I63"/>
  <c r="H63"/>
  <c r="G63"/>
  <c r="F63"/>
  <c r="BD83" i="15"/>
  <c r="E63" i="17"/>
  <c r="C63"/>
  <c r="Q62"/>
  <c r="P62"/>
  <c r="O62"/>
  <c r="N62"/>
  <c r="M62"/>
  <c r="L62"/>
  <c r="K62"/>
  <c r="J62"/>
  <c r="I62"/>
  <c r="H62"/>
  <c r="G62"/>
  <c r="F62"/>
  <c r="C62"/>
  <c r="Q61"/>
  <c r="P61"/>
  <c r="O61"/>
  <c r="N61"/>
  <c r="M61"/>
  <c r="L61"/>
  <c r="K61"/>
  <c r="J61"/>
  <c r="I61"/>
  <c r="H61"/>
  <c r="G61"/>
  <c r="F61"/>
  <c r="BD81" i="15"/>
  <c r="E61" i="17"/>
  <c r="C61"/>
  <c r="Q60"/>
  <c r="P60"/>
  <c r="O60"/>
  <c r="N60"/>
  <c r="M60"/>
  <c r="L60"/>
  <c r="K60"/>
  <c r="J60"/>
  <c r="I60"/>
  <c r="H60"/>
  <c r="G60"/>
  <c r="F60"/>
  <c r="C60"/>
  <c r="Q59"/>
  <c r="P59"/>
  <c r="O59"/>
  <c r="N59"/>
  <c r="M59"/>
  <c r="L59"/>
  <c r="K59"/>
  <c r="J59"/>
  <c r="I59"/>
  <c r="H59"/>
  <c r="G59"/>
  <c r="F59"/>
  <c r="BD79" i="15"/>
  <c r="E59" i="17"/>
  <c r="C59"/>
  <c r="Q58"/>
  <c r="P58"/>
  <c r="O58"/>
  <c r="N58"/>
  <c r="M58"/>
  <c r="L58"/>
  <c r="K58"/>
  <c r="J58"/>
  <c r="I58"/>
  <c r="H58"/>
  <c r="G58"/>
  <c r="F58"/>
  <c r="C58"/>
  <c r="Q57"/>
  <c r="O57"/>
  <c r="N57"/>
  <c r="M57"/>
  <c r="L57"/>
  <c r="K57"/>
  <c r="J57"/>
  <c r="H57"/>
  <c r="G57"/>
  <c r="C57"/>
  <c r="Q56"/>
  <c r="O56"/>
  <c r="N56"/>
  <c r="M56"/>
  <c r="L56"/>
  <c r="K56"/>
  <c r="J56"/>
  <c r="H56"/>
  <c r="G56"/>
  <c r="C56"/>
  <c r="Q55"/>
  <c r="O55"/>
  <c r="N55"/>
  <c r="M55"/>
  <c r="L55"/>
  <c r="K55"/>
  <c r="J55"/>
  <c r="H55"/>
  <c r="G55"/>
  <c r="C55"/>
  <c r="Q54"/>
  <c r="O54"/>
  <c r="N54"/>
  <c r="M54"/>
  <c r="L54"/>
  <c r="K54"/>
  <c r="J54"/>
  <c r="H54"/>
  <c r="G54"/>
  <c r="C54"/>
  <c r="Q53"/>
  <c r="O53"/>
  <c r="N53"/>
  <c r="M53"/>
  <c r="L53"/>
  <c r="K53"/>
  <c r="J53"/>
  <c r="H53"/>
  <c r="G53"/>
  <c r="C53"/>
  <c r="Q51"/>
  <c r="O51"/>
  <c r="N51"/>
  <c r="M51"/>
  <c r="L51"/>
  <c r="K51"/>
  <c r="J51"/>
  <c r="H51"/>
  <c r="G51"/>
  <c r="C51"/>
  <c r="Q50"/>
  <c r="O50"/>
  <c r="N50"/>
  <c r="M50"/>
  <c r="L50"/>
  <c r="K50"/>
  <c r="J50"/>
  <c r="H50"/>
  <c r="G50"/>
  <c r="C50"/>
  <c r="Q49"/>
  <c r="O49"/>
  <c r="N49"/>
  <c r="M49"/>
  <c r="L49"/>
  <c r="K49"/>
  <c r="J49"/>
  <c r="H49"/>
  <c r="G49"/>
  <c r="C49"/>
  <c r="Q48"/>
  <c r="O48"/>
  <c r="N48"/>
  <c r="M48"/>
  <c r="L48"/>
  <c r="K48"/>
  <c r="J48"/>
  <c r="H48"/>
  <c r="G48"/>
  <c r="C48"/>
  <c r="Q46"/>
  <c r="O46"/>
  <c r="N46"/>
  <c r="M46"/>
  <c r="L46"/>
  <c r="K46"/>
  <c r="J46"/>
  <c r="H46"/>
  <c r="G46"/>
  <c r="C46"/>
  <c r="Q45"/>
  <c r="O45"/>
  <c r="N45"/>
  <c r="M45"/>
  <c r="L45"/>
  <c r="K45"/>
  <c r="J45"/>
  <c r="H45"/>
  <c r="G45"/>
  <c r="C45"/>
  <c r="Q44"/>
  <c r="O44"/>
  <c r="N44"/>
  <c r="M44"/>
  <c r="L44"/>
  <c r="K44"/>
  <c r="J44"/>
  <c r="H44"/>
  <c r="G44"/>
  <c r="C44"/>
  <c r="Q43"/>
  <c r="O43"/>
  <c r="N43"/>
  <c r="M43"/>
  <c r="L43"/>
  <c r="K43"/>
  <c r="J43"/>
  <c r="H43"/>
  <c r="G43"/>
  <c r="C43"/>
  <c r="Q42"/>
  <c r="O42"/>
  <c r="N42"/>
  <c r="M42"/>
  <c r="L42"/>
  <c r="K42"/>
  <c r="J42"/>
  <c r="H42"/>
  <c r="G42"/>
  <c r="C42"/>
  <c r="Q41"/>
  <c r="O41"/>
  <c r="N41"/>
  <c r="M41"/>
  <c r="L41"/>
  <c r="K41"/>
  <c r="J41"/>
  <c r="H41"/>
  <c r="G41"/>
  <c r="C41"/>
  <c r="Q40"/>
  <c r="O40"/>
  <c r="N40"/>
  <c r="M40"/>
  <c r="L40"/>
  <c r="K40"/>
  <c r="J40"/>
  <c r="H40"/>
  <c r="G40"/>
  <c r="C40"/>
  <c r="Q39"/>
  <c r="O39"/>
  <c r="N39"/>
  <c r="M39"/>
  <c r="L39"/>
  <c r="K39"/>
  <c r="J39"/>
  <c r="H39"/>
  <c r="G39"/>
  <c r="C39"/>
  <c r="Q38"/>
  <c r="O38"/>
  <c r="N38"/>
  <c r="M38"/>
  <c r="L38"/>
  <c r="K38"/>
  <c r="J38"/>
  <c r="H38"/>
  <c r="G38"/>
  <c r="C38"/>
  <c r="Q37"/>
  <c r="O37"/>
  <c r="N37"/>
  <c r="M37"/>
  <c r="L37"/>
  <c r="K37"/>
  <c r="J37"/>
  <c r="H37"/>
  <c r="G37"/>
  <c r="C37"/>
  <c r="Q36"/>
  <c r="O36"/>
  <c r="N36"/>
  <c r="M36"/>
  <c r="L36"/>
  <c r="K36"/>
  <c r="J36"/>
  <c r="H36"/>
  <c r="G36"/>
  <c r="C36"/>
  <c r="Q35"/>
  <c r="O35"/>
  <c r="N35"/>
  <c r="M35"/>
  <c r="L35"/>
  <c r="K35"/>
  <c r="J35"/>
  <c r="H35"/>
  <c r="G35"/>
  <c r="C35"/>
  <c r="Q34"/>
  <c r="O34"/>
  <c r="N34"/>
  <c r="M34"/>
  <c r="L34"/>
  <c r="K34"/>
  <c r="J34"/>
  <c r="H34"/>
  <c r="G34"/>
  <c r="C34"/>
  <c r="Q33"/>
  <c r="O33"/>
  <c r="N33"/>
  <c r="M33"/>
  <c r="L33"/>
  <c r="K33"/>
  <c r="J33"/>
  <c r="H33"/>
  <c r="G33"/>
  <c r="C33"/>
  <c r="Q32"/>
  <c r="R41" i="2"/>
  <c r="R8" i="5"/>
  <c r="P10" i="3"/>
  <c r="O32" i="17"/>
  <c r="P41" i="2"/>
  <c r="P8" i="5"/>
  <c r="N32" i="17"/>
  <c r="M32"/>
  <c r="N41" i="2"/>
  <c r="N8" i="5"/>
  <c r="L32" i="17"/>
  <c r="K32"/>
  <c r="L41" i="2"/>
  <c r="L8" i="5"/>
  <c r="J32" i="17"/>
  <c r="H32"/>
  <c r="I41" i="2"/>
  <c r="I8" i="5"/>
  <c r="G10" i="3"/>
  <c r="G32" i="17"/>
  <c r="C32"/>
  <c r="D41" i="2"/>
  <c r="D8" i="5"/>
  <c r="Q31" i="17"/>
  <c r="O31"/>
  <c r="N31"/>
  <c r="M31"/>
  <c r="L31"/>
  <c r="K31"/>
  <c r="J31"/>
  <c r="H31"/>
  <c r="G31"/>
  <c r="C31"/>
  <c r="Q30"/>
  <c r="O30"/>
  <c r="N30"/>
  <c r="M30"/>
  <c r="L30"/>
  <c r="K30"/>
  <c r="J30"/>
  <c r="H30"/>
  <c r="G30"/>
  <c r="C30"/>
  <c r="Q29"/>
  <c r="O29"/>
  <c r="N29"/>
  <c r="M29"/>
  <c r="L29"/>
  <c r="K29"/>
  <c r="J29"/>
  <c r="H29"/>
  <c r="G29"/>
  <c r="C29"/>
  <c r="Q28"/>
  <c r="O28"/>
  <c r="N28"/>
  <c r="M28"/>
  <c r="L28"/>
  <c r="K28"/>
  <c r="J28"/>
  <c r="H28"/>
  <c r="G28"/>
  <c r="C28"/>
  <c r="Q27"/>
  <c r="R40" i="2"/>
  <c r="R7" i="5"/>
  <c r="P9" i="3"/>
  <c r="O27" i="17"/>
  <c r="P40" i="2"/>
  <c r="P7" i="5"/>
  <c r="N27" i="17"/>
  <c r="M27"/>
  <c r="N40" i="2"/>
  <c r="N7" i="5"/>
  <c r="L27" i="17"/>
  <c r="K27"/>
  <c r="L40" i="2"/>
  <c r="L7" i="5"/>
  <c r="J27" i="17"/>
  <c r="H27"/>
  <c r="I40" i="2"/>
  <c r="I7" i="5"/>
  <c r="G9" i="3"/>
  <c r="G27" i="17"/>
  <c r="C27"/>
  <c r="D40" i="2"/>
  <c r="D7" i="5"/>
  <c r="Q26" i="17"/>
  <c r="O26"/>
  <c r="N26"/>
  <c r="M26"/>
  <c r="L26"/>
  <c r="K26"/>
  <c r="J26"/>
  <c r="H26"/>
  <c r="G26"/>
  <c r="BD41" i="15"/>
  <c r="E26" i="17"/>
  <c r="C26"/>
  <c r="Q25"/>
  <c r="O25"/>
  <c r="N25"/>
  <c r="M25"/>
  <c r="L25"/>
  <c r="K25"/>
  <c r="J25"/>
  <c r="H25"/>
  <c r="G25"/>
  <c r="E25"/>
  <c r="C25"/>
  <c r="Q24"/>
  <c r="O24"/>
  <c r="N24"/>
  <c r="M24"/>
  <c r="L24"/>
  <c r="K24"/>
  <c r="J24"/>
  <c r="H24"/>
  <c r="G24"/>
  <c r="C24"/>
  <c r="Q23"/>
  <c r="O23"/>
  <c r="N23"/>
  <c r="M23"/>
  <c r="L23"/>
  <c r="K23"/>
  <c r="J23"/>
  <c r="H23"/>
  <c r="G23"/>
  <c r="C23"/>
  <c r="Q22"/>
  <c r="R39" i="2"/>
  <c r="R6" i="5"/>
  <c r="P8" i="3"/>
  <c r="O22" i="17"/>
  <c r="P39" i="2"/>
  <c r="P6" i="5"/>
  <c r="N22" i="17"/>
  <c r="O39" i="2"/>
  <c r="O6" i="5"/>
  <c r="M8" i="3"/>
  <c r="M22" i="17"/>
  <c r="N39" i="2"/>
  <c r="N6" i="5"/>
  <c r="L22" i="17"/>
  <c r="M39" i="2"/>
  <c r="M6" i="5"/>
  <c r="K8" i="3"/>
  <c r="K22" i="17"/>
  <c r="L39" i="2"/>
  <c r="L6" i="5"/>
  <c r="J22" i="17"/>
  <c r="K39" i="2"/>
  <c r="K6" i="5"/>
  <c r="I8" i="3"/>
  <c r="H22" i="17"/>
  <c r="I39" i="2"/>
  <c r="I6" i="5"/>
  <c r="G8" i="3"/>
  <c r="G22" i="17"/>
  <c r="H39" i="2"/>
  <c r="H6" i="5"/>
  <c r="F8" i="3"/>
  <c r="BD37" i="15"/>
  <c r="E22" i="17"/>
  <c r="F39" i="2"/>
  <c r="F6" i="5"/>
  <c r="C22" i="17"/>
  <c r="D39" i="2"/>
  <c r="D6" i="5"/>
  <c r="Q21" i="17"/>
  <c r="O21"/>
  <c r="N21"/>
  <c r="M21"/>
  <c r="L21"/>
  <c r="K21"/>
  <c r="J21"/>
  <c r="H21"/>
  <c r="G21"/>
  <c r="E21"/>
  <c r="C21"/>
  <c r="Q20"/>
  <c r="O20"/>
  <c r="N20"/>
  <c r="M20"/>
  <c r="L20"/>
  <c r="K20"/>
  <c r="J20"/>
  <c r="H20"/>
  <c r="G20"/>
  <c r="C20"/>
  <c r="Q19"/>
  <c r="O19"/>
  <c r="N19"/>
  <c r="M19"/>
  <c r="L19"/>
  <c r="K19"/>
  <c r="J19"/>
  <c r="H19"/>
  <c r="G19"/>
  <c r="C19"/>
  <c r="Q18"/>
  <c r="O18"/>
  <c r="N18"/>
  <c r="M18"/>
  <c r="L18"/>
  <c r="K18"/>
  <c r="J18"/>
  <c r="H18"/>
  <c r="G18"/>
  <c r="C18"/>
  <c r="Q17"/>
  <c r="O17"/>
  <c r="N17"/>
  <c r="M17"/>
  <c r="L17"/>
  <c r="K17"/>
  <c r="J17"/>
  <c r="H17"/>
  <c r="G17"/>
  <c r="C17"/>
  <c r="Q16"/>
  <c r="O16"/>
  <c r="N16"/>
  <c r="M16"/>
  <c r="L16"/>
  <c r="K16"/>
  <c r="J16"/>
  <c r="H16"/>
  <c r="G16"/>
  <c r="C16"/>
  <c r="Q15"/>
  <c r="O15"/>
  <c r="N15"/>
  <c r="M15"/>
  <c r="L15"/>
  <c r="K15"/>
  <c r="J15"/>
  <c r="H15"/>
  <c r="G15"/>
  <c r="C15"/>
  <c r="Q14"/>
  <c r="O14"/>
  <c r="N14"/>
  <c r="M14"/>
  <c r="L14"/>
  <c r="K14"/>
  <c r="J14"/>
  <c r="H14"/>
  <c r="G14"/>
  <c r="C14"/>
  <c r="Q13"/>
  <c r="O13"/>
  <c r="N13"/>
  <c r="M13"/>
  <c r="L13"/>
  <c r="K13"/>
  <c r="J13"/>
  <c r="H13"/>
  <c r="G13"/>
  <c r="C13"/>
  <c r="Q12"/>
  <c r="O12"/>
  <c r="N12"/>
  <c r="M12"/>
  <c r="L12"/>
  <c r="K12"/>
  <c r="J12"/>
  <c r="H12"/>
  <c r="G12"/>
  <c r="C12"/>
  <c r="Q11"/>
  <c r="O11"/>
  <c r="N11"/>
  <c r="M11"/>
  <c r="L11"/>
  <c r="K11"/>
  <c r="J11"/>
  <c r="H11"/>
  <c r="G11"/>
  <c r="C11"/>
  <c r="Q10"/>
  <c r="O10"/>
  <c r="N10"/>
  <c r="M10"/>
  <c r="L10"/>
  <c r="K10"/>
  <c r="J10"/>
  <c r="H10"/>
  <c r="G10"/>
  <c r="C10"/>
  <c r="Q9"/>
  <c r="O9"/>
  <c r="N9"/>
  <c r="M9"/>
  <c r="L9"/>
  <c r="K9"/>
  <c r="J9"/>
  <c r="H9"/>
  <c r="G9"/>
  <c r="C9"/>
  <c r="Q8"/>
  <c r="O8"/>
  <c r="N8"/>
  <c r="M8"/>
  <c r="L8"/>
  <c r="K8"/>
  <c r="J8"/>
  <c r="H8"/>
  <c r="G8"/>
  <c r="C8"/>
  <c r="K17" i="14"/>
  <c r="J17"/>
  <c r="I17"/>
  <c r="H17"/>
  <c r="G17"/>
  <c r="F17"/>
  <c r="D17"/>
  <c r="C17"/>
  <c r="K2"/>
  <c r="J2"/>
  <c r="I2"/>
  <c r="G2"/>
  <c r="F2"/>
  <c r="H3"/>
  <c r="D3"/>
  <c r="C3"/>
  <c r="E278" i="12"/>
  <c r="L278"/>
  <c r="E277"/>
  <c r="E276"/>
  <c r="E275"/>
  <c r="L275"/>
  <c r="E274"/>
  <c r="M274"/>
  <c r="E273"/>
  <c r="E272"/>
  <c r="E271"/>
  <c r="M271"/>
  <c r="E270"/>
  <c r="M270"/>
  <c r="E269"/>
  <c r="E268"/>
  <c r="E267"/>
  <c r="M267"/>
  <c r="E266"/>
  <c r="M266"/>
  <c r="E265"/>
  <c r="E264"/>
  <c r="E263"/>
  <c r="M263"/>
  <c r="E262"/>
  <c r="M262"/>
  <c r="E261"/>
  <c r="E260"/>
  <c r="E259"/>
  <c r="M259"/>
  <c r="E258"/>
  <c r="M258"/>
  <c r="E257"/>
  <c r="E256"/>
  <c r="E255"/>
  <c r="M255"/>
  <c r="E254"/>
  <c r="M254"/>
  <c r="E253"/>
  <c r="E252"/>
  <c r="E251"/>
  <c r="M251"/>
  <c r="E250"/>
  <c r="M250"/>
  <c r="E249"/>
  <c r="E248"/>
  <c r="E247"/>
  <c r="M247"/>
  <c r="E246"/>
  <c r="M246"/>
  <c r="E245"/>
  <c r="E244"/>
  <c r="E243"/>
  <c r="M243"/>
  <c r="E242"/>
  <c r="M242"/>
  <c r="E241"/>
  <c r="E240"/>
  <c r="E239"/>
  <c r="M239"/>
  <c r="E238"/>
  <c r="M238"/>
  <c r="E237"/>
  <c r="E236"/>
  <c r="E235"/>
  <c r="M235"/>
  <c r="E234"/>
  <c r="M234"/>
  <c r="E233"/>
  <c r="E232"/>
  <c r="E231"/>
  <c r="M231"/>
  <c r="E230"/>
  <c r="M230"/>
  <c r="E229"/>
  <c r="E228"/>
  <c r="E227"/>
  <c r="M227"/>
  <c r="E226"/>
  <c r="M226"/>
  <c r="E225"/>
  <c r="E224"/>
  <c r="E223"/>
  <c r="M223"/>
  <c r="E222"/>
  <c r="M222"/>
  <c r="E221"/>
  <c r="E220"/>
  <c r="M220"/>
  <c r="E219"/>
  <c r="L219"/>
  <c r="E218"/>
  <c r="M218"/>
  <c r="E217"/>
  <c r="L217"/>
  <c r="E216"/>
  <c r="E215"/>
  <c r="E214"/>
  <c r="M214"/>
  <c r="E213"/>
  <c r="E212"/>
  <c r="E211"/>
  <c r="M211"/>
  <c r="E210"/>
  <c r="E209"/>
  <c r="L209"/>
  <c r="E208"/>
  <c r="E207"/>
  <c r="E206"/>
  <c r="M206"/>
  <c r="E205"/>
  <c r="E204"/>
  <c r="L204"/>
  <c r="E203"/>
  <c r="L203"/>
  <c r="E202"/>
  <c r="M202"/>
  <c r="E201"/>
  <c r="E200"/>
  <c r="E199"/>
  <c r="L199"/>
  <c r="E198"/>
  <c r="E197"/>
  <c r="E196"/>
  <c r="E195"/>
  <c r="L195"/>
  <c r="E194"/>
  <c r="M194"/>
  <c r="E193"/>
  <c r="M193"/>
  <c r="E192"/>
  <c r="E191"/>
  <c r="L191"/>
  <c r="E190"/>
  <c r="M190"/>
  <c r="E189"/>
  <c r="E188"/>
  <c r="E187"/>
  <c r="M187"/>
  <c r="E186"/>
  <c r="M186"/>
  <c r="E185"/>
  <c r="L185"/>
  <c r="E184"/>
  <c r="E183"/>
  <c r="M183"/>
  <c r="E182"/>
  <c r="E181"/>
  <c r="E180"/>
  <c r="E179"/>
  <c r="M179"/>
  <c r="E178"/>
  <c r="M178"/>
  <c r="E177"/>
  <c r="M177"/>
  <c r="E176"/>
  <c r="E175"/>
  <c r="M175"/>
  <c r="E174"/>
  <c r="E173"/>
  <c r="E172"/>
  <c r="E171"/>
  <c r="M171"/>
  <c r="E170"/>
  <c r="E169"/>
  <c r="L169"/>
  <c r="E168"/>
  <c r="E167"/>
  <c r="M167"/>
  <c r="E166"/>
  <c r="M166"/>
  <c r="E165"/>
  <c r="E164"/>
  <c r="L164"/>
  <c r="E163"/>
  <c r="M163"/>
  <c r="E162"/>
  <c r="L162"/>
  <c r="E161"/>
  <c r="M161"/>
  <c r="E160"/>
  <c r="E159"/>
  <c r="M159"/>
  <c r="E158"/>
  <c r="M158"/>
  <c r="E157"/>
  <c r="E156"/>
  <c r="M156"/>
  <c r="E155"/>
  <c r="M155"/>
  <c r="E154"/>
  <c r="L154"/>
  <c r="E153"/>
  <c r="E152"/>
  <c r="E151"/>
  <c r="M151"/>
  <c r="E150"/>
  <c r="M150"/>
  <c r="E149"/>
  <c r="E148"/>
  <c r="E147"/>
  <c r="M147"/>
  <c r="E146"/>
  <c r="M146"/>
  <c r="E145"/>
  <c r="M145"/>
  <c r="E144"/>
  <c r="E143"/>
  <c r="M143"/>
  <c r="E142"/>
  <c r="M142"/>
  <c r="E141"/>
  <c r="E140"/>
  <c r="E139"/>
  <c r="M139"/>
  <c r="E138"/>
  <c r="M138"/>
  <c r="E137"/>
  <c r="E136"/>
  <c r="E135"/>
  <c r="M135"/>
  <c r="E134"/>
  <c r="E133"/>
  <c r="E132"/>
  <c r="E131"/>
  <c r="M131"/>
  <c r="E130"/>
  <c r="E129"/>
  <c r="M129"/>
  <c r="E128"/>
  <c r="E127"/>
  <c r="E126"/>
  <c r="E125"/>
  <c r="E124"/>
  <c r="E123"/>
  <c r="E122"/>
  <c r="E121"/>
  <c r="E120"/>
  <c r="E119"/>
  <c r="M119"/>
  <c r="E118"/>
  <c r="M118"/>
  <c r="E117"/>
  <c r="E116"/>
  <c r="E115"/>
  <c r="M115"/>
  <c r="E114"/>
  <c r="M114"/>
  <c r="E113"/>
  <c r="M113"/>
  <c r="E112"/>
  <c r="E111"/>
  <c r="M111"/>
  <c r="E110"/>
  <c r="M110"/>
  <c r="E109"/>
  <c r="E108"/>
  <c r="E107"/>
  <c r="M107"/>
  <c r="E106"/>
  <c r="M106"/>
  <c r="E105"/>
  <c r="E104"/>
  <c r="E103"/>
  <c r="M103"/>
  <c r="E102"/>
  <c r="E101"/>
  <c r="E100"/>
  <c r="E99"/>
  <c r="M99"/>
  <c r="E98"/>
  <c r="E97"/>
  <c r="M97"/>
  <c r="E96"/>
  <c r="E95"/>
  <c r="E94"/>
  <c r="E93"/>
  <c r="E92"/>
  <c r="E91"/>
  <c r="E90"/>
  <c r="E89"/>
  <c r="E88"/>
  <c r="E87"/>
  <c r="M87"/>
  <c r="E86"/>
  <c r="M86"/>
  <c r="E85"/>
  <c r="E84"/>
  <c r="E83"/>
  <c r="M83"/>
  <c r="E82"/>
  <c r="M82"/>
  <c r="E81"/>
  <c r="M81"/>
  <c r="E80"/>
  <c r="E79"/>
  <c r="M79"/>
  <c r="E78"/>
  <c r="M78"/>
  <c r="E77"/>
  <c r="E76"/>
  <c r="E75"/>
  <c r="M75"/>
  <c r="E74"/>
  <c r="M74"/>
  <c r="E73"/>
  <c r="E72"/>
  <c r="E71"/>
  <c r="M71"/>
  <c r="E70"/>
  <c r="E69"/>
  <c r="E68"/>
  <c r="E67"/>
  <c r="M67"/>
  <c r="E66"/>
  <c r="E65"/>
  <c r="M65"/>
  <c r="E64"/>
  <c r="E63"/>
  <c r="E62"/>
  <c r="E61"/>
  <c r="E60"/>
  <c r="E59"/>
  <c r="E58"/>
  <c r="E57"/>
  <c r="E56"/>
  <c r="E55"/>
  <c r="M55"/>
  <c r="E54"/>
  <c r="M54"/>
  <c r="E53"/>
  <c r="E52"/>
  <c r="E51"/>
  <c r="M51"/>
  <c r="E50"/>
  <c r="M50"/>
  <c r="E49"/>
  <c r="M49"/>
  <c r="E48"/>
  <c r="E47"/>
  <c r="M47"/>
  <c r="E46"/>
  <c r="M46"/>
  <c r="E45"/>
  <c r="E44"/>
  <c r="E43"/>
  <c r="M43"/>
  <c r="E42"/>
  <c r="M42"/>
  <c r="E41"/>
  <c r="E40"/>
  <c r="E39"/>
  <c r="M39"/>
  <c r="E38"/>
  <c r="E37"/>
  <c r="E36"/>
  <c r="E35"/>
  <c r="M35"/>
  <c r="E34"/>
  <c r="L34"/>
  <c r="E33"/>
  <c r="L33"/>
  <c r="E32"/>
  <c r="E31"/>
  <c r="E30"/>
  <c r="L30"/>
  <c r="AG1"/>
  <c r="AF1"/>
  <c r="AB1"/>
  <c r="Y1"/>
  <c r="V1"/>
  <c r="E67" i="9"/>
  <c r="M137" i="15"/>
  <c r="L137"/>
  <c r="BD136"/>
  <c r="E106" i="17"/>
  <c r="M136" i="15"/>
  <c r="L136"/>
  <c r="M135"/>
  <c r="L135"/>
  <c r="BD134"/>
  <c r="E104" i="17"/>
  <c r="M134" i="15"/>
  <c r="L134"/>
  <c r="M133"/>
  <c r="L133"/>
  <c r="M132"/>
  <c r="L132"/>
  <c r="M131"/>
  <c r="L131"/>
  <c r="BD130"/>
  <c r="E100" i="17"/>
  <c r="M130" i="15"/>
  <c r="L130"/>
  <c r="M129"/>
  <c r="L129"/>
  <c r="BD128"/>
  <c r="E98" i="17"/>
  <c r="M128" i="15"/>
  <c r="L128"/>
  <c r="M127"/>
  <c r="L127"/>
  <c r="BD126"/>
  <c r="E96" i="17"/>
  <c r="M126" i="15"/>
  <c r="L126"/>
  <c r="M125"/>
  <c r="L125"/>
  <c r="BD124"/>
  <c r="E94" i="17"/>
  <c r="M124" i="15"/>
  <c r="L124"/>
  <c r="M123"/>
  <c r="L123"/>
  <c r="BD122"/>
  <c r="M122"/>
  <c r="L122"/>
  <c r="BD121"/>
  <c r="M121"/>
  <c r="L121"/>
  <c r="BD120"/>
  <c r="M120"/>
  <c r="L120"/>
  <c r="BD119"/>
  <c r="M119"/>
  <c r="L119"/>
  <c r="BD118"/>
  <c r="M118"/>
  <c r="L118"/>
  <c r="M117"/>
  <c r="L117"/>
  <c r="BD116"/>
  <c r="E91" i="17"/>
  <c r="M116" i="15"/>
  <c r="L116"/>
  <c r="M115"/>
  <c r="L115"/>
  <c r="BD114"/>
  <c r="E89" i="17"/>
  <c r="M114" i="15"/>
  <c r="L114"/>
  <c r="M113"/>
  <c r="L113"/>
  <c r="BD112"/>
  <c r="E87" i="17"/>
  <c r="M112" i="15"/>
  <c r="L112"/>
  <c r="M111"/>
  <c r="L111"/>
  <c r="BD110"/>
  <c r="E85" i="17"/>
  <c r="M110" i="15"/>
  <c r="L110"/>
  <c r="M109"/>
  <c r="L109"/>
  <c r="BD108"/>
  <c r="E83" i="17"/>
  <c r="M108" i="15"/>
  <c r="L108"/>
  <c r="M107"/>
  <c r="L107"/>
  <c r="BD106"/>
  <c r="E81" i="17"/>
  <c r="M106" i="15"/>
  <c r="L106"/>
  <c r="M105"/>
  <c r="L105"/>
  <c r="BD104"/>
  <c r="E79" i="17"/>
  <c r="M104" i="15"/>
  <c r="L104"/>
  <c r="M103"/>
  <c r="L103"/>
  <c r="BD102"/>
  <c r="E77" i="17"/>
  <c r="F43" i="2"/>
  <c r="F10" i="5"/>
  <c r="M102" i="15"/>
  <c r="L102"/>
  <c r="M101"/>
  <c r="L101"/>
  <c r="BD100"/>
  <c r="E75" i="17"/>
  <c r="M100" i="15"/>
  <c r="L100"/>
  <c r="M99"/>
  <c r="L99"/>
  <c r="BD98"/>
  <c r="E73" i="17"/>
  <c r="M98" i="15"/>
  <c r="L98"/>
  <c r="M97"/>
  <c r="L97"/>
  <c r="BD96"/>
  <c r="E71" i="17"/>
  <c r="M96" i="15"/>
  <c r="L96"/>
  <c r="M95"/>
  <c r="L95"/>
  <c r="BD94"/>
  <c r="E69" i="17"/>
  <c r="M94" i="15"/>
  <c r="L94"/>
  <c r="M93"/>
  <c r="L93"/>
  <c r="BD92"/>
  <c r="M92"/>
  <c r="L92"/>
  <c r="BD91"/>
  <c r="M91"/>
  <c r="L91"/>
  <c r="BD90"/>
  <c r="M90"/>
  <c r="L90"/>
  <c r="BD89"/>
  <c r="M89"/>
  <c r="L89"/>
  <c r="BD88"/>
  <c r="M88"/>
  <c r="L88"/>
  <c r="M87"/>
  <c r="L87"/>
  <c r="BD86"/>
  <c r="E66" i="17"/>
  <c r="M86" i="15"/>
  <c r="L86"/>
  <c r="M85"/>
  <c r="L85"/>
  <c r="BD84"/>
  <c r="E64" i="17"/>
  <c r="M84" i="15"/>
  <c r="L84"/>
  <c r="M83"/>
  <c r="L83"/>
  <c r="BD82"/>
  <c r="E62" i="17"/>
  <c r="M82" i="15"/>
  <c r="L82"/>
  <c r="M81"/>
  <c r="L81"/>
  <c r="BD80"/>
  <c r="E60" i="17"/>
  <c r="M80" i="15"/>
  <c r="L80"/>
  <c r="M79"/>
  <c r="L79"/>
  <c r="BD78"/>
  <c r="E58" i="17"/>
  <c r="M78" i="15"/>
  <c r="L78"/>
  <c r="M77"/>
  <c r="L77"/>
  <c r="BD76"/>
  <c r="E56" i="17"/>
  <c r="M76" i="15"/>
  <c r="L76"/>
  <c r="BD75"/>
  <c r="E55" i="17"/>
  <c r="M75" i="15"/>
  <c r="L75"/>
  <c r="BD74"/>
  <c r="BD194"/>
  <c r="E154" i="17"/>
  <c r="M74" i="15"/>
  <c r="L74"/>
  <c r="BD73"/>
  <c r="BD193"/>
  <c r="E153" i="17"/>
  <c r="M73" i="15"/>
  <c r="L73"/>
  <c r="M72"/>
  <c r="L72"/>
  <c r="E51" i="17"/>
  <c r="M71" i="15"/>
  <c r="L71"/>
  <c r="BD70"/>
  <c r="BD190"/>
  <c r="E150" i="17"/>
  <c r="M70" i="15"/>
  <c r="L70"/>
  <c r="BD69"/>
  <c r="BD189"/>
  <c r="E149" i="17"/>
  <c r="M69" i="15"/>
  <c r="L69"/>
  <c r="BD68"/>
  <c r="E48" i="17"/>
  <c r="M68" i="15"/>
  <c r="L68"/>
  <c r="M67"/>
  <c r="L67"/>
  <c r="BD66"/>
  <c r="BD186"/>
  <c r="E146" i="17"/>
  <c r="M66" i="15"/>
  <c r="L66"/>
  <c r="BD65"/>
  <c r="BD185"/>
  <c r="E145" i="17"/>
  <c r="M65" i="15"/>
  <c r="L65"/>
  <c r="BD64"/>
  <c r="BD184"/>
  <c r="E144" i="17"/>
  <c r="M64" i="15"/>
  <c r="L64"/>
  <c r="E43" i="17"/>
  <c r="M63" i="15"/>
  <c r="L63"/>
  <c r="BD62"/>
  <c r="BD182"/>
  <c r="M62"/>
  <c r="L62"/>
  <c r="BD61"/>
  <c r="BD181"/>
  <c r="M61"/>
  <c r="L61"/>
  <c r="BD60"/>
  <c r="M60"/>
  <c r="L60"/>
  <c r="BD59"/>
  <c r="M59"/>
  <c r="L59"/>
  <c r="BD58"/>
  <c r="BD178"/>
  <c r="M58"/>
  <c r="L58"/>
  <c r="BD57"/>
  <c r="BD177"/>
  <c r="E142" i="17"/>
  <c r="M57" i="15"/>
  <c r="L57"/>
  <c r="BD56"/>
  <c r="BD176"/>
  <c r="E141" i="17"/>
  <c r="M56" i="15"/>
  <c r="L56"/>
  <c r="E40" i="17"/>
  <c r="M55" i="15"/>
  <c r="L55"/>
  <c r="BD54"/>
  <c r="BD174"/>
  <c r="E139" i="17"/>
  <c r="M54" i="15"/>
  <c r="L54"/>
  <c r="BD53"/>
  <c r="BD173"/>
  <c r="E138" i="17"/>
  <c r="M53" i="15"/>
  <c r="L53"/>
  <c r="BD52"/>
  <c r="E37" i="17"/>
  <c r="M52" i="15"/>
  <c r="L52"/>
  <c r="BD51"/>
  <c r="E36" i="17"/>
  <c r="M51" i="15"/>
  <c r="L51"/>
  <c r="BD50"/>
  <c r="BD170"/>
  <c r="E135" i="17"/>
  <c r="M50" i="15"/>
  <c r="L50"/>
  <c r="BD49"/>
  <c r="BD169"/>
  <c r="E134" i="17"/>
  <c r="M49" i="15"/>
  <c r="L49"/>
  <c r="BD48"/>
  <c r="BD168"/>
  <c r="E133" i="17"/>
  <c r="M48" i="15"/>
  <c r="L48"/>
  <c r="E32" i="17"/>
  <c r="F41" i="2"/>
  <c r="F8" i="5"/>
  <c r="M47" i="15"/>
  <c r="L47"/>
  <c r="BD46"/>
  <c r="E31" i="17"/>
  <c r="M46" i="15"/>
  <c r="L46"/>
  <c r="BD45"/>
  <c r="BD165"/>
  <c r="E130" i="17"/>
  <c r="M45" i="15"/>
  <c r="L45"/>
  <c r="BD44"/>
  <c r="BD164"/>
  <c r="E129" i="17"/>
  <c r="M44" i="15"/>
  <c r="L43"/>
  <c r="BD42"/>
  <c r="E27" i="17"/>
  <c r="F40" i="2"/>
  <c r="F7" i="5"/>
  <c r="M42" i="15"/>
  <c r="L42"/>
  <c r="BD161"/>
  <c r="E126" i="17"/>
  <c r="M41" i="15"/>
  <c r="L41"/>
  <c r="M40"/>
  <c r="L40"/>
  <c r="BD39"/>
  <c r="E24" i="17"/>
  <c r="M39" i="15"/>
  <c r="L39"/>
  <c r="BD38"/>
  <c r="E23" i="17"/>
  <c r="M38" i="15"/>
  <c r="L38"/>
  <c r="BD157"/>
  <c r="E122" i="17"/>
  <c r="F45" i="2"/>
  <c r="F12" i="5"/>
  <c r="M37" i="15"/>
  <c r="L37"/>
  <c r="M36"/>
  <c r="L36"/>
  <c r="BD35"/>
  <c r="E20" i="17"/>
  <c r="L44" i="15"/>
  <c r="E28" i="17"/>
  <c r="M43" i="15"/>
  <c r="M35"/>
  <c r="L35"/>
  <c r="BD34"/>
  <c r="BD154"/>
  <c r="E119" i="17"/>
  <c r="M34" i="15"/>
  <c r="L34"/>
  <c r="BD33"/>
  <c r="BD153"/>
  <c r="E118" i="17"/>
  <c r="M33" i="15"/>
  <c r="L33"/>
  <c r="BD32"/>
  <c r="BD152"/>
  <c r="M32"/>
  <c r="L32"/>
  <c r="BD31"/>
  <c r="M31"/>
  <c r="BD30"/>
  <c r="M30"/>
  <c r="L30"/>
  <c r="L31"/>
  <c r="BD29"/>
  <c r="M29"/>
  <c r="L29"/>
  <c r="BD28"/>
  <c r="BD148"/>
  <c r="M28"/>
  <c r="L28"/>
  <c r="BD27"/>
  <c r="E17" i="17"/>
  <c r="M27" i="15"/>
  <c r="L27"/>
  <c r="BD26"/>
  <c r="E16" i="17"/>
  <c r="M26" i="15"/>
  <c r="L26"/>
  <c r="BD25"/>
  <c r="E15" i="17"/>
  <c r="M25" i="15"/>
  <c r="L25"/>
  <c r="BD24"/>
  <c r="BD144"/>
  <c r="E114" i="17"/>
  <c r="M24" i="15"/>
  <c r="L24"/>
  <c r="BD23"/>
  <c r="E13" i="17"/>
  <c r="M23" i="15"/>
  <c r="L23"/>
  <c r="BD22"/>
  <c r="E12" i="17"/>
  <c r="M22" i="15"/>
  <c r="L22"/>
  <c r="BD21"/>
  <c r="E11" i="17"/>
  <c r="M21" i="15"/>
  <c r="L21"/>
  <c r="BD20"/>
  <c r="BD140"/>
  <c r="E110" i="17"/>
  <c r="M20" i="15"/>
  <c r="L20"/>
  <c r="BD19"/>
  <c r="E9" i="17"/>
  <c r="M19" i="15"/>
  <c r="L19"/>
  <c r="BD18"/>
  <c r="E8" i="17"/>
  <c r="M18" i="15"/>
  <c r="L18"/>
  <c r="K4"/>
  <c r="O4"/>
  <c r="H3"/>
  <c r="H2"/>
  <c r="G18"/>
  <c r="S18"/>
  <c r="BD141"/>
  <c r="E111" i="17"/>
  <c r="A138" i="15"/>
  <c r="B138"/>
  <c r="BE137"/>
  <c r="AS137"/>
  <c r="AV137"/>
  <c r="BE136"/>
  <c r="AV136"/>
  <c r="AS136"/>
  <c r="BE135"/>
  <c r="AV135"/>
  <c r="AS135"/>
  <c r="BE134"/>
  <c r="AV134"/>
  <c r="AS134"/>
  <c r="BE133"/>
  <c r="AS133"/>
  <c r="AV133"/>
  <c r="BE132"/>
  <c r="AV132"/>
  <c r="AS132"/>
  <c r="BE131"/>
  <c r="AV131"/>
  <c r="AS131"/>
  <c r="BE130"/>
  <c r="AV130"/>
  <c r="AS130"/>
  <c r="BE129"/>
  <c r="AV129"/>
  <c r="AS129"/>
  <c r="BE128"/>
  <c r="AV128"/>
  <c r="AS128"/>
  <c r="BE127"/>
  <c r="AS127"/>
  <c r="AV127"/>
  <c r="BE126"/>
  <c r="AV126"/>
  <c r="AS126"/>
  <c r="BE125"/>
  <c r="AV125"/>
  <c r="AS125"/>
  <c r="BE124"/>
  <c r="AV124"/>
  <c r="AS124"/>
  <c r="BE123"/>
  <c r="AS123"/>
  <c r="AV123"/>
  <c r="BE122"/>
  <c r="AV122"/>
  <c r="AS122"/>
  <c r="BE121"/>
  <c r="AV121"/>
  <c r="AS121"/>
  <c r="BE120"/>
  <c r="AV120"/>
  <c r="AS120"/>
  <c r="BE119"/>
  <c r="AS119"/>
  <c r="AV119"/>
  <c r="BE118"/>
  <c r="AV118"/>
  <c r="AS118"/>
  <c r="BE117"/>
  <c r="AV117"/>
  <c r="AS117"/>
  <c r="BE116"/>
  <c r="AV116"/>
  <c r="AS116"/>
  <c r="BE115"/>
  <c r="AS115"/>
  <c r="AV115"/>
  <c r="BE114"/>
  <c r="AV114"/>
  <c r="AS114"/>
  <c r="BE113"/>
  <c r="AV113"/>
  <c r="AS113"/>
  <c r="BE112"/>
  <c r="AV112"/>
  <c r="AS112"/>
  <c r="BE111"/>
  <c r="AV111"/>
  <c r="AS111"/>
  <c r="BE110"/>
  <c r="AS110"/>
  <c r="AV110"/>
  <c r="BE109"/>
  <c r="AS109"/>
  <c r="AV109"/>
  <c r="BE108"/>
  <c r="AV108"/>
  <c r="AS108"/>
  <c r="BE107"/>
  <c r="AV107"/>
  <c r="AS107"/>
  <c r="BE106"/>
  <c r="AS106"/>
  <c r="AV106"/>
  <c r="BE105"/>
  <c r="AV105"/>
  <c r="AS105"/>
  <c r="BE104"/>
  <c r="AV104"/>
  <c r="AS104"/>
  <c r="BE103"/>
  <c r="AV103"/>
  <c r="AS103"/>
  <c r="BE102"/>
  <c r="AS102"/>
  <c r="AV102"/>
  <c r="BE101"/>
  <c r="AV101"/>
  <c r="AS101"/>
  <c r="BE100"/>
  <c r="AV100"/>
  <c r="AS100"/>
  <c r="BE99"/>
  <c r="AV99"/>
  <c r="AS99"/>
  <c r="BE98"/>
  <c r="AS98"/>
  <c r="AV98"/>
  <c r="BE97"/>
  <c r="AS97"/>
  <c r="AV97"/>
  <c r="BE96"/>
  <c r="AV96"/>
  <c r="AS96"/>
  <c r="BE95"/>
  <c r="AV95"/>
  <c r="AS95"/>
  <c r="BE94"/>
  <c r="AS94"/>
  <c r="AV94"/>
  <c r="BE93"/>
  <c r="AS93"/>
  <c r="AV93"/>
  <c r="BE92"/>
  <c r="AV92"/>
  <c r="AS92"/>
  <c r="BE91"/>
  <c r="AS91"/>
  <c r="AV91"/>
  <c r="BE90"/>
  <c r="AV90"/>
  <c r="AS90"/>
  <c r="BE89"/>
  <c r="AV89"/>
  <c r="AS89"/>
  <c r="BE88"/>
  <c r="AV88"/>
  <c r="AS88"/>
  <c r="BE87"/>
  <c r="AS87"/>
  <c r="AV87"/>
  <c r="BE86"/>
  <c r="AS86"/>
  <c r="AV86"/>
  <c r="BE85"/>
  <c r="AV85"/>
  <c r="AS85"/>
  <c r="BE84"/>
  <c r="AV84"/>
  <c r="AS84"/>
  <c r="BE83"/>
  <c r="AS83"/>
  <c r="AV83"/>
  <c r="BE82"/>
  <c r="AS82"/>
  <c r="AV82"/>
  <c r="BE81"/>
  <c r="AV81"/>
  <c r="AS81"/>
  <c r="A81"/>
  <c r="BE80"/>
  <c r="AV80"/>
  <c r="AS80"/>
  <c r="A80"/>
  <c r="B80"/>
  <c r="BE79"/>
  <c r="AS79"/>
  <c r="AV79"/>
  <c r="C79"/>
  <c r="B79"/>
  <c r="A79"/>
  <c r="BE78"/>
  <c r="AS78"/>
  <c r="AV78"/>
  <c r="B78"/>
  <c r="C78"/>
  <c r="D78"/>
  <c r="BD196"/>
  <c r="E156" i="17"/>
  <c r="BD195" i="15"/>
  <c r="E155" i="17"/>
  <c r="BD188" i="15"/>
  <c r="E148" i="17"/>
  <c r="BD180" i="15"/>
  <c r="BD179"/>
  <c r="BD172"/>
  <c r="E137" i="17"/>
  <c r="BD171" i="15"/>
  <c r="E136" i="17"/>
  <c r="BD166" i="15"/>
  <c r="E131" i="17"/>
  <c r="BD162" i="15"/>
  <c r="E127" i="17"/>
  <c r="F46" i="2"/>
  <c r="F13" i="5"/>
  <c r="BD159" i="15"/>
  <c r="E124" i="17"/>
  <c r="BD158" i="15"/>
  <c r="E123" i="17"/>
  <c r="BD151" i="15"/>
  <c r="BD150"/>
  <c r="BD147"/>
  <c r="E117" i="17"/>
  <c r="BD146" i="15"/>
  <c r="E116" i="17"/>
  <c r="BD143" i="15"/>
  <c r="E113" i="17"/>
  <c r="BD142" i="15"/>
  <c r="E112" i="17"/>
  <c r="A20" i="15"/>
  <c r="BD139"/>
  <c r="E109" i="17"/>
  <c r="D19" i="15"/>
  <c r="C19"/>
  <c r="B19"/>
  <c r="A19"/>
  <c r="A139"/>
  <c r="BD138"/>
  <c r="E108" i="17"/>
  <c r="C18" i="15"/>
  <c r="B18"/>
  <c r="AL17"/>
  <c r="AE17"/>
  <c r="AO17"/>
  <c r="AD17"/>
  <c r="AN17"/>
  <c r="AC17"/>
  <c r="AM17"/>
  <c r="AB17"/>
  <c r="AA17"/>
  <c r="AK17"/>
  <c r="Z17"/>
  <c r="AJ17"/>
  <c r="Y17"/>
  <c r="AI17"/>
  <c r="X17"/>
  <c r="AH17"/>
  <c r="AL5"/>
  <c r="AL4"/>
  <c r="AI4"/>
  <c r="AI5"/>
  <c r="AI6"/>
  <c r="AI3"/>
  <c r="O278" i="12"/>
  <c r="I278"/>
  <c r="O277"/>
  <c r="I277"/>
  <c r="O276"/>
  <c r="I276"/>
  <c r="O275"/>
  <c r="I275"/>
  <c r="O274"/>
  <c r="I274"/>
  <c r="O273"/>
  <c r="I273"/>
  <c r="O272"/>
  <c r="I272"/>
  <c r="O271"/>
  <c r="I271"/>
  <c r="O270"/>
  <c r="I270"/>
  <c r="O269"/>
  <c r="I269"/>
  <c r="O268"/>
  <c r="I268"/>
  <c r="O267"/>
  <c r="I267"/>
  <c r="O266"/>
  <c r="I266"/>
  <c r="O265"/>
  <c r="I265"/>
  <c r="O264"/>
  <c r="I264"/>
  <c r="O263"/>
  <c r="I263"/>
  <c r="O262"/>
  <c r="I262"/>
  <c r="O261"/>
  <c r="I261"/>
  <c r="O260"/>
  <c r="I260"/>
  <c r="O259"/>
  <c r="I259"/>
  <c r="O258"/>
  <c r="I258"/>
  <c r="O257"/>
  <c r="I257"/>
  <c r="O256"/>
  <c r="I256"/>
  <c r="O255"/>
  <c r="I255"/>
  <c r="O254"/>
  <c r="I254"/>
  <c r="O253"/>
  <c r="I253"/>
  <c r="O252"/>
  <c r="I252"/>
  <c r="O251"/>
  <c r="I251"/>
  <c r="O250"/>
  <c r="I250"/>
  <c r="O249"/>
  <c r="I249"/>
  <c r="O248"/>
  <c r="I248"/>
  <c r="O247"/>
  <c r="I247"/>
  <c r="O246"/>
  <c r="I246"/>
  <c r="O245"/>
  <c r="I245"/>
  <c r="O244"/>
  <c r="I244"/>
  <c r="O243"/>
  <c r="I243"/>
  <c r="O242"/>
  <c r="I242"/>
  <c r="O241"/>
  <c r="I241"/>
  <c r="O240"/>
  <c r="I240"/>
  <c r="O239"/>
  <c r="I239"/>
  <c r="O238"/>
  <c r="I238"/>
  <c r="O237"/>
  <c r="I237"/>
  <c r="O236"/>
  <c r="I236"/>
  <c r="O235"/>
  <c r="I235"/>
  <c r="O234"/>
  <c r="I234"/>
  <c r="O233"/>
  <c r="I233"/>
  <c r="O232"/>
  <c r="I232"/>
  <c r="O231"/>
  <c r="I231"/>
  <c r="O230"/>
  <c r="I230"/>
  <c r="O229"/>
  <c r="I229"/>
  <c r="O228"/>
  <c r="I228"/>
  <c r="O227"/>
  <c r="I227"/>
  <c r="O226"/>
  <c r="I226"/>
  <c r="O225"/>
  <c r="I225"/>
  <c r="O224"/>
  <c r="I224"/>
  <c r="O223"/>
  <c r="I223"/>
  <c r="O222"/>
  <c r="I222"/>
  <c r="O221"/>
  <c r="I221"/>
  <c r="O220"/>
  <c r="I220"/>
  <c r="O219"/>
  <c r="I219"/>
  <c r="O218"/>
  <c r="I218"/>
  <c r="O217"/>
  <c r="I217"/>
  <c r="O216"/>
  <c r="I216"/>
  <c r="O215"/>
  <c r="I215"/>
  <c r="O214"/>
  <c r="I214"/>
  <c r="O213"/>
  <c r="I213"/>
  <c r="O212"/>
  <c r="I212"/>
  <c r="O211"/>
  <c r="I211"/>
  <c r="O210"/>
  <c r="I210"/>
  <c r="O209"/>
  <c r="I209"/>
  <c r="O208"/>
  <c r="I208"/>
  <c r="O207"/>
  <c r="I207"/>
  <c r="O206"/>
  <c r="I206"/>
  <c r="O205"/>
  <c r="I205"/>
  <c r="O204"/>
  <c r="I204"/>
  <c r="O203"/>
  <c r="I203"/>
  <c r="O202"/>
  <c r="I202"/>
  <c r="O201"/>
  <c r="I201"/>
  <c r="O200"/>
  <c r="I200"/>
  <c r="O199"/>
  <c r="I199"/>
  <c r="O198"/>
  <c r="I198"/>
  <c r="O197"/>
  <c r="I197"/>
  <c r="O196"/>
  <c r="I196"/>
  <c r="O195"/>
  <c r="I195"/>
  <c r="O194"/>
  <c r="I194"/>
  <c r="O193"/>
  <c r="I193"/>
  <c r="O192"/>
  <c r="I192"/>
  <c r="O191"/>
  <c r="I191"/>
  <c r="O190"/>
  <c r="I190"/>
  <c r="O189"/>
  <c r="I189"/>
  <c r="O188"/>
  <c r="I188"/>
  <c r="O187"/>
  <c r="I187"/>
  <c r="O186"/>
  <c r="I186"/>
  <c r="O185"/>
  <c r="I185"/>
  <c r="O184"/>
  <c r="I184"/>
  <c r="O183"/>
  <c r="I183"/>
  <c r="O182"/>
  <c r="I182"/>
  <c r="O181"/>
  <c r="I181"/>
  <c r="O180"/>
  <c r="I180"/>
  <c r="O179"/>
  <c r="I179"/>
  <c r="O178"/>
  <c r="I178"/>
  <c r="O177"/>
  <c r="I177"/>
  <c r="O176"/>
  <c r="I176"/>
  <c r="O175"/>
  <c r="I175"/>
  <c r="O174"/>
  <c r="I174"/>
  <c r="O173"/>
  <c r="I173"/>
  <c r="O172"/>
  <c r="I172"/>
  <c r="O171"/>
  <c r="I171"/>
  <c r="O170"/>
  <c r="I170"/>
  <c r="O169"/>
  <c r="I169"/>
  <c r="O168"/>
  <c r="I168"/>
  <c r="O167"/>
  <c r="I167"/>
  <c r="O166"/>
  <c r="I166"/>
  <c r="O165"/>
  <c r="I165"/>
  <c r="O164"/>
  <c r="I164"/>
  <c r="O163"/>
  <c r="I163"/>
  <c r="O162"/>
  <c r="I162"/>
  <c r="O161"/>
  <c r="I161"/>
  <c r="O160"/>
  <c r="I160"/>
  <c r="O159"/>
  <c r="I159"/>
  <c r="O158"/>
  <c r="I158"/>
  <c r="O157"/>
  <c r="I157"/>
  <c r="O156"/>
  <c r="I156"/>
  <c r="O155"/>
  <c r="I155"/>
  <c r="O154"/>
  <c r="I154"/>
  <c r="O153"/>
  <c r="I153"/>
  <c r="O152"/>
  <c r="I152"/>
  <c r="O151"/>
  <c r="I151"/>
  <c r="O150"/>
  <c r="I150"/>
  <c r="O149"/>
  <c r="I149"/>
  <c r="O148"/>
  <c r="I148"/>
  <c r="O147"/>
  <c r="I147"/>
  <c r="O146"/>
  <c r="I146"/>
  <c r="O145"/>
  <c r="I145"/>
  <c r="O144"/>
  <c r="I144"/>
  <c r="O143"/>
  <c r="I143"/>
  <c r="O142"/>
  <c r="I142"/>
  <c r="O141"/>
  <c r="I141"/>
  <c r="O140"/>
  <c r="I140"/>
  <c r="O139"/>
  <c r="I139"/>
  <c r="O138"/>
  <c r="I138"/>
  <c r="O137"/>
  <c r="I137"/>
  <c r="O136"/>
  <c r="I136"/>
  <c r="O135"/>
  <c r="I135"/>
  <c r="O134"/>
  <c r="I134"/>
  <c r="O133"/>
  <c r="I133"/>
  <c r="O132"/>
  <c r="I132"/>
  <c r="O131"/>
  <c r="I131"/>
  <c r="O130"/>
  <c r="I130"/>
  <c r="O129"/>
  <c r="I129"/>
  <c r="O128"/>
  <c r="I128"/>
  <c r="O127"/>
  <c r="I127"/>
  <c r="O126"/>
  <c r="I126"/>
  <c r="O125"/>
  <c r="I125"/>
  <c r="O124"/>
  <c r="I124"/>
  <c r="O123"/>
  <c r="I123"/>
  <c r="O122"/>
  <c r="I122"/>
  <c r="O121"/>
  <c r="I121"/>
  <c r="O120"/>
  <c r="I120"/>
  <c r="O119"/>
  <c r="I119"/>
  <c r="O118"/>
  <c r="I118"/>
  <c r="O117"/>
  <c r="I117"/>
  <c r="O116"/>
  <c r="I116"/>
  <c r="O115"/>
  <c r="I115"/>
  <c r="O114"/>
  <c r="I114"/>
  <c r="O113"/>
  <c r="I113"/>
  <c r="O112"/>
  <c r="I112"/>
  <c r="O111"/>
  <c r="I111"/>
  <c r="O110"/>
  <c r="I110"/>
  <c r="O109"/>
  <c r="I109"/>
  <c r="O108"/>
  <c r="I108"/>
  <c r="O107"/>
  <c r="I107"/>
  <c r="O106"/>
  <c r="I106"/>
  <c r="O105"/>
  <c r="I105"/>
  <c r="O104"/>
  <c r="I104"/>
  <c r="O103"/>
  <c r="I103"/>
  <c r="O102"/>
  <c r="I102"/>
  <c r="O101"/>
  <c r="I101"/>
  <c r="O100"/>
  <c r="I100"/>
  <c r="O99"/>
  <c r="I99"/>
  <c r="O98"/>
  <c r="I98"/>
  <c r="O97"/>
  <c r="I97"/>
  <c r="O96"/>
  <c r="I96"/>
  <c r="O95"/>
  <c r="I95"/>
  <c r="O94"/>
  <c r="I94"/>
  <c r="O93"/>
  <c r="I93"/>
  <c r="O92"/>
  <c r="I92"/>
  <c r="O91"/>
  <c r="I91"/>
  <c r="O90"/>
  <c r="I90"/>
  <c r="O89"/>
  <c r="I89"/>
  <c r="O88"/>
  <c r="I88"/>
  <c r="O87"/>
  <c r="I87"/>
  <c r="O86"/>
  <c r="I86"/>
  <c r="O85"/>
  <c r="I85"/>
  <c r="O84"/>
  <c r="I84"/>
  <c r="O83"/>
  <c r="I83"/>
  <c r="O82"/>
  <c r="I82"/>
  <c r="O81"/>
  <c r="I81"/>
  <c r="O80"/>
  <c r="I80"/>
  <c r="O79"/>
  <c r="I79"/>
  <c r="O78"/>
  <c r="I78"/>
  <c r="O77"/>
  <c r="I77"/>
  <c r="O76"/>
  <c r="I76"/>
  <c r="O75"/>
  <c r="I75"/>
  <c r="O74"/>
  <c r="I74"/>
  <c r="O73"/>
  <c r="I73"/>
  <c r="O72"/>
  <c r="I72"/>
  <c r="O71"/>
  <c r="I71"/>
  <c r="O70"/>
  <c r="I70"/>
  <c r="O69"/>
  <c r="I69"/>
  <c r="O68"/>
  <c r="I68"/>
  <c r="O67"/>
  <c r="I67"/>
  <c r="O66"/>
  <c r="I66"/>
  <c r="O65"/>
  <c r="I65"/>
  <c r="O64"/>
  <c r="I64"/>
  <c r="O63"/>
  <c r="I63"/>
  <c r="O62"/>
  <c r="I62"/>
  <c r="O61"/>
  <c r="I61"/>
  <c r="O60"/>
  <c r="I60"/>
  <c r="O59"/>
  <c r="I59"/>
  <c r="O58"/>
  <c r="I58"/>
  <c r="O57"/>
  <c r="I57"/>
  <c r="O56"/>
  <c r="I56"/>
  <c r="O55"/>
  <c r="I55"/>
  <c r="O54"/>
  <c r="I54"/>
  <c r="O53"/>
  <c r="I53"/>
  <c r="O52"/>
  <c r="I52"/>
  <c r="O51"/>
  <c r="I51"/>
  <c r="O50"/>
  <c r="I50"/>
  <c r="O49"/>
  <c r="I49"/>
  <c r="O48"/>
  <c r="I48"/>
  <c r="O47"/>
  <c r="I47"/>
  <c r="O46"/>
  <c r="I46"/>
  <c r="O45"/>
  <c r="I45"/>
  <c r="O44"/>
  <c r="I44"/>
  <c r="O43"/>
  <c r="I43"/>
  <c r="O42"/>
  <c r="I42"/>
  <c r="O41"/>
  <c r="I41"/>
  <c r="O40"/>
  <c r="I40"/>
  <c r="O39"/>
  <c r="I39"/>
  <c r="O38"/>
  <c r="I38"/>
  <c r="O37"/>
  <c r="I37"/>
  <c r="O36"/>
  <c r="I36"/>
  <c r="O35"/>
  <c r="I35"/>
  <c r="O34"/>
  <c r="I34"/>
  <c r="O33"/>
  <c r="I33"/>
  <c r="O32"/>
  <c r="I32"/>
  <c r="O31"/>
  <c r="I31"/>
  <c r="O30"/>
  <c r="I30"/>
  <c r="Q19"/>
  <c r="Q18"/>
  <c r="Q14"/>
  <c r="Q13"/>
  <c r="Q12"/>
  <c r="Q11"/>
  <c r="Q10"/>
  <c r="AD1"/>
  <c r="AD9"/>
  <c r="AE3"/>
  <c r="AD3"/>
  <c r="AC3"/>
  <c r="AB3"/>
  <c r="AA3"/>
  <c r="Z3"/>
  <c r="Y3"/>
  <c r="X3"/>
  <c r="W3"/>
  <c r="V3"/>
  <c r="U3"/>
  <c r="T3"/>
  <c r="AE1"/>
  <c r="AC1"/>
  <c r="AA1"/>
  <c r="AA9"/>
  <c r="Z1"/>
  <c r="X1"/>
  <c r="W1"/>
  <c r="U1"/>
  <c r="T1"/>
  <c r="F3" i="14"/>
  <c r="K2" i="15"/>
  <c r="O2"/>
  <c r="H19"/>
  <c r="AB279" i="12"/>
  <c r="Y279"/>
  <c r="M279"/>
  <c r="L279"/>
  <c r="AI278"/>
  <c r="K278"/>
  <c r="J278"/>
  <c r="AI277"/>
  <c r="K277"/>
  <c r="J277"/>
  <c r="L277"/>
  <c r="AI276"/>
  <c r="K276"/>
  <c r="J276"/>
  <c r="L276"/>
  <c r="AI275"/>
  <c r="K275"/>
  <c r="J275"/>
  <c r="AI274"/>
  <c r="K274"/>
  <c r="J274"/>
  <c r="AI273"/>
  <c r="K273"/>
  <c r="J273"/>
  <c r="M273"/>
  <c r="AI272"/>
  <c r="K272"/>
  <c r="J272"/>
  <c r="M272"/>
  <c r="AI271"/>
  <c r="K271"/>
  <c r="J271"/>
  <c r="AI270"/>
  <c r="K270"/>
  <c r="J270"/>
  <c r="AI269"/>
  <c r="K269"/>
  <c r="J269"/>
  <c r="M269"/>
  <c r="AI268"/>
  <c r="K268"/>
  <c r="J268"/>
  <c r="M268"/>
  <c r="AI267"/>
  <c r="K267"/>
  <c r="J267"/>
  <c r="AI266"/>
  <c r="K266"/>
  <c r="J266"/>
  <c r="AI265"/>
  <c r="K265"/>
  <c r="J265"/>
  <c r="M265"/>
  <c r="AI264"/>
  <c r="K264"/>
  <c r="J264"/>
  <c r="M264"/>
  <c r="AI263"/>
  <c r="K263"/>
  <c r="J263"/>
  <c r="AI262"/>
  <c r="K262"/>
  <c r="J262"/>
  <c r="AI261"/>
  <c r="K261"/>
  <c r="J261"/>
  <c r="M261"/>
  <c r="AI260"/>
  <c r="K260"/>
  <c r="J260"/>
  <c r="M260"/>
  <c r="AI259"/>
  <c r="K259"/>
  <c r="J259"/>
  <c r="AI258"/>
  <c r="K258"/>
  <c r="J258"/>
  <c r="AI257"/>
  <c r="K257"/>
  <c r="J257"/>
  <c r="M257"/>
  <c r="AI256"/>
  <c r="K256"/>
  <c r="J256"/>
  <c r="M256"/>
  <c r="AI255"/>
  <c r="K255"/>
  <c r="J255"/>
  <c r="AI254"/>
  <c r="K254"/>
  <c r="J254"/>
  <c r="AI253"/>
  <c r="K253"/>
  <c r="J253"/>
  <c r="M253"/>
  <c r="AI252"/>
  <c r="K252"/>
  <c r="J252"/>
  <c r="M252"/>
  <c r="AI251"/>
  <c r="K251"/>
  <c r="J251"/>
  <c r="AI250"/>
  <c r="K250"/>
  <c r="J250"/>
  <c r="AI249"/>
  <c r="K249"/>
  <c r="J249"/>
  <c r="M249"/>
  <c r="AI248"/>
  <c r="K248"/>
  <c r="J248"/>
  <c r="M248"/>
  <c r="AI247"/>
  <c r="K247"/>
  <c r="J247"/>
  <c r="AI246"/>
  <c r="K246"/>
  <c r="J246"/>
  <c r="AI245"/>
  <c r="K245"/>
  <c r="J245"/>
  <c r="M245"/>
  <c r="AI244"/>
  <c r="K244"/>
  <c r="J244"/>
  <c r="M244"/>
  <c r="AI243"/>
  <c r="K243"/>
  <c r="J243"/>
  <c r="AI242"/>
  <c r="K242"/>
  <c r="J242"/>
  <c r="AI241"/>
  <c r="K241"/>
  <c r="J241"/>
  <c r="M241"/>
  <c r="AI240"/>
  <c r="K240"/>
  <c r="J240"/>
  <c r="M240"/>
  <c r="AI239"/>
  <c r="K239"/>
  <c r="J239"/>
  <c r="AI238"/>
  <c r="K238"/>
  <c r="J238"/>
  <c r="AI237"/>
  <c r="K237"/>
  <c r="J237"/>
  <c r="M237"/>
  <c r="AI236"/>
  <c r="K236"/>
  <c r="J236"/>
  <c r="M236"/>
  <c r="AI235"/>
  <c r="K235"/>
  <c r="J235"/>
  <c r="AI234"/>
  <c r="K234"/>
  <c r="J234"/>
  <c r="AI233"/>
  <c r="K233"/>
  <c r="J233"/>
  <c r="M233"/>
  <c r="AI232"/>
  <c r="K232"/>
  <c r="J232"/>
  <c r="M232"/>
  <c r="AI231"/>
  <c r="K231"/>
  <c r="J231"/>
  <c r="AI230"/>
  <c r="K230"/>
  <c r="J230"/>
  <c r="AI229"/>
  <c r="K229"/>
  <c r="J229"/>
  <c r="M229"/>
  <c r="AI228"/>
  <c r="K228"/>
  <c r="J228"/>
  <c r="M228"/>
  <c r="AI227"/>
  <c r="K227"/>
  <c r="J227"/>
  <c r="L227"/>
  <c r="AI226"/>
  <c r="K226"/>
  <c r="J226"/>
  <c r="AI225"/>
  <c r="M225"/>
  <c r="K225"/>
  <c r="J225"/>
  <c r="L225"/>
  <c r="AI224"/>
  <c r="M224"/>
  <c r="K224"/>
  <c r="J224"/>
  <c r="L224"/>
  <c r="AI223"/>
  <c r="K223"/>
  <c r="J223"/>
  <c r="AI222"/>
  <c r="K222"/>
  <c r="J222"/>
  <c r="AI221"/>
  <c r="K221"/>
  <c r="J221"/>
  <c r="L221"/>
  <c r="AI220"/>
  <c r="K220"/>
  <c r="J220"/>
  <c r="L220"/>
  <c r="AI219"/>
  <c r="M219"/>
  <c r="K219"/>
  <c r="J219"/>
  <c r="AI218"/>
  <c r="K218"/>
  <c r="J218"/>
  <c r="AI217"/>
  <c r="M217"/>
  <c r="K217"/>
  <c r="J217"/>
  <c r="AI216"/>
  <c r="M216"/>
  <c r="K216"/>
  <c r="J216"/>
  <c r="L216"/>
  <c r="AI215"/>
  <c r="K215"/>
  <c r="J215"/>
  <c r="AI214"/>
  <c r="K214"/>
  <c r="J214"/>
  <c r="AI213"/>
  <c r="M213"/>
  <c r="K213"/>
  <c r="J213"/>
  <c r="L213"/>
  <c r="AI212"/>
  <c r="K212"/>
  <c r="J212"/>
  <c r="L212"/>
  <c r="AH212"/>
  <c r="AI211"/>
  <c r="K211"/>
  <c r="J211"/>
  <c r="L211"/>
  <c r="AI210"/>
  <c r="K210"/>
  <c r="J210"/>
  <c r="M210"/>
  <c r="AI209"/>
  <c r="K209"/>
  <c r="J209"/>
  <c r="AI208"/>
  <c r="K208"/>
  <c r="J208"/>
  <c r="M208"/>
  <c r="AI207"/>
  <c r="K207"/>
  <c r="J207"/>
  <c r="AI206"/>
  <c r="K206"/>
  <c r="J206"/>
  <c r="AI205"/>
  <c r="K205"/>
  <c r="J205"/>
  <c r="L205"/>
  <c r="AI204"/>
  <c r="M204"/>
  <c r="K204"/>
  <c r="J204"/>
  <c r="AI203"/>
  <c r="M203"/>
  <c r="K203"/>
  <c r="J203"/>
  <c r="AI202"/>
  <c r="K202"/>
  <c r="J202"/>
  <c r="AI201"/>
  <c r="K201"/>
  <c r="J201"/>
  <c r="M201"/>
  <c r="AI200"/>
  <c r="K200"/>
  <c r="J200"/>
  <c r="L200"/>
  <c r="AI199"/>
  <c r="K199"/>
  <c r="J199"/>
  <c r="AI198"/>
  <c r="K198"/>
  <c r="J198"/>
  <c r="M198"/>
  <c r="AI197"/>
  <c r="M197"/>
  <c r="K197"/>
  <c r="J197"/>
  <c r="L197"/>
  <c r="AI196"/>
  <c r="K196"/>
  <c r="J196"/>
  <c r="L196"/>
  <c r="AI195"/>
  <c r="M195"/>
  <c r="K195"/>
  <c r="J195"/>
  <c r="AI194"/>
  <c r="K194"/>
  <c r="J194"/>
  <c r="AI193"/>
  <c r="K193"/>
  <c r="J193"/>
  <c r="AI192"/>
  <c r="M192"/>
  <c r="K192"/>
  <c r="J192"/>
  <c r="L192"/>
  <c r="AI191"/>
  <c r="K191"/>
  <c r="J191"/>
  <c r="AI190"/>
  <c r="K190"/>
  <c r="J190"/>
  <c r="AI189"/>
  <c r="K189"/>
  <c r="J189"/>
  <c r="L189"/>
  <c r="AI188"/>
  <c r="M188"/>
  <c r="K188"/>
  <c r="J188"/>
  <c r="L188"/>
  <c r="AI187"/>
  <c r="K187"/>
  <c r="J187"/>
  <c r="AI186"/>
  <c r="K186"/>
  <c r="J186"/>
  <c r="AI185"/>
  <c r="M185"/>
  <c r="K185"/>
  <c r="J185"/>
  <c r="AI184"/>
  <c r="K184"/>
  <c r="J184"/>
  <c r="M184"/>
  <c r="AI183"/>
  <c r="K183"/>
  <c r="J183"/>
  <c r="L183"/>
  <c r="Q183"/>
  <c r="AI182"/>
  <c r="K182"/>
  <c r="J182"/>
  <c r="M182"/>
  <c r="AI181"/>
  <c r="M181"/>
  <c r="K181"/>
  <c r="J181"/>
  <c r="L181"/>
  <c r="AI180"/>
  <c r="K180"/>
  <c r="J180"/>
  <c r="L180"/>
  <c r="AI179"/>
  <c r="K179"/>
  <c r="J179"/>
  <c r="AI178"/>
  <c r="K178"/>
  <c r="J178"/>
  <c r="AI177"/>
  <c r="K177"/>
  <c r="J177"/>
  <c r="AI176"/>
  <c r="M176"/>
  <c r="K176"/>
  <c r="J176"/>
  <c r="L176"/>
  <c r="AI175"/>
  <c r="K175"/>
  <c r="J175"/>
  <c r="AI174"/>
  <c r="K174"/>
  <c r="J174"/>
  <c r="M174"/>
  <c r="AI173"/>
  <c r="M173"/>
  <c r="K173"/>
  <c r="J173"/>
  <c r="L173"/>
  <c r="AI172"/>
  <c r="K172"/>
  <c r="J172"/>
  <c r="M172"/>
  <c r="AI171"/>
  <c r="K171"/>
  <c r="J171"/>
  <c r="AI170"/>
  <c r="K170"/>
  <c r="J170"/>
  <c r="AI169"/>
  <c r="M169"/>
  <c r="K169"/>
  <c r="J169"/>
  <c r="AI168"/>
  <c r="K168"/>
  <c r="J168"/>
  <c r="M168"/>
  <c r="AI167"/>
  <c r="K167"/>
  <c r="J167"/>
  <c r="AI166"/>
  <c r="K166"/>
  <c r="J166"/>
  <c r="L166"/>
  <c r="AH166"/>
  <c r="AI165"/>
  <c r="M165"/>
  <c r="K165"/>
  <c r="J165"/>
  <c r="L165"/>
  <c r="AI164"/>
  <c r="K164"/>
  <c r="J164"/>
  <c r="AI163"/>
  <c r="K163"/>
  <c r="J163"/>
  <c r="AI162"/>
  <c r="K162"/>
  <c r="J162"/>
  <c r="AI161"/>
  <c r="K161"/>
  <c r="J161"/>
  <c r="AI160"/>
  <c r="M160"/>
  <c r="K160"/>
  <c r="J160"/>
  <c r="L160"/>
  <c r="AI159"/>
  <c r="K159"/>
  <c r="J159"/>
  <c r="AI158"/>
  <c r="K158"/>
  <c r="J158"/>
  <c r="AI157"/>
  <c r="M157"/>
  <c r="K157"/>
  <c r="J157"/>
  <c r="L157"/>
  <c r="AI156"/>
  <c r="K156"/>
  <c r="J156"/>
  <c r="AI155"/>
  <c r="K155"/>
  <c r="J155"/>
  <c r="AI154"/>
  <c r="M154"/>
  <c r="K154"/>
  <c r="J154"/>
  <c r="AI153"/>
  <c r="K153"/>
  <c r="J153"/>
  <c r="L153"/>
  <c r="AI152"/>
  <c r="M152"/>
  <c r="K152"/>
  <c r="J152"/>
  <c r="L152"/>
  <c r="Q152"/>
  <c r="AI151"/>
  <c r="K151"/>
  <c r="J151"/>
  <c r="AI150"/>
  <c r="K150"/>
  <c r="J150"/>
  <c r="AI149"/>
  <c r="K149"/>
  <c r="J149"/>
  <c r="M149"/>
  <c r="AI148"/>
  <c r="K148"/>
  <c r="J148"/>
  <c r="M148"/>
  <c r="AI147"/>
  <c r="K147"/>
  <c r="J147"/>
  <c r="AI146"/>
  <c r="K146"/>
  <c r="J146"/>
  <c r="AI145"/>
  <c r="K145"/>
  <c r="J145"/>
  <c r="AI144"/>
  <c r="K144"/>
  <c r="J144"/>
  <c r="M144"/>
  <c r="AI143"/>
  <c r="K143"/>
  <c r="J143"/>
  <c r="AI142"/>
  <c r="K142"/>
  <c r="J142"/>
  <c r="AI141"/>
  <c r="K141"/>
  <c r="J141"/>
  <c r="M141"/>
  <c r="AI140"/>
  <c r="K140"/>
  <c r="J140"/>
  <c r="M140"/>
  <c r="AI139"/>
  <c r="K139"/>
  <c r="J139"/>
  <c r="AI138"/>
  <c r="K138"/>
  <c r="J138"/>
  <c r="AI137"/>
  <c r="K137"/>
  <c r="J137"/>
  <c r="M137"/>
  <c r="AI136"/>
  <c r="K136"/>
  <c r="J136"/>
  <c r="M136"/>
  <c r="AI135"/>
  <c r="K135"/>
  <c r="J135"/>
  <c r="AI134"/>
  <c r="K134"/>
  <c r="J134"/>
  <c r="M134"/>
  <c r="AI133"/>
  <c r="K133"/>
  <c r="J133"/>
  <c r="M133"/>
  <c r="AI132"/>
  <c r="K132"/>
  <c r="J132"/>
  <c r="M132"/>
  <c r="AI131"/>
  <c r="K131"/>
  <c r="J131"/>
  <c r="AI130"/>
  <c r="K130"/>
  <c r="J130"/>
  <c r="M130"/>
  <c r="AI129"/>
  <c r="K129"/>
  <c r="J129"/>
  <c r="AI128"/>
  <c r="K128"/>
  <c r="J128"/>
  <c r="M128"/>
  <c r="AI127"/>
  <c r="K127"/>
  <c r="J127"/>
  <c r="M127"/>
  <c r="AI126"/>
  <c r="K126"/>
  <c r="J126"/>
  <c r="M126"/>
  <c r="AI125"/>
  <c r="K125"/>
  <c r="J125"/>
  <c r="M125"/>
  <c r="AI124"/>
  <c r="K124"/>
  <c r="J124"/>
  <c r="M124"/>
  <c r="AI123"/>
  <c r="K123"/>
  <c r="J123"/>
  <c r="M123"/>
  <c r="AI122"/>
  <c r="K122"/>
  <c r="J122"/>
  <c r="M122"/>
  <c r="AI121"/>
  <c r="K121"/>
  <c r="J121"/>
  <c r="M121"/>
  <c r="AI120"/>
  <c r="K120"/>
  <c r="J120"/>
  <c r="M120"/>
  <c r="AI119"/>
  <c r="K119"/>
  <c r="J119"/>
  <c r="AI118"/>
  <c r="K118"/>
  <c r="J118"/>
  <c r="AI117"/>
  <c r="K117"/>
  <c r="J117"/>
  <c r="M117"/>
  <c r="AI116"/>
  <c r="K116"/>
  <c r="J116"/>
  <c r="M116"/>
  <c r="AI115"/>
  <c r="K115"/>
  <c r="J115"/>
  <c r="AI114"/>
  <c r="K114"/>
  <c r="J114"/>
  <c r="AI113"/>
  <c r="K113"/>
  <c r="J113"/>
  <c r="AI112"/>
  <c r="K112"/>
  <c r="J112"/>
  <c r="M112"/>
  <c r="AI111"/>
  <c r="K111"/>
  <c r="J111"/>
  <c r="AI110"/>
  <c r="K110"/>
  <c r="J110"/>
  <c r="AI109"/>
  <c r="K109"/>
  <c r="J109"/>
  <c r="M109"/>
  <c r="AI108"/>
  <c r="K108"/>
  <c r="J108"/>
  <c r="M108"/>
  <c r="AI107"/>
  <c r="K107"/>
  <c r="J107"/>
  <c r="AI106"/>
  <c r="K106"/>
  <c r="J106"/>
  <c r="AI105"/>
  <c r="K105"/>
  <c r="J105"/>
  <c r="M105"/>
  <c r="AI104"/>
  <c r="K104"/>
  <c r="J104"/>
  <c r="M104"/>
  <c r="AI103"/>
  <c r="K103"/>
  <c r="J103"/>
  <c r="AI102"/>
  <c r="K102"/>
  <c r="J102"/>
  <c r="M102"/>
  <c r="AI101"/>
  <c r="K101"/>
  <c r="J101"/>
  <c r="M101"/>
  <c r="AI100"/>
  <c r="K100"/>
  <c r="J100"/>
  <c r="M100"/>
  <c r="AI99"/>
  <c r="K99"/>
  <c r="J99"/>
  <c r="AI98"/>
  <c r="K98"/>
  <c r="J98"/>
  <c r="M98"/>
  <c r="AI97"/>
  <c r="K97"/>
  <c r="J97"/>
  <c r="AI96"/>
  <c r="K96"/>
  <c r="J96"/>
  <c r="M96"/>
  <c r="AI95"/>
  <c r="K95"/>
  <c r="J95"/>
  <c r="M95"/>
  <c r="AI94"/>
  <c r="K94"/>
  <c r="J94"/>
  <c r="M94"/>
  <c r="AI93"/>
  <c r="K93"/>
  <c r="J93"/>
  <c r="M93"/>
  <c r="AI92"/>
  <c r="K92"/>
  <c r="J92"/>
  <c r="M92"/>
  <c r="AI91"/>
  <c r="K91"/>
  <c r="J91"/>
  <c r="M91"/>
  <c r="AI90"/>
  <c r="K90"/>
  <c r="J90"/>
  <c r="M90"/>
  <c r="AI89"/>
  <c r="K89"/>
  <c r="J89"/>
  <c r="M89"/>
  <c r="AI88"/>
  <c r="K88"/>
  <c r="J88"/>
  <c r="M88"/>
  <c r="AI87"/>
  <c r="K87"/>
  <c r="J87"/>
  <c r="AI86"/>
  <c r="K86"/>
  <c r="J86"/>
  <c r="AI85"/>
  <c r="K85"/>
  <c r="J85"/>
  <c r="M85"/>
  <c r="AI84"/>
  <c r="K84"/>
  <c r="J84"/>
  <c r="M84"/>
  <c r="AI83"/>
  <c r="K83"/>
  <c r="J83"/>
  <c r="AI82"/>
  <c r="K82"/>
  <c r="J82"/>
  <c r="AI81"/>
  <c r="K81"/>
  <c r="J81"/>
  <c r="AI80"/>
  <c r="K80"/>
  <c r="J80"/>
  <c r="M80"/>
  <c r="AI79"/>
  <c r="K79"/>
  <c r="J79"/>
  <c r="AI78"/>
  <c r="K78"/>
  <c r="J78"/>
  <c r="AI77"/>
  <c r="K77"/>
  <c r="J77"/>
  <c r="M77"/>
  <c r="AI76"/>
  <c r="K76"/>
  <c r="J76"/>
  <c r="M76"/>
  <c r="AI75"/>
  <c r="K75"/>
  <c r="J75"/>
  <c r="AI74"/>
  <c r="K74"/>
  <c r="J74"/>
  <c r="AI73"/>
  <c r="K73"/>
  <c r="J73"/>
  <c r="M73"/>
  <c r="AI72"/>
  <c r="K72"/>
  <c r="J72"/>
  <c r="M72"/>
  <c r="AI71"/>
  <c r="K71"/>
  <c r="J71"/>
  <c r="AI70"/>
  <c r="K70"/>
  <c r="J70"/>
  <c r="M70"/>
  <c r="AI69"/>
  <c r="K69"/>
  <c r="J69"/>
  <c r="M69"/>
  <c r="AI68"/>
  <c r="K68"/>
  <c r="J68"/>
  <c r="M68"/>
  <c r="AI67"/>
  <c r="K67"/>
  <c r="J67"/>
  <c r="AI66"/>
  <c r="K66"/>
  <c r="J66"/>
  <c r="M66"/>
  <c r="AI65"/>
  <c r="K65"/>
  <c r="J65"/>
  <c r="AI64"/>
  <c r="K64"/>
  <c r="J64"/>
  <c r="M64"/>
  <c r="AI63"/>
  <c r="K63"/>
  <c r="J63"/>
  <c r="M63"/>
  <c r="AI62"/>
  <c r="K62"/>
  <c r="J62"/>
  <c r="M62"/>
  <c r="AI61"/>
  <c r="K61"/>
  <c r="J61"/>
  <c r="M61"/>
  <c r="AI60"/>
  <c r="K60"/>
  <c r="J60"/>
  <c r="M60"/>
  <c r="AI59"/>
  <c r="K59"/>
  <c r="J59"/>
  <c r="M59"/>
  <c r="AI58"/>
  <c r="K58"/>
  <c r="J58"/>
  <c r="M58"/>
  <c r="AI57"/>
  <c r="K57"/>
  <c r="J57"/>
  <c r="M57"/>
  <c r="AI56"/>
  <c r="K56"/>
  <c r="J56"/>
  <c r="M56"/>
  <c r="AI55"/>
  <c r="K55"/>
  <c r="J55"/>
  <c r="AI54"/>
  <c r="K54"/>
  <c r="J54"/>
  <c r="AI53"/>
  <c r="K53"/>
  <c r="J53"/>
  <c r="M53"/>
  <c r="AI52"/>
  <c r="K52"/>
  <c r="J52"/>
  <c r="M52"/>
  <c r="AI51"/>
  <c r="K51"/>
  <c r="J51"/>
  <c r="AI50"/>
  <c r="K50"/>
  <c r="J50"/>
  <c r="AI49"/>
  <c r="K49"/>
  <c r="J49"/>
  <c r="AI48"/>
  <c r="K48"/>
  <c r="J48"/>
  <c r="M48"/>
  <c r="AI47"/>
  <c r="K47"/>
  <c r="J47"/>
  <c r="AI46"/>
  <c r="K46"/>
  <c r="J46"/>
  <c r="AI45"/>
  <c r="K45"/>
  <c r="J45"/>
  <c r="M45"/>
  <c r="AI44"/>
  <c r="K44"/>
  <c r="J44"/>
  <c r="M44"/>
  <c r="AI43"/>
  <c r="K43"/>
  <c r="J43"/>
  <c r="AI42"/>
  <c r="K42"/>
  <c r="J42"/>
  <c r="AI41"/>
  <c r="K41"/>
  <c r="J41"/>
  <c r="M41"/>
  <c r="AI40"/>
  <c r="K40"/>
  <c r="J40"/>
  <c r="M40"/>
  <c r="AI39"/>
  <c r="K39"/>
  <c r="J39"/>
  <c r="AI38"/>
  <c r="K38"/>
  <c r="J38"/>
  <c r="M38"/>
  <c r="AI37"/>
  <c r="K37"/>
  <c r="J37"/>
  <c r="M37"/>
  <c r="AI36"/>
  <c r="K36"/>
  <c r="J36"/>
  <c r="M36"/>
  <c r="AI35"/>
  <c r="K35"/>
  <c r="J35"/>
  <c r="AI34"/>
  <c r="M34"/>
  <c r="K34"/>
  <c r="J34"/>
  <c r="AI33"/>
  <c r="M33"/>
  <c r="K33"/>
  <c r="J33"/>
  <c r="AI32"/>
  <c r="M32"/>
  <c r="K32"/>
  <c r="J32"/>
  <c r="L32"/>
  <c r="AI31"/>
  <c r="K31"/>
  <c r="J31"/>
  <c r="AI30"/>
  <c r="M30"/>
  <c r="K30"/>
  <c r="J30"/>
  <c r="G46" i="2"/>
  <c r="G13" i="5"/>
  <c r="E15" i="3"/>
  <c r="K40" i="2"/>
  <c r="K7" i="5"/>
  <c r="I9" i="3"/>
  <c r="H43" i="2"/>
  <c r="H10" i="5"/>
  <c r="F12" i="3"/>
  <c r="G44" i="2"/>
  <c r="G11" i="5"/>
  <c r="E13" i="3"/>
  <c r="H46" i="2"/>
  <c r="H13" i="5"/>
  <c r="F15" i="3"/>
  <c r="M46" i="2"/>
  <c r="M13" i="5"/>
  <c r="K15" i="3"/>
  <c r="Q46" i="2"/>
  <c r="Q13" i="5"/>
  <c r="K47" i="2"/>
  <c r="K14" i="5"/>
  <c r="I16" i="3"/>
  <c r="O47" i="2"/>
  <c r="O14" i="5"/>
  <c r="M16" i="3"/>
  <c r="K41" i="2"/>
  <c r="K8" i="5"/>
  <c r="I10" i="3"/>
  <c r="O43" i="2"/>
  <c r="O10" i="5"/>
  <c r="M12" i="3"/>
  <c r="K44" i="2"/>
  <c r="K11" i="5"/>
  <c r="I13" i="3"/>
  <c r="J44" i="2"/>
  <c r="J11" i="5"/>
  <c r="O44" i="2"/>
  <c r="O11" i="5"/>
  <c r="M13" i="3"/>
  <c r="O40" i="2"/>
  <c r="O7" i="5"/>
  <c r="M9" i="3"/>
  <c r="M43" i="2"/>
  <c r="M10" i="5"/>
  <c r="K12" i="3"/>
  <c r="Q44" i="2"/>
  <c r="Q11" i="5"/>
  <c r="G47" i="2"/>
  <c r="G14" i="5"/>
  <c r="E16" i="3"/>
  <c r="Q220" i="12"/>
  <c r="Q188"/>
  <c r="F67" i="19"/>
  <c r="G3" i="27"/>
  <c r="K3" i="22"/>
  <c r="O3"/>
  <c r="G3" i="26"/>
  <c r="K3" i="21"/>
  <c r="O3"/>
  <c r="E10" i="17"/>
  <c r="E14"/>
  <c r="E33"/>
  <c r="E41"/>
  <c r="E44"/>
  <c r="B67" i="19"/>
  <c r="L187" i="12"/>
  <c r="Q187"/>
  <c r="M191"/>
  <c r="Q191"/>
  <c r="E18" i="17"/>
  <c r="E30"/>
  <c r="E34"/>
  <c r="E38"/>
  <c r="E53"/>
  <c r="M44" i="2"/>
  <c r="M11" i="5"/>
  <c r="K13" i="3"/>
  <c r="Q43" i="2"/>
  <c r="Q10" i="5"/>
  <c r="F66" i="19"/>
  <c r="L158" i="12"/>
  <c r="AH158"/>
  <c r="L171"/>
  <c r="Q171"/>
  <c r="L179"/>
  <c r="Q179"/>
  <c r="L223"/>
  <c r="AH223"/>
  <c r="BD145" i="15"/>
  <c r="E115" i="17"/>
  <c r="BD149" i="15"/>
  <c r="BD155"/>
  <c r="E120" i="17"/>
  <c r="E19"/>
  <c r="H41" i="2"/>
  <c r="H8" i="5"/>
  <c r="F10" i="3"/>
  <c r="M41" i="2"/>
  <c r="M8" i="5"/>
  <c r="K10" i="3"/>
  <c r="E35" i="17"/>
  <c r="E39"/>
  <c r="E46"/>
  <c r="E50"/>
  <c r="E54"/>
  <c r="J43" i="2"/>
  <c r="J10" i="5"/>
  <c r="H44" i="2"/>
  <c r="H11" i="5"/>
  <c r="F13" i="3"/>
  <c r="K46" i="2"/>
  <c r="K13" i="5"/>
  <c r="I15" i="3"/>
  <c r="O46" i="2"/>
  <c r="O13" i="5"/>
  <c r="M15" i="3"/>
  <c r="B66" i="19"/>
  <c r="F3" i="27"/>
  <c r="K2" i="22"/>
  <c r="O2"/>
  <c r="F3" i="26"/>
  <c r="K2" i="21"/>
  <c r="O2"/>
  <c r="E29" i="17"/>
  <c r="O41" i="2"/>
  <c r="O8" i="5"/>
  <c r="M10" i="3"/>
  <c r="G3" i="14"/>
  <c r="K3" i="15"/>
  <c r="O3"/>
  <c r="H40" i="2"/>
  <c r="H7" i="5"/>
  <c r="F9" i="3"/>
  <c r="M40" i="2"/>
  <c r="M7" i="5"/>
  <c r="K9" i="3"/>
  <c r="E42" i="17"/>
  <c r="E45"/>
  <c r="E49"/>
  <c r="E57"/>
  <c r="G43" i="2"/>
  <c r="G10" i="5"/>
  <c r="E12" i="3"/>
  <c r="K43" i="2"/>
  <c r="K10" i="5"/>
  <c r="I12" i="3"/>
  <c r="L35" i="12"/>
  <c r="AH35"/>
  <c r="M162"/>
  <c r="Q162"/>
  <c r="H47" i="2"/>
  <c r="H14" i="5"/>
  <c r="F16" i="3"/>
  <c r="M47" i="2"/>
  <c r="M14" i="5"/>
  <c r="K16" i="3"/>
  <c r="Q47" i="2"/>
  <c r="Q14" i="5"/>
  <c r="Q224" i="12"/>
  <c r="Q32"/>
  <c r="Q192"/>
  <c r="Q195"/>
  <c r="Q203"/>
  <c r="Q216"/>
  <c r="Q219"/>
  <c r="AH220"/>
  <c r="Q158"/>
  <c r="Q165"/>
  <c r="Q197"/>
  <c r="Q30"/>
  <c r="Q173"/>
  <c r="Q176"/>
  <c r="Q181"/>
  <c r="Q166"/>
  <c r="Q204"/>
  <c r="G19" i="15"/>
  <c r="S19"/>
  <c r="F57" i="20"/>
  <c r="F58"/>
  <c r="B66"/>
  <c r="B67"/>
  <c r="AH154" i="12"/>
  <c r="Q154"/>
  <c r="Q33"/>
  <c r="M170"/>
  <c r="L170"/>
  <c r="AH170"/>
  <c r="AH203"/>
  <c r="Q34"/>
  <c r="AH199"/>
  <c r="M215"/>
  <c r="L215"/>
  <c r="AH211"/>
  <c r="Q211"/>
  <c r="M31"/>
  <c r="L31"/>
  <c r="AH31"/>
  <c r="M207"/>
  <c r="L207"/>
  <c r="M199"/>
  <c r="Q199"/>
  <c r="AH224"/>
  <c r="Q160"/>
  <c r="L226"/>
  <c r="Q169"/>
  <c r="Q185"/>
  <c r="Q217"/>
  <c r="AH187"/>
  <c r="Q157"/>
  <c r="Q213"/>
  <c r="Q225"/>
  <c r="AH225"/>
  <c r="Q227"/>
  <c r="AH227"/>
  <c r="Z9"/>
  <c r="AE6"/>
  <c r="A140" i="15"/>
  <c r="C20"/>
  <c r="B20"/>
  <c r="G20"/>
  <c r="G78"/>
  <c r="G79"/>
  <c r="D79"/>
  <c r="H79"/>
  <c r="A21"/>
  <c r="E19"/>
  <c r="E18"/>
  <c r="D18"/>
  <c r="H18"/>
  <c r="G80"/>
  <c r="C80"/>
  <c r="B81"/>
  <c r="G81"/>
  <c r="C81"/>
  <c r="C139"/>
  <c r="B139"/>
  <c r="G139"/>
  <c r="A82"/>
  <c r="E78"/>
  <c r="H78"/>
  <c r="G138"/>
  <c r="C138"/>
  <c r="AC6" i="12"/>
  <c r="AC9"/>
  <c r="Z6"/>
  <c r="AD6"/>
  <c r="U8"/>
  <c r="AE9"/>
  <c r="AA6"/>
  <c r="AH152"/>
  <c r="AH30"/>
  <c r="L48"/>
  <c r="Q48"/>
  <c r="L72"/>
  <c r="Q72"/>
  <c r="L76"/>
  <c r="Q76"/>
  <c r="L37"/>
  <c r="Q37"/>
  <c r="L39"/>
  <c r="Q39"/>
  <c r="L43"/>
  <c r="Q43"/>
  <c r="L45"/>
  <c r="Q45"/>
  <c r="L47"/>
  <c r="Q47"/>
  <c r="L50"/>
  <c r="Q50"/>
  <c r="L54"/>
  <c r="Q54"/>
  <c r="L58"/>
  <c r="Q58"/>
  <c r="L62"/>
  <c r="Q62"/>
  <c r="L66"/>
  <c r="Q66"/>
  <c r="L70"/>
  <c r="Q70"/>
  <c r="L74"/>
  <c r="Q74"/>
  <c r="L85"/>
  <c r="Q85"/>
  <c r="L101"/>
  <c r="Q101"/>
  <c r="L117"/>
  <c r="Q117"/>
  <c r="AH153"/>
  <c r="AH160"/>
  <c r="AH165"/>
  <c r="L36"/>
  <c r="Q36"/>
  <c r="L38"/>
  <c r="Q38"/>
  <c r="L42"/>
  <c r="Q42"/>
  <c r="L44"/>
  <c r="Q44"/>
  <c r="L46"/>
  <c r="Q46"/>
  <c r="L52"/>
  <c r="Q52"/>
  <c r="L56"/>
  <c r="Q56"/>
  <c r="L60"/>
  <c r="Q60"/>
  <c r="L68"/>
  <c r="Q68"/>
  <c r="L93"/>
  <c r="Q93"/>
  <c r="AH32"/>
  <c r="L41"/>
  <c r="Q41"/>
  <c r="AH33"/>
  <c r="L51"/>
  <c r="Q51"/>
  <c r="L55"/>
  <c r="Q55"/>
  <c r="L59"/>
  <c r="Q59"/>
  <c r="L63"/>
  <c r="Q63"/>
  <c r="L67"/>
  <c r="Q67"/>
  <c r="L71"/>
  <c r="Q71"/>
  <c r="L75"/>
  <c r="Q75"/>
  <c r="L81"/>
  <c r="Q81"/>
  <c r="L97"/>
  <c r="Q97"/>
  <c r="L113"/>
  <c r="Q113"/>
  <c r="AH157"/>
  <c r="AH164"/>
  <c r="AH34"/>
  <c r="L40"/>
  <c r="Q40"/>
  <c r="L64"/>
  <c r="Q64"/>
  <c r="L109"/>
  <c r="Q109"/>
  <c r="L125"/>
  <c r="Q125"/>
  <c r="L49"/>
  <c r="Q49"/>
  <c r="L53"/>
  <c r="Q53"/>
  <c r="L57"/>
  <c r="Q57"/>
  <c r="L61"/>
  <c r="L65"/>
  <c r="Q65"/>
  <c r="L69"/>
  <c r="Q69"/>
  <c r="L73"/>
  <c r="Q73"/>
  <c r="L77"/>
  <c r="Q77"/>
  <c r="L89"/>
  <c r="Q89"/>
  <c r="L105"/>
  <c r="Q105"/>
  <c r="L121"/>
  <c r="Q121"/>
  <c r="AH169"/>
  <c r="AH213"/>
  <c r="L129"/>
  <c r="Q129"/>
  <c r="L133"/>
  <c r="Q133"/>
  <c r="L137"/>
  <c r="Q137"/>
  <c r="L141"/>
  <c r="Q141"/>
  <c r="L145"/>
  <c r="Q145"/>
  <c r="L149"/>
  <c r="Q149"/>
  <c r="L156"/>
  <c r="Q156"/>
  <c r="L159"/>
  <c r="Q159"/>
  <c r="L161"/>
  <c r="Q161"/>
  <c r="L168"/>
  <c r="Q168"/>
  <c r="L174"/>
  <c r="Q174"/>
  <c r="L177"/>
  <c r="Q177"/>
  <c r="L210"/>
  <c r="Q210"/>
  <c r="L78"/>
  <c r="Q78"/>
  <c r="L82"/>
  <c r="Q82"/>
  <c r="L86"/>
  <c r="Q86"/>
  <c r="L90"/>
  <c r="Q90"/>
  <c r="L94"/>
  <c r="Q94"/>
  <c r="L98"/>
  <c r="Q98"/>
  <c r="L102"/>
  <c r="Q102"/>
  <c r="L106"/>
  <c r="Q106"/>
  <c r="L110"/>
  <c r="Q110"/>
  <c r="L114"/>
  <c r="Q114"/>
  <c r="L118"/>
  <c r="Q118"/>
  <c r="L122"/>
  <c r="Q122"/>
  <c r="L126"/>
  <c r="Q126"/>
  <c r="L130"/>
  <c r="Q130"/>
  <c r="L134"/>
  <c r="Q134"/>
  <c r="L138"/>
  <c r="Q138"/>
  <c r="L142"/>
  <c r="Q142"/>
  <c r="L146"/>
  <c r="Q146"/>
  <c r="L150"/>
  <c r="Q150"/>
  <c r="M153"/>
  <c r="Q153"/>
  <c r="L163"/>
  <c r="Q163"/>
  <c r="M164"/>
  <c r="Q164"/>
  <c r="L175"/>
  <c r="Q175"/>
  <c r="AH176"/>
  <c r="AH185"/>
  <c r="AH189"/>
  <c r="AH209"/>
  <c r="L79"/>
  <c r="Q79"/>
  <c r="L83"/>
  <c r="Q83"/>
  <c r="L87"/>
  <c r="Q87"/>
  <c r="L91"/>
  <c r="Q91"/>
  <c r="L95"/>
  <c r="Q95"/>
  <c r="L99"/>
  <c r="Q99"/>
  <c r="L103"/>
  <c r="Q103"/>
  <c r="L107"/>
  <c r="Q107"/>
  <c r="L111"/>
  <c r="Q111"/>
  <c r="L115"/>
  <c r="Q115"/>
  <c r="L119"/>
  <c r="Q119"/>
  <c r="L123"/>
  <c r="Q123"/>
  <c r="L127"/>
  <c r="Q127"/>
  <c r="L131"/>
  <c r="Q131"/>
  <c r="L135"/>
  <c r="Q135"/>
  <c r="L139"/>
  <c r="Q139"/>
  <c r="L143"/>
  <c r="Q143"/>
  <c r="L147"/>
  <c r="Q147"/>
  <c r="L151"/>
  <c r="Q151"/>
  <c r="L167"/>
  <c r="Q167"/>
  <c r="AH173"/>
  <c r="L193"/>
  <c r="Q193"/>
  <c r="L262"/>
  <c r="Q262"/>
  <c r="AH180"/>
  <c r="AH192"/>
  <c r="AH196"/>
  <c r="L80"/>
  <c r="Q80"/>
  <c r="L84"/>
  <c r="Q84"/>
  <c r="L88"/>
  <c r="Q88"/>
  <c r="L92"/>
  <c r="Q92"/>
  <c r="L96"/>
  <c r="Q96"/>
  <c r="L100"/>
  <c r="Q100"/>
  <c r="L104"/>
  <c r="Q104"/>
  <c r="L108"/>
  <c r="Q108"/>
  <c r="L112"/>
  <c r="Q112"/>
  <c r="L116"/>
  <c r="Q116"/>
  <c r="L120"/>
  <c r="Q120"/>
  <c r="L124"/>
  <c r="Q124"/>
  <c r="L128"/>
  <c r="Q128"/>
  <c r="L132"/>
  <c r="Q132"/>
  <c r="L136"/>
  <c r="Q136"/>
  <c r="L140"/>
  <c r="Q140"/>
  <c r="L144"/>
  <c r="Q144"/>
  <c r="L148"/>
  <c r="Q148"/>
  <c r="L155"/>
  <c r="Q155"/>
  <c r="AH162"/>
  <c r="AH200"/>
  <c r="AH204"/>
  <c r="M180"/>
  <c r="Q180"/>
  <c r="AH183"/>
  <c r="AH188"/>
  <c r="M189"/>
  <c r="Q189"/>
  <c r="AH191"/>
  <c r="M196"/>
  <c r="Q196"/>
  <c r="L201"/>
  <c r="Q201"/>
  <c r="L208"/>
  <c r="Q208"/>
  <c r="AH181"/>
  <c r="AH197"/>
  <c r="AH221"/>
  <c r="L178"/>
  <c r="Q178"/>
  <c r="L186"/>
  <c r="Q186"/>
  <c r="L194"/>
  <c r="Q194"/>
  <c r="L250"/>
  <c r="Q250"/>
  <c r="AH195"/>
  <c r="AH205"/>
  <c r="AH217"/>
  <c r="AH219"/>
  <c r="L172"/>
  <c r="Q172"/>
  <c r="L182"/>
  <c r="Q182"/>
  <c r="L184"/>
  <c r="Q184"/>
  <c r="L234"/>
  <c r="Q234"/>
  <c r="L190"/>
  <c r="Q190"/>
  <c r="M200"/>
  <c r="Q200"/>
  <c r="L206"/>
  <c r="Q206"/>
  <c r="M209"/>
  <c r="Q209"/>
  <c r="M221"/>
  <c r="Q221"/>
  <c r="L228"/>
  <c r="Q228"/>
  <c r="L230"/>
  <c r="Q230"/>
  <c r="L246"/>
  <c r="Q246"/>
  <c r="L254"/>
  <c r="Q254"/>
  <c r="L202"/>
  <c r="Q202"/>
  <c r="M205"/>
  <c r="Q205"/>
  <c r="M212"/>
  <c r="Q212"/>
  <c r="L218"/>
  <c r="Q218"/>
  <c r="L242"/>
  <c r="Q242"/>
  <c r="L198"/>
  <c r="Q198"/>
  <c r="L214"/>
  <c r="Q214"/>
  <c r="AH216"/>
  <c r="L222"/>
  <c r="Q222"/>
  <c r="L238"/>
  <c r="Q238"/>
  <c r="L270"/>
  <c r="Q270"/>
  <c r="AH277"/>
  <c r="L229"/>
  <c r="Q229"/>
  <c r="L233"/>
  <c r="Q233"/>
  <c r="L237"/>
  <c r="Q237"/>
  <c r="L241"/>
  <c r="Q241"/>
  <c r="L245"/>
  <c r="Q245"/>
  <c r="L249"/>
  <c r="Q249"/>
  <c r="L256"/>
  <c r="Q256"/>
  <c r="L264"/>
  <c r="Q264"/>
  <c r="L272"/>
  <c r="Q272"/>
  <c r="L231"/>
  <c r="Q231"/>
  <c r="L235"/>
  <c r="Q235"/>
  <c r="L239"/>
  <c r="Q239"/>
  <c r="L243"/>
  <c r="Q243"/>
  <c r="L247"/>
  <c r="Q247"/>
  <c r="L252"/>
  <c r="Q252"/>
  <c r="L260"/>
  <c r="Q260"/>
  <c r="L268"/>
  <c r="Q268"/>
  <c r="L232"/>
  <c r="Q232"/>
  <c r="L236"/>
  <c r="Q236"/>
  <c r="L240"/>
  <c r="Q240"/>
  <c r="L244"/>
  <c r="Q244"/>
  <c r="L248"/>
  <c r="Q248"/>
  <c r="L258"/>
  <c r="Q258"/>
  <c r="L266"/>
  <c r="Q266"/>
  <c r="L274"/>
  <c r="Q274"/>
  <c r="AH278"/>
  <c r="AH276"/>
  <c r="AH275"/>
  <c r="L251"/>
  <c r="Q251"/>
  <c r="L253"/>
  <c r="Q253"/>
  <c r="L255"/>
  <c r="Q255"/>
  <c r="L257"/>
  <c r="Q257"/>
  <c r="L259"/>
  <c r="Q259"/>
  <c r="L261"/>
  <c r="Q261"/>
  <c r="L263"/>
  <c r="Q263"/>
  <c r="L265"/>
  <c r="Q265"/>
  <c r="L267"/>
  <c r="Q267"/>
  <c r="L269"/>
  <c r="Q269"/>
  <c r="L271"/>
  <c r="Q271"/>
  <c r="L273"/>
  <c r="Q273"/>
  <c r="M275"/>
  <c r="Q275"/>
  <c r="M276"/>
  <c r="Q276"/>
  <c r="M277"/>
  <c r="Q277"/>
  <c r="M278"/>
  <c r="Q278"/>
  <c r="B26"/>
  <c r="AH171"/>
  <c r="AH179"/>
  <c r="H93" i="21"/>
  <c r="BA93"/>
  <c r="H153"/>
  <c r="BA153"/>
  <c r="B268" i="17"/>
  <c r="H34" i="21"/>
  <c r="H33"/>
  <c r="H94"/>
  <c r="BA94"/>
  <c r="H95"/>
  <c r="BA95"/>
  <c r="H35"/>
  <c r="H154"/>
  <c r="BA154"/>
  <c r="B269" i="17"/>
  <c r="H155" i="21"/>
  <c r="BA155"/>
  <c r="B270" i="17"/>
  <c r="H36" i="21"/>
  <c r="H96"/>
  <c r="BA96"/>
  <c r="H97"/>
  <c r="BA97"/>
  <c r="H156"/>
  <c r="BA156"/>
  <c r="B271" i="17"/>
  <c r="H37" i="21"/>
  <c r="H157"/>
  <c r="BA157"/>
  <c r="B272" i="17"/>
  <c r="C54" i="2"/>
  <c r="H123" i="21"/>
  <c r="BA123"/>
  <c r="H183"/>
  <c r="BA183"/>
  <c r="B293" i="17"/>
  <c r="H124" i="21"/>
  <c r="BA124"/>
  <c r="H64"/>
  <c r="H63"/>
  <c r="H65"/>
  <c r="H125"/>
  <c r="BA125"/>
  <c r="H184"/>
  <c r="BA184"/>
  <c r="B294" i="17"/>
  <c r="H185" i="21"/>
  <c r="BA185"/>
  <c r="B295" i="17"/>
  <c r="H66" i="21"/>
  <c r="H126"/>
  <c r="BA126"/>
  <c r="H186"/>
  <c r="BA186"/>
  <c r="B296" i="17"/>
  <c r="H23" i="22"/>
  <c r="H24"/>
  <c r="H83"/>
  <c r="BA83"/>
  <c r="H143"/>
  <c r="BA143"/>
  <c r="B413" i="17"/>
  <c r="H84" i="22"/>
  <c r="BA84"/>
  <c r="H25"/>
  <c r="H144"/>
  <c r="BA144"/>
  <c r="B414" i="17"/>
  <c r="H145" i="22"/>
  <c r="BA145"/>
  <c r="B415" i="17"/>
  <c r="H85" i="22"/>
  <c r="BA85"/>
  <c r="H27"/>
  <c r="H26"/>
  <c r="H86"/>
  <c r="BA86"/>
  <c r="H146"/>
  <c r="BA146"/>
  <c r="B416" i="17"/>
  <c r="H147" i="22"/>
  <c r="BA147"/>
  <c r="B417" i="17"/>
  <c r="H87" i="22"/>
  <c r="BA87"/>
  <c r="H113"/>
  <c r="BA113"/>
  <c r="H53"/>
  <c r="H54"/>
  <c r="H173"/>
  <c r="BA173"/>
  <c r="B438" i="17"/>
  <c r="H55" i="22"/>
  <c r="H114"/>
  <c r="BA114"/>
  <c r="H115"/>
  <c r="BA115"/>
  <c r="H174"/>
  <c r="BA174"/>
  <c r="B439" i="17"/>
  <c r="H56" i="22"/>
  <c r="H116"/>
  <c r="BA116"/>
  <c r="H175"/>
  <c r="BA175"/>
  <c r="B440" i="17"/>
  <c r="H57" i="22"/>
  <c r="H117"/>
  <c r="BA117"/>
  <c r="H177"/>
  <c r="BA177"/>
  <c r="B442" i="17"/>
  <c r="H176" i="22"/>
  <c r="BA176"/>
  <c r="B441" i="17"/>
  <c r="H33" i="22"/>
  <c r="H153"/>
  <c r="BA153"/>
  <c r="B418" i="17"/>
  <c r="H35" i="22"/>
  <c r="H94"/>
  <c r="BA94"/>
  <c r="H34"/>
  <c r="H93"/>
  <c r="BA93"/>
  <c r="H95"/>
  <c r="BA95"/>
  <c r="H154"/>
  <c r="BA154"/>
  <c r="B419" i="17"/>
  <c r="H155" i="22"/>
  <c r="BA155"/>
  <c r="B420" i="17"/>
  <c r="H96" i="22"/>
  <c r="BA96"/>
  <c r="H36"/>
  <c r="H157"/>
  <c r="BA157"/>
  <c r="B422" i="17"/>
  <c r="C63" i="2"/>
  <c r="C30" i="5"/>
  <c r="B30"/>
  <c r="H156" i="22"/>
  <c r="BA156"/>
  <c r="B421" i="17"/>
  <c r="H97" i="22"/>
  <c r="BA97"/>
  <c r="H37"/>
  <c r="H63"/>
  <c r="H183"/>
  <c r="BA183"/>
  <c r="B443" i="17"/>
  <c r="H123" i="22"/>
  <c r="BA123"/>
  <c r="H64"/>
  <c r="H124"/>
  <c r="BA124"/>
  <c r="H184"/>
  <c r="BA184"/>
  <c r="B444" i="17"/>
  <c r="H66" i="22"/>
  <c r="H125"/>
  <c r="BA125"/>
  <c r="H65"/>
  <c r="H185"/>
  <c r="BA185"/>
  <c r="B445" i="17"/>
  <c r="H126" i="22"/>
  <c r="BA126"/>
  <c r="H186"/>
  <c r="BA186"/>
  <c r="B446" i="17"/>
  <c r="H18" i="21"/>
  <c r="H138"/>
  <c r="BA138"/>
  <c r="B258" i="17"/>
  <c r="H19" i="21"/>
  <c r="H139"/>
  <c r="BA139"/>
  <c r="B259" i="17"/>
  <c r="H78" i="21"/>
  <c r="BA78"/>
  <c r="H79"/>
  <c r="BA79"/>
  <c r="H80"/>
  <c r="BA80"/>
  <c r="H20"/>
  <c r="H21"/>
  <c r="H81"/>
  <c r="BA81"/>
  <c r="H140"/>
  <c r="BA140"/>
  <c r="B260" i="17"/>
  <c r="H141" i="21"/>
  <c r="BA141"/>
  <c r="B261" i="17"/>
  <c r="H22" i="21"/>
  <c r="H82"/>
  <c r="BA82"/>
  <c r="H142"/>
  <c r="BA142"/>
  <c r="B262" i="17"/>
  <c r="H48" i="21"/>
  <c r="H108"/>
  <c r="BA108"/>
  <c r="H168"/>
  <c r="BA168"/>
  <c r="B283" i="17"/>
  <c r="H49" i="21"/>
  <c r="H109"/>
  <c r="BA109"/>
  <c r="H169"/>
  <c r="BA169"/>
  <c r="B284" i="17"/>
  <c r="H50" i="21"/>
  <c r="H110"/>
  <c r="BA110"/>
  <c r="H170"/>
  <c r="BA170"/>
  <c r="B285" i="17"/>
  <c r="H111" i="21"/>
  <c r="BA111"/>
  <c r="H51"/>
  <c r="H112"/>
  <c r="BA112"/>
  <c r="H171"/>
  <c r="BA171"/>
  <c r="B286" i="17"/>
  <c r="H52" i="21"/>
  <c r="H172"/>
  <c r="BA172"/>
  <c r="B287" i="17"/>
  <c r="H23" i="21"/>
  <c r="H83"/>
  <c r="BA83"/>
  <c r="H24"/>
  <c r="H25"/>
  <c r="H143"/>
  <c r="BA143"/>
  <c r="B263" i="17"/>
  <c r="H85" i="21"/>
  <c r="BA85"/>
  <c r="H84"/>
  <c r="BA84"/>
  <c r="H86"/>
  <c r="BA86"/>
  <c r="H144"/>
  <c r="BA144"/>
  <c r="B264" i="17"/>
  <c r="H26" i="21"/>
  <c r="H87"/>
  <c r="BA87"/>
  <c r="H145"/>
  <c r="BA145"/>
  <c r="B265" i="17"/>
  <c r="H147" i="21"/>
  <c r="BA147"/>
  <c r="B267" i="17"/>
  <c r="H146" i="21"/>
  <c r="BA146"/>
  <c r="B266" i="17"/>
  <c r="H27" i="21"/>
  <c r="H113"/>
  <c r="BA113"/>
  <c r="H53"/>
  <c r="H173"/>
  <c r="BA173"/>
  <c r="B288" i="17"/>
  <c r="H54" i="21"/>
  <c r="H114"/>
  <c r="BA114"/>
  <c r="H174"/>
  <c r="BA174"/>
  <c r="B289" i="17"/>
  <c r="H55" i="21"/>
  <c r="H175"/>
  <c r="BA175"/>
  <c r="B290" i="17"/>
  <c r="H115" i="21"/>
  <c r="BA115"/>
  <c r="H117"/>
  <c r="BA117"/>
  <c r="H116"/>
  <c r="BA116"/>
  <c r="H56"/>
  <c r="H176"/>
  <c r="BA176"/>
  <c r="B291" i="17"/>
  <c r="H57" i="21"/>
  <c r="H177"/>
  <c r="BA177"/>
  <c r="B292" i="17"/>
  <c r="H43" i="22"/>
  <c r="H163"/>
  <c r="BA163"/>
  <c r="B428" i="17"/>
  <c r="H103" i="22"/>
  <c r="BA103"/>
  <c r="H45"/>
  <c r="H164"/>
  <c r="BA164"/>
  <c r="B429" i="17"/>
  <c r="H44" i="22"/>
  <c r="H105"/>
  <c r="BA105"/>
  <c r="H104"/>
  <c r="BA104"/>
  <c r="H165"/>
  <c r="BA165"/>
  <c r="B430" i="17"/>
  <c r="H47" i="22"/>
  <c r="H46"/>
  <c r="H106"/>
  <c r="BA106"/>
  <c r="H167"/>
  <c r="BA167"/>
  <c r="B432" i="17"/>
  <c r="C65" i="2"/>
  <c r="C32" i="5"/>
  <c r="B32"/>
  <c r="H166" i="22"/>
  <c r="BA166"/>
  <c r="B431" i="17"/>
  <c r="H107" i="22"/>
  <c r="BA107"/>
  <c r="H193"/>
  <c r="BA193"/>
  <c r="B453" i="17"/>
  <c r="H74" i="22"/>
  <c r="H73"/>
  <c r="H75"/>
  <c r="H133"/>
  <c r="BA133"/>
  <c r="H134"/>
  <c r="BA134"/>
  <c r="H195"/>
  <c r="BA195"/>
  <c r="B455" i="17"/>
  <c r="H194" i="22"/>
  <c r="BA194"/>
  <c r="B454" i="17"/>
  <c r="H135" i="22"/>
  <c r="BA135"/>
  <c r="H196"/>
  <c r="BA196"/>
  <c r="B456" i="17"/>
  <c r="H76" i="22"/>
  <c r="H136"/>
  <c r="BA136"/>
  <c r="Q35" i="12"/>
  <c r="Q223"/>
  <c r="H18" i="22"/>
  <c r="H78"/>
  <c r="BA78"/>
  <c r="H138"/>
  <c r="BA138"/>
  <c r="B408" i="17"/>
  <c r="H20" i="22"/>
  <c r="H139"/>
  <c r="BA139"/>
  <c r="B409" i="17"/>
  <c r="H79" i="22"/>
  <c r="BA79"/>
  <c r="H19"/>
  <c r="H80"/>
  <c r="BA80"/>
  <c r="H22"/>
  <c r="H140"/>
  <c r="BA140"/>
  <c r="B410" i="17"/>
  <c r="H21" i="22"/>
  <c r="H141"/>
  <c r="BA141"/>
  <c r="B411" i="17"/>
  <c r="H82" i="22"/>
  <c r="BA82"/>
  <c r="H81"/>
  <c r="BA81"/>
  <c r="H142"/>
  <c r="BA142"/>
  <c r="B412" i="17"/>
  <c r="H48" i="22"/>
  <c r="H168"/>
  <c r="BA168"/>
  <c r="B433" i="17"/>
  <c r="H49" i="22"/>
  <c r="H169"/>
  <c r="BA169"/>
  <c r="B434" i="17"/>
  <c r="H108" i="22"/>
  <c r="BA108"/>
  <c r="H50"/>
  <c r="H110"/>
  <c r="BA110"/>
  <c r="H109"/>
  <c r="BA109"/>
  <c r="H51"/>
  <c r="H171"/>
  <c r="BA171"/>
  <c r="B436" i="17"/>
  <c r="H111" i="22"/>
  <c r="BA111"/>
  <c r="H170"/>
  <c r="BA170"/>
  <c r="B435" i="17"/>
  <c r="H52" i="22"/>
  <c r="H172"/>
  <c r="BA172"/>
  <c r="B437" i="17"/>
  <c r="H112" i="22"/>
  <c r="BA112"/>
  <c r="H98" i="21"/>
  <c r="BA98"/>
  <c r="H38"/>
  <c r="H39"/>
  <c r="H99"/>
  <c r="BA99"/>
  <c r="H158"/>
  <c r="BA158"/>
  <c r="B273" i="17"/>
  <c r="H159" i="21"/>
  <c r="BA159"/>
  <c r="B274" i="17"/>
  <c r="H100" i="21"/>
  <c r="BA100"/>
  <c r="H41"/>
  <c r="H160"/>
  <c r="BA160"/>
  <c r="B275" i="17"/>
  <c r="H40" i="21"/>
  <c r="H42"/>
  <c r="H101"/>
  <c r="BA101"/>
  <c r="H161"/>
  <c r="BA161"/>
  <c r="B276" i="17"/>
  <c r="H102" i="21"/>
  <c r="BA102"/>
  <c r="H162"/>
  <c r="BA162"/>
  <c r="B277" i="17"/>
  <c r="C55" i="2"/>
  <c r="H68" i="21"/>
  <c r="H129"/>
  <c r="BA129"/>
  <c r="H69"/>
  <c r="H128"/>
  <c r="BA128"/>
  <c r="H70"/>
  <c r="H188"/>
  <c r="BA188"/>
  <c r="B298" i="17"/>
  <c r="H130" i="21"/>
  <c r="BA130"/>
  <c r="H131"/>
  <c r="BA131"/>
  <c r="H190"/>
  <c r="BA190"/>
  <c r="B300" i="17"/>
  <c r="H189" i="21"/>
  <c r="BA189"/>
  <c r="B299" i="17"/>
  <c r="H71" i="21"/>
  <c r="H191"/>
  <c r="BA191"/>
  <c r="B301" i="17"/>
  <c r="H43" i="21"/>
  <c r="H104"/>
  <c r="BA104"/>
  <c r="H103"/>
  <c r="BA103"/>
  <c r="H163"/>
  <c r="BA163"/>
  <c r="B278" i="17"/>
  <c r="H164" i="21"/>
  <c r="BA164"/>
  <c r="B279" i="17"/>
  <c r="H44" i="21"/>
  <c r="H106"/>
  <c r="BA106"/>
  <c r="H105"/>
  <c r="BA105"/>
  <c r="H45"/>
  <c r="H107"/>
  <c r="BA107"/>
  <c r="H165"/>
  <c r="BA165"/>
  <c r="B280" i="17"/>
  <c r="H46" i="21"/>
  <c r="H47"/>
  <c r="H167"/>
  <c r="BA167"/>
  <c r="B282" i="17"/>
  <c r="C56" i="2"/>
  <c r="H166" i="21"/>
  <c r="BA166"/>
  <c r="B281" i="17"/>
  <c r="H74" i="21"/>
  <c r="H133"/>
  <c r="BA133"/>
  <c r="H73"/>
  <c r="H134"/>
  <c r="BA134"/>
  <c r="H194"/>
  <c r="BA194"/>
  <c r="B304" i="17"/>
  <c r="H75" i="21"/>
  <c r="H193"/>
  <c r="BA193"/>
  <c r="B303" i="17"/>
  <c r="H135" i="21"/>
  <c r="BA135"/>
  <c r="H195"/>
  <c r="BA195"/>
  <c r="B305" i="17"/>
  <c r="H136" i="21"/>
  <c r="BA136"/>
  <c r="H76"/>
  <c r="H196"/>
  <c r="BA196"/>
  <c r="B306" i="17"/>
  <c r="H38" i="22"/>
  <c r="H39"/>
  <c r="H98"/>
  <c r="BA98"/>
  <c r="H99"/>
  <c r="BA99"/>
  <c r="H158"/>
  <c r="BA158"/>
  <c r="B423" i="17"/>
  <c r="H40" i="22"/>
  <c r="H159"/>
  <c r="BA159"/>
  <c r="B424" i="17"/>
  <c r="H41" i="22"/>
  <c r="H100"/>
  <c r="BA100"/>
  <c r="H160"/>
  <c r="BA160"/>
  <c r="B425" i="17"/>
  <c r="H101" i="22"/>
  <c r="BA101"/>
  <c r="H161"/>
  <c r="BA161"/>
  <c r="B426" i="17"/>
  <c r="H42" i="22"/>
  <c r="H162"/>
  <c r="BA162"/>
  <c r="B427" i="17"/>
  <c r="C64" i="2"/>
  <c r="C31" i="5"/>
  <c r="B31"/>
  <c r="H102" i="22"/>
  <c r="BA102"/>
  <c r="H68"/>
  <c r="H70"/>
  <c r="H129"/>
  <c r="BA129"/>
  <c r="H128"/>
  <c r="BA128"/>
  <c r="H188"/>
  <c r="BA188"/>
  <c r="B448" i="17"/>
  <c r="H189" i="22"/>
  <c r="BA189"/>
  <c r="B449" i="17"/>
  <c r="H69" i="22"/>
  <c r="H190"/>
  <c r="BA190"/>
  <c r="B450" i="17"/>
  <c r="H130" i="22"/>
  <c r="BA130"/>
  <c r="H71"/>
  <c r="H131"/>
  <c r="BA131"/>
  <c r="H191"/>
  <c r="BA191"/>
  <c r="B451" i="17"/>
  <c r="Q207" i="12"/>
  <c r="AH207"/>
  <c r="Q170"/>
  <c r="Q226"/>
  <c r="AH226"/>
  <c r="AM35" a="1"/>
  <c r="AP38"/>
  <c r="Q61"/>
  <c r="Q215"/>
  <c r="AH215"/>
  <c r="Q31"/>
  <c r="S20" i="15"/>
  <c r="B140"/>
  <c r="G140"/>
  <c r="BA78"/>
  <c r="B58" i="17"/>
  <c r="D139" i="15"/>
  <c r="H139"/>
  <c r="E139"/>
  <c r="A141"/>
  <c r="A22"/>
  <c r="B21"/>
  <c r="G21"/>
  <c r="E20"/>
  <c r="D20"/>
  <c r="H20"/>
  <c r="E79"/>
  <c r="I78"/>
  <c r="K78"/>
  <c r="J78"/>
  <c r="E81"/>
  <c r="D81"/>
  <c r="H81"/>
  <c r="J18"/>
  <c r="I18"/>
  <c r="BA18"/>
  <c r="B8" i="17"/>
  <c r="K18" i="15"/>
  <c r="E138"/>
  <c r="D138"/>
  <c r="H138"/>
  <c r="C82"/>
  <c r="A83"/>
  <c r="B82"/>
  <c r="G82"/>
  <c r="E80"/>
  <c r="D80"/>
  <c r="H80"/>
  <c r="K19"/>
  <c r="J19"/>
  <c r="I19"/>
  <c r="BA19"/>
  <c r="B9" i="17"/>
  <c r="AH271" i="12"/>
  <c r="AH244"/>
  <c r="AH268"/>
  <c r="AH249"/>
  <c r="AH198"/>
  <c r="AH230"/>
  <c r="AH206"/>
  <c r="AH136"/>
  <c r="AH127"/>
  <c r="AH111"/>
  <c r="AH138"/>
  <c r="AH106"/>
  <c r="AH174"/>
  <c r="AH41"/>
  <c r="AH46"/>
  <c r="AH36"/>
  <c r="AH74"/>
  <c r="AH66"/>
  <c r="AH58"/>
  <c r="AH50"/>
  <c r="AH39"/>
  <c r="AH76"/>
  <c r="AH273"/>
  <c r="AH265"/>
  <c r="AH257"/>
  <c r="AH248"/>
  <c r="AH232"/>
  <c r="AH247"/>
  <c r="AH231"/>
  <c r="AH256"/>
  <c r="AH237"/>
  <c r="AH238"/>
  <c r="AH214"/>
  <c r="AH246"/>
  <c r="AH234"/>
  <c r="AH184"/>
  <c r="AH178"/>
  <c r="AH201"/>
  <c r="AH155"/>
  <c r="AH140"/>
  <c r="AH124"/>
  <c r="AH108"/>
  <c r="AH92"/>
  <c r="AH147"/>
  <c r="AH131"/>
  <c r="AH115"/>
  <c r="AH99"/>
  <c r="AH83"/>
  <c r="AH142"/>
  <c r="AH126"/>
  <c r="AH110"/>
  <c r="AH94"/>
  <c r="AH78"/>
  <c r="AH177"/>
  <c r="AH156"/>
  <c r="AH145"/>
  <c r="AH129"/>
  <c r="AH121"/>
  <c r="AH105"/>
  <c r="AH40"/>
  <c r="AH75"/>
  <c r="AH67"/>
  <c r="AH59"/>
  <c r="AH51"/>
  <c r="AH60"/>
  <c r="AH52"/>
  <c r="AH38"/>
  <c r="AH43"/>
  <c r="AH48"/>
  <c r="AH255"/>
  <c r="AH233"/>
  <c r="AH104"/>
  <c r="AH79"/>
  <c r="AH90"/>
  <c r="AH141"/>
  <c r="AH77"/>
  <c r="AH69"/>
  <c r="AH53"/>
  <c r="AH267"/>
  <c r="AH259"/>
  <c r="AH251"/>
  <c r="AH258"/>
  <c r="AH236"/>
  <c r="AH252"/>
  <c r="AH235"/>
  <c r="AH264"/>
  <c r="AH241"/>
  <c r="AH270"/>
  <c r="AH218"/>
  <c r="AH254"/>
  <c r="AH190"/>
  <c r="AH172"/>
  <c r="AH186"/>
  <c r="AH208"/>
  <c r="AH144"/>
  <c r="AH128"/>
  <c r="AH112"/>
  <c r="AH96"/>
  <c r="AH80"/>
  <c r="AH193"/>
  <c r="AH167"/>
  <c r="AH151"/>
  <c r="AH135"/>
  <c r="AH119"/>
  <c r="AH103"/>
  <c r="AH87"/>
  <c r="AH146"/>
  <c r="AH130"/>
  <c r="AH114"/>
  <c r="AH98"/>
  <c r="AH82"/>
  <c r="AH159"/>
  <c r="AH149"/>
  <c r="AH133"/>
  <c r="AH89"/>
  <c r="AH73"/>
  <c r="AH65"/>
  <c r="AH57"/>
  <c r="AH49"/>
  <c r="AH125"/>
  <c r="AH113"/>
  <c r="AH97"/>
  <c r="AH42"/>
  <c r="AH117"/>
  <c r="AH101"/>
  <c r="AH70"/>
  <c r="AH62"/>
  <c r="AH54"/>
  <c r="AH45"/>
  <c r="AH72"/>
  <c r="AH263"/>
  <c r="AH274"/>
  <c r="AH243"/>
  <c r="AH222"/>
  <c r="AH182"/>
  <c r="AH250"/>
  <c r="AH120"/>
  <c r="AH88"/>
  <c r="AH143"/>
  <c r="AH95"/>
  <c r="AH122"/>
  <c r="AH210"/>
  <c r="AH61"/>
  <c r="AH269"/>
  <c r="AH261"/>
  <c r="AH253"/>
  <c r="AH266"/>
  <c r="AH240"/>
  <c r="AH260"/>
  <c r="AH239"/>
  <c r="AH272"/>
  <c r="AH245"/>
  <c r="AH229"/>
  <c r="AH242"/>
  <c r="AH202"/>
  <c r="AH228"/>
  <c r="AH194"/>
  <c r="AH148"/>
  <c r="AH132"/>
  <c r="AH116"/>
  <c r="AH100"/>
  <c r="AH84"/>
  <c r="AH262"/>
  <c r="AH139"/>
  <c r="AH123"/>
  <c r="AH107"/>
  <c r="AH91"/>
  <c r="AH175"/>
  <c r="AH163"/>
  <c r="AH150"/>
  <c r="AH134"/>
  <c r="AH118"/>
  <c r="AH102"/>
  <c r="AH86"/>
  <c r="AH168"/>
  <c r="AH161"/>
  <c r="AH137"/>
  <c r="AH109"/>
  <c r="AH64"/>
  <c r="AH81"/>
  <c r="AH71"/>
  <c r="AH63"/>
  <c r="AH55"/>
  <c r="AH93"/>
  <c r="AH68"/>
  <c r="AH56"/>
  <c r="AH44"/>
  <c r="AH85"/>
  <c r="AH47"/>
  <c r="AH37"/>
  <c r="AC72" i="22"/>
  <c r="AM72"/>
  <c r="AC70"/>
  <c r="AM70"/>
  <c r="BA70"/>
  <c r="AC42"/>
  <c r="AM42"/>
  <c r="BA42"/>
  <c r="AR100"/>
  <c r="B375" i="17"/>
  <c r="AC38" i="22"/>
  <c r="AM38"/>
  <c r="BA38"/>
  <c r="AR136" i="21"/>
  <c r="B256" i="17"/>
  <c r="AR135" i="21"/>
  <c r="B255" i="17"/>
  <c r="AR134" i="21"/>
  <c r="B254" i="17"/>
  <c r="AR106" i="21"/>
  <c r="B231" i="17"/>
  <c r="AR103" i="21"/>
  <c r="B228" i="17"/>
  <c r="AR129" i="21"/>
  <c r="B249" i="17"/>
  <c r="AR98" i="21"/>
  <c r="B223" i="17"/>
  <c r="AR109" i="22"/>
  <c r="B384" i="17"/>
  <c r="AC21" i="22"/>
  <c r="AM21"/>
  <c r="BA21"/>
  <c r="AC19"/>
  <c r="AM19"/>
  <c r="BA19"/>
  <c r="AR136"/>
  <c r="B406" i="17"/>
  <c r="AC75" i="22"/>
  <c r="AM75"/>
  <c r="BA75"/>
  <c r="AR107"/>
  <c r="B382" i="17"/>
  <c r="C62" i="2"/>
  <c r="C29" i="5"/>
  <c r="B29"/>
  <c r="AC46" i="22"/>
  <c r="AM46"/>
  <c r="BA46"/>
  <c r="AR105"/>
  <c r="B380" i="17"/>
  <c r="AR103" i="22"/>
  <c r="B378" i="17"/>
  <c r="AC57" i="21"/>
  <c r="AM57"/>
  <c r="BA57"/>
  <c r="AR117"/>
  <c r="B242" i="17"/>
  <c r="AC53" i="21"/>
  <c r="AM53"/>
  <c r="BA53"/>
  <c r="AC23"/>
  <c r="AM23"/>
  <c r="BA23"/>
  <c r="AR112"/>
  <c r="B237" i="17"/>
  <c r="AR110" i="21"/>
  <c r="B235" i="17"/>
  <c r="AC49" i="21"/>
  <c r="AM49"/>
  <c r="BA49"/>
  <c r="AR80"/>
  <c r="B210" i="17"/>
  <c r="AC19" i="21"/>
  <c r="AM19"/>
  <c r="BA19"/>
  <c r="AR127" i="22"/>
  <c r="AC34"/>
  <c r="AM34"/>
  <c r="BA34"/>
  <c r="AC33"/>
  <c r="AM33"/>
  <c r="BA33"/>
  <c r="AC57"/>
  <c r="AM57"/>
  <c r="BA57"/>
  <c r="AR87"/>
  <c r="B367" i="17"/>
  <c r="AC26" i="22"/>
  <c r="AM26"/>
  <c r="BA26"/>
  <c r="AR83"/>
  <c r="B363" i="17"/>
  <c r="AR127" i="21"/>
  <c r="BA66"/>
  <c r="AC66"/>
  <c r="AM66"/>
  <c r="AC65"/>
  <c r="AM65"/>
  <c r="BA65"/>
  <c r="AR94"/>
  <c r="B219" i="17"/>
  <c r="AR93" i="21"/>
  <c r="B218" i="17"/>
  <c r="AR132" i="22"/>
  <c r="AC71"/>
  <c r="AM71"/>
  <c r="BA71"/>
  <c r="AC69"/>
  <c r="AM69"/>
  <c r="BA69"/>
  <c r="AR129"/>
  <c r="B399" i="17"/>
  <c r="AC40" i="22"/>
  <c r="AM40"/>
  <c r="BA40"/>
  <c r="AC39"/>
  <c r="AM39"/>
  <c r="BA39"/>
  <c r="AC76" i="21"/>
  <c r="AM76"/>
  <c r="BA76"/>
  <c r="AC74"/>
  <c r="AM74"/>
  <c r="BA74"/>
  <c r="BA46"/>
  <c r="AC46"/>
  <c r="AM46"/>
  <c r="AR105"/>
  <c r="B230" i="17"/>
  <c r="AC72" i="21"/>
  <c r="AM72"/>
  <c r="AR132"/>
  <c r="AR130"/>
  <c r="B250" i="17"/>
  <c r="AC69" i="21"/>
  <c r="AM69"/>
  <c r="BA69"/>
  <c r="AR102"/>
  <c r="B227" i="17"/>
  <c r="C52" i="2"/>
  <c r="AC40" i="21"/>
  <c r="AM40"/>
  <c r="BA40"/>
  <c r="BA38"/>
  <c r="AC38"/>
  <c r="AM38"/>
  <c r="BA52" i="22"/>
  <c r="AC52"/>
  <c r="AM52"/>
  <c r="AC51"/>
  <c r="AM51"/>
  <c r="BA51"/>
  <c r="AR108"/>
  <c r="B383" i="17"/>
  <c r="AC48" i="22"/>
  <c r="AM48"/>
  <c r="BA48"/>
  <c r="AR80"/>
  <c r="B360" i="17"/>
  <c r="AC20" i="22"/>
  <c r="AM20"/>
  <c r="BA20"/>
  <c r="AR135"/>
  <c r="B405" i="17"/>
  <c r="AR133" i="22"/>
  <c r="B403" i="17"/>
  <c r="AR106" i="22"/>
  <c r="B381" i="17"/>
  <c r="AR104" i="22"/>
  <c r="B379" i="17"/>
  <c r="AC45" i="22"/>
  <c r="AM45"/>
  <c r="BA45"/>
  <c r="AR116" i="21"/>
  <c r="B241" i="17"/>
  <c r="AC55" i="21"/>
  <c r="AM55"/>
  <c r="BA55"/>
  <c r="BA26"/>
  <c r="AC26"/>
  <c r="AM26"/>
  <c r="AR85"/>
  <c r="B215" i="17"/>
  <c r="AR83" i="21"/>
  <c r="B213" i="17"/>
  <c r="AR109" i="21"/>
  <c r="B234" i="17"/>
  <c r="AC48" i="21"/>
  <c r="AM48"/>
  <c r="BA48"/>
  <c r="AC20"/>
  <c r="AM20"/>
  <c r="BA20"/>
  <c r="AC67" i="22"/>
  <c r="AM67"/>
  <c r="AC66"/>
  <c r="AM66"/>
  <c r="BA66"/>
  <c r="AR123"/>
  <c r="B393" i="17"/>
  <c r="AR97" i="22"/>
  <c r="B372" i="17"/>
  <c r="C60" i="2"/>
  <c r="C27" i="5"/>
  <c r="B27"/>
  <c r="AR96" i="22"/>
  <c r="B371" i="17"/>
  <c r="AR93" i="22"/>
  <c r="B368" i="17"/>
  <c r="AR117" i="22"/>
  <c r="B392" i="17"/>
  <c r="AC56" i="22"/>
  <c r="AM56"/>
  <c r="BA56"/>
  <c r="BA55"/>
  <c r="AC55"/>
  <c r="AM55"/>
  <c r="AR113"/>
  <c r="B388" i="17"/>
  <c r="AR86" i="22"/>
  <c r="B366" i="17"/>
  <c r="AC67" i="21"/>
  <c r="AM67"/>
  <c r="AR126"/>
  <c r="B246" i="17"/>
  <c r="AR125" i="21"/>
  <c r="B245" i="17"/>
  <c r="AR124" i="21"/>
  <c r="B244" i="17"/>
  <c r="AC37" i="21"/>
  <c r="AM37"/>
  <c r="BA37"/>
  <c r="AC36"/>
  <c r="AM36"/>
  <c r="BA36"/>
  <c r="AR95"/>
  <c r="B220" i="17"/>
  <c r="AR131" i="22"/>
  <c r="B401" i="17"/>
  <c r="AR128" i="22"/>
  <c r="B398" i="17"/>
  <c r="AR102" i="22"/>
  <c r="B377" i="17"/>
  <c r="C61" i="2"/>
  <c r="C28" i="5"/>
  <c r="B28"/>
  <c r="AR101" i="22"/>
  <c r="B376" i="17"/>
  <c r="AR98" i="22"/>
  <c r="B373" i="17"/>
  <c r="AR137" i="21"/>
  <c r="AC75"/>
  <c r="AM75"/>
  <c r="BA75"/>
  <c r="AR133"/>
  <c r="B253" i="17"/>
  <c r="AC47" i="21"/>
  <c r="AM47"/>
  <c r="BA47"/>
  <c r="AC45"/>
  <c r="AM45"/>
  <c r="BA45"/>
  <c r="AC43"/>
  <c r="AM43"/>
  <c r="BA43"/>
  <c r="AC71"/>
  <c r="AM71"/>
  <c r="BA71"/>
  <c r="AR131"/>
  <c r="B251" i="17"/>
  <c r="AR128" i="21"/>
  <c r="B248" i="17"/>
  <c r="C40" i="5"/>
  <c r="B40"/>
  <c r="C22"/>
  <c r="B22"/>
  <c r="AC42" i="21"/>
  <c r="AM42"/>
  <c r="BA42"/>
  <c r="AR100"/>
  <c r="B225" i="17"/>
  <c r="AC39" i="21"/>
  <c r="AM39"/>
  <c r="BA39"/>
  <c r="BA50" i="22"/>
  <c r="AC50"/>
  <c r="AM50"/>
  <c r="AR82"/>
  <c r="B362" i="17"/>
  <c r="AC22" i="22"/>
  <c r="AM22"/>
  <c r="BA22"/>
  <c r="AC18"/>
  <c r="AM18"/>
  <c r="BA18"/>
  <c r="AC77"/>
  <c r="AM77"/>
  <c r="AR134"/>
  <c r="B404" i="17"/>
  <c r="AC74" i="22"/>
  <c r="AM74"/>
  <c r="BA74"/>
  <c r="AC43"/>
  <c r="AM43"/>
  <c r="BA43"/>
  <c r="AC56" i="21"/>
  <c r="AM56"/>
  <c r="BA56"/>
  <c r="AC54"/>
  <c r="AM54"/>
  <c r="BA54"/>
  <c r="AC27"/>
  <c r="AM27"/>
  <c r="BA27"/>
  <c r="AR87"/>
  <c r="B217" i="17"/>
  <c r="AR84" i="21"/>
  <c r="B214" i="17"/>
  <c r="AC24" i="21"/>
  <c r="AM24"/>
  <c r="BA24"/>
  <c r="AC52"/>
  <c r="AM52"/>
  <c r="BA52"/>
  <c r="AR111"/>
  <c r="B236" i="17"/>
  <c r="AR108" i="21"/>
  <c r="B233" i="17"/>
  <c r="AC22" i="21"/>
  <c r="AM22"/>
  <c r="BA22"/>
  <c r="AC21"/>
  <c r="AM21"/>
  <c r="BA21"/>
  <c r="AR78"/>
  <c r="B208" i="17"/>
  <c r="AC18" i="21"/>
  <c r="AM18"/>
  <c r="BA18"/>
  <c r="AR126" i="22"/>
  <c r="B396" i="17"/>
  <c r="AR125" i="22"/>
  <c r="B395" i="17"/>
  <c r="AC64" i="22"/>
  <c r="AM64"/>
  <c r="BA64"/>
  <c r="AC37"/>
  <c r="AM37"/>
  <c r="BA37"/>
  <c r="AC36"/>
  <c r="AM36"/>
  <c r="BA36"/>
  <c r="AR95"/>
  <c r="B370" i="17"/>
  <c r="AC35" i="22"/>
  <c r="AM35"/>
  <c r="BA35"/>
  <c r="AR116"/>
  <c r="B391" i="17"/>
  <c r="AR114" i="22"/>
  <c r="B389" i="17"/>
  <c r="AC53" i="22"/>
  <c r="AM53"/>
  <c r="BA53"/>
  <c r="AR85"/>
  <c r="B365" i="17"/>
  <c r="AR84" i="22"/>
  <c r="B364" i="17"/>
  <c r="AC23" i="22"/>
  <c r="AM23"/>
  <c r="BA23"/>
  <c r="AC64" i="21"/>
  <c r="AM64"/>
  <c r="BA64"/>
  <c r="C39" i="5"/>
  <c r="B39"/>
  <c r="C21"/>
  <c r="B21"/>
  <c r="AR96" i="21"/>
  <c r="B221" i="17"/>
  <c r="AC35" i="21"/>
  <c r="AM35"/>
  <c r="BA35"/>
  <c r="AC34"/>
  <c r="AM34"/>
  <c r="BA34"/>
  <c r="AR130" i="22"/>
  <c r="B400" i="17"/>
  <c r="BA68" i="22"/>
  <c r="AC68"/>
  <c r="AM68"/>
  <c r="AC41"/>
  <c r="AM41"/>
  <c r="BA41"/>
  <c r="AR99"/>
  <c r="B374" i="17"/>
  <c r="AC77" i="21"/>
  <c r="AM77"/>
  <c r="AC73"/>
  <c r="AM73"/>
  <c r="BA73"/>
  <c r="C23" i="5"/>
  <c r="B23"/>
  <c r="C41"/>
  <c r="B41"/>
  <c r="AR107" i="21"/>
  <c r="B232" i="17"/>
  <c r="C53" i="2"/>
  <c r="AC44" i="21"/>
  <c r="AM44"/>
  <c r="BA44"/>
  <c r="AR104"/>
  <c r="B229" i="17"/>
  <c r="AC70" i="21"/>
  <c r="AM70"/>
  <c r="BA70"/>
  <c r="AC68"/>
  <c r="AM68"/>
  <c r="BA68"/>
  <c r="AR101"/>
  <c r="B226" i="17"/>
  <c r="AC41" i="21"/>
  <c r="AM41"/>
  <c r="BA41"/>
  <c r="AR99"/>
  <c r="B224" i="17"/>
  <c r="AR112" i="22"/>
  <c r="B387" i="17"/>
  <c r="AR111" i="22"/>
  <c r="B386" i="17"/>
  <c r="AR110" i="22"/>
  <c r="B385" i="17"/>
  <c r="AC49" i="22"/>
  <c r="AM49"/>
  <c r="BA49"/>
  <c r="AR81"/>
  <c r="B361" i="17"/>
  <c r="AR79" i="22"/>
  <c r="B359" i="17"/>
  <c r="AR78" i="22"/>
  <c r="B358" i="17"/>
  <c r="AR137" i="22"/>
  <c r="BA76"/>
  <c r="AC76"/>
  <c r="AM76"/>
  <c r="AC73"/>
  <c r="AM73"/>
  <c r="BA73"/>
  <c r="AC47"/>
  <c r="AM47"/>
  <c r="BA47"/>
  <c r="AC44"/>
  <c r="AM44"/>
  <c r="BA44"/>
  <c r="AR115" i="21"/>
  <c r="B240" i="17"/>
  <c r="AR114" i="21"/>
  <c r="B239" i="17"/>
  <c r="AR113" i="21"/>
  <c r="B238" i="17"/>
  <c r="AR86" i="21"/>
  <c r="B216" i="17"/>
  <c r="AC25" i="21"/>
  <c r="AM25"/>
  <c r="BA25"/>
  <c r="AC51"/>
  <c r="AM51"/>
  <c r="BA51"/>
  <c r="AC50"/>
  <c r="AM50"/>
  <c r="BA50"/>
  <c r="AR82"/>
  <c r="B212" i="17"/>
  <c r="AR81" i="21"/>
  <c r="B211" i="17"/>
  <c r="AR79" i="21"/>
  <c r="B209" i="17"/>
  <c r="AC65" i="22"/>
  <c r="AM65"/>
  <c r="BA65"/>
  <c r="AR124"/>
  <c r="B394" i="17"/>
  <c r="AC63" i="22"/>
  <c r="AM63"/>
  <c r="BA63"/>
  <c r="AR94"/>
  <c r="B369" i="17"/>
  <c r="AR115" i="22"/>
  <c r="B390" i="17"/>
  <c r="AC54" i="22"/>
  <c r="AM54"/>
  <c r="BA54"/>
  <c r="AC27"/>
  <c r="AM27"/>
  <c r="BA27"/>
  <c r="AC25"/>
  <c r="AM25"/>
  <c r="BA25"/>
  <c r="BA24"/>
  <c r="AC24"/>
  <c r="AM24"/>
  <c r="AC63" i="21"/>
  <c r="AM63"/>
  <c r="BA63"/>
  <c r="AR123"/>
  <c r="B243" i="17"/>
  <c r="AR97" i="21"/>
  <c r="B222" i="17"/>
  <c r="C51" i="2"/>
  <c r="AC33" i="21"/>
  <c r="AM33"/>
  <c r="BA33"/>
  <c r="AM35" i="12"/>
  <c r="AM36"/>
  <c r="AO36"/>
  <c r="AP36"/>
  <c r="AN39"/>
  <c r="AN38"/>
  <c r="AM39"/>
  <c r="AN35"/>
  <c r="AP35"/>
  <c r="AP39"/>
  <c r="AO35"/>
  <c r="AN36"/>
  <c r="AN37"/>
  <c r="AM38"/>
  <c r="AP37"/>
  <c r="AM37"/>
  <c r="AO37"/>
  <c r="AO38"/>
  <c r="AO39"/>
  <c r="S21" i="15"/>
  <c r="AR18"/>
  <c r="D82"/>
  <c r="H82"/>
  <c r="K20"/>
  <c r="J20"/>
  <c r="I20"/>
  <c r="I139"/>
  <c r="K139"/>
  <c r="J139"/>
  <c r="AR78"/>
  <c r="A84"/>
  <c r="C83"/>
  <c r="B83"/>
  <c r="G83"/>
  <c r="K81"/>
  <c r="I81"/>
  <c r="BA81"/>
  <c r="B61" i="17"/>
  <c r="J81" i="15"/>
  <c r="I79"/>
  <c r="BA79"/>
  <c r="B59" i="17"/>
  <c r="J79" i="15"/>
  <c r="K79"/>
  <c r="BA20"/>
  <c r="B10" i="17"/>
  <c r="C141" i="15"/>
  <c r="B141"/>
  <c r="G141"/>
  <c r="BA80"/>
  <c r="B60" i="17"/>
  <c r="C21" i="15"/>
  <c r="BA139"/>
  <c r="B109" i="17"/>
  <c r="C140" i="15"/>
  <c r="AR19"/>
  <c r="J80"/>
  <c r="K80"/>
  <c r="I80"/>
  <c r="J138"/>
  <c r="K138"/>
  <c r="I138"/>
  <c r="BA138"/>
  <c r="B108" i="17"/>
  <c r="A142" i="15"/>
  <c r="A23"/>
  <c r="B22"/>
  <c r="G22"/>
  <c r="AB29" i="12"/>
  <c r="Y29"/>
  <c r="V29"/>
  <c r="AJ169"/>
  <c r="AR68" i="22"/>
  <c r="B348" i="17"/>
  <c r="AR55" i="22"/>
  <c r="B340" i="17"/>
  <c r="AR26" i="21"/>
  <c r="B166" i="17"/>
  <c r="AR46" i="21"/>
  <c r="B181" i="17"/>
  <c r="AR66" i="21"/>
  <c r="B196" i="17"/>
  <c r="AR63" i="22"/>
  <c r="B343" i="17"/>
  <c r="C38" i="5"/>
  <c r="B38"/>
  <c r="C20"/>
  <c r="B20"/>
  <c r="AR73" i="21"/>
  <c r="B203" i="17"/>
  <c r="AR34" i="21"/>
  <c r="B169" i="17"/>
  <c r="AR53" i="22"/>
  <c r="B338" i="17"/>
  <c r="AR18" i="21"/>
  <c r="B33" i="17"/>
  <c r="B158"/>
  <c r="AR56" i="21"/>
  <c r="B191" i="17"/>
  <c r="AR77" i="22"/>
  <c r="AR43" i="21"/>
  <c r="B178" i="17"/>
  <c r="AR19" i="22"/>
  <c r="B309" i="17"/>
  <c r="AR42" i="22"/>
  <c r="B327" i="17"/>
  <c r="C58" i="2"/>
  <c r="C25" i="5"/>
  <c r="B25"/>
  <c r="AR77" i="21"/>
  <c r="AR52" i="22"/>
  <c r="B337" i="17"/>
  <c r="AJ276" i="12"/>
  <c r="AR24" i="22"/>
  <c r="B314" i="17"/>
  <c r="AR76" i="22"/>
  <c r="B356" i="17"/>
  <c r="AR50" i="22"/>
  <c r="B335" i="17"/>
  <c r="AR38" i="21"/>
  <c r="B173" i="17"/>
  <c r="AR33" i="21"/>
  <c r="B168" i="17"/>
  <c r="AR27" i="22"/>
  <c r="B317" i="17"/>
  <c r="AR65" i="22"/>
  <c r="B345" i="17"/>
  <c r="AR50" i="21"/>
  <c r="B185" i="17"/>
  <c r="AR25" i="21"/>
  <c r="B165" i="17"/>
  <c r="AR47" i="22"/>
  <c r="B332" i="17"/>
  <c r="C59" i="2"/>
  <c r="C26" i="5"/>
  <c r="B26"/>
  <c r="AR41" i="21"/>
  <c r="B176" i="17"/>
  <c r="AR68" i="21"/>
  <c r="B198" i="17"/>
  <c r="AR64" i="21"/>
  <c r="B194" i="17"/>
  <c r="AR37" i="22"/>
  <c r="B322" i="17"/>
  <c r="C57" i="2"/>
  <c r="C24" i="5"/>
  <c r="B24"/>
  <c r="AR21" i="21"/>
  <c r="B161" i="17"/>
  <c r="AR52" i="21"/>
  <c r="B187" i="17"/>
  <c r="AR27" i="21"/>
  <c r="B167" i="17"/>
  <c r="AR74" i="22"/>
  <c r="B354" i="17"/>
  <c r="AR22" i="22"/>
  <c r="B312" i="17"/>
  <c r="AR47" i="21"/>
  <c r="B182" i="17"/>
  <c r="AR75" i="21"/>
  <c r="B205" i="17"/>
  <c r="AR36" i="21"/>
  <c r="B171" i="17"/>
  <c r="AR67" i="22"/>
  <c r="AR48" i="21"/>
  <c r="B183" i="17"/>
  <c r="AR20" i="22"/>
  <c r="B310" i="17"/>
  <c r="AR48" i="22"/>
  <c r="B333" i="17"/>
  <c r="AR51" i="22"/>
  <c r="B336" i="17"/>
  <c r="C19" i="5"/>
  <c r="B19"/>
  <c r="C37"/>
  <c r="B37"/>
  <c r="AR72" i="21"/>
  <c r="AR76"/>
  <c r="B206" i="17"/>
  <c r="AR40" i="22"/>
  <c r="B325" i="17"/>
  <c r="AR69" i="22"/>
  <c r="B349" i="17"/>
  <c r="AR33" i="22"/>
  <c r="B318" i="17"/>
  <c r="AR23" i="21"/>
  <c r="B163" i="17"/>
  <c r="AR46" i="22"/>
  <c r="B331" i="17"/>
  <c r="AR75" i="22"/>
  <c r="B355" i="17"/>
  <c r="AR38" i="22"/>
  <c r="B323" i="17"/>
  <c r="AR72" i="22"/>
  <c r="C36" i="5"/>
  <c r="B36"/>
  <c r="C18"/>
  <c r="B18"/>
  <c r="AR63" i="21"/>
  <c r="B193" i="17"/>
  <c r="AR25" i="22"/>
  <c r="B315" i="17"/>
  <c r="AR54" i="22"/>
  <c r="B339" i="17"/>
  <c r="AR51" i="21"/>
  <c r="B186" i="17"/>
  <c r="AR44" i="22"/>
  <c r="B329" i="17"/>
  <c r="AR73" i="22"/>
  <c r="B353" i="17"/>
  <c r="AR49" i="22"/>
  <c r="B334" i="17"/>
  <c r="AR70" i="21"/>
  <c r="B200" i="17"/>
  <c r="AR44" i="21"/>
  <c r="B179" i="17"/>
  <c r="AR41" i="22"/>
  <c r="B326" i="17"/>
  <c r="AR35" i="21"/>
  <c r="B170" i="17"/>
  <c r="AR23" i="22"/>
  <c r="B313" i="17"/>
  <c r="AR35" i="22"/>
  <c r="B320" i="17"/>
  <c r="AR36" i="22"/>
  <c r="B321" i="17"/>
  <c r="AR64" i="22"/>
  <c r="B344" i="17"/>
  <c r="AR22" i="21"/>
  <c r="B162" i="17"/>
  <c r="AR24" i="21"/>
  <c r="B164" i="17"/>
  <c r="AR54" i="21"/>
  <c r="B189" i="17"/>
  <c r="AR43" i="22"/>
  <c r="B328" i="17"/>
  <c r="AR18" i="22"/>
  <c r="B308" i="17"/>
  <c r="AR39" i="21"/>
  <c r="B174" i="17"/>
  <c r="AR42" i="21"/>
  <c r="B177" i="17"/>
  <c r="AR71" i="21"/>
  <c r="B201" i="17"/>
  <c r="AR45" i="21"/>
  <c r="B180" i="17"/>
  <c r="AR37" i="21"/>
  <c r="B172" i="17"/>
  <c r="AR67" i="21"/>
  <c r="AR56" i="22"/>
  <c r="B341" i="17"/>
  <c r="AR66" i="22"/>
  <c r="B346" i="17"/>
  <c r="AR20" i="21"/>
  <c r="B160" i="17"/>
  <c r="AR55" i="21"/>
  <c r="B190" i="17"/>
  <c r="AR45" i="22"/>
  <c r="B330" i="17"/>
  <c r="AR40" i="21"/>
  <c r="B175" i="17"/>
  <c r="AR69" i="21"/>
  <c r="B199" i="17"/>
  <c r="AR74" i="21"/>
  <c r="B204" i="17"/>
  <c r="AR39" i="22"/>
  <c r="B324" i="17"/>
  <c r="AR71" i="22"/>
  <c r="B351" i="17"/>
  <c r="AR65" i="21"/>
  <c r="B195" i="17"/>
  <c r="AR26" i="22"/>
  <c r="B316" i="17"/>
  <c r="AR57" i="22"/>
  <c r="B342" i="17"/>
  <c r="AR34" i="22"/>
  <c r="B319" i="17"/>
  <c r="AR19" i="21"/>
  <c r="B159" i="17"/>
  <c r="AR49" i="21"/>
  <c r="B184" i="17"/>
  <c r="AR53" i="21"/>
  <c r="B188" i="17"/>
  <c r="AR57" i="21"/>
  <c r="B192" i="17"/>
  <c r="AR21" i="22"/>
  <c r="B311" i="17"/>
  <c r="AR70" i="22"/>
  <c r="B350" i="17"/>
  <c r="AJ117" i="12"/>
  <c r="AJ44"/>
  <c r="AJ255"/>
  <c r="AJ111"/>
  <c r="AJ140"/>
  <c r="AJ151"/>
  <c r="AJ239"/>
  <c r="AJ30"/>
  <c r="AJ76"/>
  <c r="AJ197"/>
  <c r="AJ207"/>
  <c r="AJ60"/>
  <c r="AJ98"/>
  <c r="AJ198"/>
  <c r="AJ271"/>
  <c r="AJ115"/>
  <c r="AJ56"/>
  <c r="AJ124"/>
  <c r="AJ146"/>
  <c r="AJ163"/>
  <c r="AJ191"/>
  <c r="AJ251"/>
  <c r="AJ87"/>
  <c r="AJ36"/>
  <c r="AJ52"/>
  <c r="AJ68"/>
  <c r="AJ108"/>
  <c r="AJ85"/>
  <c r="AJ149"/>
  <c r="AJ130"/>
  <c r="AJ180"/>
  <c r="AJ159"/>
  <c r="AJ209"/>
  <c r="AJ175"/>
  <c r="AJ231"/>
  <c r="AJ247"/>
  <c r="AJ263"/>
  <c r="AJ40"/>
  <c r="AJ72"/>
  <c r="AJ101"/>
  <c r="AJ82"/>
  <c r="AJ196"/>
  <c r="AJ205"/>
  <c r="AJ235"/>
  <c r="AJ267"/>
  <c r="AJ32"/>
  <c r="AJ139"/>
  <c r="AJ48"/>
  <c r="AJ64"/>
  <c r="AJ92"/>
  <c r="AJ194"/>
  <c r="AJ133"/>
  <c r="AJ114"/>
  <c r="AJ176"/>
  <c r="AJ155"/>
  <c r="AJ190"/>
  <c r="AJ217"/>
  <c r="AJ227"/>
  <c r="AJ243"/>
  <c r="AJ259"/>
  <c r="AJ275"/>
  <c r="AJ123"/>
  <c r="AJ99"/>
  <c r="AJ95"/>
  <c r="AJ170"/>
  <c r="AJ43"/>
  <c r="AJ51"/>
  <c r="AJ59"/>
  <c r="AJ67"/>
  <c r="AJ75"/>
  <c r="AJ104"/>
  <c r="AJ136"/>
  <c r="AJ81"/>
  <c r="AJ113"/>
  <c r="AJ145"/>
  <c r="AJ94"/>
  <c r="AJ126"/>
  <c r="AJ181"/>
  <c r="AJ172"/>
  <c r="AJ221"/>
  <c r="AJ158"/>
  <c r="AJ184"/>
  <c r="AJ202"/>
  <c r="AJ214"/>
  <c r="AJ187"/>
  <c r="AJ238"/>
  <c r="AJ250"/>
  <c r="AJ262"/>
  <c r="AJ107"/>
  <c r="AJ31"/>
  <c r="AJ119"/>
  <c r="AJ79"/>
  <c r="AJ131"/>
  <c r="AJ147"/>
  <c r="AJ38"/>
  <c r="AJ42"/>
  <c r="AJ46"/>
  <c r="AJ50"/>
  <c r="AJ54"/>
  <c r="AJ58"/>
  <c r="AJ62"/>
  <c r="AJ66"/>
  <c r="AJ70"/>
  <c r="AJ74"/>
  <c r="AJ84"/>
  <c r="AJ100"/>
  <c r="AJ116"/>
  <c r="AJ132"/>
  <c r="AJ148"/>
  <c r="AJ77"/>
  <c r="AJ93"/>
  <c r="AJ109"/>
  <c r="AJ125"/>
  <c r="AJ141"/>
  <c r="AJ186"/>
  <c r="AJ90"/>
  <c r="AJ106"/>
  <c r="AJ122"/>
  <c r="AJ138"/>
  <c r="AJ171"/>
  <c r="AJ167"/>
  <c r="AJ182"/>
  <c r="AJ188"/>
  <c r="AJ213"/>
  <c r="AJ153"/>
  <c r="AJ157"/>
  <c r="AJ161"/>
  <c r="AJ165"/>
  <c r="AJ177"/>
  <c r="AJ200"/>
  <c r="AJ223"/>
  <c r="AJ222"/>
  <c r="AJ208"/>
  <c r="AJ216"/>
  <c r="AJ183"/>
  <c r="AJ199"/>
  <c r="AJ215"/>
  <c r="AJ229"/>
  <c r="AJ233"/>
  <c r="AJ237"/>
  <c r="AJ241"/>
  <c r="AJ245"/>
  <c r="AJ249"/>
  <c r="AJ253"/>
  <c r="AJ257"/>
  <c r="AJ261"/>
  <c r="AJ265"/>
  <c r="AJ269"/>
  <c r="AJ273"/>
  <c r="AJ277"/>
  <c r="AJ83"/>
  <c r="AJ35"/>
  <c r="AJ135"/>
  <c r="AJ39"/>
  <c r="AJ47"/>
  <c r="AJ55"/>
  <c r="AJ63"/>
  <c r="AJ71"/>
  <c r="AJ88"/>
  <c r="AJ120"/>
  <c r="AJ178"/>
  <c r="AJ97"/>
  <c r="AJ129"/>
  <c r="AJ78"/>
  <c r="AJ110"/>
  <c r="AJ142"/>
  <c r="AJ174"/>
  <c r="AJ189"/>
  <c r="AJ154"/>
  <c r="AJ162"/>
  <c r="AJ166"/>
  <c r="AJ206"/>
  <c r="AJ226"/>
  <c r="AJ220"/>
  <c r="AJ203"/>
  <c r="AJ219"/>
  <c r="AJ230"/>
  <c r="AJ234"/>
  <c r="AJ242"/>
  <c r="AJ246"/>
  <c r="AJ254"/>
  <c r="AJ258"/>
  <c r="AJ266"/>
  <c r="AJ270"/>
  <c r="AJ274"/>
  <c r="AJ278"/>
  <c r="AJ91"/>
  <c r="AJ34"/>
  <c r="AJ103"/>
  <c r="AJ33"/>
  <c r="AJ127"/>
  <c r="AJ143"/>
  <c r="AJ37"/>
  <c r="AJ41"/>
  <c r="AJ45"/>
  <c r="AJ49"/>
  <c r="AJ53"/>
  <c r="AJ57"/>
  <c r="AJ61"/>
  <c r="AJ65"/>
  <c r="AJ69"/>
  <c r="AJ73"/>
  <c r="AJ80"/>
  <c r="AJ96"/>
  <c r="AJ112"/>
  <c r="AJ128"/>
  <c r="AJ144"/>
  <c r="AJ224"/>
  <c r="AJ89"/>
  <c r="AJ105"/>
  <c r="AJ121"/>
  <c r="AJ137"/>
  <c r="AJ168"/>
  <c r="AJ86"/>
  <c r="AJ102"/>
  <c r="AJ118"/>
  <c r="AJ134"/>
  <c r="AJ150"/>
  <c r="AJ204"/>
  <c r="AJ192"/>
  <c r="AJ185"/>
  <c r="AJ210"/>
  <c r="AJ152"/>
  <c r="AJ156"/>
  <c r="AJ160"/>
  <c r="AJ164"/>
  <c r="AJ173"/>
  <c r="AJ193"/>
  <c r="AJ218"/>
  <c r="AJ212"/>
  <c r="AJ201"/>
  <c r="AJ225"/>
  <c r="AJ179"/>
  <c r="AJ195"/>
  <c r="AJ211"/>
  <c r="AJ228"/>
  <c r="AJ232"/>
  <c r="AJ236"/>
  <c r="AJ240"/>
  <c r="AJ244"/>
  <c r="AJ248"/>
  <c r="AJ252"/>
  <c r="AJ256"/>
  <c r="AJ260"/>
  <c r="AJ264"/>
  <c r="AJ268"/>
  <c r="AJ272"/>
  <c r="S22" i="15"/>
  <c r="AR81"/>
  <c r="B142"/>
  <c r="G142"/>
  <c r="D83"/>
  <c r="H83"/>
  <c r="E83"/>
  <c r="C22"/>
  <c r="D21"/>
  <c r="H21"/>
  <c r="AR80"/>
  <c r="B84"/>
  <c r="G84"/>
  <c r="A85"/>
  <c r="D141"/>
  <c r="H141"/>
  <c r="A143"/>
  <c r="B23"/>
  <c r="G23"/>
  <c r="A24"/>
  <c r="E140"/>
  <c r="D140"/>
  <c r="H140"/>
  <c r="AR20"/>
  <c r="AR79"/>
  <c r="E82"/>
  <c r="U29" i="12"/>
  <c r="AC29"/>
  <c r="X29"/>
  <c r="W29"/>
  <c r="AA29"/>
  <c r="AE29"/>
  <c r="T29"/>
  <c r="Z29"/>
  <c r="AD29"/>
  <c r="C50" i="2"/>
  <c r="C17" i="5"/>
  <c r="B17"/>
  <c r="C49" i="2"/>
  <c r="C48"/>
  <c r="S23" i="15"/>
  <c r="E22"/>
  <c r="D22"/>
  <c r="H22"/>
  <c r="I83"/>
  <c r="BA83"/>
  <c r="B63" i="17"/>
  <c r="J83" i="15"/>
  <c r="K83"/>
  <c r="C84"/>
  <c r="E21"/>
  <c r="C142"/>
  <c r="C23"/>
  <c r="J140"/>
  <c r="K140"/>
  <c r="I140"/>
  <c r="BA140"/>
  <c r="B110" i="17"/>
  <c r="C143" i="15"/>
  <c r="B143"/>
  <c r="G143"/>
  <c r="I82"/>
  <c r="BA82"/>
  <c r="B62" i="17"/>
  <c r="K82" i="15"/>
  <c r="J82"/>
  <c r="A144"/>
  <c r="C24"/>
  <c r="B24"/>
  <c r="G24"/>
  <c r="A25"/>
  <c r="B85"/>
  <c r="G85"/>
  <c r="A86"/>
  <c r="E141"/>
  <c r="X32" i="12"/>
  <c r="AA31"/>
  <c r="AA154"/>
  <c r="X30"/>
  <c r="AA35"/>
  <c r="AA188"/>
  <c r="AA32"/>
  <c r="AA158"/>
  <c r="AA30"/>
  <c r="AA33"/>
  <c r="AA221"/>
  <c r="X221"/>
  <c r="AA200"/>
  <c r="AA196"/>
  <c r="AA205"/>
  <c r="AA276"/>
  <c r="X217"/>
  <c r="AA157"/>
  <c r="AA212"/>
  <c r="X215"/>
  <c r="AA216"/>
  <c r="AA185"/>
  <c r="AA223"/>
  <c r="X220"/>
  <c r="AA219"/>
  <c r="AA199"/>
  <c r="AA204"/>
  <c r="AA176"/>
  <c r="AA213"/>
  <c r="X213"/>
  <c r="AA169"/>
  <c r="AA227"/>
  <c r="AA170"/>
  <c r="AA209"/>
  <c r="AA203"/>
  <c r="AA171"/>
  <c r="AA165"/>
  <c r="X219"/>
  <c r="AA160"/>
  <c r="X209"/>
  <c r="AA277"/>
  <c r="AA164"/>
  <c r="AA217"/>
  <c r="AA180"/>
  <c r="AA226"/>
  <c r="X212"/>
  <c r="X203"/>
  <c r="AA192"/>
  <c r="AA173"/>
  <c r="AA191"/>
  <c r="AA179"/>
  <c r="X207"/>
  <c r="AA207"/>
  <c r="AA34"/>
  <c r="X223"/>
  <c r="AA220"/>
  <c r="AA183"/>
  <c r="AA211"/>
  <c r="AA181"/>
  <c r="AA162"/>
  <c r="AA215"/>
  <c r="AA225"/>
  <c r="AA187"/>
  <c r="X204"/>
  <c r="AA275"/>
  <c r="AA153"/>
  <c r="AA278"/>
  <c r="AA197"/>
  <c r="AA224"/>
  <c r="AA166"/>
  <c r="AA152"/>
  <c r="AA195"/>
  <c r="X216"/>
  <c r="AA189"/>
  <c r="X211"/>
  <c r="AA228"/>
  <c r="AA140"/>
  <c r="AA93"/>
  <c r="AA266"/>
  <c r="X143"/>
  <c r="AA143"/>
  <c r="X208"/>
  <c r="AA236"/>
  <c r="AA259"/>
  <c r="X53"/>
  <c r="AA53"/>
  <c r="AA104"/>
  <c r="AA38"/>
  <c r="AA75"/>
  <c r="AA94"/>
  <c r="X115"/>
  <c r="AA115"/>
  <c r="AA184"/>
  <c r="AA214"/>
  <c r="X237"/>
  <c r="AA231"/>
  <c r="AA136"/>
  <c r="AA85"/>
  <c r="AA135"/>
  <c r="AA55"/>
  <c r="AA132"/>
  <c r="X242"/>
  <c r="AA269"/>
  <c r="X222"/>
  <c r="AA54"/>
  <c r="X70"/>
  <c r="AA112"/>
  <c r="AA186"/>
  <c r="X234"/>
  <c r="AA175"/>
  <c r="X139"/>
  <c r="AA139"/>
  <c r="X119"/>
  <c r="AA119"/>
  <c r="AA190"/>
  <c r="AA252"/>
  <c r="AA79"/>
  <c r="AA92"/>
  <c r="X124"/>
  <c r="AA244"/>
  <c r="AA102"/>
  <c r="X134"/>
  <c r="AA163"/>
  <c r="AA194"/>
  <c r="X229"/>
  <c r="AA245"/>
  <c r="X113"/>
  <c r="AA125"/>
  <c r="AA82"/>
  <c r="AA146"/>
  <c r="AA254"/>
  <c r="AA273"/>
  <c r="X50"/>
  <c r="AA66"/>
  <c r="AA36"/>
  <c r="AA46"/>
  <c r="X106"/>
  <c r="AA168"/>
  <c r="AA118"/>
  <c r="X150"/>
  <c r="AA239"/>
  <c r="AA89"/>
  <c r="X130"/>
  <c r="AA74"/>
  <c r="X46"/>
  <c r="AA174"/>
  <c r="X138"/>
  <c r="AA268"/>
  <c r="AA111"/>
  <c r="X123"/>
  <c r="X103"/>
  <c r="X140"/>
  <c r="AA262"/>
  <c r="X218"/>
  <c r="AA251"/>
  <c r="X52"/>
  <c r="X145"/>
  <c r="AA78"/>
  <c r="X110"/>
  <c r="AA237"/>
  <c r="X141"/>
  <c r="AA100"/>
  <c r="AA260"/>
  <c r="AA240"/>
  <c r="X210"/>
  <c r="AA96"/>
  <c r="X87"/>
  <c r="AA87"/>
  <c r="AA255"/>
  <c r="X206"/>
  <c r="AA68"/>
  <c r="AA148"/>
  <c r="AA149"/>
  <c r="AA246"/>
  <c r="AA58"/>
  <c r="X127"/>
  <c r="X228"/>
  <c r="AA42"/>
  <c r="AA264"/>
  <c r="X90"/>
  <c r="AA233"/>
  <c r="AA167"/>
  <c r="AA241"/>
  <c r="AA267"/>
  <c r="X69"/>
  <c r="AA69"/>
  <c r="AA43"/>
  <c r="AA52"/>
  <c r="X51"/>
  <c r="AA51"/>
  <c r="AA40"/>
  <c r="AA129"/>
  <c r="AA110"/>
  <c r="X142"/>
  <c r="X131"/>
  <c r="AA131"/>
  <c r="AA178"/>
  <c r="X214"/>
  <c r="AA238"/>
  <c r="X231"/>
  <c r="AA247"/>
  <c r="X85"/>
  <c r="AA172"/>
  <c r="X108"/>
  <c r="AA249"/>
  <c r="X122"/>
  <c r="AA101"/>
  <c r="AA56"/>
  <c r="AA71"/>
  <c r="X88"/>
  <c r="AA250"/>
  <c r="AA243"/>
  <c r="AA263"/>
  <c r="X45"/>
  <c r="AA45"/>
  <c r="AA62"/>
  <c r="AA128"/>
  <c r="X144"/>
  <c r="X49"/>
  <c r="AA49"/>
  <c r="AA105"/>
  <c r="AA124"/>
  <c r="AA230"/>
  <c r="X47"/>
  <c r="AA47"/>
  <c r="AA109"/>
  <c r="AA161"/>
  <c r="AA202"/>
  <c r="AA95"/>
  <c r="X68"/>
  <c r="AA84"/>
  <c r="X116"/>
  <c r="X125"/>
  <c r="AA98"/>
  <c r="AA76"/>
  <c r="AA50"/>
  <c r="X111"/>
  <c r="X104"/>
  <c r="AA99"/>
  <c r="AA37"/>
  <c r="AA122"/>
  <c r="AA261"/>
  <c r="AA61"/>
  <c r="AA120"/>
  <c r="AA182"/>
  <c r="X112"/>
  <c r="AA91"/>
  <c r="AA270"/>
  <c r="X230"/>
  <c r="X137"/>
  <c r="AA86"/>
  <c r="AA229"/>
  <c r="X133"/>
  <c r="AA159"/>
  <c r="AA248"/>
  <c r="AA41"/>
  <c r="AA127"/>
  <c r="AA73"/>
  <c r="X233"/>
  <c r="AA198"/>
  <c r="AA193"/>
  <c r="AA208"/>
  <c r="AA218"/>
  <c r="AA235"/>
  <c r="AA77"/>
  <c r="AA48"/>
  <c r="AA60"/>
  <c r="AA59"/>
  <c r="AA67"/>
  <c r="X129"/>
  <c r="AA145"/>
  <c r="AA156"/>
  <c r="AA126"/>
  <c r="AA83"/>
  <c r="AA147"/>
  <c r="AA201"/>
  <c r="X201"/>
  <c r="AA271"/>
  <c r="X107"/>
  <c r="AA107"/>
  <c r="AA141"/>
  <c r="AA108"/>
  <c r="AA242"/>
  <c r="AA272"/>
  <c r="AA253"/>
  <c r="AA210"/>
  <c r="AA88"/>
  <c r="X120"/>
  <c r="AA222"/>
  <c r="X243"/>
  <c r="AA72"/>
  <c r="X54"/>
  <c r="AA70"/>
  <c r="AA80"/>
  <c r="AA144"/>
  <c r="AA177"/>
  <c r="AA234"/>
  <c r="AA39"/>
  <c r="AA65"/>
  <c r="X105"/>
  <c r="AA256"/>
  <c r="AA206"/>
  <c r="X109"/>
  <c r="X202"/>
  <c r="AA117"/>
  <c r="AA44"/>
  <c r="AA63"/>
  <c r="AA64"/>
  <c r="AA116"/>
  <c r="AA137"/>
  <c r="AA134"/>
  <c r="AA97"/>
  <c r="AA133"/>
  <c r="AA114"/>
  <c r="X146"/>
  <c r="AA155"/>
  <c r="X232"/>
  <c r="AA232"/>
  <c r="AA257"/>
  <c r="AA106"/>
  <c r="AA123"/>
  <c r="AA103"/>
  <c r="AA90"/>
  <c r="AA151"/>
  <c r="AA142"/>
  <c r="X136"/>
  <c r="AA57"/>
  <c r="AA258"/>
  <c r="AA121"/>
  <c r="AA81"/>
  <c r="X132"/>
  <c r="X240"/>
  <c r="AA274"/>
  <c r="AA150"/>
  <c r="AA113"/>
  <c r="AA130"/>
  <c r="AA265"/>
  <c r="AA138"/>
  <c r="AE188"/>
  <c r="AC32"/>
  <c r="AC35"/>
  <c r="AC31"/>
  <c r="AD35"/>
  <c r="AD31"/>
  <c r="AD33"/>
  <c r="AE30"/>
  <c r="AE33"/>
  <c r="AC33"/>
  <c r="AD154"/>
  <c r="AD158"/>
  <c r="AD32"/>
  <c r="AE31"/>
  <c r="AD30"/>
  <c r="AD188"/>
  <c r="AE35"/>
  <c r="AE154"/>
  <c r="AE158"/>
  <c r="AC154"/>
  <c r="AE32"/>
  <c r="AC30"/>
  <c r="AC158"/>
  <c r="AC188"/>
  <c r="AC209"/>
  <c r="AC277"/>
  <c r="AC189"/>
  <c r="AC196"/>
  <c r="AC153"/>
  <c r="AD164"/>
  <c r="AC164"/>
  <c r="AD197"/>
  <c r="AC183"/>
  <c r="AD180"/>
  <c r="AC157"/>
  <c r="AC224"/>
  <c r="AD224"/>
  <c r="AD211"/>
  <c r="AC181"/>
  <c r="AE181"/>
  <c r="AD192"/>
  <c r="AC173"/>
  <c r="AE173"/>
  <c r="AE152"/>
  <c r="AC191"/>
  <c r="AE191"/>
  <c r="AE179"/>
  <c r="AE207"/>
  <c r="AC171"/>
  <c r="AD185"/>
  <c r="AC227"/>
  <c r="AD227"/>
  <c r="AE225"/>
  <c r="AC187"/>
  <c r="AD219"/>
  <c r="AE204"/>
  <c r="AD204"/>
  <c r="AC170"/>
  <c r="AD213"/>
  <c r="AD160"/>
  <c r="AC219"/>
  <c r="AE170"/>
  <c r="AC176"/>
  <c r="AE160"/>
  <c r="AC223"/>
  <c r="AE176"/>
  <c r="AC160"/>
  <c r="AC200"/>
  <c r="AD200"/>
  <c r="AE278"/>
  <c r="AE197"/>
  <c r="AC226"/>
  <c r="AE166"/>
  <c r="AD173"/>
  <c r="AD165"/>
  <c r="AE227"/>
  <c r="AC220"/>
  <c r="AD187"/>
  <c r="AC199"/>
  <c r="AE199"/>
  <c r="AE169"/>
  <c r="AC275"/>
  <c r="AC221"/>
  <c r="AE221"/>
  <c r="AC205"/>
  <c r="AE153"/>
  <c r="AC278"/>
  <c r="AE276"/>
  <c r="AD276"/>
  <c r="AE217"/>
  <c r="AE183"/>
  <c r="AC180"/>
  <c r="AC211"/>
  <c r="AE203"/>
  <c r="AD181"/>
  <c r="AD166"/>
  <c r="AC166"/>
  <c r="AE162"/>
  <c r="AD152"/>
  <c r="AC152"/>
  <c r="AD215"/>
  <c r="AE195"/>
  <c r="AC216"/>
  <c r="AD179"/>
  <c r="AC185"/>
  <c r="AC165"/>
  <c r="AC225"/>
  <c r="AD225"/>
  <c r="AE223"/>
  <c r="AD220"/>
  <c r="AE220"/>
  <c r="AE34"/>
  <c r="AE165"/>
  <c r="AD223"/>
  <c r="AE187"/>
  <c r="AE219"/>
  <c r="AD199"/>
  <c r="AC213"/>
  <c r="AE213"/>
  <c r="AE275"/>
  <c r="AE189"/>
  <c r="AD196"/>
  <c r="AE224"/>
  <c r="AC203"/>
  <c r="AE192"/>
  <c r="AC195"/>
  <c r="AD191"/>
  <c r="AD216"/>
  <c r="AE216"/>
  <c r="AE185"/>
  <c r="AD34"/>
  <c r="AD176"/>
  <c r="AE209"/>
  <c r="AD209"/>
  <c r="AD221"/>
  <c r="AE277"/>
  <c r="AD277"/>
  <c r="AE200"/>
  <c r="AD189"/>
  <c r="AE196"/>
  <c r="AD205"/>
  <c r="AD153"/>
  <c r="AC217"/>
  <c r="AD217"/>
  <c r="AD157"/>
  <c r="AE157"/>
  <c r="AE226"/>
  <c r="AE211"/>
  <c r="AC212"/>
  <c r="AE212"/>
  <c r="AD203"/>
  <c r="AC192"/>
  <c r="AC162"/>
  <c r="AC215"/>
  <c r="AE215"/>
  <c r="AD195"/>
  <c r="AC179"/>
  <c r="AD207"/>
  <c r="AD171"/>
  <c r="AE171"/>
  <c r="AC34"/>
  <c r="AC204"/>
  <c r="AD169"/>
  <c r="AD275"/>
  <c r="AE205"/>
  <c r="AD278"/>
  <c r="AE164"/>
  <c r="AC276"/>
  <c r="AC197"/>
  <c r="AD183"/>
  <c r="AE180"/>
  <c r="AD226"/>
  <c r="AD212"/>
  <c r="AD162"/>
  <c r="AC207"/>
  <c r="AD170"/>
  <c r="AC169"/>
  <c r="AD228"/>
  <c r="AD42"/>
  <c r="AE42"/>
  <c r="AD73"/>
  <c r="AE73"/>
  <c r="AC264"/>
  <c r="AC90"/>
  <c r="AC198"/>
  <c r="AD198"/>
  <c r="AE262"/>
  <c r="AE151"/>
  <c r="AD167"/>
  <c r="AC208"/>
  <c r="AE218"/>
  <c r="AC235"/>
  <c r="AD251"/>
  <c r="AC251"/>
  <c r="AE267"/>
  <c r="AC69"/>
  <c r="AE69"/>
  <c r="AD77"/>
  <c r="AD43"/>
  <c r="AE43"/>
  <c r="AC51"/>
  <c r="AE51"/>
  <c r="AD59"/>
  <c r="AE59"/>
  <c r="AD40"/>
  <c r="AE40"/>
  <c r="AC129"/>
  <c r="AD156"/>
  <c r="AE156"/>
  <c r="AC78"/>
  <c r="AD110"/>
  <c r="AE126"/>
  <c r="AC142"/>
  <c r="AE83"/>
  <c r="AC83"/>
  <c r="AD131"/>
  <c r="AC131"/>
  <c r="AE147"/>
  <c r="AC178"/>
  <c r="AD178"/>
  <c r="AC238"/>
  <c r="AE237"/>
  <c r="AD231"/>
  <c r="AE247"/>
  <c r="AE107"/>
  <c r="AC107"/>
  <c r="AE172"/>
  <c r="AD172"/>
  <c r="AD121"/>
  <c r="AE108"/>
  <c r="AC37"/>
  <c r="AD81"/>
  <c r="AC122"/>
  <c r="AC101"/>
  <c r="AE101"/>
  <c r="AC71"/>
  <c r="AD100"/>
  <c r="AD272"/>
  <c r="AC240"/>
  <c r="AD261"/>
  <c r="AC261"/>
  <c r="AC210"/>
  <c r="AE88"/>
  <c r="AD120"/>
  <c r="AC250"/>
  <c r="AC182"/>
  <c r="AE222"/>
  <c r="AE243"/>
  <c r="AE263"/>
  <c r="AD45"/>
  <c r="AE45"/>
  <c r="AD54"/>
  <c r="AE70"/>
  <c r="AE80"/>
  <c r="AD96"/>
  <c r="AC128"/>
  <c r="AE144"/>
  <c r="AD177"/>
  <c r="AD39"/>
  <c r="AE39"/>
  <c r="AE175"/>
  <c r="AC49"/>
  <c r="AD65"/>
  <c r="AE190"/>
  <c r="AE270"/>
  <c r="AD255"/>
  <c r="AC255"/>
  <c r="AC105"/>
  <c r="AC124"/>
  <c r="AD256"/>
  <c r="AD206"/>
  <c r="AC230"/>
  <c r="AD47"/>
  <c r="AE47"/>
  <c r="AC109"/>
  <c r="AE109"/>
  <c r="AC202"/>
  <c r="AD202"/>
  <c r="AD95"/>
  <c r="AC95"/>
  <c r="AE44"/>
  <c r="AC68"/>
  <c r="AE68"/>
  <c r="AD63"/>
  <c r="AE63"/>
  <c r="AC84"/>
  <c r="AE116"/>
  <c r="AD148"/>
  <c r="AC168"/>
  <c r="AC86"/>
  <c r="AD118"/>
  <c r="AE134"/>
  <c r="AC150"/>
  <c r="AE229"/>
  <c r="AD245"/>
  <c r="AE239"/>
  <c r="AD113"/>
  <c r="AC89"/>
  <c r="AD149"/>
  <c r="AC159"/>
  <c r="AD98"/>
  <c r="AE114"/>
  <c r="AC130"/>
  <c r="AD155"/>
  <c r="AD246"/>
  <c r="AE246"/>
  <c r="AC248"/>
  <c r="AD265"/>
  <c r="AC265"/>
  <c r="AE50"/>
  <c r="AC58"/>
  <c r="AD66"/>
  <c r="AD46"/>
  <c r="AD174"/>
  <c r="AE106"/>
  <c r="AC138"/>
  <c r="AE111"/>
  <c r="AC111"/>
  <c r="AC268"/>
  <c r="AC116"/>
  <c r="AE86"/>
  <c r="AC102"/>
  <c r="AE150"/>
  <c r="AE163"/>
  <c r="AC229"/>
  <c r="AD239"/>
  <c r="AE97"/>
  <c r="AD125"/>
  <c r="AC133"/>
  <c r="AD159"/>
  <c r="AD114"/>
  <c r="AC146"/>
  <c r="AE254"/>
  <c r="AE232"/>
  <c r="AE257"/>
  <c r="AD273"/>
  <c r="AC273"/>
  <c r="AD76"/>
  <c r="AC66"/>
  <c r="AD41"/>
  <c r="AE41"/>
  <c r="AD106"/>
  <c r="AD111"/>
  <c r="AE127"/>
  <c r="AC127"/>
  <c r="AC74"/>
  <c r="AD138"/>
  <c r="AE228"/>
  <c r="AC233"/>
  <c r="AD143"/>
  <c r="AC143"/>
  <c r="AE167"/>
  <c r="AC193"/>
  <c r="AE236"/>
  <c r="AE53"/>
  <c r="AC104"/>
  <c r="AC48"/>
  <c r="AE60"/>
  <c r="AD51"/>
  <c r="AE201"/>
  <c r="AD214"/>
  <c r="AC247"/>
  <c r="AD271"/>
  <c r="AC271"/>
  <c r="AD135"/>
  <c r="AC135"/>
  <c r="AE121"/>
  <c r="AE81"/>
  <c r="AD71"/>
  <c r="AD242"/>
  <c r="AE242"/>
  <c r="AC253"/>
  <c r="AE269"/>
  <c r="AE182"/>
  <c r="AC243"/>
  <c r="AC72"/>
  <c r="AE72"/>
  <c r="AC112"/>
  <c r="AD186"/>
  <c r="AC177"/>
  <c r="AD234"/>
  <c r="AD139"/>
  <c r="AD49"/>
  <c r="AD79"/>
  <c r="AE124"/>
  <c r="AE256"/>
  <c r="AD244"/>
  <c r="AE244"/>
  <c r="AD161"/>
  <c r="AE161"/>
  <c r="AE95"/>
  <c r="AD117"/>
  <c r="AD44"/>
  <c r="AE84"/>
  <c r="AE168"/>
  <c r="AC134"/>
  <c r="AC163"/>
  <c r="AD194"/>
  <c r="AC239"/>
  <c r="AD97"/>
  <c r="AE125"/>
  <c r="AD146"/>
  <c r="AE155"/>
  <c r="AC257"/>
  <c r="AD36"/>
  <c r="AC174"/>
  <c r="AC106"/>
  <c r="AE268"/>
  <c r="AE123"/>
  <c r="AC123"/>
  <c r="AC73"/>
  <c r="AE103"/>
  <c r="AE90"/>
  <c r="AD233"/>
  <c r="AD140"/>
  <c r="AD93"/>
  <c r="AD262"/>
  <c r="AD151"/>
  <c r="AE208"/>
  <c r="AC218"/>
  <c r="AD218"/>
  <c r="AD241"/>
  <c r="AE235"/>
  <c r="AC236"/>
  <c r="AD259"/>
  <c r="AC259"/>
  <c r="AC77"/>
  <c r="AE77"/>
  <c r="AD104"/>
  <c r="AD38"/>
  <c r="AD52"/>
  <c r="AC59"/>
  <c r="AD67"/>
  <c r="AE67"/>
  <c r="AE129"/>
  <c r="AC145"/>
  <c r="AC156"/>
  <c r="AE78"/>
  <c r="AC94"/>
  <c r="AD126"/>
  <c r="AE142"/>
  <c r="AD83"/>
  <c r="AE99"/>
  <c r="AC99"/>
  <c r="AD147"/>
  <c r="AC147"/>
  <c r="AD201"/>
  <c r="AC184"/>
  <c r="AE214"/>
  <c r="AC237"/>
  <c r="AD247"/>
  <c r="AD136"/>
  <c r="AE271"/>
  <c r="AD85"/>
  <c r="AD107"/>
  <c r="AD57"/>
  <c r="AC172"/>
  <c r="AD258"/>
  <c r="AE258"/>
  <c r="AC141"/>
  <c r="AC108"/>
  <c r="AD249"/>
  <c r="AE122"/>
  <c r="AD56"/>
  <c r="AE100"/>
  <c r="AD132"/>
  <c r="AC242"/>
  <c r="AC272"/>
  <c r="AD260"/>
  <c r="AE260"/>
  <c r="AE253"/>
  <c r="AD269"/>
  <c r="AC269"/>
  <c r="AD61"/>
  <c r="AD210"/>
  <c r="AC88"/>
  <c r="AE120"/>
  <c r="AC222"/>
  <c r="AD243"/>
  <c r="AC54"/>
  <c r="AD62"/>
  <c r="AC80"/>
  <c r="AE96"/>
  <c r="AD112"/>
  <c r="AC144"/>
  <c r="AE186"/>
  <c r="AC234"/>
  <c r="AC39"/>
  <c r="AD175"/>
  <c r="AE91"/>
  <c r="AC91"/>
  <c r="AC65"/>
  <c r="AE65"/>
  <c r="AE87"/>
  <c r="AC190"/>
  <c r="AD270"/>
  <c r="AE105"/>
  <c r="AD92"/>
  <c r="AC256"/>
  <c r="AE206"/>
  <c r="AC244"/>
  <c r="AC161"/>
  <c r="AD274"/>
  <c r="AE274"/>
  <c r="AC117"/>
  <c r="AE117"/>
  <c r="AC44"/>
  <c r="AC63"/>
  <c r="AD64"/>
  <c r="AE64"/>
  <c r="AE148"/>
  <c r="AC137"/>
  <c r="AD134"/>
  <c r="AE245"/>
  <c r="AC97"/>
  <c r="AE89"/>
  <c r="AC82"/>
  <c r="AE130"/>
  <c r="AC155"/>
  <c r="AD232"/>
  <c r="AE58"/>
  <c r="AD74"/>
  <c r="AC36"/>
  <c r="AE46"/>
  <c r="AE138"/>
  <c r="AC76"/>
  <c r="AE76"/>
  <c r="AC46"/>
  <c r="AD264"/>
  <c r="AC140"/>
  <c r="AC93"/>
  <c r="AC241"/>
  <c r="AD236"/>
  <c r="AC53"/>
  <c r="AD69"/>
  <c r="AE75"/>
  <c r="AD94"/>
  <c r="AC126"/>
  <c r="AE178"/>
  <c r="AE184"/>
  <c r="AD237"/>
  <c r="AC136"/>
  <c r="AC85"/>
  <c r="AD141"/>
  <c r="AD108"/>
  <c r="AC55"/>
  <c r="AE71"/>
  <c r="AC132"/>
  <c r="AD253"/>
  <c r="AC70"/>
  <c r="AD80"/>
  <c r="AD144"/>
  <c r="AE177"/>
  <c r="AC119"/>
  <c r="AC79"/>
  <c r="AD68"/>
  <c r="AC194"/>
  <c r="AC125"/>
  <c r="AE98"/>
  <c r="AC254"/>
  <c r="AE273"/>
  <c r="AE36"/>
  <c r="AD123"/>
  <c r="AC228"/>
  <c r="AC42"/>
  <c r="AD103"/>
  <c r="AC103"/>
  <c r="AE264"/>
  <c r="AD90"/>
  <c r="AE233"/>
  <c r="AE140"/>
  <c r="AC262"/>
  <c r="AD266"/>
  <c r="AE266"/>
  <c r="AE143"/>
  <c r="AC151"/>
  <c r="AC167"/>
  <c r="AE193"/>
  <c r="AD208"/>
  <c r="AE241"/>
  <c r="AD235"/>
  <c r="AE251"/>
  <c r="AD267"/>
  <c r="AC267"/>
  <c r="AD53"/>
  <c r="AE104"/>
  <c r="AD48"/>
  <c r="AC43"/>
  <c r="AE38"/>
  <c r="AC52"/>
  <c r="AE52"/>
  <c r="AD60"/>
  <c r="AC67"/>
  <c r="AD75"/>
  <c r="AC40"/>
  <c r="AD129"/>
  <c r="AE145"/>
  <c r="AD78"/>
  <c r="AE94"/>
  <c r="AC110"/>
  <c r="AD142"/>
  <c r="AD99"/>
  <c r="AE115"/>
  <c r="AC115"/>
  <c r="AC214"/>
  <c r="AD238"/>
  <c r="AE238"/>
  <c r="AC231"/>
  <c r="AE136"/>
  <c r="AC57"/>
  <c r="AE57"/>
  <c r="AE135"/>
  <c r="AC258"/>
  <c r="AE141"/>
  <c r="AC121"/>
  <c r="AE249"/>
  <c r="AD37"/>
  <c r="AE37"/>
  <c r="AC81"/>
  <c r="AD122"/>
  <c r="AD101"/>
  <c r="AC56"/>
  <c r="AE56"/>
  <c r="AD55"/>
  <c r="AE55"/>
  <c r="AC100"/>
  <c r="AE132"/>
  <c r="AC260"/>
  <c r="AD240"/>
  <c r="AE240"/>
  <c r="AE261"/>
  <c r="AC61"/>
  <c r="AE61"/>
  <c r="AC120"/>
  <c r="AD250"/>
  <c r="AE250"/>
  <c r="AD182"/>
  <c r="AD263"/>
  <c r="AC263"/>
  <c r="AD72"/>
  <c r="AC45"/>
  <c r="AE54"/>
  <c r="AC62"/>
  <c r="AD70"/>
  <c r="AC96"/>
  <c r="AE112"/>
  <c r="AD128"/>
  <c r="AC186"/>
  <c r="AC175"/>
  <c r="AD91"/>
  <c r="AE139"/>
  <c r="AD87"/>
  <c r="AC87"/>
  <c r="AE119"/>
  <c r="AC270"/>
  <c r="AD252"/>
  <c r="AE252"/>
  <c r="AE79"/>
  <c r="AE255"/>
  <c r="AD105"/>
  <c r="AE92"/>
  <c r="AD124"/>
  <c r="AC206"/>
  <c r="AD230"/>
  <c r="AE230"/>
  <c r="AC47"/>
  <c r="AD109"/>
  <c r="AC274"/>
  <c r="AC64"/>
  <c r="AD84"/>
  <c r="AC148"/>
  <c r="AE137"/>
  <c r="AD86"/>
  <c r="AE102"/>
  <c r="AC118"/>
  <c r="AD150"/>
  <c r="AD163"/>
  <c r="AE194"/>
  <c r="AC245"/>
  <c r="AC113"/>
  <c r="AE113"/>
  <c r="AD89"/>
  <c r="AE133"/>
  <c r="AC149"/>
  <c r="AE159"/>
  <c r="AE82"/>
  <c r="AC98"/>
  <c r="AD130"/>
  <c r="AE146"/>
  <c r="AD254"/>
  <c r="AC246"/>
  <c r="AD248"/>
  <c r="AE248"/>
  <c r="AE265"/>
  <c r="AD50"/>
  <c r="AE66"/>
  <c r="AC41"/>
  <c r="AD127"/>
  <c r="AE198"/>
  <c r="AE93"/>
  <c r="AC266"/>
  <c r="AD193"/>
  <c r="AE259"/>
  <c r="AE48"/>
  <c r="AC38"/>
  <c r="AC60"/>
  <c r="AC75"/>
  <c r="AD145"/>
  <c r="AE110"/>
  <c r="AD115"/>
  <c r="AE131"/>
  <c r="AC201"/>
  <c r="AD184"/>
  <c r="AE231"/>
  <c r="AE85"/>
  <c r="AC249"/>
  <c r="AE272"/>
  <c r="AE210"/>
  <c r="AD88"/>
  <c r="AD222"/>
  <c r="AE62"/>
  <c r="AE128"/>
  <c r="AE234"/>
  <c r="AC139"/>
  <c r="AE49"/>
  <c r="AD119"/>
  <c r="AD190"/>
  <c r="AC252"/>
  <c r="AC92"/>
  <c r="AE202"/>
  <c r="AD116"/>
  <c r="AD137"/>
  <c r="AD168"/>
  <c r="AD102"/>
  <c r="AE118"/>
  <c r="AD229"/>
  <c r="AD133"/>
  <c r="AE149"/>
  <c r="AD82"/>
  <c r="AC114"/>
  <c r="AC232"/>
  <c r="AD257"/>
  <c r="AC50"/>
  <c r="AD58"/>
  <c r="AE74"/>
  <c r="AE174"/>
  <c r="AD268"/>
  <c r="Z188"/>
  <c r="AB188"/>
  <c r="Z30"/>
  <c r="Z158"/>
  <c r="Z32"/>
  <c r="Z35"/>
  <c r="Z31"/>
  <c r="Z33"/>
  <c r="Z154"/>
  <c r="Z209"/>
  <c r="Z189"/>
  <c r="Z276"/>
  <c r="Z211"/>
  <c r="Z212"/>
  <c r="Z203"/>
  <c r="Z166"/>
  <c r="Z192"/>
  <c r="Z152"/>
  <c r="Z215"/>
  <c r="Z195"/>
  <c r="Z171"/>
  <c r="Z34"/>
  <c r="Z223"/>
  <c r="Z187"/>
  <c r="Z213"/>
  <c r="Z169"/>
  <c r="Z199"/>
  <c r="Z204"/>
  <c r="Z205"/>
  <c r="Z164"/>
  <c r="Z180"/>
  <c r="Z225"/>
  <c r="Z277"/>
  <c r="Z200"/>
  <c r="Z153"/>
  <c r="Z197"/>
  <c r="Z157"/>
  <c r="Z226"/>
  <c r="Z216"/>
  <c r="Z185"/>
  <c r="Z219"/>
  <c r="Z227"/>
  <c r="Z170"/>
  <c r="Z217"/>
  <c r="Z220"/>
  <c r="Z275"/>
  <c r="Z196"/>
  <c r="Z278"/>
  <c r="Z183"/>
  <c r="Z224"/>
  <c r="Z181"/>
  <c r="Z162"/>
  <c r="Z173"/>
  <c r="Z191"/>
  <c r="Z207"/>
  <c r="Z165"/>
  <c r="Z221"/>
  <c r="Z179"/>
  <c r="Z176"/>
  <c r="Z160"/>
  <c r="Z123"/>
  <c r="Z103"/>
  <c r="Z90"/>
  <c r="Z233"/>
  <c r="Z93"/>
  <c r="Z262"/>
  <c r="Z151"/>
  <c r="Z167"/>
  <c r="Z193"/>
  <c r="Z241"/>
  <c r="Z259"/>
  <c r="Z38"/>
  <c r="Z52"/>
  <c r="Z67"/>
  <c r="Z129"/>
  <c r="Z78"/>
  <c r="Z142"/>
  <c r="Z99"/>
  <c r="Z214"/>
  <c r="Z247"/>
  <c r="Z85"/>
  <c r="Z57"/>
  <c r="Z258"/>
  <c r="Z249"/>
  <c r="Z122"/>
  <c r="Z56"/>
  <c r="Z100"/>
  <c r="Z260"/>
  <c r="Z269"/>
  <c r="Z61"/>
  <c r="Z120"/>
  <c r="Z243"/>
  <c r="Z62"/>
  <c r="Z96"/>
  <c r="Z186"/>
  <c r="Z91"/>
  <c r="Z87"/>
  <c r="Z270"/>
  <c r="Z105"/>
  <c r="Z206"/>
  <c r="Z274"/>
  <c r="Z64"/>
  <c r="Z148"/>
  <c r="Z86"/>
  <c r="Z150"/>
  <c r="Z239"/>
  <c r="Z125"/>
  <c r="Z89"/>
  <c r="Z159"/>
  <c r="Z130"/>
  <c r="Z232"/>
  <c r="Z273"/>
  <c r="Z76"/>
  <c r="Z74"/>
  <c r="Z41"/>
  <c r="Z138"/>
  <c r="Z127"/>
  <c r="Z102"/>
  <c r="Z194"/>
  <c r="Z133"/>
  <c r="Z82"/>
  <c r="Z254"/>
  <c r="Z50"/>
  <c r="Z42"/>
  <c r="Z73"/>
  <c r="Z208"/>
  <c r="Z43"/>
  <c r="Z40"/>
  <c r="Z126"/>
  <c r="Z83"/>
  <c r="Z147"/>
  <c r="Z107"/>
  <c r="Z172"/>
  <c r="Z108"/>
  <c r="Z88"/>
  <c r="Z222"/>
  <c r="Z54"/>
  <c r="Z39"/>
  <c r="Z190"/>
  <c r="Z47"/>
  <c r="Z116"/>
  <c r="Z245"/>
  <c r="Z113"/>
  <c r="Z114"/>
  <c r="Z265"/>
  <c r="Z106"/>
  <c r="Z111"/>
  <c r="Z140"/>
  <c r="Z266"/>
  <c r="Z143"/>
  <c r="Z235"/>
  <c r="Z267"/>
  <c r="Z53"/>
  <c r="Z104"/>
  <c r="Z48"/>
  <c r="Z60"/>
  <c r="Z75"/>
  <c r="Z145"/>
  <c r="Z94"/>
  <c r="Z115"/>
  <c r="Z201"/>
  <c r="Z184"/>
  <c r="Z238"/>
  <c r="Z136"/>
  <c r="Z135"/>
  <c r="Z141"/>
  <c r="Z37"/>
  <c r="Z101"/>
  <c r="Z55"/>
  <c r="Z132"/>
  <c r="Z240"/>
  <c r="Z250"/>
  <c r="Z263"/>
  <c r="Z72"/>
  <c r="Z70"/>
  <c r="Z112"/>
  <c r="Z177"/>
  <c r="Z175"/>
  <c r="Z139"/>
  <c r="Z119"/>
  <c r="Z252"/>
  <c r="Z79"/>
  <c r="Z92"/>
  <c r="Z230"/>
  <c r="Z109"/>
  <c r="Z137"/>
  <c r="Z163"/>
  <c r="Z146"/>
  <c r="Z248"/>
  <c r="Z174"/>
  <c r="Z257"/>
  <c r="Z36"/>
  <c r="Z268"/>
  <c r="Z228"/>
  <c r="Z251"/>
  <c r="Z59"/>
  <c r="Z156"/>
  <c r="Z231"/>
  <c r="Z272"/>
  <c r="Z45"/>
  <c r="Z65"/>
  <c r="Z63"/>
  <c r="Z134"/>
  <c r="Z246"/>
  <c r="Z66"/>
  <c r="Z264"/>
  <c r="Z198"/>
  <c r="Z236"/>
  <c r="Z69"/>
  <c r="Z51"/>
  <c r="Z110"/>
  <c r="Z131"/>
  <c r="Z178"/>
  <c r="Z237"/>
  <c r="Z271"/>
  <c r="Z121"/>
  <c r="Z81"/>
  <c r="Z71"/>
  <c r="Z242"/>
  <c r="Z253"/>
  <c r="Z210"/>
  <c r="Z182"/>
  <c r="Z128"/>
  <c r="Z234"/>
  <c r="Z49"/>
  <c r="Z124"/>
  <c r="Z244"/>
  <c r="Z161"/>
  <c r="Z202"/>
  <c r="Z95"/>
  <c r="Z117"/>
  <c r="Z44"/>
  <c r="Z68"/>
  <c r="Z84"/>
  <c r="Z168"/>
  <c r="Z118"/>
  <c r="Z229"/>
  <c r="Z97"/>
  <c r="Z149"/>
  <c r="Z98"/>
  <c r="Z58"/>
  <c r="Z218"/>
  <c r="Z77"/>
  <c r="Z261"/>
  <c r="Z80"/>
  <c r="Z144"/>
  <c r="Z255"/>
  <c r="Z256"/>
  <c r="Z155"/>
  <c r="Z46"/>
  <c r="C15" i="5"/>
  <c r="B15"/>
  <c r="C33"/>
  <c r="B33"/>
  <c r="C16"/>
  <c r="B16"/>
  <c r="C34"/>
  <c r="B34"/>
  <c r="C35"/>
  <c r="B35"/>
  <c r="AB145" i="12"/>
  <c r="AB254"/>
  <c r="AB57"/>
  <c r="AB248"/>
  <c r="AB93"/>
  <c r="AB205"/>
  <c r="AB278"/>
  <c r="AB71"/>
  <c r="AB141"/>
  <c r="AB246"/>
  <c r="AB184"/>
  <c r="AB54"/>
  <c r="AB269"/>
  <c r="AB181"/>
  <c r="AB256"/>
  <c r="AB136"/>
  <c r="AB52"/>
  <c r="AB219"/>
  <c r="AB38"/>
  <c r="AB155"/>
  <c r="AB253"/>
  <c r="AB121"/>
  <c r="AB156"/>
  <c r="AB139"/>
  <c r="AB240"/>
  <c r="AB102"/>
  <c r="AB74"/>
  <c r="AB125"/>
  <c r="AB148"/>
  <c r="AB262"/>
  <c r="AB162"/>
  <c r="AB227"/>
  <c r="AB226"/>
  <c r="AB81"/>
  <c r="AB63"/>
  <c r="AB94"/>
  <c r="AB83"/>
  <c r="AB189"/>
  <c r="AB163"/>
  <c r="AB138"/>
  <c r="AB150"/>
  <c r="AB221"/>
  <c r="AB183"/>
  <c r="AB177"/>
  <c r="AB46"/>
  <c r="AB77"/>
  <c r="AB44"/>
  <c r="AB234"/>
  <c r="AB210"/>
  <c r="AB51"/>
  <c r="AB174"/>
  <c r="AB116"/>
  <c r="AB194"/>
  <c r="AB100"/>
  <c r="AB229"/>
  <c r="AB124"/>
  <c r="AB271"/>
  <c r="AB146"/>
  <c r="AB111"/>
  <c r="AB243"/>
  <c r="AB86"/>
  <c r="AB176"/>
  <c r="AB33"/>
  <c r="AB255"/>
  <c r="AB98"/>
  <c r="AB49"/>
  <c r="AB182"/>
  <c r="AB134"/>
  <c r="AB252"/>
  <c r="AB263"/>
  <c r="AB43"/>
  <c r="AB159"/>
  <c r="AB270"/>
  <c r="AB160"/>
  <c r="AB275"/>
  <c r="AB180"/>
  <c r="AB32"/>
  <c r="AB79"/>
  <c r="AB273"/>
  <c r="AB64"/>
  <c r="AB45"/>
  <c r="AB206"/>
  <c r="AB168"/>
  <c r="AB117"/>
  <c r="AB119"/>
  <c r="AB37"/>
  <c r="AB147"/>
  <c r="AB258"/>
  <c r="AB238"/>
  <c r="AB172"/>
  <c r="AB157"/>
  <c r="AB199"/>
  <c r="AB70"/>
  <c r="AB113"/>
  <c r="AB108"/>
  <c r="AB126"/>
  <c r="AB96"/>
  <c r="AB241"/>
  <c r="AB153"/>
  <c r="AB80"/>
  <c r="AB149"/>
  <c r="AB84"/>
  <c r="AB131"/>
  <c r="AB69"/>
  <c r="AB236"/>
  <c r="AB198"/>
  <c r="AB272"/>
  <c r="AB36"/>
  <c r="AB112"/>
  <c r="AB101"/>
  <c r="AB104"/>
  <c r="AB47"/>
  <c r="AB107"/>
  <c r="AB133"/>
  <c r="AB127"/>
  <c r="AB239"/>
  <c r="AB62"/>
  <c r="AB120"/>
  <c r="AB56"/>
  <c r="AB214"/>
  <c r="AB103"/>
  <c r="AB220"/>
  <c r="AB197"/>
  <c r="AB204"/>
  <c r="AB187"/>
  <c r="AB152"/>
  <c r="AB203"/>
  <c r="AB154"/>
  <c r="AB242"/>
  <c r="AB264"/>
  <c r="AB251"/>
  <c r="AB175"/>
  <c r="AB222"/>
  <c r="AB232"/>
  <c r="AB91"/>
  <c r="AB224"/>
  <c r="AB216"/>
  <c r="AB34"/>
  <c r="AB218"/>
  <c r="AB118"/>
  <c r="AB68"/>
  <c r="AB202"/>
  <c r="AB244"/>
  <c r="AB237"/>
  <c r="AB65"/>
  <c r="AB228"/>
  <c r="AB257"/>
  <c r="AB92"/>
  <c r="AB132"/>
  <c r="AB201"/>
  <c r="AB60"/>
  <c r="AB53"/>
  <c r="AB266"/>
  <c r="AB190"/>
  <c r="AB130"/>
  <c r="AB89"/>
  <c r="AB105"/>
  <c r="AB122"/>
  <c r="AB85"/>
  <c r="AB142"/>
  <c r="AB129"/>
  <c r="AB167"/>
  <c r="AB123"/>
  <c r="AB179"/>
  <c r="AB191"/>
  <c r="AB200"/>
  <c r="AB169"/>
  <c r="AB223"/>
  <c r="AB192"/>
  <c r="AB212"/>
  <c r="S24" i="15"/>
  <c r="AR83"/>
  <c r="D143"/>
  <c r="H143"/>
  <c r="E143"/>
  <c r="E84"/>
  <c r="D84"/>
  <c r="H84"/>
  <c r="I141"/>
  <c r="BA141"/>
  <c r="B111" i="17"/>
  <c r="J141" i="15"/>
  <c r="K141"/>
  <c r="A87"/>
  <c r="B86"/>
  <c r="G86"/>
  <c r="E142"/>
  <c r="D142"/>
  <c r="H142"/>
  <c r="BA22"/>
  <c r="B12" i="17"/>
  <c r="A145" i="15"/>
  <c r="A26"/>
  <c r="C25"/>
  <c r="B25"/>
  <c r="G25"/>
  <c r="B144"/>
  <c r="G144"/>
  <c r="D23"/>
  <c r="H23"/>
  <c r="D24"/>
  <c r="H24"/>
  <c r="AR82"/>
  <c r="I21"/>
  <c r="BA21"/>
  <c r="B11" i="17"/>
  <c r="J21" i="15"/>
  <c r="K21"/>
  <c r="J22"/>
  <c r="I22"/>
  <c r="K22"/>
  <c r="C85"/>
  <c r="AB97" i="12"/>
  <c r="AB128"/>
  <c r="AB66"/>
  <c r="AB231"/>
  <c r="AB268"/>
  <c r="AB137"/>
  <c r="AB109"/>
  <c r="AB135"/>
  <c r="AB115"/>
  <c r="AB50"/>
  <c r="AB67"/>
  <c r="AB151"/>
  <c r="AB165"/>
  <c r="AB217"/>
  <c r="AB277"/>
  <c r="AB225"/>
  <c r="AB144"/>
  <c r="AB161"/>
  <c r="AB230"/>
  <c r="AB250"/>
  <c r="AB55"/>
  <c r="AB106"/>
  <c r="AB114"/>
  <c r="AB245"/>
  <c r="AB40"/>
  <c r="AB208"/>
  <c r="AB42"/>
  <c r="AB82"/>
  <c r="AB41"/>
  <c r="AB87"/>
  <c r="AB61"/>
  <c r="AB207"/>
  <c r="AB209"/>
  <c r="AB158"/>
  <c r="AB30"/>
  <c r="AB267"/>
  <c r="AB265"/>
  <c r="AB39"/>
  <c r="AB73"/>
  <c r="AB76"/>
  <c r="AB274"/>
  <c r="AB233"/>
  <c r="AB173"/>
  <c r="AB170"/>
  <c r="AB213"/>
  <c r="AB195"/>
  <c r="AB211"/>
  <c r="AB95"/>
  <c r="AB99"/>
  <c r="AB171"/>
  <c r="AB35"/>
  <c r="AB261"/>
  <c r="AB72"/>
  <c r="AB235"/>
  <c r="AB186"/>
  <c r="AB259"/>
  <c r="AB193"/>
  <c r="AB185"/>
  <c r="AB58"/>
  <c r="AB178"/>
  <c r="AB110"/>
  <c r="AB59"/>
  <c r="AB75"/>
  <c r="AB48"/>
  <c r="AB143"/>
  <c r="AB140"/>
  <c r="AB88"/>
  <c r="AB260"/>
  <c r="AB249"/>
  <c r="AB247"/>
  <c r="AB78"/>
  <c r="AB90"/>
  <c r="AB196"/>
  <c r="AB164"/>
  <c r="AB215"/>
  <c r="AB166"/>
  <c r="AB276"/>
  <c r="AB31"/>
  <c r="C55" i="9"/>
  <c r="AV4" i="10"/>
  <c r="S25" i="15"/>
  <c r="J84"/>
  <c r="K84"/>
  <c r="I84"/>
  <c r="BA84"/>
  <c r="B64" i="17"/>
  <c r="D85" i="15"/>
  <c r="H85"/>
  <c r="E85"/>
  <c r="AR21"/>
  <c r="A146"/>
  <c r="A27"/>
  <c r="C26"/>
  <c r="B26"/>
  <c r="G26"/>
  <c r="A88"/>
  <c r="B87"/>
  <c r="G87"/>
  <c r="C87"/>
  <c r="E24"/>
  <c r="E23"/>
  <c r="D25"/>
  <c r="H25"/>
  <c r="E25"/>
  <c r="AR22"/>
  <c r="J142"/>
  <c r="K142"/>
  <c r="I142"/>
  <c r="BA142"/>
  <c r="B112" i="17"/>
  <c r="I143" i="15"/>
  <c r="BA143"/>
  <c r="B113" i="17"/>
  <c r="K143" i="15"/>
  <c r="J143"/>
  <c r="B145"/>
  <c r="G145"/>
  <c r="C144"/>
  <c r="C86"/>
  <c r="H2" i="14"/>
  <c r="AC23" i="15"/>
  <c r="AM23"/>
  <c r="A85" i="9"/>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84"/>
  <c r="F67"/>
  <c r="U9" i="12"/>
  <c r="B67" i="9"/>
  <c r="U6" i="12"/>
  <c r="F66" i="9"/>
  <c r="T9" i="12"/>
  <c r="B66" i="9"/>
  <c r="T6" i="12"/>
  <c r="D63" i="9"/>
  <c r="D62"/>
  <c r="D61"/>
  <c r="D60"/>
  <c r="D59"/>
  <c r="A34"/>
  <c r="A35"/>
  <c r="C5"/>
  <c r="C3"/>
  <c r="J26" i="25"/>
  <c r="BA26"/>
  <c r="I26"/>
  <c r="C26"/>
  <c r="B26"/>
  <c r="J25"/>
  <c r="BB25"/>
  <c r="I25"/>
  <c r="C25"/>
  <c r="B25"/>
  <c r="J24"/>
  <c r="BC24"/>
  <c r="I24"/>
  <c r="C24"/>
  <c r="B24"/>
  <c r="J23"/>
  <c r="BD23"/>
  <c r="I23"/>
  <c r="C23"/>
  <c r="B23"/>
  <c r="J22"/>
  <c r="BA22"/>
  <c r="I22"/>
  <c r="C22"/>
  <c r="B22"/>
  <c r="J21"/>
  <c r="BB21"/>
  <c r="I21"/>
  <c r="C21"/>
  <c r="B21"/>
  <c r="J20"/>
  <c r="BC20"/>
  <c r="I20"/>
  <c r="C20"/>
  <c r="B20"/>
  <c r="J19"/>
  <c r="BD19"/>
  <c r="I19"/>
  <c r="C19"/>
  <c r="B19"/>
  <c r="J18"/>
  <c r="BA18"/>
  <c r="I18"/>
  <c r="C18"/>
  <c r="B18"/>
  <c r="J17"/>
  <c r="BB17"/>
  <c r="C17"/>
  <c r="B17"/>
  <c r="J16"/>
  <c r="BC16"/>
  <c r="C16"/>
  <c r="B16"/>
  <c r="J15"/>
  <c r="BD15"/>
  <c r="I15"/>
  <c r="C15"/>
  <c r="B15"/>
  <c r="C14"/>
  <c r="B14"/>
  <c r="C13"/>
  <c r="B13"/>
  <c r="C12"/>
  <c r="B12"/>
  <c r="C11"/>
  <c r="B11"/>
  <c r="C10"/>
  <c r="B10"/>
  <c r="C9"/>
  <c r="B9"/>
  <c r="C8"/>
  <c r="B8"/>
  <c r="C7"/>
  <c r="B7"/>
  <c r="C6"/>
  <c r="B6"/>
  <c r="C5"/>
  <c r="B5"/>
  <c r="C4"/>
  <c r="B4"/>
  <c r="C3"/>
  <c r="B3"/>
  <c r="J14"/>
  <c r="BB14"/>
  <c r="I14"/>
  <c r="J13"/>
  <c r="BB13"/>
  <c r="I13"/>
  <c r="J12"/>
  <c r="BD12"/>
  <c r="I12"/>
  <c r="J11"/>
  <c r="BD11"/>
  <c r="I11"/>
  <c r="J10"/>
  <c r="BB10"/>
  <c r="I10"/>
  <c r="J9"/>
  <c r="BB9"/>
  <c r="I9"/>
  <c r="J8"/>
  <c r="BD8"/>
  <c r="I8"/>
  <c r="J7"/>
  <c r="BD7"/>
  <c r="I7"/>
  <c r="J6"/>
  <c r="BB6"/>
  <c r="I6"/>
  <c r="J5"/>
  <c r="BB5"/>
  <c r="J4"/>
  <c r="BD4"/>
  <c r="J3"/>
  <c r="BD3"/>
  <c r="I3"/>
  <c r="F9"/>
  <c r="F8"/>
  <c r="AD2"/>
  <c r="AC2"/>
  <c r="AB2"/>
  <c r="AA2"/>
  <c r="Z2"/>
  <c r="Y2"/>
  <c r="X2"/>
  <c r="W2"/>
  <c r="V2"/>
  <c r="U2"/>
  <c r="T2"/>
  <c r="S2"/>
  <c r="R2"/>
  <c r="Q2"/>
  <c r="P2"/>
  <c r="O2"/>
  <c r="N2"/>
  <c r="M2"/>
  <c r="L2"/>
  <c r="K2"/>
  <c r="X168" i="7"/>
  <c r="W168"/>
  <c r="V168"/>
  <c r="U168"/>
  <c r="T168"/>
  <c r="S168"/>
  <c r="R168"/>
  <c r="Q168"/>
  <c r="P168"/>
  <c r="O168"/>
  <c r="N168"/>
  <c r="M168"/>
  <c r="L168"/>
  <c r="K168"/>
  <c r="J168"/>
  <c r="I168"/>
  <c r="H168"/>
  <c r="G168"/>
  <c r="F168"/>
  <c r="E168"/>
  <c r="X129"/>
  <c r="W129"/>
  <c r="V129"/>
  <c r="U129"/>
  <c r="T129"/>
  <c r="S129"/>
  <c r="R129"/>
  <c r="Q129"/>
  <c r="P129"/>
  <c r="O129"/>
  <c r="N129"/>
  <c r="M129"/>
  <c r="L129"/>
  <c r="K129"/>
  <c r="J129"/>
  <c r="I129"/>
  <c r="H129"/>
  <c r="G129"/>
  <c r="F129"/>
  <c r="E129"/>
  <c r="X92"/>
  <c r="W92"/>
  <c r="V92"/>
  <c r="U92"/>
  <c r="T92"/>
  <c r="S92"/>
  <c r="R92"/>
  <c r="Q92"/>
  <c r="P92"/>
  <c r="O92"/>
  <c r="N92"/>
  <c r="M92"/>
  <c r="L92"/>
  <c r="K92"/>
  <c r="J92"/>
  <c r="I92"/>
  <c r="H92"/>
  <c r="G92"/>
  <c r="F92"/>
  <c r="E92"/>
  <c r="X73"/>
  <c r="W73"/>
  <c r="V73"/>
  <c r="U73"/>
  <c r="T73"/>
  <c r="S73"/>
  <c r="R73"/>
  <c r="Q73"/>
  <c r="P73"/>
  <c r="O73"/>
  <c r="N73"/>
  <c r="M73"/>
  <c r="L73"/>
  <c r="K73"/>
  <c r="J73"/>
  <c r="I73"/>
  <c r="H73"/>
  <c r="G73"/>
  <c r="F73"/>
  <c r="E73"/>
  <c r="X99" i="6"/>
  <c r="W99"/>
  <c r="V99"/>
  <c r="U99"/>
  <c r="T99"/>
  <c r="S99"/>
  <c r="R99"/>
  <c r="Q99"/>
  <c r="P99"/>
  <c r="O99"/>
  <c r="N99"/>
  <c r="M99"/>
  <c r="L99"/>
  <c r="K99"/>
  <c r="J99"/>
  <c r="I99"/>
  <c r="H99"/>
  <c r="G99"/>
  <c r="F99"/>
  <c r="E99"/>
  <c r="E62"/>
  <c r="X43"/>
  <c r="W43"/>
  <c r="V43"/>
  <c r="U43"/>
  <c r="T43"/>
  <c r="S43"/>
  <c r="R43"/>
  <c r="Q43"/>
  <c r="P43"/>
  <c r="O43"/>
  <c r="N43"/>
  <c r="M43"/>
  <c r="L43"/>
  <c r="K43"/>
  <c r="J43"/>
  <c r="I43"/>
  <c r="H43"/>
  <c r="G43"/>
  <c r="F43"/>
  <c r="E43"/>
  <c r="F4" i="25"/>
  <c r="AV6"/>
  <c r="AS8"/>
  <c r="AO10"/>
  <c r="AL12"/>
  <c r="AI14"/>
  <c r="BD14"/>
  <c r="F25"/>
  <c r="AK6"/>
  <c r="AH8"/>
  <c r="BC8"/>
  <c r="AZ10"/>
  <c r="AW12"/>
  <c r="AS14"/>
  <c r="AQ6"/>
  <c r="AM8"/>
  <c r="AJ10"/>
  <c r="AG12"/>
  <c r="BB12"/>
  <c r="AY14"/>
  <c r="AF6"/>
  <c r="BA6"/>
  <c r="AX8"/>
  <c r="AU10"/>
  <c r="AQ12"/>
  <c r="AN14"/>
  <c r="AP15"/>
  <c r="BA15"/>
  <c r="AL16"/>
  <c r="AR16"/>
  <c r="BB16"/>
  <c r="AN17"/>
  <c r="AY17"/>
  <c r="AJ18"/>
  <c r="AU18"/>
  <c r="AG19"/>
  <c r="AQ19"/>
  <c r="BB19"/>
  <c r="AN20"/>
  <c r="AX20"/>
  <c r="AJ21"/>
  <c r="AU21"/>
  <c r="AF22"/>
  <c r="AQ22"/>
  <c r="BB22"/>
  <c r="AM23"/>
  <c r="AX23"/>
  <c r="AJ24"/>
  <c r="AT24"/>
  <c r="AF25"/>
  <c r="BA25"/>
  <c r="F19"/>
  <c r="AO15"/>
  <c r="AY15"/>
  <c r="AK16"/>
  <c r="AV16"/>
  <c r="AG17"/>
  <c r="AR17"/>
  <c r="BC17"/>
  <c r="AN18"/>
  <c r="AY18"/>
  <c r="AK19"/>
  <c r="AU19"/>
  <c r="AG20"/>
  <c r="AR20"/>
  <c r="BB20"/>
  <c r="AN21"/>
  <c r="AY21"/>
  <c r="AJ22"/>
  <c r="AU22"/>
  <c r="AG23"/>
  <c r="AQ23"/>
  <c r="BB23"/>
  <c r="AN24"/>
  <c r="BD24"/>
  <c r="AO25"/>
  <c r="AZ25"/>
  <c r="AQ26"/>
  <c r="F15"/>
  <c r="F20"/>
  <c r="F23"/>
  <c r="AG15"/>
  <c r="AL15"/>
  <c r="AQ15"/>
  <c r="AW15"/>
  <c r="BB15"/>
  <c r="AH16"/>
  <c r="AN16"/>
  <c r="AS16"/>
  <c r="AX16"/>
  <c r="BD16"/>
  <c r="AJ17"/>
  <c r="AO17"/>
  <c r="AU17"/>
  <c r="AZ17"/>
  <c r="AF18"/>
  <c r="AL18"/>
  <c r="AQ18"/>
  <c r="AV18"/>
  <c r="BB18"/>
  <c r="AH19"/>
  <c r="AM19"/>
  <c r="AS19"/>
  <c r="AX19"/>
  <c r="BC19"/>
  <c r="AJ20"/>
  <c r="AO20"/>
  <c r="AT20"/>
  <c r="AZ20"/>
  <c r="AF21"/>
  <c r="AK21"/>
  <c r="AQ21"/>
  <c r="AV21"/>
  <c r="BA21"/>
  <c r="AH22"/>
  <c r="AM22"/>
  <c r="AR22"/>
  <c r="AX22"/>
  <c r="BC22"/>
  <c r="AI23"/>
  <c r="AO23"/>
  <c r="AT23"/>
  <c r="AY23"/>
  <c r="AF24"/>
  <c r="AK24"/>
  <c r="AP24"/>
  <c r="AV24"/>
  <c r="BA24"/>
  <c r="AG25"/>
  <c r="AM25"/>
  <c r="AR25"/>
  <c r="AW25"/>
  <c r="BC25"/>
  <c r="AI26"/>
  <c r="AN26"/>
  <c r="AT26"/>
  <c r="AY26"/>
  <c r="BD26"/>
  <c r="AK15"/>
  <c r="AU15"/>
  <c r="AG16"/>
  <c r="AW16"/>
  <c r="AI17"/>
  <c r="AS17"/>
  <c r="BD17"/>
  <c r="AP18"/>
  <c r="AZ18"/>
  <c r="AL19"/>
  <c r="AW19"/>
  <c r="AH20"/>
  <c r="AS20"/>
  <c r="BD20"/>
  <c r="AO21"/>
  <c r="AZ21"/>
  <c r="AL22"/>
  <c r="AV22"/>
  <c r="AH23"/>
  <c r="AS23"/>
  <c r="BC23"/>
  <c r="AO24"/>
  <c r="AZ24"/>
  <c r="AK25"/>
  <c r="AQ25"/>
  <c r="AV25"/>
  <c r="AH26"/>
  <c r="AM26"/>
  <c r="AR26"/>
  <c r="AX26"/>
  <c r="BC26"/>
  <c r="F17"/>
  <c r="F24"/>
  <c r="AI15"/>
  <c r="AT15"/>
  <c r="AF16"/>
  <c r="AP16"/>
  <c r="BA16"/>
  <c r="AM17"/>
  <c r="AW17"/>
  <c r="AI18"/>
  <c r="AT18"/>
  <c r="BD18"/>
  <c r="AP19"/>
  <c r="BA19"/>
  <c r="AL20"/>
  <c r="AW20"/>
  <c r="AI21"/>
  <c r="AS21"/>
  <c r="BD21"/>
  <c r="AP22"/>
  <c r="AZ22"/>
  <c r="AL23"/>
  <c r="AW23"/>
  <c r="AH24"/>
  <c r="AS24"/>
  <c r="AX24"/>
  <c r="AJ25"/>
  <c r="AU25"/>
  <c r="AF26"/>
  <c r="AL26"/>
  <c r="AV26"/>
  <c r="BB26"/>
  <c r="AH15"/>
  <c r="AM15"/>
  <c r="AS15"/>
  <c r="AX15"/>
  <c r="BC15"/>
  <c r="AJ16"/>
  <c r="AO16"/>
  <c r="AT16"/>
  <c r="AZ16"/>
  <c r="AF17"/>
  <c r="AK17"/>
  <c r="AQ17"/>
  <c r="AV17"/>
  <c r="BA17"/>
  <c r="AH18"/>
  <c r="AM18"/>
  <c r="AR18"/>
  <c r="AX18"/>
  <c r="BC18"/>
  <c r="AI19"/>
  <c r="AO19"/>
  <c r="AT19"/>
  <c r="AY19"/>
  <c r="AF20"/>
  <c r="AK20"/>
  <c r="AP20"/>
  <c r="AV20"/>
  <c r="BA20"/>
  <c r="AG21"/>
  <c r="AM21"/>
  <c r="AR21"/>
  <c r="AW21"/>
  <c r="BC21"/>
  <c r="AI22"/>
  <c r="AN22"/>
  <c r="AT22"/>
  <c r="AY22"/>
  <c r="BD22"/>
  <c r="AK23"/>
  <c r="AP23"/>
  <c r="AU23"/>
  <c r="BA23"/>
  <c r="AG24"/>
  <c r="AL24"/>
  <c r="AR24"/>
  <c r="AW24"/>
  <c r="BB24"/>
  <c r="AI25"/>
  <c r="AN25"/>
  <c r="AS25"/>
  <c r="AY25"/>
  <c r="BD25"/>
  <c r="AJ26"/>
  <c r="AP26"/>
  <c r="AU26"/>
  <c r="AZ26"/>
  <c r="AK4"/>
  <c r="AP4"/>
  <c r="AU4"/>
  <c r="BA4"/>
  <c r="AG6"/>
  <c r="AM6"/>
  <c r="AR6"/>
  <c r="AW6"/>
  <c r="BC6"/>
  <c r="AI8"/>
  <c r="AO8"/>
  <c r="AT8"/>
  <c r="AY8"/>
  <c r="AF10"/>
  <c r="AK10"/>
  <c r="AQ10"/>
  <c r="AV10"/>
  <c r="BA10"/>
  <c r="AH12"/>
  <c r="AM12"/>
  <c r="AS12"/>
  <c r="AX12"/>
  <c r="BC12"/>
  <c r="AJ14"/>
  <c r="AO14"/>
  <c r="AU14"/>
  <c r="AZ14"/>
  <c r="AI4"/>
  <c r="AO4"/>
  <c r="AT4"/>
  <c r="AY4"/>
  <c r="AH4"/>
  <c r="AM4"/>
  <c r="AS4"/>
  <c r="AX4"/>
  <c r="BC4"/>
  <c r="AJ6"/>
  <c r="AO6"/>
  <c r="AU6"/>
  <c r="AZ6"/>
  <c r="AG8"/>
  <c r="AL8"/>
  <c r="AQ8"/>
  <c r="AW8"/>
  <c r="BB8"/>
  <c r="AI10"/>
  <c r="AN10"/>
  <c r="AS10"/>
  <c r="AY10"/>
  <c r="BD10"/>
  <c r="AK12"/>
  <c r="AP12"/>
  <c r="AU12"/>
  <c r="BA12"/>
  <c r="AG14"/>
  <c r="AM14"/>
  <c r="AR14"/>
  <c r="AW14"/>
  <c r="BC14"/>
  <c r="AG4"/>
  <c r="AL4"/>
  <c r="AQ4"/>
  <c r="AW4"/>
  <c r="BB4"/>
  <c r="AI6"/>
  <c r="AN6"/>
  <c r="AS6"/>
  <c r="AY6"/>
  <c r="BD6"/>
  <c r="AK8"/>
  <c r="AP8"/>
  <c r="AU8"/>
  <c r="BA8"/>
  <c r="AG10"/>
  <c r="AM10"/>
  <c r="AR10"/>
  <c r="AW10"/>
  <c r="BC10"/>
  <c r="AI12"/>
  <c r="AO12"/>
  <c r="AT12"/>
  <c r="AY12"/>
  <c r="AF14"/>
  <c r="AK14"/>
  <c r="AQ14"/>
  <c r="AV14"/>
  <c r="BA14"/>
  <c r="AF15"/>
  <c r="AJ15"/>
  <c r="AN15"/>
  <c r="AR15"/>
  <c r="AV15"/>
  <c r="AZ15"/>
  <c r="AI16"/>
  <c r="AM16"/>
  <c r="AQ16"/>
  <c r="AU16"/>
  <c r="AY16"/>
  <c r="AH17"/>
  <c r="AL17"/>
  <c r="AP17"/>
  <c r="AT17"/>
  <c r="AX17"/>
  <c r="AG18"/>
  <c r="AK18"/>
  <c r="AO18"/>
  <c r="AS18"/>
  <c r="AW18"/>
  <c r="AF19"/>
  <c r="AJ19"/>
  <c r="AN19"/>
  <c r="AR19"/>
  <c r="AV19"/>
  <c r="AZ19"/>
  <c r="AI20"/>
  <c r="AM20"/>
  <c r="AQ20"/>
  <c r="AU20"/>
  <c r="AY20"/>
  <c r="AH21"/>
  <c r="AL21"/>
  <c r="AP21"/>
  <c r="AT21"/>
  <c r="AX21"/>
  <c r="AG22"/>
  <c r="AK22"/>
  <c r="AO22"/>
  <c r="AS22"/>
  <c r="AW22"/>
  <c r="AF23"/>
  <c r="AJ23"/>
  <c r="AN23"/>
  <c r="AR23"/>
  <c r="AV23"/>
  <c r="AZ23"/>
  <c r="AI24"/>
  <c r="AM24"/>
  <c r="AQ24"/>
  <c r="AU24"/>
  <c r="AY24"/>
  <c r="AH25"/>
  <c r="AL25"/>
  <c r="AP25"/>
  <c r="AT25"/>
  <c r="AX25"/>
  <c r="AG26"/>
  <c r="AK26"/>
  <c r="AO26"/>
  <c r="AS26"/>
  <c r="AW26"/>
  <c r="AI3"/>
  <c r="AM3"/>
  <c r="AQ3"/>
  <c r="AU3"/>
  <c r="AY3"/>
  <c r="BC3"/>
  <c r="AI7"/>
  <c r="AM7"/>
  <c r="AQ7"/>
  <c r="AU7"/>
  <c r="AY7"/>
  <c r="BC7"/>
  <c r="AG9"/>
  <c r="AK9"/>
  <c r="AO9"/>
  <c r="AS9"/>
  <c r="AW9"/>
  <c r="BA9"/>
  <c r="F3"/>
  <c r="AH3"/>
  <c r="AL3"/>
  <c r="AP3"/>
  <c r="AT3"/>
  <c r="AX3"/>
  <c r="BB3"/>
  <c r="AF5"/>
  <c r="AJ5"/>
  <c r="AN5"/>
  <c r="AR5"/>
  <c r="AV5"/>
  <c r="AZ5"/>
  <c r="BD5"/>
  <c r="AH7"/>
  <c r="AL7"/>
  <c r="AP7"/>
  <c r="AT7"/>
  <c r="AX7"/>
  <c r="BB7"/>
  <c r="AF9"/>
  <c r="AJ9"/>
  <c r="AN9"/>
  <c r="AR9"/>
  <c r="AV9"/>
  <c r="AZ9"/>
  <c r="BD9"/>
  <c r="AH11"/>
  <c r="AL11"/>
  <c r="AP11"/>
  <c r="AT11"/>
  <c r="AX11"/>
  <c r="BB11"/>
  <c r="AF13"/>
  <c r="AJ13"/>
  <c r="AN13"/>
  <c r="AR13"/>
  <c r="AV13"/>
  <c r="AZ13"/>
  <c r="BD13"/>
  <c r="F13"/>
  <c r="AG3"/>
  <c r="AK3"/>
  <c r="AO3"/>
  <c r="AS3"/>
  <c r="AW3"/>
  <c r="BA3"/>
  <c r="AF4"/>
  <c r="AJ4"/>
  <c r="AN4"/>
  <c r="AR4"/>
  <c r="AV4"/>
  <c r="AZ4"/>
  <c r="AI5"/>
  <c r="AM5"/>
  <c r="AQ5"/>
  <c r="AU5"/>
  <c r="AY5"/>
  <c r="BC5"/>
  <c r="AH6"/>
  <c r="AL6"/>
  <c r="AP6"/>
  <c r="AT6"/>
  <c r="AX6"/>
  <c r="AG7"/>
  <c r="AK7"/>
  <c r="AO7"/>
  <c r="AS7"/>
  <c r="AW7"/>
  <c r="BA7"/>
  <c r="AF8"/>
  <c r="AJ8"/>
  <c r="AN8"/>
  <c r="AR8"/>
  <c r="AV8"/>
  <c r="AZ8"/>
  <c r="AI9"/>
  <c r="AM9"/>
  <c r="AQ9"/>
  <c r="AU9"/>
  <c r="AY9"/>
  <c r="BC9"/>
  <c r="AH10"/>
  <c r="AL10"/>
  <c r="AP10"/>
  <c r="AT10"/>
  <c r="AX10"/>
  <c r="AG11"/>
  <c r="AK11"/>
  <c r="AO11"/>
  <c r="AS11"/>
  <c r="AW11"/>
  <c r="BA11"/>
  <c r="AF12"/>
  <c r="AJ12"/>
  <c r="AN12"/>
  <c r="AR12"/>
  <c r="AV12"/>
  <c r="AZ12"/>
  <c r="AI13"/>
  <c r="AM13"/>
  <c r="AQ13"/>
  <c r="AU13"/>
  <c r="AY13"/>
  <c r="BC13"/>
  <c r="AH14"/>
  <c r="AL14"/>
  <c r="AP14"/>
  <c r="AT14"/>
  <c r="AX14"/>
  <c r="AG5"/>
  <c r="AK5"/>
  <c r="AO5"/>
  <c r="AS5"/>
  <c r="AW5"/>
  <c r="BA5"/>
  <c r="AI11"/>
  <c r="AM11"/>
  <c r="AQ11"/>
  <c r="AU11"/>
  <c r="AY11"/>
  <c r="BC11"/>
  <c r="AG13"/>
  <c r="AK13"/>
  <c r="AO13"/>
  <c r="AS13"/>
  <c r="AW13"/>
  <c r="BA13"/>
  <c r="AF3"/>
  <c r="AJ3"/>
  <c r="AN3"/>
  <c r="AR3"/>
  <c r="AV3"/>
  <c r="AZ3"/>
  <c r="AH5"/>
  <c r="AL5"/>
  <c r="AP5"/>
  <c r="AT5"/>
  <c r="AX5"/>
  <c r="AF7"/>
  <c r="AJ7"/>
  <c r="AN7"/>
  <c r="AR7"/>
  <c r="AV7"/>
  <c r="AZ7"/>
  <c r="AH9"/>
  <c r="AL9"/>
  <c r="AP9"/>
  <c r="AT9"/>
  <c r="AX9"/>
  <c r="AF11"/>
  <c r="AJ11"/>
  <c r="AN11"/>
  <c r="AR11"/>
  <c r="AV11"/>
  <c r="AZ11"/>
  <c r="AH13"/>
  <c r="AL13"/>
  <c r="AP13"/>
  <c r="AT13"/>
  <c r="AX13"/>
  <c r="E63" i="20"/>
  <c r="E55"/>
  <c r="E55" i="19"/>
  <c r="E63"/>
  <c r="E56" i="9"/>
  <c r="AW5" i="10"/>
  <c r="E56" i="20"/>
  <c r="E60"/>
  <c r="E56" i="19"/>
  <c r="E60"/>
  <c r="C63"/>
  <c r="C55" i="20"/>
  <c r="C55" i="19"/>
  <c r="C63" i="20"/>
  <c r="C56" i="9"/>
  <c r="AW4" i="10"/>
  <c r="C56" i="20"/>
  <c r="C56" i="19"/>
  <c r="C66" i="9"/>
  <c r="T7" i="12"/>
  <c r="X8"/>
  <c r="X6"/>
  <c r="W8"/>
  <c r="AC8"/>
  <c r="C60" i="9"/>
  <c r="BC4" i="10"/>
  <c r="X9" i="12"/>
  <c r="AC7"/>
  <c r="E63" i="9"/>
  <c r="BG5" i="10"/>
  <c r="E55" i="9"/>
  <c r="X7" i="12"/>
  <c r="AD7"/>
  <c r="AC19" i="15"/>
  <c r="AM19"/>
  <c r="AC18"/>
  <c r="AM18"/>
  <c r="AC20"/>
  <c r="AM20"/>
  <c r="AC21"/>
  <c r="AM21"/>
  <c r="AC22"/>
  <c r="AM22"/>
  <c r="W7" i="12"/>
  <c r="AD8"/>
  <c r="C59" i="9"/>
  <c r="AC24" i="15"/>
  <c r="AM24"/>
  <c r="C63" i="9"/>
  <c r="BG4" i="10"/>
  <c r="W9" i="12"/>
  <c r="W6"/>
  <c r="AC25" i="15"/>
  <c r="AM25"/>
  <c r="S26"/>
  <c r="AR84"/>
  <c r="D144"/>
  <c r="H144"/>
  <c r="K24"/>
  <c r="I24"/>
  <c r="BA24"/>
  <c r="B14" i="17"/>
  <c r="J24" i="15"/>
  <c r="B88"/>
  <c r="G88"/>
  <c r="A89"/>
  <c r="C88"/>
  <c r="B146"/>
  <c r="G146"/>
  <c r="D87"/>
  <c r="H87"/>
  <c r="E87"/>
  <c r="E26"/>
  <c r="D26"/>
  <c r="H26"/>
  <c r="D86"/>
  <c r="H86"/>
  <c r="E86"/>
  <c r="I25"/>
  <c r="BA25"/>
  <c r="B15" i="17"/>
  <c r="K25" i="15"/>
  <c r="J25"/>
  <c r="K23"/>
  <c r="J23"/>
  <c r="I23"/>
  <c r="BA23"/>
  <c r="B13" i="17"/>
  <c r="A147" i="15"/>
  <c r="B27"/>
  <c r="G27"/>
  <c r="A28"/>
  <c r="C27"/>
  <c r="K85"/>
  <c r="I85"/>
  <c r="BA85"/>
  <c r="B65" i="17"/>
  <c r="J85" i="15"/>
  <c r="C145"/>
  <c r="F16" i="25"/>
  <c r="F26"/>
  <c r="F21"/>
  <c r="F22"/>
  <c r="F12"/>
  <c r="F5"/>
  <c r="F11"/>
  <c r="F6"/>
  <c r="F14"/>
  <c r="F18"/>
  <c r="F10"/>
  <c r="F7"/>
  <c r="C9" i="7"/>
  <c r="C9" i="6"/>
  <c r="E12" i="7"/>
  <c r="Z7" i="12"/>
  <c r="BB4" i="10"/>
  <c r="E59" i="9"/>
  <c r="BB5" i="10"/>
  <c r="AV5"/>
  <c r="AW444"/>
  <c r="AW427"/>
  <c r="AW393"/>
  <c r="AW301"/>
  <c r="AW317"/>
  <c r="AW299"/>
  <c r="AW275"/>
  <c r="AW152"/>
  <c r="AW174"/>
  <c r="AW68"/>
  <c r="AW116"/>
  <c r="AW144"/>
  <c r="AW44"/>
  <c r="AW142"/>
  <c r="AW56"/>
  <c r="AW100"/>
  <c r="AW180"/>
  <c r="AW224"/>
  <c r="AW122"/>
  <c r="AW154"/>
  <c r="AW242"/>
  <c r="AW204"/>
  <c r="AW376"/>
  <c r="AW364"/>
  <c r="AW399"/>
  <c r="AW422"/>
  <c r="AW36"/>
  <c r="AW210"/>
  <c r="AW379"/>
  <c r="AW405"/>
  <c r="AW26"/>
  <c r="AW223"/>
  <c r="AW313"/>
  <c r="AW303"/>
  <c r="AW472"/>
  <c r="AW453"/>
  <c r="AW98"/>
  <c r="AW34"/>
  <c r="AW42"/>
  <c r="AW327"/>
  <c r="AW69"/>
  <c r="AW196"/>
  <c r="AW202"/>
  <c r="AW433"/>
  <c r="AW458"/>
  <c r="AW124"/>
  <c r="AW148"/>
  <c r="AW273"/>
  <c r="AW252"/>
  <c r="AW401"/>
  <c r="AW41"/>
  <c r="AW91"/>
  <c r="AW214"/>
  <c r="AW212"/>
  <c r="AW474"/>
  <c r="AW404"/>
  <c r="AW211"/>
  <c r="AW402"/>
  <c r="AW173"/>
  <c r="AW425"/>
  <c r="AW463"/>
  <c r="AW263"/>
  <c r="AW248"/>
  <c r="AW133"/>
  <c r="AW351"/>
  <c r="AW155"/>
  <c r="AW127"/>
  <c r="AW230"/>
  <c r="AW95"/>
  <c r="AW428"/>
  <c r="AW467"/>
  <c r="AW392"/>
  <c r="AW111"/>
  <c r="AW260"/>
  <c r="AW406"/>
  <c r="AW108"/>
  <c r="AW442"/>
  <c r="AW333"/>
  <c r="AW290"/>
  <c r="AW175"/>
  <c r="AW251"/>
  <c r="AW215"/>
  <c r="AW86"/>
  <c r="AW478"/>
  <c r="AW261"/>
  <c r="AW199"/>
  <c r="AW246"/>
  <c r="AW119"/>
  <c r="AW298"/>
  <c r="AW103"/>
  <c r="AW102"/>
  <c r="AW471"/>
  <c r="AW426"/>
  <c r="AW234"/>
  <c r="AW468"/>
  <c r="AW141"/>
  <c r="AW475"/>
  <c r="AW373"/>
  <c r="AW139"/>
  <c r="AW386"/>
  <c r="AW203"/>
  <c r="AW332"/>
  <c r="AW163"/>
  <c r="AW326"/>
  <c r="AW43"/>
  <c r="AW253"/>
  <c r="AW137"/>
  <c r="AW169"/>
  <c r="AW288"/>
  <c r="AW145"/>
  <c r="AW129"/>
  <c r="AW177"/>
  <c r="AW270"/>
  <c r="AW153"/>
  <c r="AW476"/>
  <c r="AW371"/>
  <c r="AW323"/>
  <c r="AW309"/>
  <c r="AW285"/>
  <c r="AW338"/>
  <c r="AW77"/>
  <c r="AW160"/>
  <c r="AW120"/>
  <c r="AW60"/>
  <c r="AW55"/>
  <c r="AW264"/>
  <c r="AW113"/>
  <c r="AW178"/>
  <c r="AW192"/>
  <c r="AW352"/>
  <c r="AW395"/>
  <c r="AW164"/>
  <c r="AW188"/>
  <c r="AW397"/>
  <c r="AW39"/>
  <c r="AW72"/>
  <c r="AW287"/>
  <c r="AW464"/>
  <c r="AW342"/>
  <c r="AW321"/>
  <c r="AW66"/>
  <c r="AW186"/>
  <c r="AW235"/>
  <c r="AW466"/>
  <c r="AW81"/>
  <c r="AW262"/>
  <c r="AW391"/>
  <c r="AW59"/>
  <c r="AW305"/>
  <c r="AW200"/>
  <c r="AW284"/>
  <c r="AW205"/>
  <c r="AW292"/>
  <c r="AW219"/>
  <c r="AW87"/>
  <c r="AW349"/>
  <c r="AW318"/>
  <c r="AW179"/>
  <c r="AW209"/>
  <c r="AW375"/>
  <c r="AW79"/>
  <c r="AW274"/>
  <c r="AW191"/>
  <c r="AW92"/>
  <c r="AW82"/>
  <c r="AW193"/>
  <c r="AW322"/>
  <c r="AW356"/>
  <c r="AW300"/>
  <c r="AW159"/>
  <c r="AW345"/>
  <c r="AW369"/>
  <c r="AW382"/>
  <c r="AW330"/>
  <c r="AW151"/>
  <c r="AW390"/>
  <c r="AW213"/>
  <c r="AW360"/>
  <c r="AW30"/>
  <c r="AW414"/>
  <c r="AW462"/>
  <c r="AW343"/>
  <c r="AW423"/>
  <c r="AW183"/>
  <c r="AW256"/>
  <c r="AW320"/>
  <c r="AW65"/>
  <c r="AW121"/>
  <c r="AW413"/>
  <c r="AW258"/>
  <c r="AW381"/>
  <c r="AW329"/>
  <c r="AW168"/>
  <c r="AW283"/>
  <c r="AW158"/>
  <c r="AW93"/>
  <c r="AW146"/>
  <c r="AW297"/>
  <c r="AW411"/>
  <c r="AW336"/>
  <c r="AW115"/>
  <c r="AW383"/>
  <c r="AW49"/>
  <c r="AW101"/>
  <c r="AW198"/>
  <c r="AW31"/>
  <c r="AW208"/>
  <c r="AW156"/>
  <c r="AW387"/>
  <c r="AW436"/>
  <c r="AW267"/>
  <c r="AW424"/>
  <c r="AW447"/>
  <c r="AW185"/>
  <c r="AW74"/>
  <c r="AW276"/>
  <c r="AW207"/>
  <c r="AW286"/>
  <c r="AW125"/>
  <c r="AW53"/>
  <c r="AW157"/>
  <c r="AW189"/>
  <c r="AW241"/>
  <c r="AW377"/>
  <c r="AW341"/>
  <c r="AW410"/>
  <c r="AW438"/>
  <c r="AW161"/>
  <c r="AW389"/>
  <c r="AW325"/>
  <c r="AW233"/>
  <c r="AW293"/>
  <c r="AW118"/>
  <c r="AW176"/>
  <c r="AW166"/>
  <c r="AW25"/>
  <c r="AW85"/>
  <c r="AW138"/>
  <c r="AW182"/>
  <c r="AW244"/>
  <c r="AW407"/>
  <c r="AW54"/>
  <c r="AW431"/>
  <c r="AW132"/>
  <c r="AW218"/>
  <c r="AW450"/>
  <c r="AW140"/>
  <c r="AW99"/>
  <c r="AW279"/>
  <c r="AW237"/>
  <c r="AW461"/>
  <c r="AW319"/>
  <c r="AW441"/>
  <c r="AW45"/>
  <c r="AW334"/>
  <c r="AW473"/>
  <c r="AW47"/>
  <c r="AW398"/>
  <c r="AW353"/>
  <c r="AW396"/>
  <c r="AW245"/>
  <c r="AW359"/>
  <c r="AW358"/>
  <c r="AW306"/>
  <c r="AW171"/>
  <c r="AW90"/>
  <c r="AW255"/>
  <c r="AW117"/>
  <c r="AW38"/>
  <c r="AW110"/>
  <c r="AW181"/>
  <c r="AW302"/>
  <c r="AW367"/>
  <c r="AW83"/>
  <c r="AW417"/>
  <c r="AW419"/>
  <c r="AW368"/>
  <c r="AW167"/>
  <c r="AW457"/>
  <c r="AW337"/>
  <c r="AW354"/>
  <c r="AW114"/>
  <c r="AW394"/>
  <c r="AW112"/>
  <c r="AW432"/>
  <c r="AW150"/>
  <c r="AW28"/>
  <c r="AW331"/>
  <c r="AW403"/>
  <c r="AW339"/>
  <c r="AW190"/>
  <c r="AW67"/>
  <c r="AW281"/>
  <c r="AW445"/>
  <c r="AW372"/>
  <c r="AW231"/>
  <c r="AW106"/>
  <c r="AW374"/>
  <c r="AW249"/>
  <c r="AW187"/>
  <c r="AW469"/>
  <c r="AW149"/>
  <c r="AW243"/>
  <c r="AW412"/>
  <c r="AW346"/>
  <c r="AW316"/>
  <c r="AW388"/>
  <c r="AW446"/>
  <c r="AW430"/>
  <c r="AW312"/>
  <c r="AW88"/>
  <c r="AW291"/>
  <c r="AW64"/>
  <c r="AW228"/>
  <c r="AW416"/>
  <c r="AW350"/>
  <c r="AW257"/>
  <c r="AW311"/>
  <c r="AW94"/>
  <c r="AW236"/>
  <c r="AW24"/>
  <c r="AW259"/>
  <c r="AW455"/>
  <c r="AW459"/>
  <c r="AW400"/>
  <c r="AW247"/>
  <c r="AW61"/>
  <c r="AW452"/>
  <c r="AW429"/>
  <c r="AW307"/>
  <c r="AW435"/>
  <c r="AW229"/>
  <c r="AW40"/>
  <c r="AW52"/>
  <c r="AW130"/>
  <c r="AW184"/>
  <c r="AW107"/>
  <c r="AW50"/>
  <c r="AW418"/>
  <c r="AW172"/>
  <c r="AW216"/>
  <c r="AW295"/>
  <c r="AW37"/>
  <c r="AW443"/>
  <c r="AW70"/>
  <c r="AW366"/>
  <c r="AW465"/>
  <c r="AW365"/>
  <c r="AW454"/>
  <c r="AW238"/>
  <c r="AW308"/>
  <c r="AW147"/>
  <c r="AW278"/>
  <c r="AW355"/>
  <c r="AW80"/>
  <c r="AW123"/>
  <c r="AW266"/>
  <c r="AW96"/>
  <c r="AW363"/>
  <c r="AW73"/>
  <c r="AW84"/>
  <c r="AW439"/>
  <c r="AW437"/>
  <c r="AW109"/>
  <c r="AW23"/>
  <c r="AW362"/>
  <c r="AW357"/>
  <c r="AW232"/>
  <c r="AW201"/>
  <c r="AW217"/>
  <c r="AW460"/>
  <c r="AW197"/>
  <c r="AW296"/>
  <c r="AW385"/>
  <c r="AW269"/>
  <c r="AW225"/>
  <c r="AW48"/>
  <c r="AW315"/>
  <c r="AW128"/>
  <c r="AW126"/>
  <c r="AW240"/>
  <c r="AW62"/>
  <c r="AW170"/>
  <c r="AW254"/>
  <c r="AW347"/>
  <c r="AW27"/>
  <c r="AW271"/>
  <c r="AW33"/>
  <c r="AW89"/>
  <c r="AW370"/>
  <c r="AW63"/>
  <c r="AW289"/>
  <c r="AW105"/>
  <c r="AW194"/>
  <c r="AW456"/>
  <c r="AW46"/>
  <c r="AW206"/>
  <c r="AW448"/>
  <c r="AW250"/>
  <c r="AW344"/>
  <c r="AW221"/>
  <c r="AW143"/>
  <c r="AW75"/>
  <c r="AW282"/>
  <c r="AW51"/>
  <c r="AW76"/>
  <c r="AW335"/>
  <c r="AW328"/>
  <c r="AW294"/>
  <c r="AW268"/>
  <c r="AW135"/>
  <c r="AW408"/>
  <c r="AW477"/>
  <c r="AW384"/>
  <c r="AW440"/>
  <c r="AW222"/>
  <c r="AW449"/>
  <c r="AW340"/>
  <c r="AW361"/>
  <c r="AW324"/>
  <c r="AW420"/>
  <c r="AW165"/>
  <c r="AW226"/>
  <c r="AW195"/>
  <c r="AW32"/>
  <c r="AW239"/>
  <c r="AW304"/>
  <c r="AW280"/>
  <c r="AW434"/>
  <c r="AW272"/>
  <c r="AW277"/>
  <c r="AW136"/>
  <c r="AW134"/>
  <c r="AW162"/>
  <c r="AW220"/>
  <c r="AW227"/>
  <c r="AW29"/>
  <c r="AW35"/>
  <c r="AW378"/>
  <c r="AW415"/>
  <c r="AW409"/>
  <c r="AW58"/>
  <c r="AW348"/>
  <c r="AW314"/>
  <c r="AW131"/>
  <c r="AW265"/>
  <c r="AW97"/>
  <c r="AW71"/>
  <c r="AW78"/>
  <c r="AW451"/>
  <c r="AW310"/>
  <c r="AW470"/>
  <c r="AW104"/>
  <c r="AW380"/>
  <c r="AW421"/>
  <c r="AW57"/>
  <c r="W278" i="12"/>
  <c r="W80"/>
  <c r="W198"/>
  <c r="W57"/>
  <c r="W255"/>
  <c r="W176"/>
  <c r="W189"/>
  <c r="W179"/>
  <c r="W178"/>
  <c r="W182"/>
  <c r="W83"/>
  <c r="W156"/>
  <c r="W277"/>
  <c r="W275"/>
  <c r="W152"/>
  <c r="W193"/>
  <c r="W81"/>
  <c r="W63"/>
  <c r="W177"/>
  <c r="W173"/>
  <c r="W58"/>
  <c r="W151"/>
  <c r="W276"/>
  <c r="W274"/>
  <c r="W163"/>
  <c r="W55"/>
  <c r="C60" i="20"/>
  <c r="C67"/>
  <c r="C59"/>
  <c r="C66"/>
  <c r="E60" i="9"/>
  <c r="BC5" i="10"/>
  <c r="BC327"/>
  <c r="BD327"/>
  <c r="C67" i="19"/>
  <c r="C60"/>
  <c r="C66"/>
  <c r="C59"/>
  <c r="E66" i="20"/>
  <c r="E59"/>
  <c r="E66" i="19"/>
  <c r="E59"/>
  <c r="C67" i="9"/>
  <c r="U7" i="12"/>
  <c r="AA7"/>
  <c r="AE8"/>
  <c r="X35"/>
  <c r="X154"/>
  <c r="X33"/>
  <c r="X165"/>
  <c r="X160"/>
  <c r="X195"/>
  <c r="X199"/>
  <c r="X153"/>
  <c r="X189"/>
  <c r="X276"/>
  <c r="X226"/>
  <c r="X192"/>
  <c r="X191"/>
  <c r="X227"/>
  <c r="X79"/>
  <c r="X244"/>
  <c r="X84"/>
  <c r="X257"/>
  <c r="X36"/>
  <c r="X268"/>
  <c r="X245"/>
  <c r="X235"/>
  <c r="X67"/>
  <c r="X37"/>
  <c r="X62"/>
  <c r="X118"/>
  <c r="X74"/>
  <c r="X198"/>
  <c r="X193"/>
  <c r="X39"/>
  <c r="X255"/>
  <c r="X194"/>
  <c r="X266"/>
  <c r="X57"/>
  <c r="Y57"/>
  <c r="X117"/>
  <c r="X97"/>
  <c r="X259"/>
  <c r="X38"/>
  <c r="X94"/>
  <c r="X147"/>
  <c r="X178"/>
  <c r="X100"/>
  <c r="X65"/>
  <c r="X274"/>
  <c r="X158"/>
  <c r="X275"/>
  <c r="X162"/>
  <c r="X164"/>
  <c r="X187"/>
  <c r="X55"/>
  <c r="X44"/>
  <c r="X159"/>
  <c r="X40"/>
  <c r="X71"/>
  <c r="X177"/>
  <c r="X256"/>
  <c r="X263"/>
  <c r="X258"/>
  <c r="X260"/>
  <c r="X148"/>
  <c r="X82"/>
  <c r="X273"/>
  <c r="X278"/>
  <c r="X179"/>
  <c r="X170"/>
  <c r="X183"/>
  <c r="X152"/>
  <c r="X128"/>
  <c r="X161"/>
  <c r="X156"/>
  <c r="Y156"/>
  <c r="X91"/>
  <c r="X64"/>
  <c r="X76"/>
  <c r="X43"/>
  <c r="X78"/>
  <c r="X186"/>
  <c r="X95"/>
  <c r="X73"/>
  <c r="X241"/>
  <c r="X59"/>
  <c r="X172"/>
  <c r="X270"/>
  <c r="X238"/>
  <c r="X175"/>
  <c r="X31"/>
  <c r="X205"/>
  <c r="X225"/>
  <c r="X224"/>
  <c r="X200"/>
  <c r="X197"/>
  <c r="X169"/>
  <c r="X166"/>
  <c r="X173"/>
  <c r="X236"/>
  <c r="X60"/>
  <c r="X126"/>
  <c r="X271"/>
  <c r="X121"/>
  <c r="X168"/>
  <c r="X163"/>
  <c r="X114"/>
  <c r="X246"/>
  <c r="X174"/>
  <c r="X99"/>
  <c r="X56"/>
  <c r="X61"/>
  <c r="X252"/>
  <c r="X248"/>
  <c r="X93"/>
  <c r="X272"/>
  <c r="X182"/>
  <c r="X66"/>
  <c r="X151"/>
  <c r="X77"/>
  <c r="X184"/>
  <c r="X269"/>
  <c r="X102"/>
  <c r="X89"/>
  <c r="X176"/>
  <c r="X277"/>
  <c r="X180"/>
  <c r="X171"/>
  <c r="X48"/>
  <c r="X135"/>
  <c r="X253"/>
  <c r="X149"/>
  <c r="X58"/>
  <c r="X250"/>
  <c r="X92"/>
  <c r="X254"/>
  <c r="X42"/>
  <c r="X167"/>
  <c r="X80"/>
  <c r="X190"/>
  <c r="X86"/>
  <c r="X101"/>
  <c r="X96"/>
  <c r="X63"/>
  <c r="X239"/>
  <c r="X155"/>
  <c r="X188"/>
  <c r="X196"/>
  <c r="X34"/>
  <c r="X157"/>
  <c r="X181"/>
  <c r="X185"/>
  <c r="X264"/>
  <c r="X75"/>
  <c r="X81"/>
  <c r="X72"/>
  <c r="X265"/>
  <c r="X267"/>
  <c r="X98"/>
  <c r="X251"/>
  <c r="X261"/>
  <c r="X41"/>
  <c r="X262"/>
  <c r="X83"/>
  <c r="X247"/>
  <c r="X249"/>
  <c r="AE7"/>
  <c r="E66" i="9"/>
  <c r="T8" i="12"/>
  <c r="W35"/>
  <c r="W30"/>
  <c r="W31"/>
  <c r="W183"/>
  <c r="W216"/>
  <c r="Y216"/>
  <c r="W220"/>
  <c r="Y220"/>
  <c r="W196"/>
  <c r="W195"/>
  <c r="W223"/>
  <c r="Y223"/>
  <c r="W192"/>
  <c r="W171"/>
  <c r="W187"/>
  <c r="W169"/>
  <c r="W164"/>
  <c r="W203"/>
  <c r="Y203"/>
  <c r="W221"/>
  <c r="Y221"/>
  <c r="W233"/>
  <c r="Y233"/>
  <c r="W241"/>
  <c r="W184"/>
  <c r="W141"/>
  <c r="Y141"/>
  <c r="W242"/>
  <c r="Y242"/>
  <c r="W253"/>
  <c r="W88"/>
  <c r="Y88"/>
  <c r="W72"/>
  <c r="W144"/>
  <c r="Y144"/>
  <c r="W49"/>
  <c r="Y49"/>
  <c r="W232"/>
  <c r="Y232"/>
  <c r="W113"/>
  <c r="Y113"/>
  <c r="W66"/>
  <c r="W264"/>
  <c r="W238"/>
  <c r="W122"/>
  <c r="Y122"/>
  <c r="W86"/>
  <c r="W89"/>
  <c r="W50"/>
  <c r="Y50"/>
  <c r="W73"/>
  <c r="W61"/>
  <c r="W96"/>
  <c r="W68"/>
  <c r="Y68"/>
  <c r="W118"/>
  <c r="W43"/>
  <c r="W172"/>
  <c r="W202"/>
  <c r="Y202"/>
  <c r="W130"/>
  <c r="Y130"/>
  <c r="W138"/>
  <c r="Y138"/>
  <c r="W140"/>
  <c r="Y140"/>
  <c r="W167"/>
  <c r="W53"/>
  <c r="Y53"/>
  <c r="W75"/>
  <c r="W99"/>
  <c r="W243"/>
  <c r="Y243"/>
  <c r="W186"/>
  <c r="W91"/>
  <c r="W190"/>
  <c r="W125"/>
  <c r="Y125"/>
  <c r="W254"/>
  <c r="W51"/>
  <c r="Y51"/>
  <c r="W45"/>
  <c r="Y45"/>
  <c r="W64"/>
  <c r="W154"/>
  <c r="W160"/>
  <c r="W157"/>
  <c r="W213"/>
  <c r="Y213"/>
  <c r="W48"/>
  <c r="W94"/>
  <c r="W271"/>
  <c r="W249"/>
  <c r="W260"/>
  <c r="W102"/>
  <c r="W82"/>
  <c r="W69"/>
  <c r="Y69"/>
  <c r="W262"/>
  <c r="W38"/>
  <c r="W100"/>
  <c r="W222"/>
  <c r="Y222"/>
  <c r="W109"/>
  <c r="Y109"/>
  <c r="W259"/>
  <c r="W126"/>
  <c r="W136"/>
  <c r="Y136"/>
  <c r="W119"/>
  <c r="Y119"/>
  <c r="W161"/>
  <c r="W74"/>
  <c r="W263"/>
  <c r="W44"/>
  <c r="W158"/>
  <c r="W33"/>
  <c r="W153"/>
  <c r="W180"/>
  <c r="W204"/>
  <c r="Y204"/>
  <c r="W191"/>
  <c r="W219"/>
  <c r="Y219"/>
  <c r="W224"/>
  <c r="W162"/>
  <c r="W209"/>
  <c r="Y209"/>
  <c r="W200"/>
  <c r="W197"/>
  <c r="W185"/>
  <c r="W145"/>
  <c r="Y145"/>
  <c r="W108"/>
  <c r="Y108"/>
  <c r="W272"/>
  <c r="W65"/>
  <c r="W256"/>
  <c r="W117"/>
  <c r="W137"/>
  <c r="Y137"/>
  <c r="W133"/>
  <c r="Y133"/>
  <c r="W146"/>
  <c r="Y146"/>
  <c r="W257"/>
  <c r="W246"/>
  <c r="W127"/>
  <c r="Y127"/>
  <c r="W67"/>
  <c r="W115"/>
  <c r="Y115"/>
  <c r="W56"/>
  <c r="W70"/>
  <c r="Y70"/>
  <c r="W150"/>
  <c r="Y150"/>
  <c r="W159"/>
  <c r="W46"/>
  <c r="Y46"/>
  <c r="W103"/>
  <c r="Y103"/>
  <c r="W266"/>
  <c r="W59"/>
  <c r="W110"/>
  <c r="Y110"/>
  <c r="W107"/>
  <c r="Y107"/>
  <c r="W121"/>
  <c r="W120"/>
  <c r="Y120"/>
  <c r="W87"/>
  <c r="Y87"/>
  <c r="W252"/>
  <c r="W206"/>
  <c r="Y206"/>
  <c r="W265"/>
  <c r="W90"/>
  <c r="Y90"/>
  <c r="W52"/>
  <c r="Y52"/>
  <c r="W142"/>
  <c r="Y142"/>
  <c r="W105"/>
  <c r="Y105"/>
  <c r="W123"/>
  <c r="Y123"/>
  <c r="W237"/>
  <c r="Y237"/>
  <c r="W85"/>
  <c r="Y85"/>
  <c r="W269"/>
  <c r="W62"/>
  <c r="W139"/>
  <c r="Y139"/>
  <c r="W79"/>
  <c r="W244"/>
  <c r="W134"/>
  <c r="Y134"/>
  <c r="W229"/>
  <c r="Y229"/>
  <c r="W273"/>
  <c r="W174"/>
  <c r="W235"/>
  <c r="W40"/>
  <c r="W230"/>
  <c r="Y230"/>
  <c r="W245"/>
  <c r="W36"/>
  <c r="W32"/>
  <c r="Y32"/>
  <c r="W217"/>
  <c r="Y217"/>
  <c r="W166"/>
  <c r="W225"/>
  <c r="W212"/>
  <c r="Y212"/>
  <c r="W227"/>
  <c r="W201"/>
  <c r="Y201"/>
  <c r="W258"/>
  <c r="W210"/>
  <c r="Y210"/>
  <c r="W116"/>
  <c r="Y116"/>
  <c r="W41"/>
  <c r="W98"/>
  <c r="W231"/>
  <c r="Y231"/>
  <c r="W37"/>
  <c r="W261"/>
  <c r="W270"/>
  <c r="W111"/>
  <c r="Y111"/>
  <c r="W129"/>
  <c r="Y129"/>
  <c r="W39"/>
  <c r="W143"/>
  <c r="Y143"/>
  <c r="W214"/>
  <c r="Y214"/>
  <c r="W175"/>
  <c r="W168"/>
  <c r="W194"/>
  <c r="W114"/>
  <c r="W42"/>
  <c r="W101"/>
  <c r="W188"/>
  <c r="W181"/>
  <c r="W60"/>
  <c r="W97"/>
  <c r="W149"/>
  <c r="W84"/>
  <c r="W104"/>
  <c r="Y104"/>
  <c r="W54"/>
  <c r="Y54"/>
  <c r="W76"/>
  <c r="W247"/>
  <c r="W207"/>
  <c r="Y207"/>
  <c r="W165"/>
  <c r="W170"/>
  <c r="W106"/>
  <c r="Y106"/>
  <c r="W236"/>
  <c r="W78"/>
  <c r="W47"/>
  <c r="Y47"/>
  <c r="W34"/>
  <c r="W77"/>
  <c r="W155"/>
  <c r="W128"/>
  <c r="W95"/>
  <c r="W148"/>
  <c r="W208"/>
  <c r="Y208"/>
  <c r="W131"/>
  <c r="Y131"/>
  <c r="W228"/>
  <c r="Y228"/>
  <c r="W135"/>
  <c r="W132"/>
  <c r="Y132"/>
  <c r="W239"/>
  <c r="W250"/>
  <c r="W205"/>
  <c r="W93"/>
  <c r="W267"/>
  <c r="W226"/>
  <c r="W215"/>
  <c r="Y215"/>
  <c r="W71"/>
  <c r="W234"/>
  <c r="Y234"/>
  <c r="W248"/>
  <c r="W251"/>
  <c r="W240"/>
  <c r="Y240"/>
  <c r="W92"/>
  <c r="W199"/>
  <c r="W211"/>
  <c r="Y211"/>
  <c r="W218"/>
  <c r="Y218"/>
  <c r="W147"/>
  <c r="W124"/>
  <c r="Y124"/>
  <c r="W112"/>
  <c r="Y112"/>
  <c r="W268"/>
  <c r="AC26" i="15"/>
  <c r="AM26"/>
  <c r="S27"/>
  <c r="AR85"/>
  <c r="AR25"/>
  <c r="A148"/>
  <c r="A29"/>
  <c r="B28"/>
  <c r="G28"/>
  <c r="I86"/>
  <c r="BA86"/>
  <c r="B66" i="17"/>
  <c r="K86" i="15"/>
  <c r="J86"/>
  <c r="I87"/>
  <c r="J87"/>
  <c r="K87"/>
  <c r="D88"/>
  <c r="H88"/>
  <c r="AR24"/>
  <c r="D27"/>
  <c r="H27"/>
  <c r="C147"/>
  <c r="B147"/>
  <c r="G147"/>
  <c r="AR23"/>
  <c r="C146"/>
  <c r="E144"/>
  <c r="J26"/>
  <c r="I26"/>
  <c r="BA26"/>
  <c r="B16" i="17"/>
  <c r="K26" i="15"/>
  <c r="D145"/>
  <c r="H145"/>
  <c r="BA87"/>
  <c r="B67" i="17"/>
  <c r="B89" i="15"/>
  <c r="G89"/>
  <c r="A90"/>
  <c r="Z8" i="12"/>
  <c r="Y173"/>
  <c r="Y193"/>
  <c r="BC73" i="10"/>
  <c r="BD73"/>
  <c r="BC384"/>
  <c r="BD384"/>
  <c r="BC93"/>
  <c r="BD93"/>
  <c r="BC247"/>
  <c r="BD247"/>
  <c r="BC277"/>
  <c r="BD277"/>
  <c r="BC421"/>
  <c r="BD421"/>
  <c r="BC77"/>
  <c r="BD77"/>
  <c r="BC57"/>
  <c r="BD57"/>
  <c r="BC213"/>
  <c r="BD213"/>
  <c r="BC374"/>
  <c r="BD374"/>
  <c r="BC185"/>
  <c r="BD185"/>
  <c r="BC92"/>
  <c r="BD92"/>
  <c r="BC107"/>
  <c r="BD107"/>
  <c r="BC289"/>
  <c r="BD289"/>
  <c r="BC397"/>
  <c r="BD397"/>
  <c r="BC79"/>
  <c r="BD79"/>
  <c r="BC80"/>
  <c r="BD80"/>
  <c r="BC380"/>
  <c r="BD380"/>
  <c r="BC23"/>
  <c r="BC142"/>
  <c r="BD142"/>
  <c r="BC44"/>
  <c r="BD44"/>
  <c r="BC312"/>
  <c r="BD312"/>
  <c r="BC221"/>
  <c r="BD221"/>
  <c r="BC43"/>
  <c r="BD43"/>
  <c r="BC175"/>
  <c r="BD175"/>
  <c r="BC152"/>
  <c r="BD152"/>
  <c r="BC257"/>
  <c r="BD257"/>
  <c r="BC443"/>
  <c r="BD443"/>
  <c r="BC36"/>
  <c r="BD36"/>
  <c r="BC360"/>
  <c r="BD360"/>
  <c r="BC24"/>
  <c r="BD24"/>
  <c r="BC313"/>
  <c r="BD313"/>
  <c r="BC364"/>
  <c r="BD364"/>
  <c r="BC379"/>
  <c r="BD379"/>
  <c r="BC472"/>
  <c r="BD472"/>
  <c r="BC189"/>
  <c r="BD189"/>
  <c r="BC229"/>
  <c r="BD229"/>
  <c r="BC265"/>
  <c r="BD265"/>
  <c r="BC117"/>
  <c r="BD117"/>
  <c r="BC340"/>
  <c r="BD340"/>
  <c r="BC425"/>
  <c r="BD425"/>
  <c r="BC299"/>
  <c r="BD299"/>
  <c r="BC311"/>
  <c r="BD311"/>
  <c r="BC338"/>
  <c r="BD338"/>
  <c r="BC270"/>
  <c r="BD270"/>
  <c r="BC402"/>
  <c r="BD402"/>
  <c r="BC449"/>
  <c r="BD449"/>
  <c r="BC225"/>
  <c r="BD225"/>
  <c r="BC214"/>
  <c r="BD214"/>
  <c r="BC120"/>
  <c r="BD120"/>
  <c r="BC96"/>
  <c r="BD96"/>
  <c r="BC420"/>
  <c r="BD420"/>
  <c r="BC149"/>
  <c r="BD149"/>
  <c r="BC260"/>
  <c r="BD260"/>
  <c r="BC317"/>
  <c r="BD317"/>
  <c r="BC372"/>
  <c r="BD372"/>
  <c r="BC116"/>
  <c r="BD116"/>
  <c r="BC26"/>
  <c r="BD26"/>
  <c r="BC320"/>
  <c r="BD320"/>
  <c r="BC240"/>
  <c r="BD240"/>
  <c r="BC108"/>
  <c r="BD108"/>
  <c r="BC267"/>
  <c r="BD267"/>
  <c r="BC215"/>
  <c r="BD215"/>
  <c r="BC234"/>
  <c r="BD234"/>
  <c r="BC224"/>
  <c r="BD224"/>
  <c r="BC296"/>
  <c r="BD296"/>
  <c r="BC38"/>
  <c r="BD38"/>
  <c r="BC406"/>
  <c r="BD406"/>
  <c r="BC183"/>
  <c r="BD183"/>
  <c r="BC69"/>
  <c r="BD69"/>
  <c r="BC252"/>
  <c r="BD252"/>
  <c r="BC427"/>
  <c r="BD427"/>
  <c r="BC89"/>
  <c r="BD89"/>
  <c r="BC366"/>
  <c r="BD366"/>
  <c r="BC276"/>
  <c r="BD276"/>
  <c r="BC193"/>
  <c r="BD193"/>
  <c r="BC473"/>
  <c r="BD473"/>
  <c r="BC381"/>
  <c r="BD381"/>
  <c r="BC122"/>
  <c r="BD122"/>
  <c r="BC90"/>
  <c r="BD90"/>
  <c r="BC408"/>
  <c r="BD408"/>
  <c r="BC173"/>
  <c r="BD173"/>
  <c r="BC197"/>
  <c r="BD197"/>
  <c r="BC445"/>
  <c r="BD445"/>
  <c r="BC474"/>
  <c r="BD474"/>
  <c r="BC325"/>
  <c r="BD325"/>
  <c r="BC242"/>
  <c r="BD242"/>
  <c r="BC273"/>
  <c r="BD273"/>
  <c r="BC258"/>
  <c r="BD258"/>
  <c r="BC330"/>
  <c r="BD330"/>
  <c r="BC439"/>
  <c r="BD439"/>
  <c r="BC133"/>
  <c r="BD133"/>
  <c r="BC158"/>
  <c r="BD158"/>
  <c r="BC432"/>
  <c r="BD432"/>
  <c r="BC314"/>
  <c r="BD314"/>
  <c r="BC468"/>
  <c r="BD468"/>
  <c r="BC286"/>
  <c r="BD286"/>
  <c r="BC376"/>
  <c r="BD376"/>
  <c r="BC466"/>
  <c r="BD466"/>
  <c r="BC33"/>
  <c r="BD33"/>
  <c r="BC250"/>
  <c r="BD250"/>
  <c r="BC187"/>
  <c r="BD187"/>
  <c r="BC87"/>
  <c r="BD87"/>
  <c r="BC86"/>
  <c r="BD86"/>
  <c r="BC85"/>
  <c r="BD85"/>
  <c r="BC148"/>
  <c r="BD148"/>
  <c r="BC352"/>
  <c r="BD352"/>
  <c r="BC191"/>
  <c r="BD191"/>
  <c r="BC278"/>
  <c r="BD278"/>
  <c r="BC125"/>
  <c r="BD125"/>
  <c r="BC442"/>
  <c r="BD442"/>
  <c r="BC370"/>
  <c r="BD370"/>
  <c r="BC40"/>
  <c r="BD40"/>
  <c r="BC194"/>
  <c r="BD194"/>
  <c r="BD23"/>
  <c r="Y179" i="12"/>
  <c r="Y274"/>
  <c r="Y198"/>
  <c r="BC75" i="10"/>
  <c r="BD75"/>
  <c r="BC155"/>
  <c r="BD155"/>
  <c r="BC218"/>
  <c r="BD218"/>
  <c r="BC304"/>
  <c r="BD304"/>
  <c r="BC447"/>
  <c r="BD447"/>
  <c r="BC143"/>
  <c r="BD143"/>
  <c r="BC274"/>
  <c r="BD274"/>
  <c r="BC233"/>
  <c r="BD233"/>
  <c r="BC269"/>
  <c r="BD269"/>
  <c r="BC231"/>
  <c r="BD231"/>
  <c r="BC58"/>
  <c r="BD58"/>
  <c r="BC195"/>
  <c r="BD195"/>
  <c r="BC41"/>
  <c r="BD41"/>
  <c r="BC30"/>
  <c r="BD30"/>
  <c r="BC318"/>
  <c r="BD318"/>
  <c r="BC147"/>
  <c r="BD147"/>
  <c r="BC417"/>
  <c r="BD417"/>
  <c r="BC115"/>
  <c r="BD115"/>
  <c r="BC210"/>
  <c r="BD210"/>
  <c r="BC123"/>
  <c r="BD123"/>
  <c r="BC109"/>
  <c r="BD109"/>
  <c r="BC323"/>
  <c r="BD323"/>
  <c r="BC97"/>
  <c r="BD97"/>
  <c r="BC440"/>
  <c r="BD440"/>
  <c r="BC51"/>
  <c r="BD51"/>
  <c r="BC204"/>
  <c r="BD204"/>
  <c r="BC192"/>
  <c r="BD192"/>
  <c r="BC100"/>
  <c r="BD100"/>
  <c r="BC405"/>
  <c r="BD405"/>
  <c r="BC288"/>
  <c r="BD288"/>
  <c r="BC394"/>
  <c r="BD394"/>
  <c r="BC61"/>
  <c r="BD61"/>
  <c r="BC249"/>
  <c r="BD249"/>
  <c r="BC428"/>
  <c r="BD428"/>
  <c r="BC83"/>
  <c r="BD83"/>
  <c r="BC226"/>
  <c r="BD226"/>
  <c r="BC131"/>
  <c r="BD131"/>
  <c r="BC322"/>
  <c r="BD322"/>
  <c r="BC436"/>
  <c r="BD436"/>
  <c r="BC454"/>
  <c r="BD454"/>
  <c r="BC171"/>
  <c r="BD171"/>
  <c r="BC70"/>
  <c r="BD70"/>
  <c r="BC355"/>
  <c r="BD355"/>
  <c r="BC424"/>
  <c r="BD424"/>
  <c r="BC53"/>
  <c r="BD53"/>
  <c r="BC78"/>
  <c r="BD78"/>
  <c r="BC391"/>
  <c r="BD391"/>
  <c r="BC134"/>
  <c r="BD134"/>
  <c r="BC28"/>
  <c r="BD28"/>
  <c r="BC34"/>
  <c r="BD34"/>
  <c r="BC461"/>
  <c r="BD461"/>
  <c r="BC395"/>
  <c r="BD395"/>
  <c r="BC208"/>
  <c r="BD208"/>
  <c r="BC126"/>
  <c r="BD126"/>
  <c r="BC37"/>
  <c r="BD37"/>
  <c r="BC378"/>
  <c r="BD378"/>
  <c r="BC212"/>
  <c r="BD212"/>
  <c r="BC431"/>
  <c r="BD431"/>
  <c r="BC297"/>
  <c r="BD297"/>
  <c r="BC140"/>
  <c r="BD140"/>
  <c r="BC130"/>
  <c r="BD130"/>
  <c r="BC272"/>
  <c r="BD272"/>
  <c r="BC308"/>
  <c r="BD308"/>
  <c r="BC396"/>
  <c r="BD396"/>
  <c r="BC82"/>
  <c r="BD82"/>
  <c r="BC471"/>
  <c r="BD471"/>
  <c r="BC368"/>
  <c r="BD368"/>
  <c r="BC345"/>
  <c r="BD345"/>
  <c r="BC245"/>
  <c r="BD245"/>
  <c r="BC236"/>
  <c r="BD236"/>
  <c r="BC412"/>
  <c r="BD412"/>
  <c r="BC400"/>
  <c r="BD400"/>
  <c r="BC450"/>
  <c r="BD450"/>
  <c r="BC150"/>
  <c r="BD150"/>
  <c r="BC223"/>
  <c r="BD223"/>
  <c r="BC59"/>
  <c r="BD59"/>
  <c r="BC235"/>
  <c r="BD235"/>
  <c r="BC437"/>
  <c r="BD437"/>
  <c r="BC144"/>
  <c r="BD144"/>
  <c r="BC453"/>
  <c r="BD453"/>
  <c r="BC101"/>
  <c r="BD101"/>
  <c r="BC315"/>
  <c r="BD315"/>
  <c r="BC307"/>
  <c r="BD307"/>
  <c r="BC156"/>
  <c r="BD156"/>
  <c r="BC65"/>
  <c r="BD65"/>
  <c r="BC153"/>
  <c r="BD153"/>
  <c r="BC356"/>
  <c r="BD356"/>
  <c r="BC357"/>
  <c r="BD357"/>
  <c r="BC467"/>
  <c r="BD467"/>
  <c r="BC292"/>
  <c r="BD292"/>
  <c r="BC410"/>
  <c r="BD410"/>
  <c r="BC388"/>
  <c r="BD388"/>
  <c r="BC255"/>
  <c r="BD255"/>
  <c r="BC230"/>
  <c r="BD230"/>
  <c r="BC353"/>
  <c r="BD353"/>
  <c r="BC217"/>
  <c r="BD217"/>
  <c r="BC386"/>
  <c r="BD386"/>
  <c r="BC351"/>
  <c r="BD351"/>
  <c r="BC328"/>
  <c r="BD328"/>
  <c r="BC462"/>
  <c r="BD462"/>
  <c r="BC429"/>
  <c r="BD429"/>
  <c r="BC118"/>
  <c r="BD118"/>
  <c r="BC362"/>
  <c r="BD362"/>
  <c r="BC48"/>
  <c r="BD48"/>
  <c r="BC347"/>
  <c r="BD347"/>
  <c r="BC202"/>
  <c r="BD202"/>
  <c r="BC176"/>
  <c r="BD176"/>
  <c r="BC433"/>
  <c r="BD433"/>
  <c r="BC220"/>
  <c r="BD220"/>
  <c r="BC54"/>
  <c r="BD54"/>
  <c r="BC350"/>
  <c r="BD350"/>
  <c r="BC387"/>
  <c r="BD387"/>
  <c r="BC190"/>
  <c r="BD190"/>
  <c r="BC178"/>
  <c r="BD178"/>
  <c r="BC392"/>
  <c r="BD392"/>
  <c r="BC446"/>
  <c r="BD446"/>
  <c r="BC403"/>
  <c r="BD403"/>
  <c r="BC52"/>
  <c r="BD52"/>
  <c r="BC280"/>
  <c r="BD280"/>
  <c r="BC290"/>
  <c r="BD290"/>
  <c r="BC253"/>
  <c r="BD253"/>
  <c r="BC25"/>
  <c r="BC422"/>
  <c r="BD422"/>
  <c r="BC441"/>
  <c r="BD441"/>
  <c r="BC50"/>
  <c r="BD50"/>
  <c r="BC382"/>
  <c r="BD382"/>
  <c r="BC27"/>
  <c r="BD27"/>
  <c r="BC129"/>
  <c r="BD129"/>
  <c r="BC119"/>
  <c r="BD119"/>
  <c r="BC390"/>
  <c r="BD390"/>
  <c r="BC106"/>
  <c r="BD106"/>
  <c r="BC164"/>
  <c r="BD164"/>
  <c r="BC72"/>
  <c r="BD72"/>
  <c r="BC63"/>
  <c r="BD63"/>
  <c r="BC243"/>
  <c r="BD243"/>
  <c r="BC383"/>
  <c r="BD383"/>
  <c r="BC177"/>
  <c r="BD177"/>
  <c r="BC369"/>
  <c r="BD369"/>
  <c r="BC110"/>
  <c r="BD110"/>
  <c r="BC222"/>
  <c r="BD222"/>
  <c r="BC418"/>
  <c r="BD418"/>
  <c r="BC68"/>
  <c r="BD68"/>
  <c r="BC476"/>
  <c r="BD476"/>
  <c r="BC170"/>
  <c r="BD170"/>
  <c r="BC413"/>
  <c r="BD413"/>
  <c r="BC169"/>
  <c r="BD169"/>
  <c r="BC359"/>
  <c r="BD359"/>
  <c r="BC365"/>
  <c r="BD365"/>
  <c r="BC361"/>
  <c r="BD361"/>
  <c r="BC398"/>
  <c r="BD398"/>
  <c r="BC477"/>
  <c r="BD477"/>
  <c r="BC238"/>
  <c r="BD238"/>
  <c r="BC241"/>
  <c r="BD241"/>
  <c r="BC358"/>
  <c r="BD358"/>
  <c r="BC167"/>
  <c r="BD167"/>
  <c r="BC246"/>
  <c r="BD246"/>
  <c r="BC294"/>
  <c r="BD294"/>
  <c r="BC71"/>
  <c r="BD71"/>
  <c r="BC475"/>
  <c r="BD475"/>
  <c r="BC324"/>
  <c r="BD324"/>
  <c r="BC339"/>
  <c r="BD339"/>
  <c r="BC228"/>
  <c r="BD228"/>
  <c r="BC84"/>
  <c r="BD84"/>
  <c r="BC198"/>
  <c r="BD198"/>
  <c r="BC138"/>
  <c r="BD138"/>
  <c r="BC411"/>
  <c r="BD411"/>
  <c r="BC271"/>
  <c r="BD271"/>
  <c r="BC295"/>
  <c r="BD295"/>
  <c r="BC132"/>
  <c r="BD132"/>
  <c r="BC262"/>
  <c r="BD262"/>
  <c r="BC283"/>
  <c r="BD283"/>
  <c r="BC416"/>
  <c r="BD416"/>
  <c r="BC291"/>
  <c r="BD291"/>
  <c r="BC56"/>
  <c r="BD56"/>
  <c r="BC342"/>
  <c r="BD342"/>
  <c r="BC256"/>
  <c r="BD256"/>
  <c r="BC159"/>
  <c r="BD159"/>
  <c r="BC469"/>
  <c r="BD469"/>
  <c r="BC332"/>
  <c r="BD332"/>
  <c r="BC95"/>
  <c r="BD95"/>
  <c r="BC103"/>
  <c r="BD103"/>
  <c r="BC419"/>
  <c r="BD419"/>
  <c r="BC377"/>
  <c r="BD377"/>
  <c r="BC139"/>
  <c r="BD139"/>
  <c r="BC199"/>
  <c r="BD199"/>
  <c r="BC207"/>
  <c r="BD207"/>
  <c r="BC203"/>
  <c r="BD203"/>
  <c r="BC184"/>
  <c r="BD184"/>
  <c r="BC334"/>
  <c r="BD334"/>
  <c r="BC45"/>
  <c r="BD45"/>
  <c r="BC415"/>
  <c r="BD415"/>
  <c r="BC319"/>
  <c r="BD319"/>
  <c r="BC321"/>
  <c r="BD321"/>
  <c r="BC35"/>
  <c r="BD35"/>
  <c r="BC200"/>
  <c r="BD200"/>
  <c r="BC452"/>
  <c r="BD452"/>
  <c r="BC244"/>
  <c r="BD244"/>
  <c r="BC206"/>
  <c r="BD206"/>
  <c r="BC146"/>
  <c r="BD146"/>
  <c r="BC121"/>
  <c r="BD121"/>
  <c r="BC335"/>
  <c r="BD335"/>
  <c r="BC373"/>
  <c r="BD373"/>
  <c r="BC349"/>
  <c r="BD349"/>
  <c r="BC343"/>
  <c r="BD343"/>
  <c r="BC426"/>
  <c r="BD426"/>
  <c r="BC248"/>
  <c r="BD248"/>
  <c r="BC341"/>
  <c r="BD341"/>
  <c r="BC268"/>
  <c r="BD268"/>
  <c r="BC326"/>
  <c r="BD326"/>
  <c r="BC102"/>
  <c r="BD102"/>
  <c r="BC310"/>
  <c r="BD310"/>
  <c r="BC76"/>
  <c r="BD76"/>
  <c r="BC451"/>
  <c r="BD451"/>
  <c r="BC47"/>
  <c r="BD47"/>
  <c r="BC444"/>
  <c r="BD444"/>
  <c r="BC305"/>
  <c r="BD305"/>
  <c r="BC39"/>
  <c r="BD39"/>
  <c r="BC188"/>
  <c r="BD188"/>
  <c r="BC435"/>
  <c r="BD435"/>
  <c r="BC227"/>
  <c r="BD227"/>
  <c r="BC60"/>
  <c r="BD60"/>
  <c r="BC31"/>
  <c r="BD31"/>
  <c r="BC301"/>
  <c r="BD301"/>
  <c r="BC168"/>
  <c r="BD168"/>
  <c r="BC401"/>
  <c r="BD401"/>
  <c r="BC456"/>
  <c r="BD456"/>
  <c r="BC254"/>
  <c r="BD254"/>
  <c r="BC124"/>
  <c r="BD124"/>
  <c r="AV409"/>
  <c r="AX409"/>
  <c r="AV26"/>
  <c r="AX26"/>
  <c r="AV437"/>
  <c r="AX437"/>
  <c r="AV336"/>
  <c r="AX336"/>
  <c r="AV124"/>
  <c r="AX124"/>
  <c r="AV39"/>
  <c r="AX39"/>
  <c r="AV311"/>
  <c r="AX311"/>
  <c r="AV150"/>
  <c r="AX150"/>
  <c r="AV317"/>
  <c r="AX317"/>
  <c r="AV148"/>
  <c r="AX148"/>
  <c r="AV459"/>
  <c r="AX459"/>
  <c r="AV449"/>
  <c r="AX449"/>
  <c r="AV106"/>
  <c r="AX106"/>
  <c r="AV111"/>
  <c r="AX111"/>
  <c r="AV246"/>
  <c r="AX246"/>
  <c r="AV399"/>
  <c r="AX399"/>
  <c r="AV275"/>
  <c r="AX275"/>
  <c r="AV344"/>
  <c r="AX344"/>
  <c r="AV126"/>
  <c r="AX126"/>
  <c r="AV341"/>
  <c r="AX341"/>
  <c r="AV238"/>
  <c r="AX238"/>
  <c r="AV434"/>
  <c r="AX434"/>
  <c r="AV277"/>
  <c r="AX277"/>
  <c r="AV209"/>
  <c r="AX209"/>
  <c r="AV258"/>
  <c r="AX258"/>
  <c r="AV41"/>
  <c r="AX41"/>
  <c r="AV381"/>
  <c r="AX381"/>
  <c r="AV53"/>
  <c r="AX53"/>
  <c r="AV217"/>
  <c r="AX217"/>
  <c r="AV194"/>
  <c r="AX194"/>
  <c r="AV442"/>
  <c r="AX442"/>
  <c r="AV139"/>
  <c r="AX139"/>
  <c r="AV72"/>
  <c r="AX72"/>
  <c r="AV406"/>
  <c r="AX406"/>
  <c r="AV323"/>
  <c r="AX323"/>
  <c r="AV256"/>
  <c r="AX256"/>
  <c r="AV67"/>
  <c r="AX67"/>
  <c r="AV310"/>
  <c r="AX310"/>
  <c r="AV298"/>
  <c r="AX298"/>
  <c r="AV119"/>
  <c r="AX119"/>
  <c r="AV218"/>
  <c r="AX218"/>
  <c r="AV404"/>
  <c r="AX404"/>
  <c r="AV391"/>
  <c r="AX391"/>
  <c r="AV91"/>
  <c r="AX91"/>
  <c r="AV154"/>
  <c r="AX154"/>
  <c r="AV252"/>
  <c r="AX252"/>
  <c r="AV62"/>
  <c r="AX62"/>
  <c r="AV418"/>
  <c r="AX418"/>
  <c r="AV40"/>
  <c r="AX40"/>
  <c r="AV33"/>
  <c r="AX33"/>
  <c r="AV208"/>
  <c r="AX208"/>
  <c r="AV227"/>
  <c r="AX227"/>
  <c r="AV444"/>
  <c r="AX444"/>
  <c r="AV116"/>
  <c r="AX116"/>
  <c r="AV66"/>
  <c r="AX66"/>
  <c r="AV293"/>
  <c r="AX293"/>
  <c r="AV455"/>
  <c r="AX455"/>
  <c r="AV274"/>
  <c r="AX274"/>
  <c r="AV167"/>
  <c r="AX167"/>
  <c r="AV360"/>
  <c r="AX360"/>
  <c r="AV359"/>
  <c r="AX359"/>
  <c r="AV147"/>
  <c r="AX147"/>
  <c r="AV197"/>
  <c r="AX197"/>
  <c r="AV123"/>
  <c r="AX123"/>
  <c r="AV117"/>
  <c r="AX117"/>
  <c r="AV247"/>
  <c r="AX247"/>
  <c r="AV248"/>
  <c r="AX248"/>
  <c r="AV70"/>
  <c r="AX70"/>
  <c r="AV112"/>
  <c r="AX112"/>
  <c r="AV272"/>
  <c r="AX272"/>
  <c r="AV405"/>
  <c r="AX405"/>
  <c r="AV56"/>
  <c r="AX56"/>
  <c r="AV303"/>
  <c r="AX303"/>
  <c r="AV223"/>
  <c r="AX223"/>
  <c r="AV28"/>
  <c r="AX28"/>
  <c r="AV180"/>
  <c r="AX180"/>
  <c r="AV196"/>
  <c r="AX196"/>
  <c r="AV204"/>
  <c r="AX204"/>
  <c r="AV81"/>
  <c r="AX81"/>
  <c r="AV110"/>
  <c r="AX110"/>
  <c r="AV32"/>
  <c r="AX32"/>
  <c r="AV292"/>
  <c r="AX292"/>
  <c r="AV215"/>
  <c r="AX215"/>
  <c r="AV417"/>
  <c r="AX417"/>
  <c r="AV259"/>
  <c r="AX259"/>
  <c r="AV251"/>
  <c r="AX251"/>
  <c r="AV131"/>
  <c r="AX131"/>
  <c r="AV270"/>
  <c r="AX270"/>
  <c r="AV225"/>
  <c r="AX225"/>
  <c r="AV237"/>
  <c r="AX237"/>
  <c r="AV176"/>
  <c r="AX176"/>
  <c r="AV36"/>
  <c r="AX36"/>
  <c r="AV254"/>
  <c r="AX254"/>
  <c r="AV457"/>
  <c r="AX457"/>
  <c r="AV436"/>
  <c r="AX436"/>
  <c r="AV469"/>
  <c r="AX469"/>
  <c r="AV430"/>
  <c r="AX430"/>
  <c r="AV382"/>
  <c r="AX382"/>
  <c r="AV395"/>
  <c r="AX395"/>
  <c r="AV287"/>
  <c r="AX287"/>
  <c r="AV244"/>
  <c r="AX244"/>
  <c r="AV448"/>
  <c r="AX448"/>
  <c r="AV313"/>
  <c r="AX313"/>
  <c r="AV228"/>
  <c r="AX228"/>
  <c r="AV174"/>
  <c r="AX174"/>
  <c r="AV241"/>
  <c r="AX241"/>
  <c r="AV47"/>
  <c r="AX47"/>
  <c r="AV468"/>
  <c r="AX468"/>
  <c r="AV149"/>
  <c r="AX149"/>
  <c r="AV351"/>
  <c r="AX351"/>
  <c r="AV300"/>
  <c r="AX300"/>
  <c r="AV145"/>
  <c r="AX145"/>
  <c r="AV445"/>
  <c r="AX445"/>
  <c r="AV452"/>
  <c r="AX452"/>
  <c r="AV120"/>
  <c r="AX120"/>
  <c r="AV372"/>
  <c r="AX372"/>
  <c r="AV165"/>
  <c r="AX165"/>
  <c r="AV157"/>
  <c r="AX157"/>
  <c r="AV108"/>
  <c r="AX108"/>
  <c r="AV266"/>
  <c r="AX266"/>
  <c r="AV190"/>
  <c r="AX190"/>
  <c r="AV141"/>
  <c r="AX141"/>
  <c r="AV380"/>
  <c r="AX380"/>
  <c r="AV161"/>
  <c r="AX161"/>
  <c r="AV283"/>
  <c r="AX283"/>
  <c r="AV35"/>
  <c r="AX35"/>
  <c r="AV212"/>
  <c r="AX212"/>
  <c r="AV346"/>
  <c r="AX346"/>
  <c r="AV302"/>
  <c r="AX302"/>
  <c r="AV243"/>
  <c r="AX243"/>
  <c r="AV121"/>
  <c r="AX121"/>
  <c r="AV364"/>
  <c r="AX364"/>
  <c r="AV170"/>
  <c r="AX170"/>
  <c r="AV377"/>
  <c r="AX377"/>
  <c r="AV348"/>
  <c r="AX348"/>
  <c r="AV50"/>
  <c r="AX50"/>
  <c r="AV376"/>
  <c r="AX376"/>
  <c r="AV387"/>
  <c r="AX387"/>
  <c r="AV59"/>
  <c r="AX59"/>
  <c r="AV186"/>
  <c r="AX186"/>
  <c r="AV233"/>
  <c r="AX233"/>
  <c r="AV206"/>
  <c r="AX206"/>
  <c r="AV423"/>
  <c r="AX423"/>
  <c r="AV82"/>
  <c r="AX82"/>
  <c r="AV24"/>
  <c r="AX24"/>
  <c r="AV470"/>
  <c r="AX470"/>
  <c r="AV356"/>
  <c r="AX356"/>
  <c r="AV419"/>
  <c r="AX419"/>
  <c r="AV280"/>
  <c r="AX280"/>
  <c r="AV229"/>
  <c r="AX229"/>
  <c r="AV84"/>
  <c r="AX84"/>
  <c r="AV370"/>
  <c r="AX370"/>
  <c r="AV78"/>
  <c r="AX78"/>
  <c r="AV384"/>
  <c r="AX384"/>
  <c r="AV175"/>
  <c r="AX175"/>
  <c r="AV320"/>
  <c r="AX320"/>
  <c r="AV315"/>
  <c r="AX315"/>
  <c r="AV205"/>
  <c r="AX205"/>
  <c r="AV472"/>
  <c r="AX472"/>
  <c r="AV75"/>
  <c r="AX75"/>
  <c r="AV335"/>
  <c r="AX335"/>
  <c r="AV476"/>
  <c r="AX476"/>
  <c r="AV231"/>
  <c r="AX231"/>
  <c r="AV369"/>
  <c r="AX369"/>
  <c r="AV129"/>
  <c r="AX129"/>
  <c r="AV210"/>
  <c r="AX210"/>
  <c r="AV232"/>
  <c r="AX232"/>
  <c r="AV166"/>
  <c r="AX166"/>
  <c r="AV192"/>
  <c r="AX192"/>
  <c r="AV471"/>
  <c r="AX471"/>
  <c r="AV296"/>
  <c r="AX296"/>
  <c r="AV42"/>
  <c r="AX42"/>
  <c r="AV362"/>
  <c r="AX362"/>
  <c r="AV392"/>
  <c r="AX392"/>
  <c r="AV263"/>
  <c r="AX263"/>
  <c r="AV214"/>
  <c r="AX214"/>
  <c r="AV353"/>
  <c r="AX353"/>
  <c r="AV96"/>
  <c r="AX96"/>
  <c r="AV397"/>
  <c r="AX397"/>
  <c r="AV52"/>
  <c r="AX52"/>
  <c r="AV338"/>
  <c r="AX338"/>
  <c r="AV334"/>
  <c r="AX334"/>
  <c r="AV464"/>
  <c r="AX464"/>
  <c r="AV291"/>
  <c r="AX291"/>
  <c r="AV321"/>
  <c r="AX321"/>
  <c r="AV458"/>
  <c r="AX458"/>
  <c r="AV168"/>
  <c r="AX168"/>
  <c r="AV305"/>
  <c r="AX305"/>
  <c r="AV427"/>
  <c r="AX427"/>
  <c r="AV105"/>
  <c r="AX105"/>
  <c r="AV433"/>
  <c r="AX433"/>
  <c r="AV378"/>
  <c r="AX378"/>
  <c r="AV213"/>
  <c r="AX213"/>
  <c r="AV365"/>
  <c r="AX365"/>
  <c r="AV171"/>
  <c r="AX171"/>
  <c r="AV402"/>
  <c r="AX402"/>
  <c r="AV127"/>
  <c r="AX127"/>
  <c r="AV261"/>
  <c r="AX261"/>
  <c r="AV361"/>
  <c r="AX361"/>
  <c r="AV104"/>
  <c r="AX104"/>
  <c r="AV326"/>
  <c r="AX326"/>
  <c r="AV83"/>
  <c r="AX83"/>
  <c r="AV219"/>
  <c r="AX219"/>
  <c r="AV358"/>
  <c r="AX358"/>
  <c r="AV151"/>
  <c r="AX151"/>
  <c r="AV153"/>
  <c r="AX153"/>
  <c r="AV438"/>
  <c r="AX438"/>
  <c r="AV107"/>
  <c r="AX107"/>
  <c r="AV273"/>
  <c r="AX273"/>
  <c r="AV240"/>
  <c r="AX240"/>
  <c r="AV132"/>
  <c r="AX132"/>
  <c r="AV37"/>
  <c r="AX37"/>
  <c r="AV250"/>
  <c r="AX250"/>
  <c r="AV130"/>
  <c r="AX130"/>
  <c r="AV429"/>
  <c r="AX429"/>
  <c r="AV316"/>
  <c r="AX316"/>
  <c r="AV306"/>
  <c r="AX306"/>
  <c r="AV38"/>
  <c r="AX38"/>
  <c r="AV426"/>
  <c r="AX426"/>
  <c r="AV349"/>
  <c r="AX349"/>
  <c r="AV163"/>
  <c r="AX163"/>
  <c r="AV410"/>
  <c r="AX410"/>
  <c r="AV424"/>
  <c r="AX424"/>
  <c r="AV236"/>
  <c r="AX236"/>
  <c r="AV453"/>
  <c r="AX453"/>
  <c r="AV77"/>
  <c r="AX77"/>
  <c r="AV415"/>
  <c r="AX415"/>
  <c r="AV152"/>
  <c r="AX152"/>
  <c r="AV156"/>
  <c r="AX156"/>
  <c r="AV187"/>
  <c r="AX187"/>
  <c r="AV253"/>
  <c r="AX253"/>
  <c r="AV79"/>
  <c r="AX79"/>
  <c r="AV340"/>
  <c r="AX340"/>
  <c r="AV286"/>
  <c r="AX286"/>
  <c r="AV235"/>
  <c r="AX235"/>
  <c r="AV115"/>
  <c r="AX115"/>
  <c r="AV216"/>
  <c r="AX216"/>
  <c r="AV281"/>
  <c r="AX281"/>
  <c r="AV118"/>
  <c r="AX118"/>
  <c r="AV98"/>
  <c r="AX98"/>
  <c r="AV49"/>
  <c r="AX49"/>
  <c r="AV428"/>
  <c r="AX428"/>
  <c r="AV460"/>
  <c r="AX460"/>
  <c r="AV375"/>
  <c r="AX375"/>
  <c r="AV226"/>
  <c r="AX226"/>
  <c r="AV183"/>
  <c r="AX183"/>
  <c r="AV51"/>
  <c r="AX51"/>
  <c r="AV432"/>
  <c r="AX432"/>
  <c r="AV304"/>
  <c r="AX304"/>
  <c r="AV198"/>
  <c r="AX198"/>
  <c r="AV431"/>
  <c r="AX431"/>
  <c r="AV224"/>
  <c r="AX224"/>
  <c r="AV255"/>
  <c r="AX255"/>
  <c r="AV159"/>
  <c r="AX159"/>
  <c r="AV354"/>
  <c r="AX354"/>
  <c r="AV65"/>
  <c r="AX65"/>
  <c r="AV140"/>
  <c r="AX140"/>
  <c r="AV160"/>
  <c r="AX160"/>
  <c r="AV95"/>
  <c r="AX95"/>
  <c r="AV57"/>
  <c r="AX57"/>
  <c r="AV101"/>
  <c r="AX101"/>
  <c r="AV44"/>
  <c r="AX44"/>
  <c r="AV55"/>
  <c r="AX55"/>
  <c r="AV345"/>
  <c r="AX345"/>
  <c r="AV230"/>
  <c r="AX230"/>
  <c r="AV74"/>
  <c r="AX74"/>
  <c r="AV288"/>
  <c r="AX288"/>
  <c r="AV46"/>
  <c r="AX46"/>
  <c r="AV331"/>
  <c r="AX331"/>
  <c r="AV386"/>
  <c r="AX386"/>
  <c r="AV465"/>
  <c r="AX465"/>
  <c r="AV401"/>
  <c r="AX401"/>
  <c r="AV262"/>
  <c r="AX262"/>
  <c r="AV327"/>
  <c r="AX327"/>
  <c r="AV271"/>
  <c r="AX271"/>
  <c r="AV220"/>
  <c r="AX220"/>
  <c r="AV178"/>
  <c r="AX178"/>
  <c r="AV289"/>
  <c r="AX289"/>
  <c r="AV328"/>
  <c r="AX328"/>
  <c r="AV97"/>
  <c r="AX97"/>
  <c r="AV234"/>
  <c r="AX234"/>
  <c r="AV201"/>
  <c r="AX201"/>
  <c r="AV43"/>
  <c r="AX43"/>
  <c r="AV155"/>
  <c r="AX155"/>
  <c r="AV177"/>
  <c r="AX177"/>
  <c r="AV61"/>
  <c r="AX61"/>
  <c r="AV25"/>
  <c r="AX25"/>
  <c r="AV182"/>
  <c r="AX182"/>
  <c r="AV48"/>
  <c r="AX48"/>
  <c r="AV143"/>
  <c r="AX143"/>
  <c r="AV195"/>
  <c r="AX195"/>
  <c r="AV390"/>
  <c r="AX390"/>
  <c r="AV473"/>
  <c r="AX473"/>
  <c r="AV411"/>
  <c r="AX411"/>
  <c r="AV113"/>
  <c r="AX113"/>
  <c r="AV188"/>
  <c r="AX188"/>
  <c r="AV435"/>
  <c r="AX435"/>
  <c r="AV242"/>
  <c r="AX242"/>
  <c r="AV93"/>
  <c r="AX93"/>
  <c r="AV309"/>
  <c r="AX309"/>
  <c r="AV73"/>
  <c r="AX73"/>
  <c r="AV89"/>
  <c r="AX89"/>
  <c r="AV379"/>
  <c r="AX379"/>
  <c r="AV264"/>
  <c r="AX264"/>
  <c r="AV329"/>
  <c r="AX329"/>
  <c r="AV142"/>
  <c r="AX142"/>
  <c r="AV86"/>
  <c r="AX86"/>
  <c r="AV357"/>
  <c r="AX357"/>
  <c r="AV400"/>
  <c r="AX400"/>
  <c r="AV92"/>
  <c r="AX92"/>
  <c r="AV133"/>
  <c r="AX133"/>
  <c r="AV308"/>
  <c r="AX308"/>
  <c r="AV366"/>
  <c r="AX366"/>
  <c r="AV355"/>
  <c r="AX355"/>
  <c r="AV408"/>
  <c r="AX408"/>
  <c r="AV414"/>
  <c r="AX414"/>
  <c r="AV462"/>
  <c r="AX462"/>
  <c r="AV80"/>
  <c r="AX80"/>
  <c r="AV367"/>
  <c r="AX367"/>
  <c r="AV394"/>
  <c r="AX394"/>
  <c r="AV114"/>
  <c r="AX114"/>
  <c r="AV347"/>
  <c r="AX347"/>
  <c r="AV54"/>
  <c r="AX54"/>
  <c r="AV393"/>
  <c r="AX393"/>
  <c r="AV27"/>
  <c r="AX27"/>
  <c r="AV466"/>
  <c r="AX466"/>
  <c r="AV134"/>
  <c r="AX134"/>
  <c r="AV389"/>
  <c r="AX389"/>
  <c r="AV325"/>
  <c r="AX325"/>
  <c r="AV257"/>
  <c r="AX257"/>
  <c r="AV420"/>
  <c r="AX420"/>
  <c r="AV191"/>
  <c r="AX191"/>
  <c r="AV396"/>
  <c r="AX396"/>
  <c r="AV463"/>
  <c r="AX463"/>
  <c r="AV332"/>
  <c r="AX332"/>
  <c r="AV207"/>
  <c r="AX207"/>
  <c r="AV173"/>
  <c r="AX173"/>
  <c r="AV222"/>
  <c r="AX222"/>
  <c r="AV413"/>
  <c r="AX413"/>
  <c r="AV69"/>
  <c r="AX69"/>
  <c r="AV122"/>
  <c r="AX122"/>
  <c r="AV31"/>
  <c r="AX31"/>
  <c r="AV474"/>
  <c r="AX474"/>
  <c r="AV295"/>
  <c r="AX295"/>
  <c r="AV265"/>
  <c r="AX265"/>
  <c r="AV454"/>
  <c r="AX454"/>
  <c r="AV451"/>
  <c r="AX451"/>
  <c r="AV314"/>
  <c r="AX314"/>
  <c r="AV461"/>
  <c r="AX461"/>
  <c r="AV162"/>
  <c r="AX162"/>
  <c r="AV416"/>
  <c r="AX416"/>
  <c r="AV144"/>
  <c r="AX144"/>
  <c r="AV136"/>
  <c r="AX136"/>
  <c r="AV371"/>
  <c r="AX371"/>
  <c r="AV363"/>
  <c r="AX363"/>
  <c r="AV324"/>
  <c r="AX324"/>
  <c r="AV294"/>
  <c r="AX294"/>
  <c r="AV179"/>
  <c r="AX179"/>
  <c r="AV278"/>
  <c r="AX278"/>
  <c r="AV290"/>
  <c r="AX290"/>
  <c r="AV478"/>
  <c r="AX478"/>
  <c r="AV103"/>
  <c r="AX103"/>
  <c r="AV421"/>
  <c r="AX421"/>
  <c r="AV138"/>
  <c r="AX138"/>
  <c r="AV128"/>
  <c r="AX128"/>
  <c r="AV439"/>
  <c r="AX439"/>
  <c r="AV90"/>
  <c r="AX90"/>
  <c r="AV249"/>
  <c r="AX249"/>
  <c r="AV322"/>
  <c r="AX322"/>
  <c r="AV330"/>
  <c r="AX330"/>
  <c r="AV350"/>
  <c r="AX350"/>
  <c r="AV441"/>
  <c r="AX441"/>
  <c r="AV282"/>
  <c r="AX282"/>
  <c r="AV87"/>
  <c r="AX87"/>
  <c r="AV64"/>
  <c r="AX64"/>
  <c r="AV456"/>
  <c r="AX456"/>
  <c r="AV269"/>
  <c r="AX269"/>
  <c r="AV443"/>
  <c r="AX443"/>
  <c r="AV398"/>
  <c r="AX398"/>
  <c r="AV193"/>
  <c r="AX193"/>
  <c r="AV199"/>
  <c r="AX199"/>
  <c r="AV339"/>
  <c r="AX339"/>
  <c r="AV29"/>
  <c r="AX29"/>
  <c r="AV446"/>
  <c r="AX446"/>
  <c r="AV374"/>
  <c r="AX374"/>
  <c r="AV407"/>
  <c r="AX407"/>
  <c r="AV99"/>
  <c r="AX99"/>
  <c r="AV342"/>
  <c r="AX342"/>
  <c r="AV85"/>
  <c r="AX85"/>
  <c r="AV58"/>
  <c r="AX58"/>
  <c r="AV450"/>
  <c r="AX450"/>
  <c r="AV100"/>
  <c r="AX100"/>
  <c r="AV185"/>
  <c r="AX185"/>
  <c r="AV76"/>
  <c r="AX76"/>
  <c r="AV477"/>
  <c r="AX477"/>
  <c r="AV268"/>
  <c r="AX268"/>
  <c r="AV30"/>
  <c r="AX30"/>
  <c r="AV333"/>
  <c r="AX333"/>
  <c r="AV447"/>
  <c r="AX447"/>
  <c r="AV169"/>
  <c r="AX169"/>
  <c r="AV202"/>
  <c r="AX202"/>
  <c r="AV164"/>
  <c r="AX164"/>
  <c r="AV352"/>
  <c r="AX352"/>
  <c r="AV373"/>
  <c r="AX373"/>
  <c r="AV276"/>
  <c r="AX276"/>
  <c r="AV71"/>
  <c r="AX71"/>
  <c r="AV45"/>
  <c r="AX45"/>
  <c r="AV146"/>
  <c r="AX146"/>
  <c r="AV297"/>
  <c r="AX297"/>
  <c r="AV189"/>
  <c r="AX189"/>
  <c r="AV343"/>
  <c r="AX343"/>
  <c r="AV260"/>
  <c r="AX260"/>
  <c r="AV94"/>
  <c r="AX94"/>
  <c r="AV337"/>
  <c r="AX337"/>
  <c r="AV475"/>
  <c r="AX475"/>
  <c r="AV284"/>
  <c r="AX284"/>
  <c r="AV245"/>
  <c r="AX245"/>
  <c r="AV312"/>
  <c r="AX312"/>
  <c r="AV88"/>
  <c r="AX88"/>
  <c r="AV109"/>
  <c r="AX109"/>
  <c r="AV319"/>
  <c r="AX319"/>
  <c r="AV184"/>
  <c r="AX184"/>
  <c r="AV279"/>
  <c r="AX279"/>
  <c r="AV412"/>
  <c r="AX412"/>
  <c r="AV102"/>
  <c r="AX102"/>
  <c r="AV440"/>
  <c r="AX440"/>
  <c r="AV203"/>
  <c r="AX203"/>
  <c r="AV125"/>
  <c r="AX125"/>
  <c r="AV68"/>
  <c r="AX68"/>
  <c r="AV301"/>
  <c r="AX301"/>
  <c r="AV63"/>
  <c r="AX63"/>
  <c r="AV135"/>
  <c r="AX135"/>
  <c r="AV60"/>
  <c r="AX60"/>
  <c r="AV299"/>
  <c r="AX299"/>
  <c r="AV285"/>
  <c r="AX285"/>
  <c r="AV388"/>
  <c r="AX388"/>
  <c r="AV467"/>
  <c r="AX467"/>
  <c r="AV239"/>
  <c r="AX239"/>
  <c r="AV403"/>
  <c r="AX403"/>
  <c r="AV158"/>
  <c r="AX158"/>
  <c r="AV211"/>
  <c r="AX211"/>
  <c r="AV34"/>
  <c r="AX34"/>
  <c r="AV425"/>
  <c r="AX425"/>
  <c r="AV383"/>
  <c r="AX383"/>
  <c r="AV23"/>
  <c r="AV318"/>
  <c r="AX318"/>
  <c r="AV385"/>
  <c r="AX385"/>
  <c r="AV267"/>
  <c r="AX267"/>
  <c r="AV422"/>
  <c r="AX422"/>
  <c r="AV172"/>
  <c r="AX172"/>
  <c r="AV307"/>
  <c r="AX307"/>
  <c r="AV368"/>
  <c r="AX368"/>
  <c r="AV221"/>
  <c r="AX221"/>
  <c r="AV137"/>
  <c r="AX137"/>
  <c r="AV200"/>
  <c r="AX200"/>
  <c r="AV181"/>
  <c r="AX181"/>
  <c r="BC157"/>
  <c r="BD157"/>
  <c r="BC211"/>
  <c r="BD211"/>
  <c r="BC458"/>
  <c r="BD458"/>
  <c r="BC464"/>
  <c r="BD464"/>
  <c r="BC137"/>
  <c r="BD137"/>
  <c r="BC74"/>
  <c r="BD74"/>
  <c r="BC181"/>
  <c r="BD181"/>
  <c r="BC42"/>
  <c r="BD42"/>
  <c r="BC29"/>
  <c r="BD29"/>
  <c r="BC136"/>
  <c r="BD136"/>
  <c r="BC385"/>
  <c r="BD385"/>
  <c r="BC127"/>
  <c r="BD127"/>
  <c r="BC285"/>
  <c r="BD285"/>
  <c r="BC161"/>
  <c r="BD161"/>
  <c r="BC282"/>
  <c r="BD282"/>
  <c r="BC205"/>
  <c r="BD205"/>
  <c r="BC163"/>
  <c r="BD163"/>
  <c r="BC91"/>
  <c r="BD91"/>
  <c r="BC160"/>
  <c r="BD160"/>
  <c r="BC264"/>
  <c r="BD264"/>
  <c r="BC414"/>
  <c r="BD414"/>
  <c r="BC66"/>
  <c r="BD66"/>
  <c r="BC266"/>
  <c r="BD266"/>
  <c r="BC259"/>
  <c r="BD259"/>
  <c r="BC263"/>
  <c r="BD263"/>
  <c r="BC165"/>
  <c r="BD165"/>
  <c r="BC67"/>
  <c r="BD67"/>
  <c r="BC105"/>
  <c r="BD105"/>
  <c r="BC49"/>
  <c r="BD49"/>
  <c r="BC186"/>
  <c r="BD186"/>
  <c r="BC438"/>
  <c r="BD438"/>
  <c r="BC434"/>
  <c r="BD434"/>
  <c r="BC88"/>
  <c r="BD88"/>
  <c r="BC298"/>
  <c r="BD298"/>
  <c r="BC239"/>
  <c r="BD239"/>
  <c r="BC463"/>
  <c r="BD463"/>
  <c r="BC251"/>
  <c r="BD251"/>
  <c r="BC32"/>
  <c r="BD32"/>
  <c r="BC333"/>
  <c r="BD333"/>
  <c r="BC348"/>
  <c r="BD348"/>
  <c r="BC232"/>
  <c r="BD232"/>
  <c r="BC423"/>
  <c r="BD423"/>
  <c r="BC300"/>
  <c r="BD300"/>
  <c r="BC209"/>
  <c r="BD209"/>
  <c r="BC306"/>
  <c r="BD306"/>
  <c r="BC201"/>
  <c r="BD201"/>
  <c r="BC316"/>
  <c r="BD316"/>
  <c r="BC331"/>
  <c r="BD331"/>
  <c r="BC180"/>
  <c r="BD180"/>
  <c r="BC303"/>
  <c r="BD303"/>
  <c r="BC154"/>
  <c r="BD154"/>
  <c r="BC363"/>
  <c r="BD363"/>
  <c r="BC309"/>
  <c r="BD309"/>
  <c r="BC281"/>
  <c r="BD281"/>
  <c r="BC128"/>
  <c r="BD128"/>
  <c r="BC399"/>
  <c r="BD399"/>
  <c r="BC409"/>
  <c r="BD409"/>
  <c r="BC113"/>
  <c r="BD113"/>
  <c r="BC329"/>
  <c r="BD329"/>
  <c r="BC196"/>
  <c r="BD196"/>
  <c r="BC81"/>
  <c r="BD81"/>
  <c r="BC114"/>
  <c r="BD114"/>
  <c r="BC261"/>
  <c r="BD261"/>
  <c r="BC151"/>
  <c r="BD151"/>
  <c r="BC337"/>
  <c r="BD337"/>
  <c r="BC404"/>
  <c r="BD404"/>
  <c r="BC179"/>
  <c r="BD179"/>
  <c r="BC219"/>
  <c r="BD219"/>
  <c r="BC375"/>
  <c r="BD375"/>
  <c r="BC470"/>
  <c r="BD470"/>
  <c r="BC346"/>
  <c r="BD346"/>
  <c r="BC430"/>
  <c r="BD430"/>
  <c r="BC141"/>
  <c r="BD141"/>
  <c r="BC237"/>
  <c r="BD237"/>
  <c r="BC336"/>
  <c r="BD336"/>
  <c r="BC162"/>
  <c r="BD162"/>
  <c r="BC389"/>
  <c r="BD389"/>
  <c r="BC182"/>
  <c r="BD182"/>
  <c r="BC99"/>
  <c r="BD99"/>
  <c r="BC62"/>
  <c r="BD62"/>
  <c r="BC407"/>
  <c r="BD407"/>
  <c r="BC55"/>
  <c r="BD55"/>
  <c r="BC371"/>
  <c r="BD371"/>
  <c r="BC279"/>
  <c r="BD279"/>
  <c r="BC46"/>
  <c r="BD46"/>
  <c r="BC145"/>
  <c r="BD145"/>
  <c r="BC112"/>
  <c r="BD112"/>
  <c r="BC354"/>
  <c r="BD354"/>
  <c r="BC460"/>
  <c r="BD460"/>
  <c r="BC104"/>
  <c r="BD104"/>
  <c r="BC284"/>
  <c r="BD284"/>
  <c r="BC459"/>
  <c r="BD459"/>
  <c r="BC302"/>
  <c r="BD302"/>
  <c r="BC135"/>
  <c r="BD135"/>
  <c r="BC111"/>
  <c r="BD111"/>
  <c r="BC455"/>
  <c r="BD455"/>
  <c r="BC457"/>
  <c r="BD457"/>
  <c r="BC465"/>
  <c r="BD465"/>
  <c r="BC367"/>
  <c r="BD367"/>
  <c r="BC478"/>
  <c r="BD478"/>
  <c r="BC94"/>
  <c r="BD94"/>
  <c r="BC216"/>
  <c r="BD216"/>
  <c r="BC172"/>
  <c r="BD172"/>
  <c r="BC287"/>
  <c r="BD287"/>
  <c r="BC448"/>
  <c r="BD448"/>
  <c r="BC293"/>
  <c r="BD293"/>
  <c r="BC174"/>
  <c r="BD174"/>
  <c r="BC98"/>
  <c r="BD98"/>
  <c r="BC344"/>
  <c r="BD344"/>
  <c r="BC166"/>
  <c r="BD166"/>
  <c r="BC393"/>
  <c r="BD393"/>
  <c r="BC64"/>
  <c r="BD64"/>
  <c r="BC275"/>
  <c r="BD275"/>
  <c r="Y176" i="12"/>
  <c r="Y182"/>
  <c r="Y152"/>
  <c r="Y177"/>
  <c r="Y93"/>
  <c r="Y245"/>
  <c r="Y200"/>
  <c r="Y263"/>
  <c r="Y31"/>
  <c r="Y135"/>
  <c r="Y148"/>
  <c r="Y175"/>
  <c r="Y37"/>
  <c r="Y256"/>
  <c r="Y126"/>
  <c r="Y157"/>
  <c r="Y99"/>
  <c r="Y164"/>
  <c r="Y192"/>
  <c r="Y277"/>
  <c r="Y163"/>
  <c r="Y58"/>
  <c r="Y278"/>
  <c r="Y255"/>
  <c r="Y81"/>
  <c r="Y178"/>
  <c r="Y83"/>
  <c r="Y63"/>
  <c r="Y55"/>
  <c r="Y275"/>
  <c r="Y276"/>
  <c r="Y78"/>
  <c r="Y168"/>
  <c r="Y261"/>
  <c r="Y174"/>
  <c r="Y265"/>
  <c r="Y117"/>
  <c r="Y238"/>
  <c r="Y184"/>
  <c r="Y80"/>
  <c r="Y151"/>
  <c r="Y189"/>
  <c r="Y268"/>
  <c r="Y155"/>
  <c r="Y165"/>
  <c r="Y97"/>
  <c r="Y41"/>
  <c r="Y166"/>
  <c r="Y269"/>
  <c r="Y59"/>
  <c r="Y153"/>
  <c r="Y147"/>
  <c r="Y267"/>
  <c r="Y128"/>
  <c r="Y194"/>
  <c r="Y224"/>
  <c r="Y186"/>
  <c r="Y101"/>
  <c r="Y244"/>
  <c r="Y159"/>
  <c r="Y249"/>
  <c r="Y64"/>
  <c r="Y167"/>
  <c r="Y248"/>
  <c r="Y250"/>
  <c r="Y75"/>
  <c r="Y66"/>
  <c r="Y239"/>
  <c r="Y225"/>
  <c r="Y36"/>
  <c r="Y44"/>
  <c r="Y260"/>
  <c r="Y48"/>
  <c r="Y92"/>
  <c r="Y170"/>
  <c r="Y62"/>
  <c r="Y56"/>
  <c r="Y180"/>
  <c r="Y262"/>
  <c r="Y187"/>
  <c r="Y95"/>
  <c r="Y84"/>
  <c r="Y181"/>
  <c r="Y114"/>
  <c r="Y40"/>
  <c r="Y158"/>
  <c r="Y161"/>
  <c r="Y259"/>
  <c r="Y102"/>
  <c r="Y160"/>
  <c r="Y35"/>
  <c r="Y76"/>
  <c r="Y188"/>
  <c r="Y98"/>
  <c r="Y266"/>
  <c r="Y191"/>
  <c r="Y82"/>
  <c r="Y271"/>
  <c r="Y172"/>
  <c r="Y96"/>
  <c r="Y253"/>
  <c r="Y71"/>
  <c r="Y39"/>
  <c r="Y257"/>
  <c r="Y171"/>
  <c r="Y196"/>
  <c r="AA8"/>
  <c r="U152"/>
  <c r="U30"/>
  <c r="U173"/>
  <c r="U221"/>
  <c r="U108"/>
  <c r="U210"/>
  <c r="U168"/>
  <c r="U259"/>
  <c r="U58"/>
  <c r="U83"/>
  <c r="U122"/>
  <c r="U104"/>
  <c r="U141"/>
  <c r="U62"/>
  <c r="U55"/>
  <c r="U113"/>
  <c r="U183"/>
  <c r="U227"/>
  <c r="U39"/>
  <c r="U194"/>
  <c r="U41"/>
  <c r="U117"/>
  <c r="U90"/>
  <c r="U63"/>
  <c r="U33"/>
  <c r="U225"/>
  <c r="U140"/>
  <c r="U123"/>
  <c r="U74"/>
  <c r="U143"/>
  <c r="U79"/>
  <c r="U261"/>
  <c r="U276"/>
  <c r="U185"/>
  <c r="U223"/>
  <c r="U204"/>
  <c r="U178"/>
  <c r="U42"/>
  <c r="U139"/>
  <c r="U77"/>
  <c r="U36"/>
  <c r="U131"/>
  <c r="U274"/>
  <c r="U138"/>
  <c r="U105"/>
  <c r="U119"/>
  <c r="U64"/>
  <c r="U186"/>
  <c r="U220"/>
  <c r="U124"/>
  <c r="U107"/>
  <c r="U66"/>
  <c r="U95"/>
  <c r="U234"/>
  <c r="U148"/>
  <c r="U192"/>
  <c r="U212"/>
  <c r="U65"/>
  <c r="U60"/>
  <c r="U201"/>
  <c r="U100"/>
  <c r="U96"/>
  <c r="U150"/>
  <c r="U278"/>
  <c r="U277"/>
  <c r="U200"/>
  <c r="U184"/>
  <c r="U49"/>
  <c r="U84"/>
  <c r="U48"/>
  <c r="U46"/>
  <c r="U147"/>
  <c r="U101"/>
  <c r="U175"/>
  <c r="U121"/>
  <c r="U135"/>
  <c r="U116"/>
  <c r="U254"/>
  <c r="U164"/>
  <c r="U205"/>
  <c r="U275"/>
  <c r="U202"/>
  <c r="U241"/>
  <c r="U110"/>
  <c r="U198"/>
  <c r="U120"/>
  <c r="U166"/>
  <c r="U197"/>
  <c r="U171"/>
  <c r="U93"/>
  <c r="U98"/>
  <c r="U145"/>
  <c r="U161"/>
  <c r="U250"/>
  <c r="U82"/>
  <c r="U181"/>
  <c r="U219"/>
  <c r="U213"/>
  <c r="U249"/>
  <c r="U73"/>
  <c r="U240"/>
  <c r="U59"/>
  <c r="U47"/>
  <c r="U246"/>
  <c r="U193"/>
  <c r="U132"/>
  <c r="U174"/>
  <c r="U112"/>
  <c r="U61"/>
  <c r="U52"/>
  <c r="U211"/>
  <c r="U203"/>
  <c r="U269"/>
  <c r="U149"/>
  <c r="U129"/>
  <c r="U89"/>
  <c r="U72"/>
  <c r="U118"/>
  <c r="U224"/>
  <c r="U177"/>
  <c r="U56"/>
  <c r="U76"/>
  <c r="U239"/>
  <c r="U252"/>
  <c r="U43"/>
  <c r="U191"/>
  <c r="U217"/>
  <c r="U35"/>
  <c r="U244"/>
  <c r="U151"/>
  <c r="U253"/>
  <c r="U106"/>
  <c r="U133"/>
  <c r="U214"/>
  <c r="U218"/>
  <c r="U228"/>
  <c r="U206"/>
  <c r="U128"/>
  <c r="U88"/>
  <c r="U51"/>
  <c r="U158"/>
  <c r="U162"/>
  <c r="U188"/>
  <c r="U57"/>
  <c r="U38"/>
  <c r="U155"/>
  <c r="U91"/>
  <c r="U70"/>
  <c r="U125"/>
  <c r="U189"/>
  <c r="U176"/>
  <c r="U222"/>
  <c r="U69"/>
  <c r="U115"/>
  <c r="U231"/>
  <c r="U103"/>
  <c r="U75"/>
  <c r="U180"/>
  <c r="U199"/>
  <c r="U165"/>
  <c r="U209"/>
  <c r="U233"/>
  <c r="U109"/>
  <c r="U271"/>
  <c r="U130"/>
  <c r="U257"/>
  <c r="U78"/>
  <c r="U163"/>
  <c r="U102"/>
  <c r="U190"/>
  <c r="U243"/>
  <c r="U40"/>
  <c r="U137"/>
  <c r="U207"/>
  <c r="U182"/>
  <c r="U53"/>
  <c r="U99"/>
  <c r="U238"/>
  <c r="U80"/>
  <c r="U235"/>
  <c r="U187"/>
  <c r="U230"/>
  <c r="U242"/>
  <c r="U37"/>
  <c r="U159"/>
  <c r="U256"/>
  <c r="U111"/>
  <c r="U31"/>
  <c r="U196"/>
  <c r="U160"/>
  <c r="U153"/>
  <c r="U255"/>
  <c r="U262"/>
  <c r="U85"/>
  <c r="U146"/>
  <c r="U265"/>
  <c r="U94"/>
  <c r="U229"/>
  <c r="U134"/>
  <c r="U270"/>
  <c r="U263"/>
  <c r="U237"/>
  <c r="U86"/>
  <c r="U215"/>
  <c r="U226"/>
  <c r="U156"/>
  <c r="U44"/>
  <c r="U273"/>
  <c r="U245"/>
  <c r="U144"/>
  <c r="U67"/>
  <c r="U195"/>
  <c r="U32"/>
  <c r="U208"/>
  <c r="U136"/>
  <c r="U248"/>
  <c r="U81"/>
  <c r="U172"/>
  <c r="U71"/>
  <c r="U34"/>
  <c r="U170"/>
  <c r="U154"/>
  <c r="U179"/>
  <c r="U92"/>
  <c r="U260"/>
  <c r="U68"/>
  <c r="U251"/>
  <c r="U50"/>
  <c r="U142"/>
  <c r="U266"/>
  <c r="U267"/>
  <c r="U258"/>
  <c r="U54"/>
  <c r="U268"/>
  <c r="U97"/>
  <c r="U157"/>
  <c r="U167"/>
  <c r="U127"/>
  <c r="U232"/>
  <c r="U87"/>
  <c r="U264"/>
  <c r="U247"/>
  <c r="U169"/>
  <c r="U216"/>
  <c r="U272"/>
  <c r="U236"/>
  <c r="U126"/>
  <c r="U114"/>
  <c r="U45"/>
  <c r="Y251"/>
  <c r="Y205"/>
  <c r="Y77"/>
  <c r="Y236"/>
  <c r="Y60"/>
  <c r="Y42"/>
  <c r="Y227"/>
  <c r="Y273"/>
  <c r="Y79"/>
  <c r="Y121"/>
  <c r="Y67"/>
  <c r="Y33"/>
  <c r="Y74"/>
  <c r="Y100"/>
  <c r="Y190"/>
  <c r="Y89"/>
  <c r="Y264"/>
  <c r="Y241"/>
  <c r="Y149"/>
  <c r="Y270"/>
  <c r="Y258"/>
  <c r="Y235"/>
  <c r="Y246"/>
  <c r="Y272"/>
  <c r="Y197"/>
  <c r="Y154"/>
  <c r="Y254"/>
  <c r="Y118"/>
  <c r="Y73"/>
  <c r="Y72"/>
  <c r="Y195"/>
  <c r="Y183"/>
  <c r="T216"/>
  <c r="T189"/>
  <c r="T158"/>
  <c r="T277"/>
  <c r="T40"/>
  <c r="T53"/>
  <c r="T139"/>
  <c r="T260"/>
  <c r="T222"/>
  <c r="T244"/>
  <c r="T255"/>
  <c r="T57"/>
  <c r="T117"/>
  <c r="T41"/>
  <c r="T186"/>
  <c r="T100"/>
  <c r="T156"/>
  <c r="T72"/>
  <c r="T142"/>
  <c r="T34"/>
  <c r="T52"/>
  <c r="T223"/>
  <c r="T170"/>
  <c r="T164"/>
  <c r="T191"/>
  <c r="T214"/>
  <c r="T141"/>
  <c r="T119"/>
  <c r="T102"/>
  <c r="T45"/>
  <c r="T63"/>
  <c r="T108"/>
  <c r="T89"/>
  <c r="T129"/>
  <c r="T81"/>
  <c r="T232"/>
  <c r="T61"/>
  <c r="T211"/>
  <c r="T181"/>
  <c r="T212"/>
  <c r="T165"/>
  <c r="T59"/>
  <c r="T251"/>
  <c r="T91"/>
  <c r="T245"/>
  <c r="T266"/>
  <c r="T190"/>
  <c r="T159"/>
  <c r="T257"/>
  <c r="T203"/>
  <c r="T154"/>
  <c r="T30"/>
  <c r="T104"/>
  <c r="T126"/>
  <c r="T228"/>
  <c r="T86"/>
  <c r="T73"/>
  <c r="T242"/>
  <c r="T184"/>
  <c r="T265"/>
  <c r="T88"/>
  <c r="T62"/>
  <c r="T35"/>
  <c r="T204"/>
  <c r="T196"/>
  <c r="T43"/>
  <c r="T194"/>
  <c r="T202"/>
  <c r="T138"/>
  <c r="T229"/>
  <c r="T76"/>
  <c r="T262"/>
  <c r="T39"/>
  <c r="T271"/>
  <c r="T192"/>
  <c r="T276"/>
  <c r="T60"/>
  <c r="T85"/>
  <c r="T269"/>
  <c r="T208"/>
  <c r="T182"/>
  <c r="T226"/>
  <c r="T219"/>
  <c r="T237"/>
  <c r="T79"/>
  <c r="T134"/>
  <c r="T198"/>
  <c r="T116"/>
  <c r="T176"/>
  <c r="T256"/>
  <c r="T127"/>
  <c r="T93"/>
  <c r="T151"/>
  <c r="T254"/>
  <c r="T51"/>
  <c r="T201"/>
  <c r="T230"/>
  <c r="T97"/>
  <c r="T66"/>
  <c r="T128"/>
  <c r="T44"/>
  <c r="T205"/>
  <c r="T183"/>
  <c r="T169"/>
  <c r="T75"/>
  <c r="T123"/>
  <c r="T250"/>
  <c r="T233"/>
  <c r="T101"/>
  <c r="T174"/>
  <c r="T171"/>
  <c r="T213"/>
  <c r="T38"/>
  <c r="T37"/>
  <c r="T56"/>
  <c r="T95"/>
  <c r="T225"/>
  <c r="T160"/>
  <c r="T253"/>
  <c r="T193"/>
  <c r="T82"/>
  <c r="T249"/>
  <c r="T227"/>
  <c r="T157"/>
  <c r="T152"/>
  <c r="T180"/>
  <c r="T238"/>
  <c r="T90"/>
  <c r="T135"/>
  <c r="T118"/>
  <c r="T54"/>
  <c r="T64"/>
  <c r="T124"/>
  <c r="T133"/>
  <c r="T78"/>
  <c r="T163"/>
  <c r="T248"/>
  <c r="T80"/>
  <c r="T111"/>
  <c r="T110"/>
  <c r="T177"/>
  <c r="T173"/>
  <c r="T121"/>
  <c r="T103"/>
  <c r="T33"/>
  <c r="T207"/>
  <c r="T32"/>
  <c r="T231"/>
  <c r="T48"/>
  <c r="T241"/>
  <c r="T175"/>
  <c r="T167"/>
  <c r="T132"/>
  <c r="T106"/>
  <c r="T98"/>
  <c r="T115"/>
  <c r="T261"/>
  <c r="T273"/>
  <c r="T145"/>
  <c r="T224"/>
  <c r="T185"/>
  <c r="T179"/>
  <c r="T217"/>
  <c r="T105"/>
  <c r="T69"/>
  <c r="T87"/>
  <c r="T168"/>
  <c r="T143"/>
  <c r="T140"/>
  <c r="T137"/>
  <c r="T74"/>
  <c r="T68"/>
  <c r="T31"/>
  <c r="T188"/>
  <c r="T67"/>
  <c r="T47"/>
  <c r="T146"/>
  <c r="T99"/>
  <c r="T92"/>
  <c r="T246"/>
  <c r="T84"/>
  <c r="T240"/>
  <c r="T272"/>
  <c r="T125"/>
  <c r="T71"/>
  <c r="T247"/>
  <c r="T264"/>
  <c r="T96"/>
  <c r="T114"/>
  <c r="T210"/>
  <c r="T94"/>
  <c r="T113"/>
  <c r="T195"/>
  <c r="T252"/>
  <c r="T278"/>
  <c r="T220"/>
  <c r="T236"/>
  <c r="T155"/>
  <c r="T206"/>
  <c r="T42"/>
  <c r="T58"/>
  <c r="T131"/>
  <c r="T153"/>
  <c r="T166"/>
  <c r="T218"/>
  <c r="T243"/>
  <c r="T65"/>
  <c r="T112"/>
  <c r="T221"/>
  <c r="T270"/>
  <c r="T50"/>
  <c r="T55"/>
  <c r="T83"/>
  <c r="T107"/>
  <c r="T234"/>
  <c r="T187"/>
  <c r="T197"/>
  <c r="T215"/>
  <c r="T162"/>
  <c r="T258"/>
  <c r="T161"/>
  <c r="T122"/>
  <c r="T172"/>
  <c r="T274"/>
  <c r="T147"/>
  <c r="T149"/>
  <c r="T148"/>
  <c r="T77"/>
  <c r="T209"/>
  <c r="T275"/>
  <c r="T267"/>
  <c r="T239"/>
  <c r="T268"/>
  <c r="T49"/>
  <c r="T46"/>
  <c r="T109"/>
  <c r="T200"/>
  <c r="T136"/>
  <c r="T235"/>
  <c r="T70"/>
  <c r="T130"/>
  <c r="T178"/>
  <c r="T199"/>
  <c r="T259"/>
  <c r="T120"/>
  <c r="T263"/>
  <c r="T150"/>
  <c r="T144"/>
  <c r="T36"/>
  <c r="Y199"/>
  <c r="Y226"/>
  <c r="Y34"/>
  <c r="Y247"/>
  <c r="Y252"/>
  <c r="Y65"/>
  <c r="Y185"/>
  <c r="Y162"/>
  <c r="Y38"/>
  <c r="Y94"/>
  <c r="Y91"/>
  <c r="Y43"/>
  <c r="Y61"/>
  <c r="Y86"/>
  <c r="Y169"/>
  <c r="Y30"/>
  <c r="AC27" i="15"/>
  <c r="AM27"/>
  <c r="S28"/>
  <c r="AR26"/>
  <c r="AR86"/>
  <c r="E146"/>
  <c r="D146"/>
  <c r="H146"/>
  <c r="B148"/>
  <c r="G148"/>
  <c r="A91"/>
  <c r="B90"/>
  <c r="G90"/>
  <c r="A149"/>
  <c r="B29"/>
  <c r="G29"/>
  <c r="A30"/>
  <c r="E145"/>
  <c r="E27"/>
  <c r="E88"/>
  <c r="AR87"/>
  <c r="D147"/>
  <c r="H147"/>
  <c r="J144"/>
  <c r="K144"/>
  <c r="I144"/>
  <c r="BA144"/>
  <c r="B114" i="17"/>
  <c r="C89" i="15"/>
  <c r="C28"/>
  <c r="C3" i="20"/>
  <c r="C3" i="19"/>
  <c r="AX23" i="10"/>
  <c r="BD25"/>
  <c r="V218" i="12"/>
  <c r="V71"/>
  <c r="V146"/>
  <c r="V140"/>
  <c r="V82"/>
  <c r="V44"/>
  <c r="V176"/>
  <c r="V79"/>
  <c r="V182"/>
  <c r="V60"/>
  <c r="V39"/>
  <c r="V88"/>
  <c r="V147"/>
  <c r="V197"/>
  <c r="V221"/>
  <c r="V195"/>
  <c r="V114"/>
  <c r="V31"/>
  <c r="V261"/>
  <c r="V177"/>
  <c r="V248"/>
  <c r="V135"/>
  <c r="V138"/>
  <c r="V73"/>
  <c r="V104"/>
  <c r="V165"/>
  <c r="V89"/>
  <c r="V222"/>
  <c r="V40"/>
  <c r="V216"/>
  <c r="V49"/>
  <c r="V215"/>
  <c r="V270"/>
  <c r="V252"/>
  <c r="V87"/>
  <c r="V273"/>
  <c r="V106"/>
  <c r="V37"/>
  <c r="V123"/>
  <c r="V205"/>
  <c r="V271"/>
  <c r="V203"/>
  <c r="V53"/>
  <c r="V235"/>
  <c r="V50"/>
  <c r="V278"/>
  <c r="V92"/>
  <c r="V145"/>
  <c r="V66"/>
  <c r="V51"/>
  <c r="V192"/>
  <c r="V194"/>
  <c r="V35"/>
  <c r="V228"/>
  <c r="V181"/>
  <c r="V63"/>
  <c r="V186"/>
  <c r="V255"/>
  <c r="V259"/>
  <c r="V70"/>
  <c r="V109"/>
  <c r="V239"/>
  <c r="V77"/>
  <c r="V274"/>
  <c r="V258"/>
  <c r="V55"/>
  <c r="V112"/>
  <c r="V166"/>
  <c r="V113"/>
  <c r="V246"/>
  <c r="V47"/>
  <c r="V224"/>
  <c r="V231"/>
  <c r="V103"/>
  <c r="V110"/>
  <c r="V163"/>
  <c r="V64"/>
  <c r="V90"/>
  <c r="V157"/>
  <c r="V169"/>
  <c r="V201"/>
  <c r="V204"/>
  <c r="V265"/>
  <c r="V86"/>
  <c r="V91"/>
  <c r="V232"/>
  <c r="V164"/>
  <c r="V34"/>
  <c r="V57"/>
  <c r="V263"/>
  <c r="V178"/>
  <c r="V275"/>
  <c r="V240"/>
  <c r="V99"/>
  <c r="V137"/>
  <c r="V133"/>
  <c r="V226"/>
  <c r="V43"/>
  <c r="V45"/>
  <c r="V72"/>
  <c r="V41"/>
  <c r="V244"/>
  <c r="V136"/>
  <c r="V122"/>
  <c r="V107"/>
  <c r="V243"/>
  <c r="V188"/>
  <c r="V179"/>
  <c r="V241"/>
  <c r="V173"/>
  <c r="V80"/>
  <c r="V249"/>
  <c r="V174"/>
  <c r="V97"/>
  <c r="V134"/>
  <c r="V242"/>
  <c r="V126"/>
  <c r="V211"/>
  <c r="V129"/>
  <c r="V223"/>
  <c r="V150"/>
  <c r="V199"/>
  <c r="V46"/>
  <c r="V267"/>
  <c r="V148"/>
  <c r="V172"/>
  <c r="V162"/>
  <c r="V234"/>
  <c r="V65"/>
  <c r="V153"/>
  <c r="V67"/>
  <c r="V168"/>
  <c r="V217"/>
  <c r="V98"/>
  <c r="V175"/>
  <c r="V121"/>
  <c r="V111"/>
  <c r="V78"/>
  <c r="V238"/>
  <c r="V227"/>
  <c r="V253"/>
  <c r="V250"/>
  <c r="V127"/>
  <c r="V76"/>
  <c r="V184"/>
  <c r="V154"/>
  <c r="V190"/>
  <c r="V251"/>
  <c r="V139"/>
  <c r="V206"/>
  <c r="V94"/>
  <c r="V264"/>
  <c r="V272"/>
  <c r="V74"/>
  <c r="V32"/>
  <c r="V54"/>
  <c r="V56"/>
  <c r="V171"/>
  <c r="V183"/>
  <c r="V198"/>
  <c r="V219"/>
  <c r="V269"/>
  <c r="V81"/>
  <c r="V141"/>
  <c r="V170"/>
  <c r="V142"/>
  <c r="V158"/>
  <c r="V187"/>
  <c r="V220"/>
  <c r="V125"/>
  <c r="V105"/>
  <c r="V167"/>
  <c r="V193"/>
  <c r="V95"/>
  <c r="V116"/>
  <c r="V276"/>
  <c r="V262"/>
  <c r="V159"/>
  <c r="V212"/>
  <c r="V108"/>
  <c r="V100"/>
  <c r="V260"/>
  <c r="V277"/>
  <c r="V36"/>
  <c r="V130"/>
  <c r="V209"/>
  <c r="V161"/>
  <c r="V58"/>
  <c r="V84"/>
  <c r="V69"/>
  <c r="V33"/>
  <c r="V152"/>
  <c r="V38"/>
  <c r="V101"/>
  <c r="V75"/>
  <c r="V196"/>
  <c r="V245"/>
  <c r="V61"/>
  <c r="V102"/>
  <c r="V144"/>
  <c r="V42"/>
  <c r="V96"/>
  <c r="V68"/>
  <c r="V143"/>
  <c r="V115"/>
  <c r="V213"/>
  <c r="V233"/>
  <c r="V128"/>
  <c r="V93"/>
  <c r="V237"/>
  <c r="V208"/>
  <c r="V202"/>
  <c r="V119"/>
  <c r="V120"/>
  <c r="V200"/>
  <c r="V268"/>
  <c r="V83"/>
  <c r="V236"/>
  <c r="V185"/>
  <c r="V132"/>
  <c r="V48"/>
  <c r="V124"/>
  <c r="V225"/>
  <c r="V230"/>
  <c r="V151"/>
  <c r="V257"/>
  <c r="V191"/>
  <c r="V52"/>
  <c r="V156"/>
  <c r="V117"/>
  <c r="V149"/>
  <c r="V131"/>
  <c r="V155"/>
  <c r="V210"/>
  <c r="V247"/>
  <c r="V207"/>
  <c r="V118"/>
  <c r="V180"/>
  <c r="V160"/>
  <c r="V254"/>
  <c r="V256"/>
  <c r="V85"/>
  <c r="V229"/>
  <c r="V62"/>
  <c r="V266"/>
  <c r="V59"/>
  <c r="V214"/>
  <c r="V189"/>
  <c r="V30"/>
  <c r="S29" i="15"/>
  <c r="I145"/>
  <c r="BA145"/>
  <c r="B115" i="17"/>
  <c r="J145" i="15"/>
  <c r="K145"/>
  <c r="B149"/>
  <c r="G149"/>
  <c r="A92"/>
  <c r="B91"/>
  <c r="G91"/>
  <c r="C91"/>
  <c r="J146"/>
  <c r="K146"/>
  <c r="I146"/>
  <c r="BA146"/>
  <c r="B116" i="17"/>
  <c r="D89" i="15"/>
  <c r="H89"/>
  <c r="E89"/>
  <c r="J88"/>
  <c r="K88"/>
  <c r="I88"/>
  <c r="BA88"/>
  <c r="E147"/>
  <c r="C29"/>
  <c r="C148"/>
  <c r="E28"/>
  <c r="D28"/>
  <c r="H28"/>
  <c r="K27"/>
  <c r="J27"/>
  <c r="I27"/>
  <c r="BA27"/>
  <c r="B17" i="17"/>
  <c r="A150" i="15"/>
  <c r="C30"/>
  <c r="B30"/>
  <c r="G30"/>
  <c r="A31"/>
  <c r="C90"/>
  <c r="S30"/>
  <c r="AC28"/>
  <c r="AM28"/>
  <c r="B150"/>
  <c r="G150"/>
  <c r="D90"/>
  <c r="H90"/>
  <c r="D30"/>
  <c r="H30"/>
  <c r="BA28"/>
  <c r="E29"/>
  <c r="D29"/>
  <c r="H29"/>
  <c r="B92"/>
  <c r="G92"/>
  <c r="A93"/>
  <c r="C92"/>
  <c r="E148"/>
  <c r="D148"/>
  <c r="H148"/>
  <c r="AR88"/>
  <c r="BA89"/>
  <c r="AR27"/>
  <c r="K28"/>
  <c r="I28"/>
  <c r="J28"/>
  <c r="I147"/>
  <c r="BA147"/>
  <c r="B117" i="17"/>
  <c r="K147" i="15"/>
  <c r="J147"/>
  <c r="A32"/>
  <c r="A151"/>
  <c r="C31"/>
  <c r="B31"/>
  <c r="G31"/>
  <c r="K89"/>
  <c r="J89"/>
  <c r="I89"/>
  <c r="D91"/>
  <c r="H91"/>
  <c r="C149"/>
  <c r="AC29"/>
  <c r="AM29"/>
  <c r="AC30"/>
  <c r="AM30"/>
  <c r="S31"/>
  <c r="D149"/>
  <c r="H149"/>
  <c r="C151"/>
  <c r="B151"/>
  <c r="G151"/>
  <c r="AR89"/>
  <c r="J148"/>
  <c r="K148"/>
  <c r="I148"/>
  <c r="BA148"/>
  <c r="D92"/>
  <c r="H92"/>
  <c r="K29"/>
  <c r="I29"/>
  <c r="J29"/>
  <c r="D31"/>
  <c r="H31"/>
  <c r="E31"/>
  <c r="BA29"/>
  <c r="AR28"/>
  <c r="A152"/>
  <c r="C32"/>
  <c r="B32"/>
  <c r="G32"/>
  <c r="A33"/>
  <c r="A94"/>
  <c r="C93"/>
  <c r="B93"/>
  <c r="G93"/>
  <c r="E90"/>
  <c r="C150"/>
  <c r="E91"/>
  <c r="E30"/>
  <c r="S32"/>
  <c r="AC31"/>
  <c r="AM31"/>
  <c r="J30"/>
  <c r="I30"/>
  <c r="BA30"/>
  <c r="K30"/>
  <c r="I90"/>
  <c r="BA90"/>
  <c r="J90"/>
  <c r="K90"/>
  <c r="A95"/>
  <c r="B94"/>
  <c r="G94"/>
  <c r="B152"/>
  <c r="G152"/>
  <c r="I91"/>
  <c r="BA91"/>
  <c r="J91"/>
  <c r="K91"/>
  <c r="E149"/>
  <c r="E92"/>
  <c r="AR29"/>
  <c r="D151"/>
  <c r="H151"/>
  <c r="D150"/>
  <c r="H150"/>
  <c r="D93"/>
  <c r="H93"/>
  <c r="D32"/>
  <c r="H32"/>
  <c r="A153"/>
  <c r="B33"/>
  <c r="G33"/>
  <c r="A34"/>
  <c r="C33"/>
  <c r="I31"/>
  <c r="BA31"/>
  <c r="K31"/>
  <c r="J31"/>
  <c r="AC32"/>
  <c r="AM32"/>
  <c r="S33"/>
  <c r="AR31"/>
  <c r="I149"/>
  <c r="BA149"/>
  <c r="J149"/>
  <c r="K149"/>
  <c r="AR30"/>
  <c r="J92"/>
  <c r="K92"/>
  <c r="I92"/>
  <c r="BA92"/>
  <c r="B95"/>
  <c r="G95"/>
  <c r="A96"/>
  <c r="E93"/>
  <c r="E151"/>
  <c r="C152"/>
  <c r="E33"/>
  <c r="D33"/>
  <c r="H33"/>
  <c r="B153"/>
  <c r="G153"/>
  <c r="A154"/>
  <c r="A35"/>
  <c r="B34"/>
  <c r="G34"/>
  <c r="AR91"/>
  <c r="AR90"/>
  <c r="E32"/>
  <c r="E150"/>
  <c r="C94"/>
  <c r="AC33"/>
  <c r="AM33"/>
  <c r="S34"/>
  <c r="E152"/>
  <c r="D152"/>
  <c r="H152"/>
  <c r="C96"/>
  <c r="B96"/>
  <c r="G96"/>
  <c r="A97"/>
  <c r="D94"/>
  <c r="H94"/>
  <c r="B154"/>
  <c r="G154"/>
  <c r="K33"/>
  <c r="J33"/>
  <c r="I33"/>
  <c r="BA33"/>
  <c r="B18" i="17"/>
  <c r="AR92" i="15"/>
  <c r="J32"/>
  <c r="K32"/>
  <c r="I32"/>
  <c r="BA32"/>
  <c r="A155"/>
  <c r="A36"/>
  <c r="B35"/>
  <c r="G35"/>
  <c r="I151"/>
  <c r="BA151"/>
  <c r="K151"/>
  <c r="J151"/>
  <c r="C34"/>
  <c r="C153"/>
  <c r="C95"/>
  <c r="J150"/>
  <c r="K150"/>
  <c r="I150"/>
  <c r="BA150"/>
  <c r="I93"/>
  <c r="BA93"/>
  <c r="B68" i="17"/>
  <c r="J93" i="15"/>
  <c r="K93"/>
  <c r="S35"/>
  <c r="AR33"/>
  <c r="E94"/>
  <c r="C155"/>
  <c r="B155"/>
  <c r="G155"/>
  <c r="D34"/>
  <c r="H34"/>
  <c r="A156"/>
  <c r="A37"/>
  <c r="B36"/>
  <c r="G36"/>
  <c r="S36"/>
  <c r="C36"/>
  <c r="D96"/>
  <c r="H96"/>
  <c r="D153"/>
  <c r="H153"/>
  <c r="AR93"/>
  <c r="E95"/>
  <c r="D95"/>
  <c r="H95"/>
  <c r="AR32"/>
  <c r="A98"/>
  <c r="C97"/>
  <c r="B97"/>
  <c r="G97"/>
  <c r="J152"/>
  <c r="K152"/>
  <c r="I152"/>
  <c r="BA152"/>
  <c r="C35"/>
  <c r="C154"/>
  <c r="AC34"/>
  <c r="AM34"/>
  <c r="E153"/>
  <c r="E34"/>
  <c r="D35"/>
  <c r="H35"/>
  <c r="AC35"/>
  <c r="E35"/>
  <c r="E154"/>
  <c r="D154"/>
  <c r="H154"/>
  <c r="A99"/>
  <c r="B98"/>
  <c r="G98"/>
  <c r="C98"/>
  <c r="K95"/>
  <c r="J95"/>
  <c r="I95"/>
  <c r="D36"/>
  <c r="H36"/>
  <c r="AC36"/>
  <c r="E36"/>
  <c r="D97"/>
  <c r="H97"/>
  <c r="BA95"/>
  <c r="B70" i="17"/>
  <c r="B156" i="15"/>
  <c r="G156"/>
  <c r="C156"/>
  <c r="D155"/>
  <c r="H155"/>
  <c r="J94"/>
  <c r="I94"/>
  <c r="BA94"/>
  <c r="B69" i="17"/>
  <c r="K94" i="15"/>
  <c r="A157"/>
  <c r="B37"/>
  <c r="G37"/>
  <c r="S37"/>
  <c r="A38"/>
  <c r="E96"/>
  <c r="K96"/>
  <c r="J96"/>
  <c r="I96"/>
  <c r="BA96"/>
  <c r="B71" i="17"/>
  <c r="B157" i="15"/>
  <c r="G157"/>
  <c r="I36"/>
  <c r="BA36"/>
  <c r="B21" i="17"/>
  <c r="J36" i="15"/>
  <c r="K36"/>
  <c r="E98"/>
  <c r="D98"/>
  <c r="H98"/>
  <c r="J154"/>
  <c r="K154"/>
  <c r="I154"/>
  <c r="I153"/>
  <c r="BA153"/>
  <c r="B118" i="17"/>
  <c r="J153" i="15"/>
  <c r="K153"/>
  <c r="AR95"/>
  <c r="K34"/>
  <c r="I34"/>
  <c r="BA34"/>
  <c r="B19" i="17"/>
  <c r="J34" i="15"/>
  <c r="B99"/>
  <c r="G99"/>
  <c r="A100"/>
  <c r="C99"/>
  <c r="AM35"/>
  <c r="BA35"/>
  <c r="B20" i="17"/>
  <c r="E155" i="15"/>
  <c r="BA154"/>
  <c r="B119" i="17"/>
  <c r="C37" i="15"/>
  <c r="E97"/>
  <c r="A158"/>
  <c r="B38"/>
  <c r="G38"/>
  <c r="S38"/>
  <c r="A39"/>
  <c r="AR94"/>
  <c r="D156"/>
  <c r="H156"/>
  <c r="AM36"/>
  <c r="I35"/>
  <c r="J35"/>
  <c r="K35"/>
  <c r="AR36"/>
  <c r="B100"/>
  <c r="G100"/>
  <c r="A101"/>
  <c r="E99"/>
  <c r="D99"/>
  <c r="H99"/>
  <c r="E37"/>
  <c r="D37"/>
  <c r="H37"/>
  <c r="AC37"/>
  <c r="AR96"/>
  <c r="E156"/>
  <c r="C38"/>
  <c r="B158"/>
  <c r="G158"/>
  <c r="C158"/>
  <c r="AR35"/>
  <c r="J98"/>
  <c r="I98"/>
  <c r="BA98"/>
  <c r="B73" i="17"/>
  <c r="K98" i="15"/>
  <c r="AR34"/>
  <c r="A159"/>
  <c r="C39"/>
  <c r="A40"/>
  <c r="B39"/>
  <c r="G39"/>
  <c r="S39"/>
  <c r="I97"/>
  <c r="BA97"/>
  <c r="B72" i="17"/>
  <c r="K97" i="15"/>
  <c r="J97"/>
  <c r="I155"/>
  <c r="BA155"/>
  <c r="B120" i="17"/>
  <c r="K155" i="15"/>
  <c r="J155"/>
  <c r="C157"/>
  <c r="C42" i="2"/>
  <c r="C9" i="5"/>
  <c r="B9"/>
  <c r="AR98" i="15"/>
  <c r="E38"/>
  <c r="D38"/>
  <c r="H38"/>
  <c r="AC38"/>
  <c r="C100"/>
  <c r="D39"/>
  <c r="H39"/>
  <c r="AC39"/>
  <c r="D158"/>
  <c r="H158"/>
  <c r="J37"/>
  <c r="K37"/>
  <c r="I37"/>
  <c r="K99"/>
  <c r="J99"/>
  <c r="I99"/>
  <c r="BA99"/>
  <c r="B74" i="17"/>
  <c r="A102" i="15"/>
  <c r="C101"/>
  <c r="B101"/>
  <c r="G101"/>
  <c r="D157"/>
  <c r="H157"/>
  <c r="A160"/>
  <c r="A41"/>
  <c r="B40"/>
  <c r="G40"/>
  <c r="S40"/>
  <c r="J156"/>
  <c r="K156"/>
  <c r="I156"/>
  <c r="BA156"/>
  <c r="B121" i="17"/>
  <c r="BA37" i="15"/>
  <c r="B22" i="17"/>
  <c r="AM37" i="15"/>
  <c r="AR97"/>
  <c r="C159"/>
  <c r="B159"/>
  <c r="G159"/>
  <c r="AR99"/>
  <c r="D101"/>
  <c r="H101"/>
  <c r="D100"/>
  <c r="H100"/>
  <c r="E100"/>
  <c r="D159"/>
  <c r="H159"/>
  <c r="AM39"/>
  <c r="B160"/>
  <c r="G160"/>
  <c r="K38"/>
  <c r="I38"/>
  <c r="J38"/>
  <c r="AR37"/>
  <c r="A161"/>
  <c r="B41"/>
  <c r="G41"/>
  <c r="S41"/>
  <c r="A42"/>
  <c r="A103"/>
  <c r="B102"/>
  <c r="G102"/>
  <c r="BA38"/>
  <c r="B23" i="17"/>
  <c r="AM38" i="15"/>
  <c r="C40"/>
  <c r="E39"/>
  <c r="E157"/>
  <c r="E158"/>
  <c r="C160"/>
  <c r="E159"/>
  <c r="E101"/>
  <c r="J158"/>
  <c r="K158"/>
  <c r="I158"/>
  <c r="BA158"/>
  <c r="B123" i="17"/>
  <c r="K100" i="15"/>
  <c r="J100"/>
  <c r="I100"/>
  <c r="I39"/>
  <c r="BA39"/>
  <c r="B24" i="17"/>
  <c r="J39" i="15"/>
  <c r="K39"/>
  <c r="A162"/>
  <c r="B42"/>
  <c r="G42"/>
  <c r="S42"/>
  <c r="C42"/>
  <c r="A43"/>
  <c r="AR38"/>
  <c r="I157"/>
  <c r="BA157"/>
  <c r="B122" i="17"/>
  <c r="J157" i="15"/>
  <c r="K157"/>
  <c r="D40"/>
  <c r="H40"/>
  <c r="AC40"/>
  <c r="B103"/>
  <c r="G103"/>
  <c r="A104"/>
  <c r="B161"/>
  <c r="G161"/>
  <c r="BA100"/>
  <c r="B75" i="17"/>
  <c r="C102" i="15"/>
  <c r="C41"/>
  <c r="D160"/>
  <c r="H160"/>
  <c r="A163"/>
  <c r="A44"/>
  <c r="B43"/>
  <c r="G43"/>
  <c r="S43"/>
  <c r="I101"/>
  <c r="BA101"/>
  <c r="B76" i="17"/>
  <c r="J101" i="15"/>
  <c r="K101"/>
  <c r="D102"/>
  <c r="H102"/>
  <c r="E42"/>
  <c r="D42"/>
  <c r="H42"/>
  <c r="AC42"/>
  <c r="AR100"/>
  <c r="C104"/>
  <c r="B104"/>
  <c r="G104"/>
  <c r="A105"/>
  <c r="I159"/>
  <c r="BA159"/>
  <c r="B124" i="17"/>
  <c r="K159" i="15"/>
  <c r="J159"/>
  <c r="D41"/>
  <c r="H41"/>
  <c r="AC41"/>
  <c r="AM40"/>
  <c r="B162"/>
  <c r="G162"/>
  <c r="AR39"/>
  <c r="C103"/>
  <c r="C161"/>
  <c r="E40"/>
  <c r="D103"/>
  <c r="H103"/>
  <c r="AM41"/>
  <c r="B163"/>
  <c r="G163"/>
  <c r="I40"/>
  <c r="BA40"/>
  <c r="B25" i="17"/>
  <c r="J40" i="15"/>
  <c r="K40"/>
  <c r="AM42"/>
  <c r="C162"/>
  <c r="C43"/>
  <c r="D161"/>
  <c r="H161"/>
  <c r="D104"/>
  <c r="H104"/>
  <c r="K42"/>
  <c r="I42"/>
  <c r="BA42"/>
  <c r="B27" i="17"/>
  <c r="J42" i="15"/>
  <c r="A106"/>
  <c r="C105"/>
  <c r="B105"/>
  <c r="G105"/>
  <c r="AR101"/>
  <c r="A164"/>
  <c r="A45"/>
  <c r="B44"/>
  <c r="G44"/>
  <c r="S44"/>
  <c r="C44"/>
  <c r="E41"/>
  <c r="E102"/>
  <c r="E160"/>
  <c r="AR42"/>
  <c r="D44"/>
  <c r="H44"/>
  <c r="AC44"/>
  <c r="J160"/>
  <c r="K160"/>
  <c r="I160"/>
  <c r="BA160"/>
  <c r="B125" i="17"/>
  <c r="E104" i="15"/>
  <c r="C163"/>
  <c r="E103"/>
  <c r="A107"/>
  <c r="B106"/>
  <c r="G106"/>
  <c r="J41"/>
  <c r="K41"/>
  <c r="I41"/>
  <c r="BA41"/>
  <c r="B26" i="17"/>
  <c r="B164" i="15"/>
  <c r="G164"/>
  <c r="D105"/>
  <c r="H105"/>
  <c r="E162"/>
  <c r="D162"/>
  <c r="H162"/>
  <c r="AR40"/>
  <c r="J102"/>
  <c r="I102"/>
  <c r="BA102"/>
  <c r="B77" i="17"/>
  <c r="K102" i="15"/>
  <c r="A165"/>
  <c r="B45"/>
  <c r="G45"/>
  <c r="S45"/>
  <c r="A46"/>
  <c r="D43"/>
  <c r="H43"/>
  <c r="AC43"/>
  <c r="E161"/>
  <c r="C43" i="2"/>
  <c r="C10" i="5"/>
  <c r="B10"/>
  <c r="K103" i="15"/>
  <c r="J103"/>
  <c r="I103"/>
  <c r="BA103"/>
  <c r="B78" i="17"/>
  <c r="C165" i="15"/>
  <c r="B165"/>
  <c r="G165"/>
  <c r="AR41"/>
  <c r="B107"/>
  <c r="G107"/>
  <c r="A108"/>
  <c r="C45"/>
  <c r="BA162"/>
  <c r="B127" i="17"/>
  <c r="C164" i="15"/>
  <c r="C106"/>
  <c r="E43"/>
  <c r="E105"/>
  <c r="J162"/>
  <c r="K162"/>
  <c r="I162"/>
  <c r="K104"/>
  <c r="I104"/>
  <c r="BA104"/>
  <c r="B79" i="17"/>
  <c r="J104" i="15"/>
  <c r="AR102"/>
  <c r="D163"/>
  <c r="H163"/>
  <c r="AM44"/>
  <c r="I161"/>
  <c r="BA161"/>
  <c r="B126" i="17"/>
  <c r="J161" i="15"/>
  <c r="K161"/>
  <c r="AM43"/>
  <c r="A166"/>
  <c r="B46"/>
  <c r="G46"/>
  <c r="S46"/>
  <c r="A47"/>
  <c r="E44"/>
  <c r="B166"/>
  <c r="G166"/>
  <c r="C166"/>
  <c r="I43"/>
  <c r="BA43"/>
  <c r="B28" i="17"/>
  <c r="J43" i="15"/>
  <c r="K43"/>
  <c r="D165"/>
  <c r="H165"/>
  <c r="D106"/>
  <c r="H106"/>
  <c r="C108"/>
  <c r="B108"/>
  <c r="G108"/>
  <c r="A109"/>
  <c r="C46"/>
  <c r="I44"/>
  <c r="BA44"/>
  <c r="B29" i="17"/>
  <c r="J44" i="15"/>
  <c r="K44"/>
  <c r="A167"/>
  <c r="C47"/>
  <c r="A48"/>
  <c r="B47"/>
  <c r="G47"/>
  <c r="S47"/>
  <c r="AR104"/>
  <c r="E45"/>
  <c r="D45"/>
  <c r="H45"/>
  <c r="AC45"/>
  <c r="AR103"/>
  <c r="I105"/>
  <c r="BA105"/>
  <c r="B80" i="17"/>
  <c r="J105" i="15"/>
  <c r="K105"/>
  <c r="E164"/>
  <c r="D164"/>
  <c r="H164"/>
  <c r="E163"/>
  <c r="C107"/>
  <c r="B167"/>
  <c r="G167"/>
  <c r="D166"/>
  <c r="H166"/>
  <c r="AR105"/>
  <c r="AR44"/>
  <c r="D108"/>
  <c r="H108"/>
  <c r="I163"/>
  <c r="BA163"/>
  <c r="B128" i="17"/>
  <c r="K163" i="15"/>
  <c r="J163"/>
  <c r="E107"/>
  <c r="D107"/>
  <c r="H107"/>
  <c r="AM45"/>
  <c r="D46"/>
  <c r="H46"/>
  <c r="AC46"/>
  <c r="A110"/>
  <c r="C109"/>
  <c r="B109"/>
  <c r="G109"/>
  <c r="AR43"/>
  <c r="E106"/>
  <c r="J164"/>
  <c r="K164"/>
  <c r="I164"/>
  <c r="D47"/>
  <c r="H47"/>
  <c r="AC47"/>
  <c r="J45"/>
  <c r="K45"/>
  <c r="I45"/>
  <c r="BA45"/>
  <c r="B30" i="17"/>
  <c r="A168" i="15"/>
  <c r="A49"/>
  <c r="B48"/>
  <c r="G48"/>
  <c r="S48"/>
  <c r="BA164"/>
  <c r="B129" i="17"/>
  <c r="E165" i="15"/>
  <c r="C301" i="13"/>
  <c r="C293"/>
  <c r="AR45" i="15"/>
  <c r="AM46"/>
  <c r="B168"/>
  <c r="G168"/>
  <c r="A111"/>
  <c r="B110"/>
  <c r="G110"/>
  <c r="E108"/>
  <c r="C167"/>
  <c r="I165"/>
  <c r="BA165"/>
  <c r="B130" i="17"/>
  <c r="J165" i="15"/>
  <c r="K165"/>
  <c r="A169"/>
  <c r="B49"/>
  <c r="G49"/>
  <c r="S49"/>
  <c r="A50"/>
  <c r="AM47"/>
  <c r="D109"/>
  <c r="H109"/>
  <c r="E109"/>
  <c r="K107"/>
  <c r="J107"/>
  <c r="I107"/>
  <c r="J106"/>
  <c r="I106"/>
  <c r="BA106"/>
  <c r="B81" i="17"/>
  <c r="K106" i="15"/>
  <c r="BA107"/>
  <c r="B82" i="17"/>
  <c r="C48" i="15"/>
  <c r="E47"/>
  <c r="E46"/>
  <c r="E166"/>
  <c r="C299" i="13"/>
  <c r="C285"/>
  <c r="C284"/>
  <c r="C283"/>
  <c r="C282"/>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C298"/>
  <c r="C44" i="2"/>
  <c r="C11" i="5"/>
  <c r="B11"/>
  <c r="J166" i="15"/>
  <c r="K166"/>
  <c r="I166"/>
  <c r="BA166"/>
  <c r="B131" i="17"/>
  <c r="K46" i="15"/>
  <c r="I46"/>
  <c r="BA46"/>
  <c r="B31" i="17"/>
  <c r="J46" i="15"/>
  <c r="AR107"/>
  <c r="C169"/>
  <c r="B169"/>
  <c r="G169"/>
  <c r="D167"/>
  <c r="H167"/>
  <c r="E167"/>
  <c r="C168"/>
  <c r="C110"/>
  <c r="D48"/>
  <c r="H48"/>
  <c r="AC48"/>
  <c r="E48"/>
  <c r="AR106"/>
  <c r="I109"/>
  <c r="BA109"/>
  <c r="B84" i="17"/>
  <c r="K109" i="15"/>
  <c r="J109"/>
  <c r="I47"/>
  <c r="BA47"/>
  <c r="B32" i="17"/>
  <c r="J47" i="15"/>
  <c r="K47"/>
  <c r="A170"/>
  <c r="B50"/>
  <c r="G50"/>
  <c r="S50"/>
  <c r="A51"/>
  <c r="K108"/>
  <c r="I108"/>
  <c r="BA108"/>
  <c r="B83" i="17"/>
  <c r="J108" i="15"/>
  <c r="B111"/>
  <c r="G111"/>
  <c r="C111"/>
  <c r="A112"/>
  <c r="C49"/>
  <c r="C281" i="13"/>
  <c r="C291"/>
  <c r="C297"/>
  <c r="C279"/>
  <c r="C289"/>
  <c r="C280"/>
  <c r="C290"/>
  <c r="C296"/>
  <c r="C300"/>
  <c r="C278"/>
  <c r="C288"/>
  <c r="C292"/>
  <c r="AR109" i="15"/>
  <c r="E111"/>
  <c r="D111"/>
  <c r="H111"/>
  <c r="B170"/>
  <c r="G170"/>
  <c r="C170"/>
  <c r="D168"/>
  <c r="H168"/>
  <c r="C112"/>
  <c r="B112"/>
  <c r="G112"/>
  <c r="A113"/>
  <c r="AR47"/>
  <c r="E110"/>
  <c r="D110"/>
  <c r="H110"/>
  <c r="AR46"/>
  <c r="A171"/>
  <c r="A52"/>
  <c r="B51"/>
  <c r="G51"/>
  <c r="S51"/>
  <c r="I48"/>
  <c r="J48"/>
  <c r="K48"/>
  <c r="I167"/>
  <c r="BA167"/>
  <c r="B132" i="17"/>
  <c r="K167" i="15"/>
  <c r="J167"/>
  <c r="D169"/>
  <c r="H169"/>
  <c r="E169"/>
  <c r="AR108"/>
  <c r="E49"/>
  <c r="D49"/>
  <c r="H49"/>
  <c r="AC49"/>
  <c r="AM48"/>
  <c r="BA48"/>
  <c r="C50"/>
  <c r="I169"/>
  <c r="J169"/>
  <c r="K169"/>
  <c r="E170"/>
  <c r="D170"/>
  <c r="H170"/>
  <c r="D112"/>
  <c r="H112"/>
  <c r="K111"/>
  <c r="J111"/>
  <c r="I111"/>
  <c r="AM49"/>
  <c r="A172"/>
  <c r="A53"/>
  <c r="B52"/>
  <c r="G52"/>
  <c r="S52"/>
  <c r="C113"/>
  <c r="B113"/>
  <c r="G113"/>
  <c r="A114"/>
  <c r="C51"/>
  <c r="BA169"/>
  <c r="B134" i="17"/>
  <c r="E168" i="15"/>
  <c r="AR48"/>
  <c r="C171"/>
  <c r="B171"/>
  <c r="G171"/>
  <c r="D50"/>
  <c r="H50"/>
  <c r="AC50"/>
  <c r="J49"/>
  <c r="K49"/>
  <c r="I49"/>
  <c r="BA49"/>
  <c r="B34" i="17"/>
  <c r="J110" i="15"/>
  <c r="I110"/>
  <c r="BA110"/>
  <c r="B85" i="17"/>
  <c r="K110" i="15"/>
  <c r="BA111"/>
  <c r="B86" i="17"/>
  <c r="AR110" i="15"/>
  <c r="AR49"/>
  <c r="D113"/>
  <c r="H113"/>
  <c r="E113"/>
  <c r="D51"/>
  <c r="H51"/>
  <c r="AC51"/>
  <c r="B172"/>
  <c r="G172"/>
  <c r="J168"/>
  <c r="K168"/>
  <c r="I168"/>
  <c r="BA168"/>
  <c r="B133" i="17"/>
  <c r="E112" i="15"/>
  <c r="E50"/>
  <c r="C52"/>
  <c r="BA170"/>
  <c r="B135" i="17"/>
  <c r="AR111" i="15"/>
  <c r="AM50"/>
  <c r="D171"/>
  <c r="H171"/>
  <c r="A115"/>
  <c r="B114"/>
  <c r="G114"/>
  <c r="A173"/>
  <c r="B53"/>
  <c r="G53"/>
  <c r="S53"/>
  <c r="A54"/>
  <c r="C53"/>
  <c r="J170"/>
  <c r="K170"/>
  <c r="I170"/>
  <c r="D52"/>
  <c r="H52"/>
  <c r="AC52"/>
  <c r="J113"/>
  <c r="I113"/>
  <c r="K113"/>
  <c r="C173"/>
  <c r="B173"/>
  <c r="G173"/>
  <c r="K112"/>
  <c r="I112"/>
  <c r="BA112"/>
  <c r="B87" i="17"/>
  <c r="J112" i="15"/>
  <c r="A174"/>
  <c r="B54"/>
  <c r="G54"/>
  <c r="S54"/>
  <c r="C54"/>
  <c r="A55"/>
  <c r="K50"/>
  <c r="I50"/>
  <c r="BA50"/>
  <c r="B35" i="17"/>
  <c r="J50" i="15"/>
  <c r="BA113"/>
  <c r="B88" i="17"/>
  <c r="C114" i="15"/>
  <c r="C172"/>
  <c r="D53"/>
  <c r="H53"/>
  <c r="AC53"/>
  <c r="AM51"/>
  <c r="B115"/>
  <c r="G115"/>
  <c r="A116"/>
  <c r="E51"/>
  <c r="E171"/>
  <c r="I171"/>
  <c r="BA171"/>
  <c r="B136" i="17"/>
  <c r="K171" i="15"/>
  <c r="J171"/>
  <c r="AM53"/>
  <c r="D114"/>
  <c r="H114"/>
  <c r="E114"/>
  <c r="AR112"/>
  <c r="AR113"/>
  <c r="A175"/>
  <c r="A56"/>
  <c r="B55"/>
  <c r="G55"/>
  <c r="S55"/>
  <c r="C55"/>
  <c r="E172"/>
  <c r="D172"/>
  <c r="H172"/>
  <c r="B174"/>
  <c r="G174"/>
  <c r="C174"/>
  <c r="D54"/>
  <c r="H54"/>
  <c r="AC54"/>
  <c r="AM52"/>
  <c r="B116"/>
  <c r="G116"/>
  <c r="A117"/>
  <c r="D173"/>
  <c r="H173"/>
  <c r="I51"/>
  <c r="BA51"/>
  <c r="B36" i="17"/>
  <c r="J51" i="15"/>
  <c r="K51"/>
  <c r="AR50"/>
  <c r="E52"/>
  <c r="C115"/>
  <c r="E53"/>
  <c r="AM54"/>
  <c r="E115"/>
  <c r="D115"/>
  <c r="H115"/>
  <c r="A176"/>
  <c r="B56"/>
  <c r="G56"/>
  <c r="S56"/>
  <c r="C56"/>
  <c r="A57"/>
  <c r="C116"/>
  <c r="BA172"/>
  <c r="B137" i="17"/>
  <c r="AR51" i="15"/>
  <c r="E174"/>
  <c r="D174"/>
  <c r="H174"/>
  <c r="D55"/>
  <c r="H55"/>
  <c r="AC55"/>
  <c r="E55"/>
  <c r="I114"/>
  <c r="BA114"/>
  <c r="B89" i="17"/>
  <c r="K114" i="15"/>
  <c r="J114"/>
  <c r="I52"/>
  <c r="BA52"/>
  <c r="B37" i="17"/>
  <c r="J52" i="15"/>
  <c r="K52"/>
  <c r="J172"/>
  <c r="K172"/>
  <c r="I172"/>
  <c r="C175"/>
  <c r="B175"/>
  <c r="G175"/>
  <c r="J53"/>
  <c r="K53"/>
  <c r="I53"/>
  <c r="BA53"/>
  <c r="B38" i="17"/>
  <c r="C117" i="15"/>
  <c r="B117"/>
  <c r="G117"/>
  <c r="A118"/>
  <c r="E173"/>
  <c r="E54"/>
  <c r="AR114"/>
  <c r="K54"/>
  <c r="I54"/>
  <c r="BA54"/>
  <c r="B39" i="17"/>
  <c r="J54" i="15"/>
  <c r="D175"/>
  <c r="H175"/>
  <c r="D56"/>
  <c r="H56"/>
  <c r="AC56"/>
  <c r="J115"/>
  <c r="K115"/>
  <c r="I115"/>
  <c r="A177"/>
  <c r="B57"/>
  <c r="G57"/>
  <c r="S57"/>
  <c r="A58"/>
  <c r="AM55"/>
  <c r="B176"/>
  <c r="G176"/>
  <c r="AR53"/>
  <c r="J174"/>
  <c r="K174"/>
  <c r="I174"/>
  <c r="D117"/>
  <c r="H117"/>
  <c r="BA115"/>
  <c r="B90" i="17"/>
  <c r="I173" i="15"/>
  <c r="BA173"/>
  <c r="B138" i="17"/>
  <c r="J173" i="15"/>
  <c r="K173"/>
  <c r="A119"/>
  <c r="C118"/>
  <c r="B118"/>
  <c r="G118"/>
  <c r="AR52"/>
  <c r="I55"/>
  <c r="BA55"/>
  <c r="B40" i="17"/>
  <c r="J55" i="15"/>
  <c r="K55"/>
  <c r="D116"/>
  <c r="H116"/>
  <c r="BA174"/>
  <c r="B139" i="17"/>
  <c r="AR55" i="15"/>
  <c r="D118"/>
  <c r="H118"/>
  <c r="E118"/>
  <c r="E116"/>
  <c r="C176"/>
  <c r="C57"/>
  <c r="E175"/>
  <c r="B119"/>
  <c r="G119"/>
  <c r="A120"/>
  <c r="AR115"/>
  <c r="B177"/>
  <c r="G177"/>
  <c r="A178"/>
  <c r="A59"/>
  <c r="B58"/>
  <c r="G58"/>
  <c r="S58"/>
  <c r="AR54"/>
  <c r="E117"/>
  <c r="AM56"/>
  <c r="E56"/>
  <c r="D176"/>
  <c r="H176"/>
  <c r="B178"/>
  <c r="G178"/>
  <c r="B120"/>
  <c r="G120"/>
  <c r="C120"/>
  <c r="A121"/>
  <c r="D57"/>
  <c r="H57"/>
  <c r="AC57"/>
  <c r="I175"/>
  <c r="BA175"/>
  <c r="B140" i="17"/>
  <c r="K175" i="15"/>
  <c r="J175"/>
  <c r="BA118"/>
  <c r="J56"/>
  <c r="I56"/>
  <c r="BA56"/>
  <c r="B41" i="17"/>
  <c r="K56" i="15"/>
  <c r="J117"/>
  <c r="I117"/>
  <c r="BA117"/>
  <c r="B92" i="17"/>
  <c r="K117" i="15"/>
  <c r="A60"/>
  <c r="C59"/>
  <c r="A179"/>
  <c r="B59"/>
  <c r="G59"/>
  <c r="S59"/>
  <c r="K116"/>
  <c r="J116"/>
  <c r="I116"/>
  <c r="BA116"/>
  <c r="B91" i="17"/>
  <c r="I118" i="15"/>
  <c r="K118"/>
  <c r="J118"/>
  <c r="C58"/>
  <c r="C177"/>
  <c r="C119"/>
  <c r="E119"/>
  <c r="D119"/>
  <c r="H119"/>
  <c r="D120"/>
  <c r="H120"/>
  <c r="E120"/>
  <c r="D58"/>
  <c r="H58"/>
  <c r="AC58"/>
  <c r="AR116"/>
  <c r="C179"/>
  <c r="B179"/>
  <c r="G179"/>
  <c r="C121"/>
  <c r="B121"/>
  <c r="G121"/>
  <c r="A122"/>
  <c r="AR56"/>
  <c r="AM57"/>
  <c r="C178"/>
  <c r="D59"/>
  <c r="H59"/>
  <c r="AC59"/>
  <c r="E59"/>
  <c r="AR118"/>
  <c r="AR117"/>
  <c r="D177"/>
  <c r="H177"/>
  <c r="A180"/>
  <c r="A61"/>
  <c r="B60"/>
  <c r="G60"/>
  <c r="S60"/>
  <c r="E57"/>
  <c r="E176"/>
  <c r="A181"/>
  <c r="B61"/>
  <c r="G61"/>
  <c r="S61"/>
  <c r="A62"/>
  <c r="I59"/>
  <c r="K59"/>
  <c r="J59"/>
  <c r="D178"/>
  <c r="H178"/>
  <c r="A123"/>
  <c r="C122"/>
  <c r="B122"/>
  <c r="G122"/>
  <c r="D179"/>
  <c r="H179"/>
  <c r="E179"/>
  <c r="J119"/>
  <c r="K119"/>
  <c r="I119"/>
  <c r="D121"/>
  <c r="H121"/>
  <c r="AM58"/>
  <c r="BA119"/>
  <c r="K57"/>
  <c r="I57"/>
  <c r="BA57"/>
  <c r="B42" i="17"/>
  <c r="J57" i="15"/>
  <c r="J176"/>
  <c r="K176"/>
  <c r="I176"/>
  <c r="BA176"/>
  <c r="B141" i="17"/>
  <c r="B180" i="15"/>
  <c r="G180"/>
  <c r="BA59"/>
  <c r="K120"/>
  <c r="J120"/>
  <c r="I120"/>
  <c r="BA120"/>
  <c r="E58"/>
  <c r="C60"/>
  <c r="E177"/>
  <c r="AM59"/>
  <c r="AR120"/>
  <c r="I177"/>
  <c r="BA177"/>
  <c r="B142" i="17"/>
  <c r="J177" i="15"/>
  <c r="K177"/>
  <c r="AR57"/>
  <c r="AR59"/>
  <c r="D60"/>
  <c r="H60"/>
  <c r="AC60"/>
  <c r="B181"/>
  <c r="G181"/>
  <c r="BA179"/>
  <c r="I179"/>
  <c r="K179"/>
  <c r="J179"/>
  <c r="C123"/>
  <c r="A124"/>
  <c r="B123"/>
  <c r="G123"/>
  <c r="D122"/>
  <c r="H122"/>
  <c r="E122"/>
  <c r="A182"/>
  <c r="B62"/>
  <c r="G62"/>
  <c r="S62"/>
  <c r="A63"/>
  <c r="J58"/>
  <c r="K58"/>
  <c r="I58"/>
  <c r="BA58"/>
  <c r="AR119"/>
  <c r="E121"/>
  <c r="C180"/>
  <c r="E178"/>
  <c r="C61"/>
  <c r="A64"/>
  <c r="A183"/>
  <c r="B63"/>
  <c r="G63"/>
  <c r="S63"/>
  <c r="I122"/>
  <c r="BA122"/>
  <c r="K122"/>
  <c r="J122"/>
  <c r="AM60"/>
  <c r="D180"/>
  <c r="H180"/>
  <c r="AR58"/>
  <c r="C181"/>
  <c r="E60"/>
  <c r="J178"/>
  <c r="K178"/>
  <c r="I178"/>
  <c r="BA178"/>
  <c r="E61"/>
  <c r="D61"/>
  <c r="H61"/>
  <c r="AC61"/>
  <c r="B182"/>
  <c r="G182"/>
  <c r="E123"/>
  <c r="D123"/>
  <c r="H123"/>
  <c r="J121"/>
  <c r="I121"/>
  <c r="BA121"/>
  <c r="K121"/>
  <c r="B124"/>
  <c r="G124"/>
  <c r="C124"/>
  <c r="A125"/>
  <c r="C62"/>
  <c r="AR122"/>
  <c r="A184"/>
  <c r="B64"/>
  <c r="G64"/>
  <c r="S64"/>
  <c r="A65"/>
  <c r="C125"/>
  <c r="B125"/>
  <c r="G125"/>
  <c r="A126"/>
  <c r="AR121"/>
  <c r="D181"/>
  <c r="H181"/>
  <c r="B183"/>
  <c r="G183"/>
  <c r="J123"/>
  <c r="K123"/>
  <c r="I123"/>
  <c r="K61"/>
  <c r="I61"/>
  <c r="J61"/>
  <c r="J60"/>
  <c r="K60"/>
  <c r="I60"/>
  <c r="BA60"/>
  <c r="C182"/>
  <c r="D124"/>
  <c r="H124"/>
  <c r="E124"/>
  <c r="E62"/>
  <c r="D62"/>
  <c r="H62"/>
  <c r="AC62"/>
  <c r="BA123"/>
  <c r="B93" i="17"/>
  <c r="BA61" i="15"/>
  <c r="AM61"/>
  <c r="E180"/>
  <c r="C63"/>
  <c r="J180"/>
  <c r="K180"/>
  <c r="I180"/>
  <c r="BA180"/>
  <c r="D125"/>
  <c r="H125"/>
  <c r="E125"/>
  <c r="B184"/>
  <c r="G184"/>
  <c r="D63"/>
  <c r="H63"/>
  <c r="AC63"/>
  <c r="E63"/>
  <c r="AR60"/>
  <c r="A127"/>
  <c r="C126"/>
  <c r="B126"/>
  <c r="G126"/>
  <c r="E181"/>
  <c r="C64"/>
  <c r="AR61"/>
  <c r="I62"/>
  <c r="J62"/>
  <c r="K62"/>
  <c r="E182"/>
  <c r="D182"/>
  <c r="H182"/>
  <c r="AM62"/>
  <c r="BA62"/>
  <c r="AR123"/>
  <c r="K124"/>
  <c r="J124"/>
  <c r="I124"/>
  <c r="BA124"/>
  <c r="B94" i="17"/>
  <c r="A185" i="15"/>
  <c r="B65"/>
  <c r="G65"/>
  <c r="S65"/>
  <c r="A66"/>
  <c r="C183"/>
  <c r="AR124"/>
  <c r="A186"/>
  <c r="B66"/>
  <c r="G66"/>
  <c r="S66"/>
  <c r="A67"/>
  <c r="D64"/>
  <c r="H64"/>
  <c r="AC64"/>
  <c r="D126"/>
  <c r="H126"/>
  <c r="I63"/>
  <c r="J63"/>
  <c r="K63"/>
  <c r="J125"/>
  <c r="I125"/>
  <c r="K125"/>
  <c r="C185"/>
  <c r="B185"/>
  <c r="G185"/>
  <c r="D183"/>
  <c r="H183"/>
  <c r="C184"/>
  <c r="AR62"/>
  <c r="J182"/>
  <c r="K182"/>
  <c r="I182"/>
  <c r="BA182"/>
  <c r="I181"/>
  <c r="BA181"/>
  <c r="J181"/>
  <c r="K181"/>
  <c r="A128"/>
  <c r="B127"/>
  <c r="G127"/>
  <c r="AM63"/>
  <c r="BA63"/>
  <c r="B43" i="17"/>
  <c r="BA125" i="15"/>
  <c r="B95" i="17"/>
  <c r="C65" i="15"/>
  <c r="D65"/>
  <c r="H65"/>
  <c r="AC65"/>
  <c r="E65"/>
  <c r="AR125"/>
  <c r="A187"/>
  <c r="C67"/>
  <c r="A68"/>
  <c r="B67"/>
  <c r="G67"/>
  <c r="S67"/>
  <c r="B186"/>
  <c r="G186"/>
  <c r="E126"/>
  <c r="C127"/>
  <c r="E183"/>
  <c r="E64"/>
  <c r="E184"/>
  <c r="D184"/>
  <c r="H184"/>
  <c r="D185"/>
  <c r="H185"/>
  <c r="E185"/>
  <c r="AR63"/>
  <c r="B128"/>
  <c r="G128"/>
  <c r="A129"/>
  <c r="AM64"/>
  <c r="C66"/>
  <c r="K65"/>
  <c r="I65"/>
  <c r="BA65"/>
  <c r="B45" i="17"/>
  <c r="J65" i="15"/>
  <c r="D67"/>
  <c r="H67"/>
  <c r="AC67"/>
  <c r="E67"/>
  <c r="D66"/>
  <c r="H66"/>
  <c r="AC66"/>
  <c r="I185"/>
  <c r="J185"/>
  <c r="K185"/>
  <c r="J64"/>
  <c r="I64"/>
  <c r="BA64"/>
  <c r="B44" i="17"/>
  <c r="K64" i="15"/>
  <c r="I126"/>
  <c r="BA126"/>
  <c r="B96" i="17"/>
  <c r="K126" i="15"/>
  <c r="J126"/>
  <c r="AM65"/>
  <c r="C128"/>
  <c r="C186"/>
  <c r="J184"/>
  <c r="K184"/>
  <c r="I184"/>
  <c r="BA184"/>
  <c r="B144" i="17"/>
  <c r="E127" i="15"/>
  <c r="D127"/>
  <c r="B187"/>
  <c r="G187"/>
  <c r="C129"/>
  <c r="B129"/>
  <c r="G129"/>
  <c r="A130"/>
  <c r="I183"/>
  <c r="BA183"/>
  <c r="B143" i="17"/>
  <c r="K183" i="15"/>
  <c r="J183"/>
  <c r="A188"/>
  <c r="A69"/>
  <c r="B68"/>
  <c r="G68"/>
  <c r="S68"/>
  <c r="BA185"/>
  <c r="B145" i="17"/>
  <c r="AR65" i="15"/>
  <c r="E186"/>
  <c r="D186"/>
  <c r="H186"/>
  <c r="AR126"/>
  <c r="AM66"/>
  <c r="E66"/>
  <c r="A189"/>
  <c r="B69"/>
  <c r="G69"/>
  <c r="S69"/>
  <c r="A70"/>
  <c r="C69"/>
  <c r="I67"/>
  <c r="BA67"/>
  <c r="B47" i="17"/>
  <c r="C7" i="2"/>
  <c r="C39"/>
  <c r="C6" i="5"/>
  <c r="K67" i="15"/>
  <c r="J67"/>
  <c r="D129"/>
  <c r="H129"/>
  <c r="E129"/>
  <c r="J127"/>
  <c r="K127"/>
  <c r="I127"/>
  <c r="B188"/>
  <c r="G188"/>
  <c r="A131"/>
  <c r="B130"/>
  <c r="G130"/>
  <c r="D128"/>
  <c r="H128"/>
  <c r="AR64"/>
  <c r="AM67"/>
  <c r="C68"/>
  <c r="C187"/>
  <c r="AR67"/>
  <c r="C189"/>
  <c r="B189"/>
  <c r="G189"/>
  <c r="D68"/>
  <c r="H68"/>
  <c r="AC68"/>
  <c r="E68"/>
  <c r="BA129"/>
  <c r="B99" i="17"/>
  <c r="A190" i="15"/>
  <c r="B70"/>
  <c r="G70"/>
  <c r="S70"/>
  <c r="A71"/>
  <c r="C188"/>
  <c r="C130"/>
  <c r="D187"/>
  <c r="H187"/>
  <c r="J129"/>
  <c r="I129"/>
  <c r="K129"/>
  <c r="E69"/>
  <c r="D69"/>
  <c r="H69"/>
  <c r="AC69"/>
  <c r="K66"/>
  <c r="J66"/>
  <c r="I66"/>
  <c r="BA66"/>
  <c r="B46" i="17"/>
  <c r="AR127" i="15"/>
  <c r="J186"/>
  <c r="K186"/>
  <c r="I186"/>
  <c r="BA186"/>
  <c r="B146" i="17"/>
  <c r="A132" i="15"/>
  <c r="B131"/>
  <c r="G131"/>
  <c r="E128"/>
  <c r="D50" i="7"/>
  <c r="K128" i="15"/>
  <c r="J128"/>
  <c r="I128"/>
  <c r="BA128"/>
  <c r="B98" i="17"/>
  <c r="D130" i="15"/>
  <c r="H130"/>
  <c r="AR66"/>
  <c r="J69"/>
  <c r="K69"/>
  <c r="I69"/>
  <c r="D188"/>
  <c r="H188"/>
  <c r="B190"/>
  <c r="G190"/>
  <c r="I68"/>
  <c r="J68"/>
  <c r="K68"/>
  <c r="C70"/>
  <c r="AR129"/>
  <c r="D189"/>
  <c r="H189"/>
  <c r="E189"/>
  <c r="C132"/>
  <c r="A133"/>
  <c r="B132"/>
  <c r="G132"/>
  <c r="BA69"/>
  <c r="B49" i="17"/>
  <c r="AM69" i="15"/>
  <c r="A191"/>
  <c r="A72"/>
  <c r="B71"/>
  <c r="G71"/>
  <c r="S71"/>
  <c r="AM68"/>
  <c r="BA68"/>
  <c r="B48" i="17"/>
  <c r="C131" i="15"/>
  <c r="E187"/>
  <c r="B9" i="3"/>
  <c r="B10"/>
  <c r="B11"/>
  <c r="B12"/>
  <c r="B13"/>
  <c r="B14"/>
  <c r="B15"/>
  <c r="B16"/>
  <c r="B17"/>
  <c r="B18"/>
  <c r="B19"/>
  <c r="B20"/>
  <c r="B21"/>
  <c r="B22"/>
  <c r="B23"/>
  <c r="B24"/>
  <c r="B25"/>
  <c r="B26"/>
  <c r="B27"/>
  <c r="B28"/>
  <c r="B29"/>
  <c r="B30"/>
  <c r="B31"/>
  <c r="B32"/>
  <c r="B33"/>
  <c r="B34"/>
  <c r="B35"/>
  <c r="B36"/>
  <c r="B37"/>
  <c r="B38"/>
  <c r="B39"/>
  <c r="B40"/>
  <c r="B41"/>
  <c r="B42"/>
  <c r="B43"/>
  <c r="B8"/>
  <c r="A35"/>
  <c r="A36"/>
  <c r="A37"/>
  <c r="A38"/>
  <c r="A39"/>
  <c r="A40"/>
  <c r="A41"/>
  <c r="A42"/>
  <c r="A43"/>
  <c r="A44"/>
  <c r="A11"/>
  <c r="A12"/>
  <c r="A13"/>
  <c r="A17"/>
  <c r="A18"/>
  <c r="A19"/>
  <c r="A20"/>
  <c r="A21"/>
  <c r="A22"/>
  <c r="A23"/>
  <c r="A24"/>
  <c r="A25"/>
  <c r="A26"/>
  <c r="A27"/>
  <c r="A28"/>
  <c r="A29"/>
  <c r="A30"/>
  <c r="A31"/>
  <c r="A32"/>
  <c r="A33"/>
  <c r="A34"/>
  <c r="A8"/>
  <c r="A65" i="2"/>
  <c r="A64"/>
  <c r="A63"/>
  <c r="A62"/>
  <c r="A61"/>
  <c r="A60"/>
  <c r="A59"/>
  <c r="A58"/>
  <c r="A57"/>
  <c r="B6" i="5"/>
  <c r="D132" i="15"/>
  <c r="AR128"/>
  <c r="E131"/>
  <c r="D131"/>
  <c r="H131"/>
  <c r="C191"/>
  <c r="B191"/>
  <c r="G191"/>
  <c r="AR69"/>
  <c r="I187"/>
  <c r="BA187"/>
  <c r="B147" i="17"/>
  <c r="C13" i="2"/>
  <c r="C45"/>
  <c r="C12" i="5"/>
  <c r="K187" i="15"/>
  <c r="J187"/>
  <c r="C190"/>
  <c r="C71"/>
  <c r="E188"/>
  <c r="E130"/>
  <c r="A192"/>
  <c r="A73"/>
  <c r="B72"/>
  <c r="G72"/>
  <c r="S72"/>
  <c r="I189"/>
  <c r="BA189"/>
  <c r="B149" i="17"/>
  <c r="J189" i="15"/>
  <c r="K189"/>
  <c r="D70"/>
  <c r="H70"/>
  <c r="AC70"/>
  <c r="AR68"/>
  <c r="A134"/>
  <c r="B133"/>
  <c r="G133"/>
  <c r="A48" i="2"/>
  <c r="A49"/>
  <c r="A50"/>
  <c r="A51"/>
  <c r="A52"/>
  <c r="A53"/>
  <c r="A54"/>
  <c r="A55"/>
  <c r="A56"/>
  <c r="A42"/>
  <c r="A43"/>
  <c r="A44"/>
  <c r="A39"/>
  <c r="A10"/>
  <c r="A11"/>
  <c r="A12"/>
  <c r="A16"/>
  <c r="A17"/>
  <c r="A18"/>
  <c r="A19"/>
  <c r="A20"/>
  <c r="A21"/>
  <c r="A22"/>
  <c r="A23"/>
  <c r="A24"/>
  <c r="A25"/>
  <c r="A26"/>
  <c r="A27"/>
  <c r="A28"/>
  <c r="A29"/>
  <c r="A30"/>
  <c r="A31"/>
  <c r="A32"/>
  <c r="A33"/>
  <c r="A7"/>
  <c r="A45"/>
  <c r="A13"/>
  <c r="B12" i="5"/>
  <c r="A14" i="3"/>
  <c r="B192" i="15"/>
  <c r="G192"/>
  <c r="D71"/>
  <c r="H71"/>
  <c r="AC71"/>
  <c r="E71"/>
  <c r="D191"/>
  <c r="H191"/>
  <c r="A193"/>
  <c r="B73"/>
  <c r="G73"/>
  <c r="S73"/>
  <c r="A74"/>
  <c r="E132"/>
  <c r="E70"/>
  <c r="C133"/>
  <c r="J188"/>
  <c r="K188"/>
  <c r="I188"/>
  <c r="BA188"/>
  <c r="B148" i="17"/>
  <c r="J131" i="15"/>
  <c r="K131"/>
  <c r="I131"/>
  <c r="BA131"/>
  <c r="B101" i="17"/>
  <c r="B134" i="15"/>
  <c r="G134"/>
  <c r="A135"/>
  <c r="C134"/>
  <c r="AM70"/>
  <c r="I130"/>
  <c r="BA130"/>
  <c r="B100" i="17"/>
  <c r="K130" i="15"/>
  <c r="J130"/>
  <c r="E190"/>
  <c r="D190"/>
  <c r="H190"/>
  <c r="C72"/>
  <c r="D168" i="7"/>
  <c r="A167" s="1"/>
  <c r="D129"/>
  <c r="X128"/>
  <c r="W128"/>
  <c r="V128"/>
  <c r="U128"/>
  <c r="T128"/>
  <c r="S128"/>
  <c r="R128"/>
  <c r="Q128"/>
  <c r="P128"/>
  <c r="O128"/>
  <c r="N128"/>
  <c r="M128"/>
  <c r="L128"/>
  <c r="K128"/>
  <c r="J128"/>
  <c r="I128"/>
  <c r="H128"/>
  <c r="G128"/>
  <c r="F128"/>
  <c r="E128"/>
  <c r="D128"/>
  <c r="X91"/>
  <c r="W91"/>
  <c r="V91"/>
  <c r="U91"/>
  <c r="T91"/>
  <c r="S91"/>
  <c r="R91"/>
  <c r="Q91"/>
  <c r="P91"/>
  <c r="O91"/>
  <c r="N91"/>
  <c r="M91"/>
  <c r="L91"/>
  <c r="K91"/>
  <c r="J91"/>
  <c r="I91"/>
  <c r="H91"/>
  <c r="G91"/>
  <c r="F91"/>
  <c r="E91"/>
  <c r="X72"/>
  <c r="W72"/>
  <c r="V72"/>
  <c r="U72"/>
  <c r="T72"/>
  <c r="S72"/>
  <c r="R72"/>
  <c r="Q72"/>
  <c r="P72"/>
  <c r="O72"/>
  <c r="N72"/>
  <c r="M72"/>
  <c r="L72"/>
  <c r="K72"/>
  <c r="J72"/>
  <c r="I72"/>
  <c r="H72"/>
  <c r="G72"/>
  <c r="F72"/>
  <c r="E72"/>
  <c r="D46"/>
  <c r="D45"/>
  <c r="D44"/>
  <c r="D43"/>
  <c r="D42"/>
  <c r="D36"/>
  <c r="D35"/>
  <c r="D34"/>
  <c r="D33"/>
  <c r="D26"/>
  <c r="D63"/>
  <c r="D25"/>
  <c r="D62"/>
  <c r="D24"/>
  <c r="D61"/>
  <c r="D23"/>
  <c r="D60"/>
  <c r="X12"/>
  <c r="W12"/>
  <c r="V12"/>
  <c r="U12"/>
  <c r="T12"/>
  <c r="S12"/>
  <c r="R12"/>
  <c r="Q12"/>
  <c r="P12"/>
  <c r="O12"/>
  <c r="N12"/>
  <c r="M12"/>
  <c r="L12"/>
  <c r="K12"/>
  <c r="J12"/>
  <c r="I12"/>
  <c r="H12"/>
  <c r="G12"/>
  <c r="F12"/>
  <c r="C147" i="6"/>
  <c r="C146"/>
  <c r="C145"/>
  <c r="C144"/>
  <c r="C99"/>
  <c r="X98"/>
  <c r="W98"/>
  <c r="V98"/>
  <c r="U98"/>
  <c r="T98"/>
  <c r="S98"/>
  <c r="R98"/>
  <c r="Q98"/>
  <c r="P98"/>
  <c r="O98"/>
  <c r="N98"/>
  <c r="M98"/>
  <c r="L98"/>
  <c r="K98"/>
  <c r="J98"/>
  <c r="I98"/>
  <c r="H98"/>
  <c r="G98"/>
  <c r="F98"/>
  <c r="E98"/>
  <c r="I4" i="25"/>
  <c r="X42" i="6"/>
  <c r="X61"/>
  <c r="W42"/>
  <c r="W61"/>
  <c r="V42"/>
  <c r="V61"/>
  <c r="U42"/>
  <c r="U61"/>
  <c r="T42"/>
  <c r="T61"/>
  <c r="S42"/>
  <c r="S61"/>
  <c r="R42"/>
  <c r="R61"/>
  <c r="Q42"/>
  <c r="Q61"/>
  <c r="P42"/>
  <c r="P61"/>
  <c r="O42"/>
  <c r="O61"/>
  <c r="N42"/>
  <c r="N61"/>
  <c r="M42"/>
  <c r="M61"/>
  <c r="L42"/>
  <c r="L61"/>
  <c r="K42"/>
  <c r="K61"/>
  <c r="J42"/>
  <c r="J61"/>
  <c r="I42"/>
  <c r="I61"/>
  <c r="H42"/>
  <c r="H61"/>
  <c r="G42"/>
  <c r="G61"/>
  <c r="F42"/>
  <c r="F61"/>
  <c r="E42"/>
  <c r="E61"/>
  <c r="C41"/>
  <c r="C36"/>
  <c r="C32"/>
  <c r="A31" s="1"/>
  <c r="C25"/>
  <c r="C24"/>
  <c r="C23"/>
  <c r="C22"/>
  <c r="X12"/>
  <c r="W12"/>
  <c r="V12"/>
  <c r="U12"/>
  <c r="T12"/>
  <c r="S12"/>
  <c r="R12"/>
  <c r="Q12"/>
  <c r="P12"/>
  <c r="O12"/>
  <c r="N12"/>
  <c r="M12"/>
  <c r="L12"/>
  <c r="K12"/>
  <c r="J12"/>
  <c r="I12"/>
  <c r="H12"/>
  <c r="G12"/>
  <c r="F12"/>
  <c r="E12"/>
  <c r="A11"/>
  <c r="AR131" i="15"/>
  <c r="E134"/>
  <c r="D134"/>
  <c r="H134"/>
  <c r="I71"/>
  <c r="BA71"/>
  <c r="B51" i="17"/>
  <c r="K71" i="15"/>
  <c r="J71"/>
  <c r="D133"/>
  <c r="H133"/>
  <c r="E133"/>
  <c r="A194"/>
  <c r="B74"/>
  <c r="G74"/>
  <c r="S74"/>
  <c r="C74"/>
  <c r="A75"/>
  <c r="B135"/>
  <c r="G135"/>
  <c r="C135"/>
  <c r="A136"/>
  <c r="I132"/>
  <c r="K132"/>
  <c r="J132"/>
  <c r="C193"/>
  <c r="B193"/>
  <c r="G193"/>
  <c r="AM71"/>
  <c r="J190"/>
  <c r="K190"/>
  <c r="I190"/>
  <c r="BA190"/>
  <c r="B150" i="17"/>
  <c r="K70" i="15"/>
  <c r="J70"/>
  <c r="I70"/>
  <c r="BA70"/>
  <c r="B50" i="17"/>
  <c r="AR130" i="15"/>
  <c r="D72"/>
  <c r="H72"/>
  <c r="AC72"/>
  <c r="C73"/>
  <c r="E191"/>
  <c r="C192"/>
  <c r="D52" i="7"/>
  <c r="D51"/>
  <c r="D54"/>
  <c r="D53"/>
  <c r="D59"/>
  <c r="C33" i="6"/>
  <c r="H4" i="25"/>
  <c r="G4"/>
  <c r="H12"/>
  <c r="G12"/>
  <c r="H9"/>
  <c r="G9"/>
  <c r="F62" i="6"/>
  <c r="R62"/>
  <c r="N62"/>
  <c r="H6" i="25"/>
  <c r="G6"/>
  <c r="M62" i="6"/>
  <c r="V62"/>
  <c r="C34"/>
  <c r="J62"/>
  <c r="U62"/>
  <c r="I5" i="25"/>
  <c r="I17"/>
  <c r="H15"/>
  <c r="G15"/>
  <c r="H18"/>
  <c r="G18"/>
  <c r="H21"/>
  <c r="G21"/>
  <c r="I16"/>
  <c r="H62" i="6"/>
  <c r="P62"/>
  <c r="T62"/>
  <c r="K62"/>
  <c r="S62"/>
  <c r="A21"/>
  <c r="I62"/>
  <c r="Q62"/>
  <c r="L62"/>
  <c r="X62"/>
  <c r="G62"/>
  <c r="O62"/>
  <c r="W62"/>
  <c r="AR71" i="15"/>
  <c r="D193"/>
  <c r="H193"/>
  <c r="C136"/>
  <c r="A137"/>
  <c r="B136"/>
  <c r="G136"/>
  <c r="A195"/>
  <c r="A76"/>
  <c r="B75"/>
  <c r="G75"/>
  <c r="S75"/>
  <c r="I133"/>
  <c r="J133"/>
  <c r="K133"/>
  <c r="AM72"/>
  <c r="AR132"/>
  <c r="E73"/>
  <c r="D73"/>
  <c r="H73"/>
  <c r="AC73"/>
  <c r="E135"/>
  <c r="D135"/>
  <c r="H135"/>
  <c r="D74"/>
  <c r="H74"/>
  <c r="AC74"/>
  <c r="E74"/>
  <c r="BA133"/>
  <c r="B103" i="17"/>
  <c r="I191" i="15"/>
  <c r="BA191"/>
  <c r="B151" i="17"/>
  <c r="K191" i="15"/>
  <c r="J191"/>
  <c r="D192"/>
  <c r="H192"/>
  <c r="B194"/>
  <c r="G194"/>
  <c r="J134"/>
  <c r="K134"/>
  <c r="I134"/>
  <c r="AR70"/>
  <c r="BA134"/>
  <c r="B104" i="17"/>
  <c r="E72" i="15"/>
  <c r="H14" i="25"/>
  <c r="G14"/>
  <c r="H13"/>
  <c r="G13"/>
  <c r="H10"/>
  <c r="G10"/>
  <c r="H5"/>
  <c r="G5"/>
  <c r="H17"/>
  <c r="G17"/>
  <c r="H22"/>
  <c r="G22"/>
  <c r="H19"/>
  <c r="G19"/>
  <c r="H25"/>
  <c r="G25"/>
  <c r="AR134" i="15"/>
  <c r="K135"/>
  <c r="J135"/>
  <c r="I135"/>
  <c r="J73"/>
  <c r="K73"/>
  <c r="I73"/>
  <c r="C195"/>
  <c r="B195"/>
  <c r="G195"/>
  <c r="D136"/>
  <c r="H136"/>
  <c r="E136"/>
  <c r="I72"/>
  <c r="BA72"/>
  <c r="B52" i="17"/>
  <c r="J72" i="15"/>
  <c r="K72"/>
  <c r="BA135"/>
  <c r="B105" i="17"/>
  <c r="BA73" i="15"/>
  <c r="B53" i="17"/>
  <c r="AM73" i="15"/>
  <c r="A196"/>
  <c r="A77"/>
  <c r="B76"/>
  <c r="G76"/>
  <c r="S76"/>
  <c r="B137"/>
  <c r="G137"/>
  <c r="C137"/>
  <c r="AR133"/>
  <c r="AM74"/>
  <c r="C194"/>
  <c r="K74"/>
  <c r="J74"/>
  <c r="I74"/>
  <c r="BA74"/>
  <c r="B54" i="17"/>
  <c r="E192" i="15"/>
  <c r="C75"/>
  <c r="E193"/>
  <c r="H8" i="25"/>
  <c r="G8"/>
  <c r="H23"/>
  <c r="G23"/>
  <c r="H26"/>
  <c r="G26"/>
  <c r="C8" i="2"/>
  <c r="C9"/>
  <c r="AR74" i="15"/>
  <c r="I193"/>
  <c r="BA193"/>
  <c r="B153" i="17"/>
  <c r="J193" i="15"/>
  <c r="K193"/>
  <c r="D137"/>
  <c r="A197"/>
  <c r="B77"/>
  <c r="G77"/>
  <c r="S77"/>
  <c r="C77"/>
  <c r="E194"/>
  <c r="D194"/>
  <c r="H194"/>
  <c r="AR73"/>
  <c r="AR72"/>
  <c r="D195"/>
  <c r="H195"/>
  <c r="E195"/>
  <c r="J192"/>
  <c r="K192"/>
  <c r="I192"/>
  <c r="BA192"/>
  <c r="B152" i="17"/>
  <c r="C14" i="2"/>
  <c r="D75" i="15"/>
  <c r="H75"/>
  <c r="AC75"/>
  <c r="B196"/>
  <c r="G196"/>
  <c r="AR135"/>
  <c r="I136"/>
  <c r="BA136"/>
  <c r="B106" i="17"/>
  <c r="J136" i="15"/>
  <c r="K136"/>
  <c r="C76"/>
  <c r="C40" i="2"/>
  <c r="A8"/>
  <c r="C41"/>
  <c r="A9"/>
  <c r="C46"/>
  <c r="A14"/>
  <c r="AR136" i="15"/>
  <c r="AM75"/>
  <c r="I195"/>
  <c r="K195"/>
  <c r="J195"/>
  <c r="D76"/>
  <c r="H76"/>
  <c r="AC76"/>
  <c r="E75"/>
  <c r="C196"/>
  <c r="BA195"/>
  <c r="B155" i="17"/>
  <c r="E77" i="15"/>
  <c r="D77"/>
  <c r="H77"/>
  <c r="AC77"/>
  <c r="J194"/>
  <c r="K194"/>
  <c r="I194"/>
  <c r="B197"/>
  <c r="G197"/>
  <c r="E137"/>
  <c r="BA194"/>
  <c r="B154" i="17"/>
  <c r="C7" i="5"/>
  <c r="A40" i="2"/>
  <c r="C8" i="5"/>
  <c r="A41" i="2"/>
  <c r="C13" i="5"/>
  <c r="A46" i="2"/>
  <c r="AM76" i="15"/>
  <c r="E196"/>
  <c r="D196"/>
  <c r="H196"/>
  <c r="C197"/>
  <c r="I137"/>
  <c r="J137"/>
  <c r="K137"/>
  <c r="J77"/>
  <c r="K77"/>
  <c r="I77"/>
  <c r="E76"/>
  <c r="BA77"/>
  <c r="B57" i="17"/>
  <c r="I75" i="15"/>
  <c r="BA75"/>
  <c r="B55" i="17"/>
  <c r="K75" i="15"/>
  <c r="J75"/>
  <c r="AM77"/>
  <c r="B8" i="5"/>
  <c r="A10" i="3"/>
  <c r="B13" i="5"/>
  <c r="A15" i="3"/>
  <c r="B7" i="5"/>
  <c r="A9" i="3"/>
  <c r="AR137" i="15"/>
  <c r="J196"/>
  <c r="K196"/>
  <c r="I196"/>
  <c r="BA196"/>
  <c r="B156" i="17"/>
  <c r="AR77" i="15"/>
  <c r="I76"/>
  <c r="BA76"/>
  <c r="B56" i="17"/>
  <c r="J76" i="15"/>
  <c r="K76"/>
  <c r="AR75"/>
  <c r="D197"/>
  <c r="H197"/>
  <c r="E197"/>
  <c r="I197"/>
  <c r="BA197"/>
  <c r="B157" i="17"/>
  <c r="C15" i="2"/>
  <c r="J197" i="15"/>
  <c r="K197"/>
  <c r="AR76"/>
  <c r="C47" i="2"/>
  <c r="A15"/>
  <c r="J17" i="3"/>
  <c r="J8"/>
  <c r="J10"/>
  <c r="N10"/>
  <c r="N17"/>
  <c r="C14" i="5"/>
  <c r="A47" i="2"/>
  <c r="D8" i="3"/>
  <c r="D42"/>
  <c r="D41"/>
  <c r="N19"/>
  <c r="D15"/>
  <c r="N25"/>
  <c r="L19"/>
  <c r="D17"/>
  <c r="D10"/>
  <c r="D19"/>
  <c r="D9"/>
  <c r="J18"/>
  <c r="D20"/>
  <c r="N9"/>
  <c r="D13"/>
  <c r="L9"/>
  <c r="N18"/>
  <c r="J9"/>
  <c r="D11"/>
  <c r="L17"/>
  <c r="N8"/>
  <c r="J19"/>
  <c r="D18"/>
  <c r="L10"/>
  <c r="L18"/>
  <c r="L8"/>
  <c r="L25"/>
  <c r="J25"/>
  <c r="O25"/>
  <c r="L11"/>
  <c r="O11"/>
  <c r="O12"/>
  <c r="N38"/>
  <c r="J37"/>
  <c r="J28"/>
  <c r="J36"/>
  <c r="J27"/>
  <c r="D26"/>
  <c r="D35"/>
  <c r="N27"/>
  <c r="N36"/>
  <c r="N42"/>
  <c r="J35"/>
  <c r="J26"/>
  <c r="L27"/>
  <c r="L36"/>
  <c r="D37"/>
  <c r="D28"/>
  <c r="N20"/>
  <c r="O15"/>
  <c r="L12"/>
  <c r="O14"/>
  <c r="N13"/>
  <c r="J21"/>
  <c r="L26"/>
  <c r="L35"/>
  <c r="L28"/>
  <c r="L37"/>
  <c r="N28"/>
  <c r="N37"/>
  <c r="N26"/>
  <c r="N35"/>
  <c r="O24"/>
  <c r="N23"/>
  <c r="J12"/>
  <c r="L14"/>
  <c r="D36"/>
  <c r="D27"/>
  <c r="J24"/>
  <c r="D30"/>
  <c r="D29"/>
  <c r="D34"/>
  <c r="B14" i="5"/>
  <c r="A16" i="3"/>
  <c r="D32"/>
  <c r="O33"/>
  <c r="D33"/>
  <c r="N32"/>
  <c r="D31"/>
  <c r="D40"/>
  <c r="L39"/>
  <c r="L24"/>
  <c r="J22"/>
  <c r="N22"/>
  <c r="D21"/>
  <c r="L20"/>
  <c r="D24"/>
  <c r="D14"/>
  <c r="D38"/>
  <c r="D39"/>
  <c r="O23"/>
  <c r="L13"/>
  <c r="L41"/>
  <c r="J20"/>
  <c r="D23"/>
  <c r="L15"/>
  <c r="J14"/>
  <c r="L22"/>
  <c r="N15"/>
  <c r="D43"/>
  <c r="J11"/>
  <c r="L21"/>
  <c r="N16"/>
  <c r="O16"/>
  <c r="L16"/>
  <c r="J23"/>
  <c r="D25"/>
  <c r="D22"/>
  <c r="J15"/>
  <c r="J16"/>
  <c r="N24"/>
  <c r="J13"/>
  <c r="N21"/>
  <c r="O32"/>
  <c r="N12"/>
  <c r="L31"/>
  <c r="N40"/>
  <c r="N33"/>
  <c r="D16"/>
  <c r="L23"/>
  <c r="N14"/>
  <c r="N11"/>
  <c r="D12"/>
  <c r="O13"/>
  <c r="L40"/>
  <c r="N31"/>
  <c r="N41"/>
  <c r="N29"/>
  <c r="O42"/>
  <c r="O41"/>
  <c r="L30"/>
  <c r="L32"/>
  <c r="J31"/>
  <c r="J40"/>
  <c r="L42"/>
  <c r="L33"/>
  <c r="N34"/>
  <c r="N43"/>
  <c r="N30"/>
  <c r="N39"/>
  <c r="L43"/>
  <c r="L34"/>
  <c r="J41"/>
  <c r="J32"/>
  <c r="J29"/>
  <c r="J38"/>
  <c r="J34"/>
  <c r="J43"/>
  <c r="O34"/>
  <c r="O43"/>
  <c r="J30"/>
  <c r="J39"/>
  <c r="J42"/>
  <c r="J33"/>
  <c r="L38"/>
  <c r="L29"/>
  <c r="B20" i="10"/>
  <c r="B27" i="12"/>
  <c r="BD16" i="10" l="1"/>
  <c r="BD17" s="1"/>
  <c r="AY16"/>
  <c r="AY17" s="1"/>
  <c r="BC16"/>
  <c r="BC17" s="1"/>
  <c r="BE16"/>
  <c r="BE17" s="1"/>
  <c r="A130" i="9"/>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BB16" i="10"/>
  <c r="BB17" s="1"/>
  <c r="G3" i="25"/>
  <c r="G7"/>
  <c r="R14" i="12"/>
  <c r="R10"/>
  <c r="AB4"/>
  <c r="X4"/>
  <c r="T4"/>
  <c r="R18"/>
  <c r="R13"/>
  <c r="AE4"/>
  <c r="AA4"/>
  <c r="W4"/>
  <c r="R16"/>
  <c r="AD4"/>
  <c r="V4"/>
  <c r="R19"/>
  <c r="R12"/>
  <c r="Y4"/>
  <c r="R15"/>
  <c r="Z4"/>
  <c r="AC4"/>
  <c r="R11"/>
  <c r="U4"/>
  <c r="AT11" i="10"/>
  <c r="AT10"/>
  <c r="AT8"/>
  <c r="AT9"/>
  <c r="AT7"/>
  <c r="AT13"/>
  <c r="AT12"/>
  <c r="AT14"/>
  <c r="AV16" l="1"/>
  <c r="AV17" s="1"/>
  <c r="BG16"/>
  <c r="BG17" s="1"/>
  <c r="BA16"/>
  <c r="BA17" s="1"/>
  <c r="BF16"/>
  <c r="BF17" s="1"/>
  <c r="AX16"/>
  <c r="AX17" s="1"/>
  <c r="AW16"/>
  <c r="AW17" s="1"/>
  <c r="AZ16"/>
  <c r="AZ17" s="1"/>
  <c r="BB2"/>
  <c r="W14" i="12"/>
  <c r="Z12"/>
  <c r="BC11" i="10"/>
  <c r="BD12"/>
  <c r="AD12" i="12"/>
  <c r="BC7" i="10"/>
  <c r="AB18" i="12"/>
  <c r="BC2" i="10"/>
  <c r="AX9"/>
  <c r="BB7"/>
  <c r="AD5" i="12"/>
  <c r="AB14"/>
  <c r="BB8" i="10"/>
  <c r="BE11"/>
  <c r="X5" i="12"/>
  <c r="AE18"/>
  <c r="AB5"/>
  <c r="BE7" i="10"/>
  <c r="BB10"/>
  <c r="Y18" i="12"/>
  <c r="Z18"/>
  <c r="T5"/>
  <c r="AA14"/>
  <c r="AA10"/>
  <c r="BF12" i="10"/>
  <c r="X12" i="12"/>
  <c r="AA18"/>
  <c r="T14"/>
  <c r="AD10"/>
  <c r="AY10" i="10"/>
  <c r="U18" i="12"/>
  <c r="Y14"/>
  <c r="W12"/>
  <c r="BA9" i="10"/>
  <c r="Y12" i="12"/>
  <c r="BF11" i="10"/>
  <c r="BA7"/>
  <c r="AA12" i="12"/>
  <c r="W10"/>
  <c r="BD11" i="10"/>
  <c r="BD9"/>
  <c r="AX8"/>
  <c r="T12" i="12"/>
  <c r="BC12" i="10"/>
  <c r="Z14" i="12"/>
  <c r="BB11" i="10"/>
  <c r="AE14" i="12"/>
  <c r="AC18"/>
  <c r="AW12" i="10"/>
  <c r="T18" i="12"/>
  <c r="AY11" i="10"/>
  <c r="V10" i="12"/>
  <c r="AW10" i="10"/>
  <c r="BD2"/>
  <c r="AY9"/>
  <c r="BG11"/>
  <c r="V12" i="12"/>
  <c r="BB12" i="10"/>
  <c r="X18" i="12"/>
  <c r="BE12" i="10"/>
  <c r="BD10"/>
  <c r="BC10"/>
  <c r="AX2"/>
  <c r="Y5" i="12"/>
  <c r="AV12" i="10"/>
  <c r="W18" i="12"/>
  <c r="BE10" i="10"/>
  <c r="BF10"/>
  <c r="BF8"/>
  <c r="AC12" i="12"/>
  <c r="AE10"/>
  <c r="AV8" i="10"/>
  <c r="AE5" i="12"/>
  <c r="AD14"/>
  <c r="AY2" i="10"/>
  <c r="AY8"/>
  <c r="V14" i="12"/>
  <c r="BE2" i="10"/>
  <c r="Y10" i="12"/>
  <c r="T10"/>
  <c r="U14"/>
  <c r="AB10"/>
  <c r="AY7" i="10"/>
  <c r="BF9"/>
  <c r="AB12" i="12"/>
  <c r="BC9" i="10"/>
  <c r="BA8"/>
  <c r="AC14" i="12"/>
  <c r="BD7" i="10"/>
  <c r="AZ12"/>
  <c r="BC8"/>
  <c r="BF7"/>
  <c r="AC5" i="12"/>
  <c r="AV2" i="10"/>
  <c r="U12" i="12"/>
  <c r="AC10"/>
  <c r="Z5"/>
  <c r="V5"/>
  <c r="X10"/>
  <c r="BF2" i="10"/>
  <c r="Z10" i="12"/>
  <c r="AA5"/>
  <c r="BD8" i="10"/>
  <c r="U5" i="12"/>
  <c r="V18"/>
  <c r="AZ2" i="10"/>
  <c r="BB9"/>
  <c r="W5" i="12"/>
  <c r="AY12" i="10"/>
  <c r="X14" i="12"/>
  <c r="BE8" i="10"/>
  <c r="U10" i="12"/>
  <c r="AE12"/>
  <c r="AD18"/>
  <c r="BE9" i="10"/>
  <c r="BG7"/>
  <c r="BA2"/>
  <c r="AZ8"/>
  <c r="BG12"/>
  <c r="AW7"/>
  <c r="BI8" l="1"/>
  <c r="C6" i="19"/>
  <c r="C6" i="9"/>
  <c r="C6" i="20"/>
  <c r="J7" i="27"/>
  <c r="J7" i="26"/>
  <c r="J7" i="14"/>
  <c r="F4" i="27"/>
  <c r="F4" i="26"/>
  <c r="F4" i="14"/>
  <c r="I6" i="27"/>
  <c r="I6" i="26"/>
  <c r="I6" i="14"/>
  <c r="I5"/>
  <c r="I5" i="26"/>
  <c r="I5" i="27"/>
  <c r="J4" i="26"/>
  <c r="J4" i="14"/>
  <c r="J4" i="27"/>
  <c r="H6"/>
  <c r="H6" i="26"/>
  <c r="H6" i="14"/>
  <c r="K7" i="26"/>
  <c r="K7" i="27"/>
  <c r="K7" i="14"/>
  <c r="J5" i="26"/>
  <c r="J5" i="14"/>
  <c r="J5" i="27"/>
  <c r="G7"/>
  <c r="G7" i="26"/>
  <c r="G7" i="14"/>
  <c r="H5" i="26"/>
  <c r="H5" i="27"/>
  <c r="BI9" i="10"/>
  <c r="H5" i="14"/>
  <c r="K6" i="26"/>
  <c r="K6" i="14"/>
  <c r="K6" i="27"/>
  <c r="J6"/>
  <c r="J6" i="26"/>
  <c r="J6" i="14"/>
  <c r="F7" i="27"/>
  <c r="F7" i="14"/>
  <c r="F7" i="26"/>
  <c r="F6" i="14"/>
  <c r="F6" i="26"/>
  <c r="F6" i="27"/>
  <c r="G5" i="26"/>
  <c r="G5" i="27"/>
  <c r="G5" i="14"/>
  <c r="G4"/>
  <c r="G4" i="26"/>
  <c r="G4" i="27"/>
  <c r="I7" i="26"/>
  <c r="I7" i="14"/>
  <c r="I7" i="27"/>
  <c r="H7"/>
  <c r="H7" i="14"/>
  <c r="H7" i="26"/>
  <c r="H4"/>
  <c r="H4" i="14"/>
  <c r="BI7" i="10"/>
  <c r="H4" i="27"/>
  <c r="K4"/>
  <c r="K4" i="26"/>
  <c r="K4" i="14"/>
  <c r="F5" i="26"/>
  <c r="F5" i="27"/>
  <c r="F5" i="14"/>
  <c r="G6"/>
  <c r="G6" i="27"/>
  <c r="G6" i="26"/>
  <c r="I4" i="27"/>
  <c r="I4" i="14"/>
  <c r="I4" i="26"/>
  <c r="BA11" i="10"/>
  <c r="BG2"/>
  <c r="BG10"/>
  <c r="AX12"/>
  <c r="BG8"/>
  <c r="AW2"/>
  <c r="AV10"/>
  <c r="AZ11"/>
  <c r="AW8"/>
  <c r="AX7"/>
  <c r="AZ10"/>
  <c r="BA12"/>
  <c r="AZ7"/>
  <c r="AV7"/>
  <c r="AX10"/>
  <c r="AV9"/>
  <c r="AW9"/>
  <c r="BG9"/>
  <c r="BA10"/>
  <c r="AX11"/>
  <c r="AW11"/>
  <c r="AZ9"/>
  <c r="AV11"/>
  <c r="BI10" l="1"/>
  <c r="K5" i="14"/>
  <c r="K5" i="26"/>
  <c r="K5" i="27"/>
  <c r="BI12" i="10"/>
  <c r="D7" i="14" s="1"/>
  <c r="BI11" i="10"/>
  <c r="D6" i="26" s="1"/>
  <c r="BH11" i="10"/>
  <c r="C6" i="27" s="1"/>
  <c r="BH9" i="10"/>
  <c r="C5" i="14" s="1"/>
  <c r="C11" s="1"/>
  <c r="D4"/>
  <c r="D4" i="26"/>
  <c r="D4" i="27"/>
  <c r="D5" i="26"/>
  <c r="D5" i="14"/>
  <c r="D5" i="27"/>
  <c r="BH12" i="10"/>
  <c r="BH7"/>
  <c r="BH8"/>
  <c r="BH10"/>
  <c r="C6" i="26" l="1"/>
  <c r="B10" s="1"/>
  <c r="D7"/>
  <c r="D7" i="27"/>
  <c r="D6"/>
  <c r="C8" i="19"/>
  <c r="C6" i="14"/>
  <c r="B10" s="1"/>
  <c r="D6"/>
  <c r="C8" i="20"/>
  <c r="C8" i="9"/>
  <c r="AJ92" i="10" s="1"/>
  <c r="C5" i="26"/>
  <c r="C11" s="1"/>
  <c r="V28" i="21" s="1"/>
  <c r="C5" i="27"/>
  <c r="C11" s="1"/>
  <c r="V28" i="22" s="1"/>
  <c r="J11" i="14"/>
  <c r="AF69" i="15" s="1"/>
  <c r="K11" i="14"/>
  <c r="AF44" i="15" s="1"/>
  <c r="H11" i="14"/>
  <c r="AF31" i="15" s="1"/>
  <c r="V46"/>
  <c r="V28"/>
  <c r="V18"/>
  <c r="V26"/>
  <c r="V44"/>
  <c r="V29"/>
  <c r="V31"/>
  <c r="V30"/>
  <c r="V41"/>
  <c r="V24"/>
  <c r="V35"/>
  <c r="V20"/>
  <c r="V39"/>
  <c r="V25"/>
  <c r="V23"/>
  <c r="V22"/>
  <c r="V32"/>
  <c r="V36"/>
  <c r="V37"/>
  <c r="V19"/>
  <c r="V45"/>
  <c r="V47"/>
  <c r="V40"/>
  <c r="V43"/>
  <c r="V21"/>
  <c r="V38"/>
  <c r="V34"/>
  <c r="V42"/>
  <c r="V33"/>
  <c r="V27"/>
  <c r="C4" i="26"/>
  <c r="C4" i="27"/>
  <c r="C4" i="14"/>
  <c r="AJ34" i="10"/>
  <c r="AJ356"/>
  <c r="AJ157"/>
  <c r="AJ63"/>
  <c r="AJ429"/>
  <c r="AJ103"/>
  <c r="AJ237"/>
  <c r="AQ404"/>
  <c r="AI147"/>
  <c r="AQ373"/>
  <c r="AQ113"/>
  <c r="AQ207"/>
  <c r="AQ243"/>
  <c r="AI305"/>
  <c r="AR457"/>
  <c r="AR476"/>
  <c r="AR132"/>
  <c r="AI431"/>
  <c r="AQ172"/>
  <c r="AI400"/>
  <c r="AQ141"/>
  <c r="AQ262"/>
  <c r="AQ347"/>
  <c r="AQ55"/>
  <c r="AJ396"/>
  <c r="AJ413"/>
  <c r="AR158"/>
  <c r="AQ416"/>
  <c r="AQ385"/>
  <c r="AQ234"/>
  <c r="AI357"/>
  <c r="AR325"/>
  <c r="AJ115"/>
  <c r="AR342"/>
  <c r="AR408"/>
  <c r="AR101"/>
  <c r="AR349"/>
  <c r="AJ290"/>
  <c r="P61" i="12"/>
  <c r="P213"/>
  <c r="P96"/>
  <c r="AJ198" i="10"/>
  <c r="AI227"/>
  <c r="AI452"/>
  <c r="AQ193"/>
  <c r="AQ366"/>
  <c r="AQ66"/>
  <c r="AI157"/>
  <c r="AQ25"/>
  <c r="AR245"/>
  <c r="AR210"/>
  <c r="AJ38"/>
  <c r="AR115"/>
  <c r="AR360"/>
  <c r="AJ247"/>
  <c r="P275" i="12"/>
  <c r="P134"/>
  <c r="P255"/>
  <c r="P42"/>
  <c r="AI347" i="10"/>
  <c r="AI316"/>
  <c r="AI89"/>
  <c r="AQ62"/>
  <c r="AR237"/>
  <c r="AR202"/>
  <c r="AJ28"/>
  <c r="AR99"/>
  <c r="AR296"/>
  <c r="AJ300"/>
  <c r="P35" i="12"/>
  <c r="P46"/>
  <c r="P223"/>
  <c r="P138"/>
  <c r="AQ392" i="10"/>
  <c r="AI135"/>
  <c r="AQ361"/>
  <c r="AQ101"/>
  <c r="AQ183"/>
  <c r="AQ202"/>
  <c r="AI253"/>
  <c r="AR445"/>
  <c r="AR464"/>
  <c r="AR120"/>
  <c r="AR113"/>
  <c r="AR416"/>
  <c r="AR59"/>
  <c r="AJ346"/>
  <c r="P71" i="12"/>
  <c r="P128"/>
  <c r="P41"/>
  <c r="P193"/>
  <c r="AI183" i="10"/>
  <c r="AI152"/>
  <c r="AQ379"/>
  <c r="AJ410"/>
  <c r="AR168"/>
  <c r="AR47"/>
  <c r="AJ318"/>
  <c r="P166" i="12"/>
  <c r="P85"/>
  <c r="P44"/>
  <c r="AQ200" i="10"/>
  <c r="AQ169"/>
  <c r="AQ454"/>
  <c r="AJ444"/>
  <c r="AR186"/>
  <c r="AR67"/>
  <c r="AJ322"/>
  <c r="P270" i="12"/>
  <c r="P83"/>
  <c r="AQ313" i="10"/>
  <c r="AJ478"/>
  <c r="AJ323"/>
  <c r="AQ344"/>
  <c r="AI85"/>
  <c r="AR235"/>
  <c r="AR56"/>
  <c r="P65" i="12"/>
  <c r="AR415" i="10"/>
  <c r="P159" i="12"/>
  <c r="AR318" i="10"/>
  <c r="AQ137"/>
  <c r="AR39"/>
  <c r="AQ279"/>
  <c r="AQ382"/>
  <c r="AR424"/>
  <c r="AE19" i="12"/>
  <c r="V19"/>
  <c r="B8" i="26"/>
  <c r="G11" i="14"/>
  <c r="I11"/>
  <c r="D11"/>
  <c r="C7" i="26"/>
  <c r="C7" i="27"/>
  <c r="C7" i="14"/>
  <c r="B8" i="27"/>
  <c r="B10"/>
  <c r="B9"/>
  <c r="F11" i="14"/>
  <c r="Z19" i="12" l="1"/>
  <c r="F10" i="14" s="1"/>
  <c r="AQ103" i="10"/>
  <c r="AR143"/>
  <c r="AR376"/>
  <c r="P97" i="12"/>
  <c r="AI363" i="10"/>
  <c r="AR290"/>
  <c r="AI151"/>
  <c r="P249" i="12"/>
  <c r="AQ249" i="10"/>
  <c r="P184" i="12"/>
  <c r="AR448" i="10"/>
  <c r="AR447"/>
  <c r="AI104"/>
  <c r="P148" i="12"/>
  <c r="AJ335" i="10"/>
  <c r="AR104"/>
  <c r="AQ150"/>
  <c r="AI119"/>
  <c r="P90" i="12"/>
  <c r="AJ325" i="10"/>
  <c r="AR213"/>
  <c r="AR88"/>
  <c r="AR413"/>
  <c r="AI81"/>
  <c r="AI68"/>
  <c r="AI99"/>
  <c r="P264" i="12"/>
  <c r="P100"/>
  <c r="AR355" i="10"/>
  <c r="AR217"/>
  <c r="AR170"/>
  <c r="AQ343"/>
  <c r="AI284"/>
  <c r="P230" i="12"/>
  <c r="P150"/>
  <c r="P228"/>
  <c r="AR242" i="10"/>
  <c r="AR432"/>
  <c r="AR229"/>
  <c r="AI125"/>
  <c r="AQ334"/>
  <c r="AI436"/>
  <c r="AI467"/>
  <c r="P276" i="12"/>
  <c r="P189"/>
  <c r="AJ304" i="10"/>
  <c r="AR280"/>
  <c r="AR428"/>
  <c r="AI289"/>
  <c r="AQ369"/>
  <c r="AQ400"/>
  <c r="AJ403"/>
  <c r="AQ38"/>
  <c r="AQ246"/>
  <c r="AI392"/>
  <c r="AR124"/>
  <c r="AR449"/>
  <c r="AQ210"/>
  <c r="AQ105"/>
  <c r="AI139"/>
  <c r="AQ396"/>
  <c r="AJ136"/>
  <c r="AJ268"/>
  <c r="AJ55"/>
  <c r="B9" i="26"/>
  <c r="T19" i="12"/>
  <c r="P69"/>
  <c r="AR255" i="10"/>
  <c r="P79" i="12"/>
  <c r="P108"/>
  <c r="AJ382" i="10"/>
  <c r="P107" i="12"/>
  <c r="AI426" i="10"/>
  <c r="AR221"/>
  <c r="AQ69"/>
  <c r="P260" i="12"/>
  <c r="AJ26" i="10"/>
  <c r="AI321"/>
  <c r="AI184"/>
  <c r="P181" i="12"/>
  <c r="AR240" i="10"/>
  <c r="AI285"/>
  <c r="AQ280"/>
  <c r="P56" i="12"/>
  <c r="P176"/>
  <c r="AR207" i="10"/>
  <c r="AR368"/>
  <c r="AJ459"/>
  <c r="AQ110"/>
  <c r="AQ318"/>
  <c r="AI428"/>
  <c r="AI459"/>
  <c r="AR91"/>
  <c r="P207" i="12"/>
  <c r="P36"/>
  <c r="AR167" i="10"/>
  <c r="AR209"/>
  <c r="AJ437"/>
  <c r="AQ75"/>
  <c r="AQ282"/>
  <c r="AQ409"/>
  <c r="AQ440"/>
  <c r="P39" i="12"/>
  <c r="P208"/>
  <c r="P220"/>
  <c r="P185"/>
  <c r="AJ366" i="10"/>
  <c r="AR45"/>
  <c r="AR187"/>
  <c r="AJ204"/>
  <c r="AR332"/>
  <c r="AR285"/>
  <c r="AQ118"/>
  <c r="AI238"/>
  <c r="AI214"/>
  <c r="AQ442"/>
  <c r="AQ233"/>
  <c r="AQ415"/>
  <c r="AQ264"/>
  <c r="P34" i="12"/>
  <c r="P149"/>
  <c r="P278"/>
  <c r="P101"/>
  <c r="AR359" i="10"/>
  <c r="AJ299"/>
  <c r="AR189"/>
  <c r="AJ51"/>
  <c r="AR74"/>
  <c r="AR298"/>
  <c r="AR399"/>
  <c r="AI38"/>
  <c r="AQ53"/>
  <c r="AI83"/>
  <c r="P98" i="12"/>
  <c r="P262"/>
  <c r="P254"/>
  <c r="P222"/>
  <c r="AJ324" i="10"/>
  <c r="AJ342"/>
  <c r="AR205"/>
  <c r="AR57"/>
  <c r="AR82"/>
  <c r="AR330"/>
  <c r="AR407"/>
  <c r="AQ91"/>
  <c r="AI65"/>
  <c r="AI105"/>
  <c r="AQ61"/>
  <c r="AI324"/>
  <c r="AQ92"/>
  <c r="AI355"/>
  <c r="P241" i="12"/>
  <c r="P111"/>
  <c r="P204"/>
  <c r="P243"/>
  <c r="AJ341" i="10"/>
  <c r="AR151"/>
  <c r="AJ41"/>
  <c r="AR193"/>
  <c r="AR160"/>
  <c r="AJ415"/>
  <c r="AJ400"/>
  <c r="AQ291"/>
  <c r="AI128"/>
  <c r="AI159"/>
  <c r="AR334"/>
  <c r="AJ107"/>
  <c r="AR323"/>
  <c r="AQ295"/>
  <c r="AI314"/>
  <c r="AI365"/>
  <c r="AI430"/>
  <c r="AI272"/>
  <c r="AQ36"/>
  <c r="AI303"/>
  <c r="AR224"/>
  <c r="AR380"/>
  <c r="AR297"/>
  <c r="AQ166"/>
  <c r="AI262"/>
  <c r="AI273"/>
  <c r="AQ466"/>
  <c r="AQ245"/>
  <c r="AI446"/>
  <c r="AQ276"/>
  <c r="AJ90"/>
  <c r="AJ58"/>
  <c r="AJ320"/>
  <c r="AJ367"/>
  <c r="AJ285"/>
  <c r="AJ277"/>
  <c r="AJ184"/>
  <c r="AD19" i="12"/>
  <c r="J10" i="27" s="1"/>
  <c r="AJ353" i="10"/>
  <c r="AJ81"/>
  <c r="AQ254"/>
  <c r="AR362"/>
  <c r="AJ308"/>
  <c r="AQ35"/>
  <c r="AR301"/>
  <c r="P209" i="12"/>
  <c r="AJ329" i="10"/>
  <c r="AR122"/>
  <c r="AQ206"/>
  <c r="AQ136"/>
  <c r="P232" i="12"/>
  <c r="P203"/>
  <c r="AR288" i="10"/>
  <c r="AR429"/>
  <c r="AQ85"/>
  <c r="P272" i="12"/>
  <c r="P55"/>
  <c r="P158"/>
  <c r="AJ309" i="10"/>
  <c r="AJ59"/>
  <c r="AR354"/>
  <c r="AI130"/>
  <c r="AQ119"/>
  <c r="AQ329"/>
  <c r="AQ360"/>
  <c r="P91" i="12"/>
  <c r="P64"/>
  <c r="AR175" i="10"/>
  <c r="AJ49"/>
  <c r="AJ439"/>
  <c r="AI389"/>
  <c r="AI315"/>
  <c r="P191" i="12"/>
  <c r="AJ227" i="10"/>
  <c r="AR83"/>
  <c r="AR194"/>
  <c r="AJ456"/>
  <c r="AI473"/>
  <c r="AQ177"/>
  <c r="AQ208"/>
  <c r="P180" i="12"/>
  <c r="AR363" i="10"/>
  <c r="AR69"/>
  <c r="AR278"/>
  <c r="AR309"/>
  <c r="AQ199"/>
  <c r="AR150"/>
  <c r="AR475"/>
  <c r="AQ315"/>
  <c r="AQ133"/>
  <c r="AQ164"/>
  <c r="AI423"/>
  <c r="AR468"/>
  <c r="AI269"/>
  <c r="AQ191"/>
  <c r="AQ365"/>
  <c r="AJ340"/>
  <c r="AJ33"/>
  <c r="AJ73"/>
  <c r="AJ94"/>
  <c r="Y19" i="12"/>
  <c r="AF19" s="1"/>
  <c r="AD21" s="1"/>
  <c r="P117"/>
  <c r="AR218" i="10"/>
  <c r="AI235"/>
  <c r="P31" i="12"/>
  <c r="AJ409" i="10"/>
  <c r="AI427"/>
  <c r="AI353"/>
  <c r="AR30"/>
  <c r="AQ123"/>
  <c r="P253" i="12"/>
  <c r="AR145" i="10"/>
  <c r="AQ186"/>
  <c r="AI52"/>
  <c r="P252" i="12"/>
  <c r="AR49" i="10"/>
  <c r="AQ259"/>
  <c r="AI215"/>
  <c r="P226" i="12"/>
  <c r="P95"/>
  <c r="AR63" i="10"/>
  <c r="AR121"/>
  <c r="AR466"/>
  <c r="AI265"/>
  <c r="AQ187"/>
  <c r="AI364"/>
  <c r="AI395"/>
  <c r="AR264"/>
  <c r="P174" i="12"/>
  <c r="P274"/>
  <c r="AJ45" i="10"/>
  <c r="AR81"/>
  <c r="AR418"/>
  <c r="AI194"/>
  <c r="AQ151"/>
  <c r="AQ345"/>
  <c r="AQ376"/>
  <c r="P231" i="12"/>
  <c r="P256"/>
  <c r="P151"/>
  <c r="P60"/>
  <c r="AJ310" i="10"/>
  <c r="AR392"/>
  <c r="AR123"/>
  <c r="AJ44"/>
  <c r="AR216"/>
  <c r="AR253"/>
  <c r="AI26"/>
  <c r="AI169"/>
  <c r="AQ95"/>
  <c r="AQ378"/>
  <c r="AI200"/>
  <c r="AQ457"/>
  <c r="AQ232"/>
  <c r="AJ151"/>
  <c r="P173" i="12"/>
  <c r="P197"/>
  <c r="P94"/>
  <c r="AJ365" i="10"/>
  <c r="AJ321"/>
  <c r="AR125"/>
  <c r="AJ27"/>
  <c r="AR382"/>
  <c r="AJ201"/>
  <c r="AR367"/>
  <c r="AI338"/>
  <c r="AQ451"/>
  <c r="AI51"/>
  <c r="P130" i="12"/>
  <c r="P237"/>
  <c r="P153"/>
  <c r="P74"/>
  <c r="AJ305" i="10"/>
  <c r="AJ347"/>
  <c r="AR173"/>
  <c r="AR44"/>
  <c r="AR66"/>
  <c r="AR266"/>
  <c r="AR391"/>
  <c r="AI449"/>
  <c r="AI386"/>
  <c r="AI74"/>
  <c r="AQ45"/>
  <c r="AI308"/>
  <c r="AI75"/>
  <c r="AI339"/>
  <c r="P161" i="12"/>
  <c r="P162"/>
  <c r="P244"/>
  <c r="P179"/>
  <c r="AJ230" i="10"/>
  <c r="AR119"/>
  <c r="AJ25"/>
  <c r="AR161"/>
  <c r="AR144"/>
  <c r="AJ393"/>
  <c r="AR469"/>
  <c r="AQ227"/>
  <c r="AQ109"/>
  <c r="AI143"/>
  <c r="AR302"/>
  <c r="AR452"/>
  <c r="AR315"/>
  <c r="AQ263"/>
  <c r="AI298"/>
  <c r="AI341"/>
  <c r="AI418"/>
  <c r="AI264"/>
  <c r="AI478"/>
  <c r="AI295"/>
  <c r="AJ210"/>
  <c r="AR348"/>
  <c r="AR289"/>
  <c r="AQ130"/>
  <c r="AI246"/>
  <c r="AI237"/>
  <c r="AQ450"/>
  <c r="AQ237"/>
  <c r="AQ423"/>
  <c r="AQ268"/>
  <c r="AJ278"/>
  <c r="AJ82"/>
  <c r="AJ348"/>
  <c r="AJ378"/>
  <c r="AJ462"/>
  <c r="AJ284"/>
  <c r="AJ349"/>
  <c r="AJ102"/>
  <c r="B8" i="14"/>
  <c r="AJ454" i="10"/>
  <c r="AJ141"/>
  <c r="AJ88"/>
  <c r="AJ177"/>
  <c r="B9" i="14"/>
  <c r="V39" i="21"/>
  <c r="I11" i="27"/>
  <c r="AJ98" i="10"/>
  <c r="AJ121"/>
  <c r="AJ153"/>
  <c r="AJ270"/>
  <c r="AJ430"/>
  <c r="AJ61"/>
  <c r="AJ85"/>
  <c r="AJ132"/>
  <c r="AJ168"/>
  <c r="AJ188"/>
  <c r="AJ231"/>
  <c r="AJ263"/>
  <c r="AJ331"/>
  <c r="AJ361"/>
  <c r="AJ389"/>
  <c r="AJ432"/>
  <c r="AJ473"/>
  <c r="AJ99"/>
  <c r="AJ138"/>
  <c r="AJ190"/>
  <c r="AJ255"/>
  <c r="AJ417"/>
  <c r="AJ57"/>
  <c r="AJ80"/>
  <c r="AJ117"/>
  <c r="AJ162"/>
  <c r="AJ185"/>
  <c r="AJ225"/>
  <c r="AJ259"/>
  <c r="AJ293"/>
  <c r="AJ357"/>
  <c r="AJ386"/>
  <c r="AJ427"/>
  <c r="AJ470"/>
  <c r="AJ119"/>
  <c r="AJ200"/>
  <c r="AJ464"/>
  <c r="AJ89"/>
  <c r="AJ171"/>
  <c r="AJ233"/>
  <c r="AJ333"/>
  <c r="AJ392"/>
  <c r="AJ475"/>
  <c r="AJ142"/>
  <c r="AJ269"/>
  <c r="AJ60"/>
  <c r="AJ129"/>
  <c r="AJ187"/>
  <c r="AJ261"/>
  <c r="AJ360"/>
  <c r="AJ431"/>
  <c r="AJ120"/>
  <c r="AJ465"/>
  <c r="AJ172"/>
  <c r="AJ337"/>
  <c r="AJ477"/>
  <c r="AJ262"/>
  <c r="AJ122"/>
  <c r="AJ260"/>
  <c r="AJ428"/>
  <c r="AJ108"/>
  <c r="AJ399"/>
  <c r="AJ76"/>
  <c r="AJ379"/>
  <c r="AJ183"/>
  <c r="AJ148"/>
  <c r="AJ374"/>
  <c r="AQ452"/>
  <c r="AQ420"/>
  <c r="AQ388"/>
  <c r="AQ356"/>
  <c r="AQ324"/>
  <c r="AQ292"/>
  <c r="AQ260"/>
  <c r="AQ228"/>
  <c r="AI195"/>
  <c r="AI163"/>
  <c r="AI131"/>
  <c r="AI95"/>
  <c r="AQ60"/>
  <c r="AQ475"/>
  <c r="AQ407"/>
  <c r="AQ453"/>
  <c r="AQ421"/>
  <c r="AQ389"/>
  <c r="AQ357"/>
  <c r="AQ325"/>
  <c r="AQ293"/>
  <c r="AQ261"/>
  <c r="AQ229"/>
  <c r="AI196"/>
  <c r="AI164"/>
  <c r="AI132"/>
  <c r="AQ97"/>
  <c r="AI64"/>
  <c r="AQ471"/>
  <c r="AQ411"/>
  <c r="AQ434"/>
  <c r="AQ370"/>
  <c r="AQ306"/>
  <c r="AQ242"/>
  <c r="AQ175"/>
  <c r="AI109"/>
  <c r="AI46"/>
  <c r="AI333"/>
  <c r="AI198"/>
  <c r="AQ74"/>
  <c r="AQ422"/>
  <c r="AQ307"/>
  <c r="AQ194"/>
  <c r="AI73"/>
  <c r="AI358"/>
  <c r="AI294"/>
  <c r="AI230"/>
  <c r="AI161"/>
  <c r="AQ98"/>
  <c r="AQ34"/>
  <c r="AI241"/>
  <c r="AQ99"/>
  <c r="AI401"/>
  <c r="AQ255"/>
  <c r="AI106"/>
  <c r="AI25"/>
  <c r="AJ438"/>
  <c r="AR473"/>
  <c r="AR441"/>
  <c r="AR409"/>
  <c r="AR377"/>
  <c r="AR313"/>
  <c r="AR281"/>
  <c r="AR247"/>
  <c r="AJ451"/>
  <c r="AJ401"/>
  <c r="AR460"/>
  <c r="AR338"/>
  <c r="AJ219"/>
  <c r="AR444"/>
  <c r="AR316"/>
  <c r="AR212"/>
  <c r="AR180"/>
  <c r="AR148"/>
  <c r="AR116"/>
  <c r="AR84"/>
  <c r="AR422"/>
  <c r="AR294"/>
  <c r="AJ182"/>
  <c r="AJ40"/>
  <c r="J29" i="30"/>
  <c r="AI447" i="10"/>
  <c r="AI415"/>
  <c r="AI383"/>
  <c r="AI351"/>
  <c r="AI319"/>
  <c r="AI287"/>
  <c r="AI255"/>
  <c r="AQ220"/>
  <c r="AQ188"/>
  <c r="AQ156"/>
  <c r="AQ124"/>
  <c r="AQ88"/>
  <c r="AI55"/>
  <c r="AQ463"/>
  <c r="AI398"/>
  <c r="AI448"/>
  <c r="AI416"/>
  <c r="AI384"/>
  <c r="AI352"/>
  <c r="AI320"/>
  <c r="AI288"/>
  <c r="AI256"/>
  <c r="AI224"/>
  <c r="AQ189"/>
  <c r="AQ157"/>
  <c r="AQ125"/>
  <c r="AI92"/>
  <c r="AQ57"/>
  <c r="AQ455"/>
  <c r="AI402"/>
  <c r="AI421"/>
  <c r="AQ358"/>
  <c r="AQ294"/>
  <c r="AQ230"/>
  <c r="AQ163"/>
  <c r="AI97"/>
  <c r="AI33"/>
  <c r="AI309"/>
  <c r="AI174"/>
  <c r="AQ50"/>
  <c r="AQ391"/>
  <c r="AQ283"/>
  <c r="AQ170"/>
  <c r="AI49"/>
  <c r="AI346"/>
  <c r="AI282"/>
  <c r="AI213"/>
  <c r="AI149"/>
  <c r="AQ86"/>
  <c r="AI345"/>
  <c r="AI218"/>
  <c r="AQ78"/>
  <c r="AQ359"/>
  <c r="AQ231"/>
  <c r="AI69"/>
  <c r="AQ24"/>
  <c r="AJ416"/>
  <c r="AR467"/>
  <c r="AR435"/>
  <c r="AR403"/>
  <c r="AR371"/>
  <c r="AR307"/>
  <c r="AR275"/>
  <c r="AR241"/>
  <c r="AJ443"/>
  <c r="AJ385"/>
  <c r="AR442"/>
  <c r="AR314"/>
  <c r="AJ205"/>
  <c r="AR420"/>
  <c r="AR292"/>
  <c r="AR206"/>
  <c r="AR174"/>
  <c r="AR142"/>
  <c r="AR110"/>
  <c r="AR78"/>
  <c r="AR398"/>
  <c r="AR270"/>
  <c r="AJ134"/>
  <c r="AJ32"/>
  <c r="AQ448"/>
  <c r="AQ384"/>
  <c r="AQ320"/>
  <c r="AQ256"/>
  <c r="AI191"/>
  <c r="AI127"/>
  <c r="AQ56"/>
  <c r="AQ399"/>
  <c r="AQ417"/>
  <c r="AQ353"/>
  <c r="AQ289"/>
  <c r="AQ225"/>
  <c r="AI160"/>
  <c r="AQ93"/>
  <c r="AI466"/>
  <c r="AQ426"/>
  <c r="AQ298"/>
  <c r="AQ167"/>
  <c r="AI37"/>
  <c r="AI182"/>
  <c r="AQ406"/>
  <c r="AQ178"/>
  <c r="AI350"/>
  <c r="AI217"/>
  <c r="AQ90"/>
  <c r="AI225"/>
  <c r="AQ371"/>
  <c r="AI90"/>
  <c r="AJ418"/>
  <c r="AJ87"/>
  <c r="AJ126"/>
  <c r="AJ196"/>
  <c r="AJ275"/>
  <c r="AJ466"/>
  <c r="AJ66"/>
  <c r="AJ105"/>
  <c r="AJ140"/>
  <c r="AJ173"/>
  <c r="AJ194"/>
  <c r="AJ235"/>
  <c r="AJ267"/>
  <c r="AJ338"/>
  <c r="AJ371"/>
  <c r="AJ397"/>
  <c r="AJ452"/>
  <c r="AJ74"/>
  <c r="AJ104"/>
  <c r="AJ144"/>
  <c r="AJ199"/>
  <c r="AJ271"/>
  <c r="AJ435"/>
  <c r="AJ62"/>
  <c r="AJ86"/>
  <c r="AJ133"/>
  <c r="AJ170"/>
  <c r="AJ189"/>
  <c r="AJ232"/>
  <c r="AJ264"/>
  <c r="AJ332"/>
  <c r="AJ362"/>
  <c r="AJ391"/>
  <c r="AJ433"/>
  <c r="AJ474"/>
  <c r="AJ130"/>
  <c r="AJ245"/>
  <c r="AJ53"/>
  <c r="AJ112"/>
  <c r="AJ181"/>
  <c r="AJ252"/>
  <c r="AJ351"/>
  <c r="AJ422"/>
  <c r="AJ91"/>
  <c r="AJ152"/>
  <c r="AJ279"/>
  <c r="AJ70"/>
  <c r="AJ150"/>
  <c r="AJ208"/>
  <c r="AJ276"/>
  <c r="AJ375"/>
  <c r="AJ458"/>
  <c r="AJ146"/>
  <c r="AJ65"/>
  <c r="AJ193"/>
  <c r="AJ370"/>
  <c r="AJ100"/>
  <c r="AJ423"/>
  <c r="AJ164"/>
  <c r="AJ294"/>
  <c r="AJ471"/>
  <c r="AJ175"/>
  <c r="AJ97"/>
  <c r="AJ159"/>
  <c r="AJ467"/>
  <c r="AJ352"/>
  <c r="AJ274"/>
  <c r="AQ476"/>
  <c r="AQ444"/>
  <c r="AQ412"/>
  <c r="AQ380"/>
  <c r="AQ348"/>
  <c r="AQ316"/>
  <c r="AQ284"/>
  <c r="AQ252"/>
  <c r="AI219"/>
  <c r="AI187"/>
  <c r="AI155"/>
  <c r="AI123"/>
  <c r="AI87"/>
  <c r="AQ52"/>
  <c r="AI462"/>
  <c r="AQ477"/>
  <c r="AQ445"/>
  <c r="AQ413"/>
  <c r="AQ381"/>
  <c r="AQ349"/>
  <c r="AQ317"/>
  <c r="AQ285"/>
  <c r="AQ253"/>
  <c r="AI220"/>
  <c r="AI188"/>
  <c r="AI156"/>
  <c r="AI124"/>
  <c r="AQ89"/>
  <c r="AI56"/>
  <c r="AI454"/>
  <c r="AQ395"/>
  <c r="AQ418"/>
  <c r="AQ354"/>
  <c r="AQ290"/>
  <c r="AQ226"/>
  <c r="AQ159"/>
  <c r="AI93"/>
  <c r="AI393"/>
  <c r="AI301"/>
  <c r="AI166"/>
  <c r="AQ42"/>
  <c r="AQ387"/>
  <c r="AQ275"/>
  <c r="AQ162"/>
  <c r="AI41"/>
  <c r="AI342"/>
  <c r="AI278"/>
  <c r="AI209"/>
  <c r="AI145"/>
  <c r="AQ83"/>
  <c r="AI337"/>
  <c r="AI210"/>
  <c r="AQ70"/>
  <c r="AQ351"/>
  <c r="AQ214"/>
  <c r="AI61"/>
  <c r="AI23"/>
  <c r="AJ414"/>
  <c r="AR465"/>
  <c r="AR433"/>
  <c r="AR401"/>
  <c r="AR369"/>
  <c r="AR305"/>
  <c r="AR273"/>
  <c r="AR239"/>
  <c r="AJ441"/>
  <c r="AJ383"/>
  <c r="AR434"/>
  <c r="AR306"/>
  <c r="AJ203"/>
  <c r="AR412"/>
  <c r="AR284"/>
  <c r="AR204"/>
  <c r="AR172"/>
  <c r="AR140"/>
  <c r="AR108"/>
  <c r="AR76"/>
  <c r="AR390"/>
  <c r="AR262"/>
  <c r="AJ118"/>
  <c r="AJ30"/>
  <c r="AI471"/>
  <c r="AI439"/>
  <c r="AI407"/>
  <c r="AI375"/>
  <c r="AI343"/>
  <c r="AI311"/>
  <c r="AI279"/>
  <c r="AI247"/>
  <c r="AQ212"/>
  <c r="AQ180"/>
  <c r="AQ148"/>
  <c r="AQ112"/>
  <c r="AI79"/>
  <c r="AI47"/>
  <c r="AQ447"/>
  <c r="AI472"/>
  <c r="AI440"/>
  <c r="AI408"/>
  <c r="AI376"/>
  <c r="AI344"/>
  <c r="AI312"/>
  <c r="AI280"/>
  <c r="AI248"/>
  <c r="AQ213"/>
  <c r="AQ181"/>
  <c r="AQ149"/>
  <c r="AQ117"/>
  <c r="AQ81"/>
  <c r="AQ49"/>
  <c r="AQ443"/>
  <c r="AI469"/>
  <c r="AI405"/>
  <c r="AQ342"/>
  <c r="AQ278"/>
  <c r="AQ211"/>
  <c r="AQ147"/>
  <c r="AI82"/>
  <c r="AI381"/>
  <c r="AI277"/>
  <c r="AI146"/>
  <c r="AQ31"/>
  <c r="AQ375"/>
  <c r="AQ251"/>
  <c r="AQ142"/>
  <c r="AI394"/>
  <c r="AI330"/>
  <c r="AI266"/>
  <c r="AI197"/>
  <c r="AI133"/>
  <c r="AQ71"/>
  <c r="AI313"/>
  <c r="AI186"/>
  <c r="AQ46"/>
  <c r="AQ327"/>
  <c r="AQ174"/>
  <c r="AI30"/>
  <c r="AJ476"/>
  <c r="AJ408"/>
  <c r="AR459"/>
  <c r="AR427"/>
  <c r="AR395"/>
  <c r="AR331"/>
  <c r="AR299"/>
  <c r="AR267"/>
  <c r="AR233"/>
  <c r="AJ425"/>
  <c r="AR478"/>
  <c r="AR410"/>
  <c r="AR282"/>
  <c r="AJ165"/>
  <c r="AR388"/>
  <c r="AR260"/>
  <c r="AR198"/>
  <c r="AR166"/>
  <c r="AR134"/>
  <c r="AR102"/>
  <c r="AR70"/>
  <c r="AR366"/>
  <c r="AR232"/>
  <c r="AJ84"/>
  <c r="AJ24"/>
  <c r="AQ432"/>
  <c r="AQ368"/>
  <c r="AQ304"/>
  <c r="AQ240"/>
  <c r="AI175"/>
  <c r="AI107"/>
  <c r="AI39"/>
  <c r="AQ465"/>
  <c r="AQ401"/>
  <c r="AQ337"/>
  <c r="AQ273"/>
  <c r="AI208"/>
  <c r="AI144"/>
  <c r="AI76"/>
  <c r="AI434"/>
  <c r="AQ394"/>
  <c r="AQ266"/>
  <c r="AQ135"/>
  <c r="AI369"/>
  <c r="AI118"/>
  <c r="AQ355"/>
  <c r="AI110"/>
  <c r="AI318"/>
  <c r="AI185"/>
  <c r="AQ59"/>
  <c r="AI162"/>
  <c r="AQ303"/>
  <c r="AI28"/>
  <c r="AJ147"/>
  <c r="AJ390"/>
  <c r="AJ77"/>
  <c r="AJ161"/>
  <c r="AJ224"/>
  <c r="AJ288"/>
  <c r="AJ380"/>
  <c r="AJ469"/>
  <c r="AJ128"/>
  <c r="AJ244"/>
  <c r="AJ48"/>
  <c r="AJ111"/>
  <c r="AJ178"/>
  <c r="AJ250"/>
  <c r="AJ350"/>
  <c r="AJ420"/>
  <c r="AJ95"/>
  <c r="AJ368"/>
  <c r="AJ158"/>
  <c r="AJ286"/>
  <c r="AJ463"/>
  <c r="AJ242"/>
  <c r="AJ109"/>
  <c r="AJ238"/>
  <c r="AJ406"/>
  <c r="AJ273"/>
  <c r="AJ266"/>
  <c r="AJ192"/>
  <c r="AJ226"/>
  <c r="AJ241"/>
  <c r="AJ369"/>
  <c r="AJ54"/>
  <c r="AJ69"/>
  <c r="AQ428"/>
  <c r="AQ364"/>
  <c r="AQ300"/>
  <c r="AQ236"/>
  <c r="AI171"/>
  <c r="AI103"/>
  <c r="AI35"/>
  <c r="AQ461"/>
  <c r="AQ397"/>
  <c r="AQ333"/>
  <c r="AQ269"/>
  <c r="AI204"/>
  <c r="AI140"/>
  <c r="AI72"/>
  <c r="AQ427"/>
  <c r="AQ386"/>
  <c r="AQ258"/>
  <c r="AQ127"/>
  <c r="AI361"/>
  <c r="AQ107"/>
  <c r="AQ339"/>
  <c r="AI94"/>
  <c r="AI310"/>
  <c r="AI177"/>
  <c r="AQ51"/>
  <c r="AI142"/>
  <c r="AQ287"/>
  <c r="AI27"/>
  <c r="AJ384"/>
  <c r="AR417"/>
  <c r="AR321"/>
  <c r="AR257"/>
  <c r="AJ411"/>
  <c r="AR370"/>
  <c r="AJ93"/>
  <c r="AR220"/>
  <c r="AR156"/>
  <c r="AR92"/>
  <c r="AR326"/>
  <c r="AJ50"/>
  <c r="AI455"/>
  <c r="AI391"/>
  <c r="AI327"/>
  <c r="AI263"/>
  <c r="AQ196"/>
  <c r="AQ132"/>
  <c r="AI63"/>
  <c r="AI414"/>
  <c r="AI424"/>
  <c r="AI360"/>
  <c r="AI296"/>
  <c r="AI232"/>
  <c r="AQ165"/>
  <c r="AI100"/>
  <c r="AI32"/>
  <c r="AI437"/>
  <c r="AQ310"/>
  <c r="AQ179"/>
  <c r="AI50"/>
  <c r="AI206"/>
  <c r="AI425"/>
  <c r="AQ198"/>
  <c r="AI362"/>
  <c r="AI234"/>
  <c r="AQ102"/>
  <c r="AI249"/>
  <c r="AQ414"/>
  <c r="AI114"/>
  <c r="AJ440"/>
  <c r="AR443"/>
  <c r="AR379"/>
  <c r="AR283"/>
  <c r="AJ453"/>
  <c r="AR462"/>
  <c r="AJ221"/>
  <c r="AR324"/>
  <c r="AR182"/>
  <c r="AR118"/>
  <c r="AR430"/>
  <c r="AJ202"/>
  <c r="AQ464"/>
  <c r="AQ336"/>
  <c r="AI207"/>
  <c r="AQ72"/>
  <c r="AQ433"/>
  <c r="AQ305"/>
  <c r="AI176"/>
  <c r="AI44"/>
  <c r="AQ330"/>
  <c r="AI70"/>
  <c r="AQ470"/>
  <c r="AI382"/>
  <c r="AI121"/>
  <c r="AQ446"/>
  <c r="AJ450"/>
  <c r="AR437"/>
  <c r="AR373"/>
  <c r="AR277"/>
  <c r="AJ447"/>
  <c r="AR450"/>
  <c r="AJ207"/>
  <c r="AR300"/>
  <c r="AR176"/>
  <c r="AR112"/>
  <c r="AR406"/>
  <c r="AJ160"/>
  <c r="AR272"/>
  <c r="AR97"/>
  <c r="AR28"/>
  <c r="AR171"/>
  <c r="AR50"/>
  <c r="AR352"/>
  <c r="AR133"/>
  <c r="AJ39"/>
  <c r="AR183"/>
  <c r="AR51"/>
  <c r="AJ298"/>
  <c r="AJ315"/>
  <c r="AR339"/>
  <c r="AJ303"/>
  <c r="AR353"/>
  <c r="P137" i="12"/>
  <c r="P104"/>
  <c r="P142"/>
  <c r="P78"/>
  <c r="P156"/>
  <c r="P66"/>
  <c r="P139"/>
  <c r="P277"/>
  <c r="P63"/>
  <c r="P175"/>
  <c r="P53"/>
  <c r="P205"/>
  <c r="P199"/>
  <c r="P109"/>
  <c r="P168"/>
  <c r="P266"/>
  <c r="AI435" i="10"/>
  <c r="AI371"/>
  <c r="AI307"/>
  <c r="AI243"/>
  <c r="AQ176"/>
  <c r="AQ108"/>
  <c r="AI43"/>
  <c r="AI468"/>
  <c r="AI404"/>
  <c r="AI340"/>
  <c r="AI276"/>
  <c r="AQ209"/>
  <c r="AQ145"/>
  <c r="AQ77"/>
  <c r="AQ435"/>
  <c r="AI397"/>
  <c r="AQ270"/>
  <c r="AQ139"/>
  <c r="AI373"/>
  <c r="AI126"/>
  <c r="AQ363"/>
  <c r="AQ126"/>
  <c r="AI322"/>
  <c r="AI189"/>
  <c r="AQ63"/>
  <c r="AI170"/>
  <c r="AQ311"/>
  <c r="AQ29"/>
  <c r="AJ402"/>
  <c r="AR423"/>
  <c r="AR327"/>
  <c r="AR263"/>
  <c r="AJ419"/>
  <c r="AR394"/>
  <c r="AJ127"/>
  <c r="AR246"/>
  <c r="AR162"/>
  <c r="AR98"/>
  <c r="AR350"/>
  <c r="AJ64"/>
  <c r="AR201"/>
  <c r="AR73"/>
  <c r="AR440"/>
  <c r="AR147"/>
  <c r="AR42"/>
  <c r="AR256"/>
  <c r="AR109"/>
  <c r="AR24"/>
  <c r="AR159"/>
  <c r="AR38"/>
  <c r="AR341"/>
  <c r="AJ228"/>
  <c r="AR361"/>
  <c r="AJ343"/>
  <c r="AJ364"/>
  <c r="P164" i="12"/>
  <c r="P259"/>
  <c r="P89"/>
  <c r="P246"/>
  <c r="P103"/>
  <c r="P225"/>
  <c r="P178"/>
  <c r="P165"/>
  <c r="P116"/>
  <c r="P58"/>
  <c r="P129"/>
  <c r="P240"/>
  <c r="P258"/>
  <c r="P177"/>
  <c r="P123"/>
  <c r="AJ113" i="10"/>
  <c r="AI379"/>
  <c r="AI251"/>
  <c r="AQ120"/>
  <c r="AI476"/>
  <c r="AI348"/>
  <c r="AQ217"/>
  <c r="AI88"/>
  <c r="AI413"/>
  <c r="AQ155"/>
  <c r="AI158"/>
  <c r="AQ154"/>
  <c r="AI205"/>
  <c r="AI202"/>
  <c r="AI53"/>
  <c r="AR431"/>
  <c r="AJ143"/>
  <c r="AJ280"/>
  <c r="AJ71"/>
  <c r="AJ156"/>
  <c r="AJ212"/>
  <c r="AJ283"/>
  <c r="AJ376"/>
  <c r="AJ461"/>
  <c r="AJ123"/>
  <c r="AJ240"/>
  <c r="AJ468"/>
  <c r="AJ106"/>
  <c r="AJ174"/>
  <c r="AJ236"/>
  <c r="AJ339"/>
  <c r="AJ398"/>
  <c r="AJ78"/>
  <c r="AJ272"/>
  <c r="AJ135"/>
  <c r="AJ265"/>
  <c r="AJ434"/>
  <c r="AJ195"/>
  <c r="AJ83"/>
  <c r="AJ229"/>
  <c r="AJ388"/>
  <c r="AJ209"/>
  <c r="AJ234"/>
  <c r="AJ139"/>
  <c r="AJ186"/>
  <c r="AJ124"/>
  <c r="AJ179"/>
  <c r="AJ131"/>
  <c r="AJ457"/>
  <c r="AQ436"/>
  <c r="AQ372"/>
  <c r="AQ308"/>
  <c r="AQ244"/>
  <c r="AI179"/>
  <c r="AI111"/>
  <c r="AQ44"/>
  <c r="AQ469"/>
  <c r="AQ405"/>
  <c r="AQ341"/>
  <c r="AQ277"/>
  <c r="AI212"/>
  <c r="AI148"/>
  <c r="AI80"/>
  <c r="AI442"/>
  <c r="AQ402"/>
  <c r="AQ274"/>
  <c r="AQ143"/>
  <c r="AI377"/>
  <c r="AI134"/>
  <c r="AQ367"/>
  <c r="AQ134"/>
  <c r="AI326"/>
  <c r="AI193"/>
  <c r="AQ67"/>
  <c r="AI178"/>
  <c r="AQ319"/>
  <c r="AI29"/>
  <c r="AJ404"/>
  <c r="AR425"/>
  <c r="AR329"/>
  <c r="AR265"/>
  <c r="AJ421"/>
  <c r="AR402"/>
  <c r="AJ163"/>
  <c r="AR252"/>
  <c r="AR164"/>
  <c r="AR100"/>
  <c r="AR358"/>
  <c r="AJ68"/>
  <c r="AI463"/>
  <c r="AI399"/>
  <c r="AI335"/>
  <c r="AI271"/>
  <c r="AQ204"/>
  <c r="AQ140"/>
  <c r="AI71"/>
  <c r="AQ431"/>
  <c r="AI432"/>
  <c r="AI368"/>
  <c r="AI304"/>
  <c r="AI240"/>
  <c r="AQ173"/>
  <c r="AI108"/>
  <c r="AQ41"/>
  <c r="AI453"/>
  <c r="AQ326"/>
  <c r="AQ195"/>
  <c r="AI66"/>
  <c r="AI245"/>
  <c r="AQ462"/>
  <c r="AQ218"/>
  <c r="AI378"/>
  <c r="AI250"/>
  <c r="AI117"/>
  <c r="AI281"/>
  <c r="AI441"/>
  <c r="AQ138"/>
  <c r="AJ448"/>
  <c r="AR451"/>
  <c r="AR387"/>
  <c r="AR291"/>
  <c r="AR225"/>
  <c r="AR470"/>
  <c r="AR250"/>
  <c r="AR356"/>
  <c r="AR190"/>
  <c r="AR126"/>
  <c r="AR62"/>
  <c r="AJ216"/>
  <c r="AJ424"/>
  <c r="AQ352"/>
  <c r="AQ224"/>
  <c r="AI91"/>
  <c r="AQ449"/>
  <c r="AQ321"/>
  <c r="AI192"/>
  <c r="AI60"/>
  <c r="AQ362"/>
  <c r="AI101"/>
  <c r="AQ58"/>
  <c r="AI57"/>
  <c r="AI153"/>
  <c r="AQ82"/>
  <c r="AI24"/>
  <c r="AR453"/>
  <c r="AR389"/>
  <c r="AR293"/>
  <c r="AR227"/>
  <c r="AR472"/>
  <c r="AR258"/>
  <c r="AR364"/>
  <c r="AR192"/>
  <c r="AR128"/>
  <c r="AR64"/>
  <c r="AJ218"/>
  <c r="AR400"/>
  <c r="AR129"/>
  <c r="AJ43"/>
  <c r="AR203"/>
  <c r="AR75"/>
  <c r="AR27"/>
  <c r="AR165"/>
  <c r="AR48"/>
  <c r="AR215"/>
  <c r="AR79"/>
  <c r="AJ355"/>
  <c r="AJ317"/>
  <c r="AJ281"/>
  <c r="AJ306"/>
  <c r="AJ345"/>
  <c r="P217" i="12"/>
  <c r="P192"/>
  <c r="P115"/>
  <c r="P170"/>
  <c r="P72"/>
  <c r="P33"/>
  <c r="P267"/>
  <c r="P146"/>
  <c r="P132"/>
  <c r="P239"/>
  <c r="P62"/>
  <c r="P77"/>
  <c r="P263"/>
  <c r="P218"/>
  <c r="P76"/>
  <c r="P190"/>
  <c r="AI451" i="10"/>
  <c r="AI387"/>
  <c r="AI323"/>
  <c r="AI259"/>
  <c r="AQ192"/>
  <c r="AQ128"/>
  <c r="AI59"/>
  <c r="AI406"/>
  <c r="AI420"/>
  <c r="AI356"/>
  <c r="AI292"/>
  <c r="AI228"/>
  <c r="AQ161"/>
  <c r="AI96"/>
  <c r="AQ467"/>
  <c r="AI429"/>
  <c r="AQ302"/>
  <c r="AQ171"/>
  <c r="AI42"/>
  <c r="AI190"/>
  <c r="AI409"/>
  <c r="AQ182"/>
  <c r="AI354"/>
  <c r="AI226"/>
  <c r="AQ94"/>
  <c r="AI229"/>
  <c r="AQ398"/>
  <c r="AI98"/>
  <c r="AJ436"/>
  <c r="AR439"/>
  <c r="AR375"/>
  <c r="AR279"/>
  <c r="AJ449"/>
  <c r="AR458"/>
  <c r="AJ215"/>
  <c r="AR308"/>
  <c r="AR178"/>
  <c r="AR114"/>
  <c r="AR414"/>
  <c r="AJ166"/>
  <c r="AR304"/>
  <c r="AR105"/>
  <c r="AR33"/>
  <c r="AR179"/>
  <c r="AR55"/>
  <c r="AR384"/>
  <c r="AR141"/>
  <c r="AR40"/>
  <c r="AR191"/>
  <c r="AR54"/>
  <c r="AJ289"/>
  <c r="AJ292"/>
  <c r="AJ319"/>
  <c r="AJ354"/>
  <c r="AJ223"/>
  <c r="P169" i="12"/>
  <c r="P120"/>
  <c r="P43"/>
  <c r="P113"/>
  <c r="P196"/>
  <c r="P45"/>
  <c r="P171"/>
  <c r="P229"/>
  <c r="P224"/>
  <c r="P127"/>
  <c r="P102"/>
  <c r="P200"/>
  <c r="P135"/>
  <c r="P273"/>
  <c r="P251"/>
  <c r="P93"/>
  <c r="AI411" i="10"/>
  <c r="AI283"/>
  <c r="AQ152"/>
  <c r="AQ459"/>
  <c r="AI380"/>
  <c r="AI252"/>
  <c r="AQ121"/>
  <c r="AI477"/>
  <c r="AQ219"/>
  <c r="AI293"/>
  <c r="AQ267"/>
  <c r="AI274"/>
  <c r="AI329"/>
  <c r="AQ190"/>
  <c r="AR463"/>
  <c r="AB19" i="12"/>
  <c r="H10" i="14" s="1"/>
  <c r="X19" i="12"/>
  <c r="AC19"/>
  <c r="P125"/>
  <c r="AJ46" i="10"/>
  <c r="AI173"/>
  <c r="AI460"/>
  <c r="AR93"/>
  <c r="P247" i="12"/>
  <c r="AJ302" i="10"/>
  <c r="AR154"/>
  <c r="AQ331"/>
  <c r="AQ168"/>
  <c r="AR357"/>
  <c r="AI306"/>
  <c r="AI299"/>
  <c r="AJ334"/>
  <c r="AR90"/>
  <c r="AI86"/>
  <c r="AQ100"/>
  <c r="P110" i="12"/>
  <c r="AJ316" i="10"/>
  <c r="AR219"/>
  <c r="AR396"/>
  <c r="AR461"/>
  <c r="AI34"/>
  <c r="AQ474"/>
  <c r="AI458"/>
  <c r="P52" i="12"/>
  <c r="P147"/>
  <c r="AR181" i="10"/>
  <c r="AJ373"/>
  <c r="AI137"/>
  <c r="AI120"/>
  <c r="AQ80"/>
  <c r="P187" i="12"/>
  <c r="P126"/>
  <c r="P202"/>
  <c r="P234"/>
  <c r="AJ256" i="10"/>
  <c r="AJ363"/>
  <c r="AR157"/>
  <c r="AR41"/>
  <c r="AR446"/>
  <c r="AR236"/>
  <c r="AR383"/>
  <c r="AQ430"/>
  <c r="AI370"/>
  <c r="AI58"/>
  <c r="AI36"/>
  <c r="AI300"/>
  <c r="AI67"/>
  <c r="AI331"/>
  <c r="P167" i="12"/>
  <c r="AJ336" i="10"/>
  <c r="P242" i="12"/>
  <c r="P154"/>
  <c r="P38"/>
  <c r="P182"/>
  <c r="AJ291" i="10"/>
  <c r="AJ330"/>
  <c r="AR117"/>
  <c r="AR25"/>
  <c r="AR374"/>
  <c r="AJ169"/>
  <c r="AR333"/>
  <c r="AQ335"/>
  <c r="AI334"/>
  <c r="AI385"/>
  <c r="AI450"/>
  <c r="AQ281"/>
  <c r="AQ48"/>
  <c r="AQ312"/>
  <c r="P155" i="12"/>
  <c r="P51"/>
  <c r="P198"/>
  <c r="P271"/>
  <c r="P81"/>
  <c r="P157"/>
  <c r="P49"/>
  <c r="P152"/>
  <c r="AJ311" i="10"/>
  <c r="AJ296"/>
  <c r="AJ257"/>
  <c r="AR199"/>
  <c r="AR149"/>
  <c r="AR58"/>
  <c r="AR36"/>
  <c r="AR336"/>
  <c r="AR438"/>
  <c r="AR184"/>
  <c r="AR228"/>
  <c r="AJ455"/>
  <c r="AR381"/>
  <c r="AJ442"/>
  <c r="AI417"/>
  <c r="AQ106"/>
  <c r="AI366"/>
  <c r="AI433"/>
  <c r="AI54"/>
  <c r="AQ314"/>
  <c r="AQ33"/>
  <c r="AI168"/>
  <c r="AQ297"/>
  <c r="AQ425"/>
  <c r="AQ64"/>
  <c r="AI199"/>
  <c r="AQ328"/>
  <c r="AQ456"/>
  <c r="P112" i="12"/>
  <c r="P124"/>
  <c r="P82"/>
  <c r="P88"/>
  <c r="P235"/>
  <c r="P75"/>
  <c r="P163"/>
  <c r="P265"/>
  <c r="AJ307" i="10"/>
  <c r="AJ327"/>
  <c r="AR111"/>
  <c r="AR61"/>
  <c r="AR103"/>
  <c r="AR226"/>
  <c r="AR153"/>
  <c r="AR254"/>
  <c r="AR138"/>
  <c r="AR404"/>
  <c r="AJ381"/>
  <c r="AR303"/>
  <c r="AQ23"/>
  <c r="AI141"/>
  <c r="AQ39"/>
  <c r="AQ350"/>
  <c r="AQ185"/>
  <c r="AI444"/>
  <c r="AQ216"/>
  <c r="AI475"/>
  <c r="P144" i="12"/>
  <c r="P40"/>
  <c r="P105"/>
  <c r="P160"/>
  <c r="P47"/>
  <c r="P221"/>
  <c r="P195"/>
  <c r="AR347" i="10"/>
  <c r="AJ326"/>
  <c r="AJ295"/>
  <c r="AR127"/>
  <c r="AR77"/>
  <c r="AR26"/>
  <c r="AR312"/>
  <c r="AR169"/>
  <c r="AR286"/>
  <c r="AR146"/>
  <c r="AR436"/>
  <c r="AJ395"/>
  <c r="AR311"/>
  <c r="AR471"/>
  <c r="AQ247"/>
  <c r="AQ30"/>
  <c r="AI290"/>
  <c r="AQ299"/>
  <c r="AI325"/>
  <c r="AQ238"/>
  <c r="AI410"/>
  <c r="AQ129"/>
  <c r="AI260"/>
  <c r="AI388"/>
  <c r="AI474"/>
  <c r="AQ160"/>
  <c r="AI291"/>
  <c r="AI419"/>
  <c r="P219" i="12"/>
  <c r="P119"/>
  <c r="P186"/>
  <c r="P188"/>
  <c r="P57"/>
  <c r="P118"/>
  <c r="P30"/>
  <c r="P136"/>
  <c r="AJ359" i="10"/>
  <c r="AJ314"/>
  <c r="AJ37"/>
  <c r="AR456"/>
  <c r="AR234"/>
  <c r="AR139"/>
  <c r="AR65"/>
  <c r="AJ56"/>
  <c r="AR96"/>
  <c r="AR238"/>
  <c r="AR386"/>
  <c r="AR261"/>
  <c r="AR421"/>
  <c r="AQ239"/>
  <c r="AI286"/>
  <c r="AI317"/>
  <c r="AQ403"/>
  <c r="AQ257"/>
  <c r="AI470"/>
  <c r="AQ288"/>
  <c r="AJ52"/>
  <c r="AR94"/>
  <c r="AR230"/>
  <c r="AR378"/>
  <c r="AR259"/>
  <c r="AR419"/>
  <c r="AQ28"/>
  <c r="AI150"/>
  <c r="AI181"/>
  <c r="AI102"/>
  <c r="AQ111"/>
  <c r="AQ131"/>
  <c r="AQ390"/>
  <c r="AQ73"/>
  <c r="AQ205"/>
  <c r="AI336"/>
  <c r="AI464"/>
  <c r="AQ104"/>
  <c r="AI239"/>
  <c r="AI367"/>
  <c r="AJ251"/>
  <c r="AR68"/>
  <c r="AR196"/>
  <c r="AR274"/>
  <c r="AR231"/>
  <c r="AR393"/>
  <c r="AJ460"/>
  <c r="AI465"/>
  <c r="AI129"/>
  <c r="AI390"/>
  <c r="AQ478"/>
  <c r="AI78"/>
  <c r="AQ338"/>
  <c r="AI48"/>
  <c r="AI180"/>
  <c r="AQ309"/>
  <c r="AQ437"/>
  <c r="AQ76"/>
  <c r="AI211"/>
  <c r="AQ340"/>
  <c r="AQ468"/>
  <c r="AJ217"/>
  <c r="AJ358"/>
  <c r="AJ394"/>
  <c r="AJ472"/>
  <c r="AJ167"/>
  <c r="AJ101"/>
  <c r="AJ191"/>
  <c r="AJ145"/>
  <c r="AJ372"/>
  <c r="AJ197"/>
  <c r="AJ67"/>
  <c r="AJ149"/>
  <c r="AJ407"/>
  <c r="AJ239"/>
  <c r="AJ110"/>
  <c r="AJ211"/>
  <c r="U19" i="12"/>
  <c r="AA19"/>
  <c r="W19"/>
  <c r="P261"/>
  <c r="AR131" i="10"/>
  <c r="AQ27"/>
  <c r="AQ201"/>
  <c r="AJ313"/>
  <c r="AI268"/>
  <c r="P92" i="12"/>
  <c r="AR185" i="10"/>
  <c r="AQ47"/>
  <c r="AI396"/>
  <c r="P50" i="12"/>
  <c r="AR319" i="10"/>
  <c r="AQ32"/>
  <c r="P227" i="12"/>
  <c r="AR60" i="10"/>
  <c r="AI138"/>
  <c r="AI332"/>
  <c r="P59" i="12"/>
  <c r="AJ282" i="10"/>
  <c r="AR71"/>
  <c r="AR72"/>
  <c r="AR397"/>
  <c r="AI270"/>
  <c r="AQ215"/>
  <c r="AQ377"/>
  <c r="AQ472"/>
  <c r="P73" i="12"/>
  <c r="AR95" i="10"/>
  <c r="AR200"/>
  <c r="AQ54"/>
  <c r="AQ346"/>
  <c r="AQ441"/>
  <c r="AQ408"/>
  <c r="P32" i="12"/>
  <c r="P236"/>
  <c r="P141"/>
  <c r="P201"/>
  <c r="AJ301" i="10"/>
  <c r="AJ47"/>
  <c r="AR195"/>
  <c r="AJ206"/>
  <c r="AR340"/>
  <c r="AR287"/>
  <c r="AQ122"/>
  <c r="AI242"/>
  <c r="AI233"/>
  <c r="AI445"/>
  <c r="AI236"/>
  <c r="AI422"/>
  <c r="AI267"/>
  <c r="P214" i="12"/>
  <c r="P54"/>
  <c r="AR136" i="10"/>
  <c r="P68" i="12"/>
  <c r="P48"/>
  <c r="P268"/>
  <c r="P212"/>
  <c r="AR351" i="10"/>
  <c r="AR32"/>
  <c r="AR155"/>
  <c r="AJ96"/>
  <c r="AR268"/>
  <c r="AR269"/>
  <c r="AI45"/>
  <c r="AI201"/>
  <c r="AI154"/>
  <c r="AQ410"/>
  <c r="AI216"/>
  <c r="AQ473"/>
  <c r="AQ248"/>
  <c r="P133" i="12"/>
  <c r="P70"/>
  <c r="P269"/>
  <c r="P143"/>
  <c r="P245"/>
  <c r="P257"/>
  <c r="P106"/>
  <c r="P211"/>
  <c r="AJ328" i="10"/>
  <c r="AR345"/>
  <c r="AR365"/>
  <c r="AR135"/>
  <c r="AR85"/>
  <c r="AR34"/>
  <c r="AR344"/>
  <c r="AR177"/>
  <c r="AR310"/>
  <c r="AR152"/>
  <c r="AJ75"/>
  <c r="AJ405"/>
  <c r="AR317"/>
  <c r="AR477"/>
  <c r="AQ271"/>
  <c r="AQ43"/>
  <c r="AI302"/>
  <c r="AQ323"/>
  <c r="AI349"/>
  <c r="AQ250"/>
  <c r="AQ419"/>
  <c r="AI136"/>
  <c r="AQ265"/>
  <c r="AQ393"/>
  <c r="AI31"/>
  <c r="AI167"/>
  <c r="AQ296"/>
  <c r="AQ424"/>
  <c r="P86" i="12"/>
  <c r="P183"/>
  <c r="P250"/>
  <c r="P172"/>
  <c r="P121"/>
  <c r="P194"/>
  <c r="P210"/>
  <c r="P248"/>
  <c r="AJ312" i="10"/>
  <c r="AR335"/>
  <c r="AR46"/>
  <c r="AR37"/>
  <c r="AR320"/>
  <c r="AR163"/>
  <c r="AR89"/>
  <c r="AJ116"/>
  <c r="AR106"/>
  <c r="AR276"/>
  <c r="AR426"/>
  <c r="AR271"/>
  <c r="AJ412"/>
  <c r="AQ79"/>
  <c r="AQ383"/>
  <c r="AQ286"/>
  <c r="AQ153"/>
  <c r="AI412"/>
  <c r="AQ184"/>
  <c r="AI443"/>
  <c r="P216" i="12"/>
  <c r="P215"/>
  <c r="P238"/>
  <c r="P99"/>
  <c r="P80"/>
  <c r="P140"/>
  <c r="P131"/>
  <c r="P233"/>
  <c r="AJ297" i="10"/>
  <c r="AJ344"/>
  <c r="AR87"/>
  <c r="AR53"/>
  <c r="AR43"/>
  <c r="AR211"/>
  <c r="AR137"/>
  <c r="AJ220"/>
  <c r="AR130"/>
  <c r="AR372"/>
  <c r="AR474"/>
  <c r="AR295"/>
  <c r="AR455"/>
  <c r="AQ158"/>
  <c r="AI297"/>
  <c r="AI258"/>
  <c r="AQ235"/>
  <c r="AI261"/>
  <c r="AQ203"/>
  <c r="AI461"/>
  <c r="AI112"/>
  <c r="AI244"/>
  <c r="AI372"/>
  <c r="AQ439"/>
  <c r="AQ144"/>
  <c r="AI275"/>
  <c r="AI403"/>
  <c r="P87" i="12"/>
  <c r="P145"/>
  <c r="P114"/>
  <c r="P84"/>
  <c r="P122"/>
  <c r="P206"/>
  <c r="P37"/>
  <c r="P67"/>
  <c r="AR343" i="10"/>
  <c r="AJ246"/>
  <c r="AR337"/>
  <c r="AR328"/>
  <c r="AR197"/>
  <c r="AR107"/>
  <c r="AR52"/>
  <c r="AJ36"/>
  <c r="AR80"/>
  <c r="AR208"/>
  <c r="AR322"/>
  <c r="AR243"/>
  <c r="AR405"/>
  <c r="AQ146"/>
  <c r="AI254"/>
  <c r="AI257"/>
  <c r="AQ458"/>
  <c r="AQ241"/>
  <c r="AI438"/>
  <c r="AQ272"/>
  <c r="AJ42"/>
  <c r="AR86"/>
  <c r="AR214"/>
  <c r="AR346"/>
  <c r="AR251"/>
  <c r="AR411"/>
  <c r="AQ26"/>
  <c r="AI122"/>
  <c r="AI165"/>
  <c r="AI77"/>
  <c r="AQ87"/>
  <c r="AI113"/>
  <c r="AQ374"/>
  <c r="AQ65"/>
  <c r="AQ197"/>
  <c r="AI328"/>
  <c r="AI456"/>
  <c r="AQ96"/>
  <c r="AI231"/>
  <c r="AI359"/>
  <c r="AJ254"/>
  <c r="AR454"/>
  <c r="AR188"/>
  <c r="AR244"/>
  <c r="AR223"/>
  <c r="AR385"/>
  <c r="AJ446"/>
  <c r="AQ438"/>
  <c r="AQ114"/>
  <c r="AI374"/>
  <c r="AI457"/>
  <c r="AI62"/>
  <c r="AQ322"/>
  <c r="AQ37"/>
  <c r="AI172"/>
  <c r="AQ301"/>
  <c r="AQ429"/>
  <c r="AQ68"/>
  <c r="AI203"/>
  <c r="AQ332"/>
  <c r="AQ460"/>
  <c r="AJ287"/>
  <c r="AJ387"/>
  <c r="AJ445"/>
  <c r="AJ79"/>
  <c r="AJ176"/>
  <c r="AJ125"/>
  <c r="AJ214"/>
  <c r="AJ155"/>
  <c r="AJ377"/>
  <c r="AJ213"/>
  <c r="AJ72"/>
  <c r="AJ154"/>
  <c r="AJ426"/>
  <c r="AJ258"/>
  <c r="AJ114"/>
  <c r="AJ243"/>
  <c r="AJ253"/>
  <c r="AJ180"/>
  <c r="AJ137"/>
  <c r="K11" i="27"/>
  <c r="AF77" i="22" s="1"/>
  <c r="V26"/>
  <c r="V34"/>
  <c r="V18"/>
  <c r="V42"/>
  <c r="V47"/>
  <c r="V25"/>
  <c r="V27"/>
  <c r="V24"/>
  <c r="V36"/>
  <c r="V20"/>
  <c r="V37"/>
  <c r="V39"/>
  <c r="V33"/>
  <c r="V41"/>
  <c r="V29"/>
  <c r="V35"/>
  <c r="V22"/>
  <c r="V45"/>
  <c r="V30"/>
  <c r="V43"/>
  <c r="V21"/>
  <c r="V38"/>
  <c r="V23"/>
  <c r="V25" i="21"/>
  <c r="V18"/>
  <c r="K11" i="26"/>
  <c r="AF43" i="21" s="1"/>
  <c r="I11" i="26"/>
  <c r="AF65" i="21" s="1"/>
  <c r="V26"/>
  <c r="V29"/>
  <c r="V40"/>
  <c r="V43"/>
  <c r="AF59" i="15"/>
  <c r="G11" i="26"/>
  <c r="AF55" i="21" s="1"/>
  <c r="V31"/>
  <c r="V27"/>
  <c r="V42"/>
  <c r="V20"/>
  <c r="V19"/>
  <c r="V47"/>
  <c r="V23"/>
  <c r="V45"/>
  <c r="V33"/>
  <c r="V37"/>
  <c r="F11" i="26"/>
  <c r="AF19" i="21" s="1"/>
  <c r="V44"/>
  <c r="V46"/>
  <c r="V36"/>
  <c r="V30"/>
  <c r="V38"/>
  <c r="J11" i="26"/>
  <c r="AF42" i="21" s="1"/>
  <c r="V41"/>
  <c r="V21"/>
  <c r="V35"/>
  <c r="V22"/>
  <c r="V34"/>
  <c r="V24"/>
  <c r="V32"/>
  <c r="D11" i="26"/>
  <c r="V72" i="21" s="1"/>
  <c r="H11" i="26"/>
  <c r="AF30" i="21" s="1"/>
  <c r="H11" i="27"/>
  <c r="AF60" i="22" s="1"/>
  <c r="AF68" i="15"/>
  <c r="J11" i="27"/>
  <c r="AF41" i="22" s="1"/>
  <c r="V46"/>
  <c r="V44"/>
  <c r="V31"/>
  <c r="V32"/>
  <c r="V19"/>
  <c r="V40"/>
  <c r="AF30" i="15"/>
  <c r="AP30" s="1"/>
  <c r="AY30" s="1"/>
  <c r="BH30" s="1"/>
  <c r="D11" i="27"/>
  <c r="V67" i="22" s="1"/>
  <c r="F11" i="27"/>
  <c r="AF51" i="22" s="1"/>
  <c r="AF41" i="15"/>
  <c r="AP41" s="1"/>
  <c r="AY41" s="1"/>
  <c r="BH41" s="1"/>
  <c r="I26" i="17" s="1"/>
  <c r="G11" i="27"/>
  <c r="AF24" i="22" s="1"/>
  <c r="AF28" i="15"/>
  <c r="AP28" s="1"/>
  <c r="AY28" s="1"/>
  <c r="BH28" s="1"/>
  <c r="AF45"/>
  <c r="AP45" s="1"/>
  <c r="AY45" s="1"/>
  <c r="BH45" s="1"/>
  <c r="I30" i="17" s="1"/>
  <c r="AF61" i="15"/>
  <c r="AF29"/>
  <c r="AP29" s="1"/>
  <c r="AY29" s="1"/>
  <c r="BH29" s="1"/>
  <c r="AF39"/>
  <c r="AP39" s="1"/>
  <c r="AY39" s="1"/>
  <c r="BH39" s="1"/>
  <c r="I24" i="17" s="1"/>
  <c r="AF40" i="15"/>
  <c r="AP40" s="1"/>
  <c r="AY40" s="1"/>
  <c r="BH40" s="1"/>
  <c r="I25" i="17" s="1"/>
  <c r="AF72" i="15"/>
  <c r="AF38"/>
  <c r="AP38" s="1"/>
  <c r="AY38" s="1"/>
  <c r="BH38" s="1"/>
  <c r="I23" i="17" s="1"/>
  <c r="AF42" i="15"/>
  <c r="AP42" s="1"/>
  <c r="AY42" s="1"/>
  <c r="BH42" s="1"/>
  <c r="I27" i="17" s="1"/>
  <c r="AF75" i="15"/>
  <c r="AF71"/>
  <c r="AF70"/>
  <c r="AF77"/>
  <c r="AF60"/>
  <c r="AF58"/>
  <c r="AF32"/>
  <c r="AP32" s="1"/>
  <c r="AY32" s="1"/>
  <c r="BH32" s="1"/>
  <c r="AF46"/>
  <c r="AP46" s="1"/>
  <c r="AY46" s="1"/>
  <c r="BH46" s="1"/>
  <c r="I31" i="17" s="1"/>
  <c r="AF47" i="15"/>
  <c r="AP47" s="1"/>
  <c r="AY47" s="1"/>
  <c r="BH47" s="1"/>
  <c r="I32" i="17" s="1"/>
  <c r="AF43" i="15"/>
  <c r="AP43" s="1"/>
  <c r="AY43" s="1"/>
  <c r="BH43" s="1"/>
  <c r="I28" i="17" s="1"/>
  <c r="AF74" i="15"/>
  <c r="AF76"/>
  <c r="AF62"/>
  <c r="AF73"/>
  <c r="V67"/>
  <c r="V72"/>
  <c r="V76"/>
  <c r="V73"/>
  <c r="V75"/>
  <c r="V77"/>
  <c r="V74"/>
  <c r="V65"/>
  <c r="V62"/>
  <c r="V55"/>
  <c r="V50"/>
  <c r="V52"/>
  <c r="V54"/>
  <c r="V53"/>
  <c r="V48"/>
  <c r="V51"/>
  <c r="V71"/>
  <c r="V57"/>
  <c r="V69"/>
  <c r="AP69" s="1"/>
  <c r="AY69" s="1"/>
  <c r="BH69" s="1"/>
  <c r="I49" i="17" s="1"/>
  <c r="V49" i="15"/>
  <c r="V58"/>
  <c r="V70"/>
  <c r="V56"/>
  <c r="V63"/>
  <c r="V61"/>
  <c r="V68"/>
  <c r="V59"/>
  <c r="V60"/>
  <c r="V66"/>
  <c r="V64"/>
  <c r="AF67" i="22"/>
  <c r="AF35"/>
  <c r="AF34"/>
  <c r="AF64"/>
  <c r="AF66"/>
  <c r="AF65"/>
  <c r="AF63"/>
  <c r="AF37"/>
  <c r="AF36"/>
  <c r="AF33"/>
  <c r="AF25" i="15"/>
  <c r="AP25" s="1"/>
  <c r="AY25" s="1"/>
  <c r="BH25" s="1"/>
  <c r="I15" i="17" s="1"/>
  <c r="AF53" i="15"/>
  <c r="AF23"/>
  <c r="AP23" s="1"/>
  <c r="AY23" s="1"/>
  <c r="BH23" s="1"/>
  <c r="I13" i="17" s="1"/>
  <c r="AF55" i="15"/>
  <c r="AF27"/>
  <c r="AP27" s="1"/>
  <c r="AY27" s="1"/>
  <c r="BH27" s="1"/>
  <c r="I17" i="17" s="1"/>
  <c r="AF24" i="15"/>
  <c r="AP24" s="1"/>
  <c r="AY24" s="1"/>
  <c r="BH24" s="1"/>
  <c r="I14" i="17" s="1"/>
  <c r="AF26" i="15"/>
  <c r="AP26" s="1"/>
  <c r="AY26" s="1"/>
  <c r="BH26" s="1"/>
  <c r="I16" i="17" s="1"/>
  <c r="AF56" i="15"/>
  <c r="AF57"/>
  <c r="AF54"/>
  <c r="I10" i="26"/>
  <c r="I10" i="14"/>
  <c r="I10" i="27"/>
  <c r="G10"/>
  <c r="G10" i="26"/>
  <c r="G10" i="14"/>
  <c r="L25" i="30"/>
  <c r="L21"/>
  <c r="L19"/>
  <c r="L26"/>
  <c r="L16"/>
  <c r="L20"/>
  <c r="M23"/>
  <c r="M11"/>
  <c r="M14"/>
  <c r="L11"/>
  <c r="L15"/>
  <c r="L18"/>
  <c r="M21"/>
  <c r="L12"/>
  <c r="M15"/>
  <c r="M18"/>
  <c r="L22"/>
  <c r="M25"/>
  <c r="L27"/>
  <c r="M28"/>
  <c r="M12"/>
  <c r="L24"/>
  <c r="M17"/>
  <c r="L17"/>
  <c r="M27"/>
  <c r="L14"/>
  <c r="M22"/>
  <c r="M26"/>
  <c r="L13"/>
  <c r="L28"/>
  <c r="M13"/>
  <c r="M16"/>
  <c r="M24"/>
  <c r="M20"/>
  <c r="L23"/>
  <c r="M19"/>
  <c r="AP31" i="15"/>
  <c r="AY31" s="1"/>
  <c r="BH31" s="1"/>
  <c r="AP44"/>
  <c r="AY44" s="1"/>
  <c r="BH44" s="1"/>
  <c r="I29" i="17" s="1"/>
  <c r="J10" i="26"/>
  <c r="AF50" i="15"/>
  <c r="AF49"/>
  <c r="AF52"/>
  <c r="AF21"/>
  <c r="AP21" s="1"/>
  <c r="AY21" s="1"/>
  <c r="BH21" s="1"/>
  <c r="I11" i="17" s="1"/>
  <c r="AF18" i="15"/>
  <c r="AP18" s="1"/>
  <c r="AY18" s="1"/>
  <c r="BH18" s="1"/>
  <c r="I8" i="17" s="1"/>
  <c r="AF51" i="15"/>
  <c r="AF22"/>
  <c r="AP22" s="1"/>
  <c r="AY22" s="1"/>
  <c r="BH22" s="1"/>
  <c r="I12" i="17" s="1"/>
  <c r="AF20" i="15"/>
  <c r="AP20" s="1"/>
  <c r="AY20" s="1"/>
  <c r="BH20" s="1"/>
  <c r="I10" i="17" s="1"/>
  <c r="AF48" i="15"/>
  <c r="AF19"/>
  <c r="AP19" s="1"/>
  <c r="AY19" s="1"/>
  <c r="BH19" s="1"/>
  <c r="I9" i="17" s="1"/>
  <c r="AF67" i="15"/>
  <c r="AF63"/>
  <c r="AF64"/>
  <c r="AF36"/>
  <c r="AP36" s="1"/>
  <c r="AY36" s="1"/>
  <c r="BH36" s="1"/>
  <c r="I21" i="17" s="1"/>
  <c r="AF35" i="15"/>
  <c r="AP35" s="1"/>
  <c r="AY35" s="1"/>
  <c r="BH35" s="1"/>
  <c r="I20" i="17" s="1"/>
  <c r="AF66" i="15"/>
  <c r="AF37"/>
  <c r="AP37" s="1"/>
  <c r="AY37" s="1"/>
  <c r="BH37" s="1"/>
  <c r="I22" i="17" s="1"/>
  <c r="AF65" i="15"/>
  <c r="AF33"/>
  <c r="AP33" s="1"/>
  <c r="AY33" s="1"/>
  <c r="BH33" s="1"/>
  <c r="I18" i="17" s="1"/>
  <c r="AF34" i="15"/>
  <c r="AP34" s="1"/>
  <c r="AY34" s="1"/>
  <c r="BH34" s="1"/>
  <c r="I19" i="17" s="1"/>
  <c r="K10" i="27"/>
  <c r="K10" i="14"/>
  <c r="K10" i="26"/>
  <c r="BF13" i="10"/>
  <c r="BC13"/>
  <c r="BA14"/>
  <c r="AZ14"/>
  <c r="BG13"/>
  <c r="BA13"/>
  <c r="AY13"/>
  <c r="AV13"/>
  <c r="AX13"/>
  <c r="BD13"/>
  <c r="BB13"/>
  <c r="AZ13"/>
  <c r="AW13"/>
  <c r="BE13"/>
  <c r="BF14"/>
  <c r="AY14"/>
  <c r="BG14"/>
  <c r="AX14"/>
  <c r="BD14"/>
  <c r="BB14"/>
  <c r="AV14"/>
  <c r="BC14"/>
  <c r="BE14"/>
  <c r="AW14"/>
  <c r="F10" i="27" l="1"/>
  <c r="Y20" i="22" s="1"/>
  <c r="J10" i="14"/>
  <c r="Y72" i="15" s="1"/>
  <c r="F10" i="26"/>
  <c r="K9" i="27"/>
  <c r="X77" i="22" s="1"/>
  <c r="K9" i="14"/>
  <c r="X77" i="15" s="1"/>
  <c r="K9" i="26"/>
  <c r="X43" i="21" s="1"/>
  <c r="J9" i="26"/>
  <c r="J9" i="27"/>
  <c r="X41" i="22" s="1"/>
  <c r="J9" i="14"/>
  <c r="X68" i="15" s="1"/>
  <c r="I8" i="26"/>
  <c r="I8" i="27"/>
  <c r="I8" i="14"/>
  <c r="F8" i="27"/>
  <c r="F8" i="26"/>
  <c r="F8" i="14"/>
  <c r="H8" i="26"/>
  <c r="BH13" i="10"/>
  <c r="C8" i="14" s="1"/>
  <c r="H8"/>
  <c r="H8" i="27"/>
  <c r="BI13" i="10"/>
  <c r="D8" i="27" s="1"/>
  <c r="K8"/>
  <c r="K8" i="26"/>
  <c r="K8" i="14"/>
  <c r="G8" i="26"/>
  <c r="G8" i="27"/>
  <c r="G8" i="14"/>
  <c r="J8"/>
  <c r="J8" i="27"/>
  <c r="J8" i="26"/>
  <c r="AG19" i="12"/>
  <c r="Z22" s="1"/>
  <c r="H10" i="26"/>
  <c r="AP35" i="22"/>
  <c r="AY35" s="1"/>
  <c r="BH35" s="1"/>
  <c r="I320" i="17" s="1"/>
  <c r="H10" i="27"/>
  <c r="Y28" i="22" s="1"/>
  <c r="I9" i="26"/>
  <c r="X63" i="21" s="1"/>
  <c r="I9" i="14"/>
  <c r="X33" i="15" s="1"/>
  <c r="I9" i="27"/>
  <c r="X33" i="22" s="1"/>
  <c r="G9" i="27"/>
  <c r="X56" i="22" s="1"/>
  <c r="G9" i="26"/>
  <c r="X57" i="21" s="1"/>
  <c r="G9" i="14"/>
  <c r="X23" i="15" s="1"/>
  <c r="F9" i="14"/>
  <c r="X19" i="15" s="1"/>
  <c r="F9" i="27"/>
  <c r="F19" s="1"/>
  <c r="F20" s="1"/>
  <c r="F9" i="26"/>
  <c r="X22" i="21" s="1"/>
  <c r="H9" i="27"/>
  <c r="X32" i="22" s="1"/>
  <c r="BI14" i="10"/>
  <c r="D9" i="27" s="1"/>
  <c r="H9" i="14"/>
  <c r="X61" i="15" s="1"/>
  <c r="BH14" i="10"/>
  <c r="C9" i="27" s="1"/>
  <c r="H9" i="26"/>
  <c r="X61" i="21" s="1"/>
  <c r="AF66"/>
  <c r="AF35"/>
  <c r="AP35" s="1"/>
  <c r="AY35" s="1"/>
  <c r="BH35" s="1"/>
  <c r="I170" i="17" s="1"/>
  <c r="AF63" i="21"/>
  <c r="AF36"/>
  <c r="AP36" s="1"/>
  <c r="AY36" s="1"/>
  <c r="BH36" s="1"/>
  <c r="I171" i="17" s="1"/>
  <c r="AF67" i="21"/>
  <c r="AF34"/>
  <c r="AF37"/>
  <c r="AP37" s="1"/>
  <c r="AY37" s="1"/>
  <c r="BH37" s="1"/>
  <c r="I172" i="17" s="1"/>
  <c r="AF33" i="21"/>
  <c r="AP33" s="1"/>
  <c r="AY33" s="1"/>
  <c r="BH33" s="1"/>
  <c r="I168" i="17" s="1"/>
  <c r="AF64" i="21"/>
  <c r="AP37" i="22"/>
  <c r="AY37" s="1"/>
  <c r="BH37" s="1"/>
  <c r="I322" i="17" s="1"/>
  <c r="AF73" i="22"/>
  <c r="AF47"/>
  <c r="AP47" s="1"/>
  <c r="AY47" s="1"/>
  <c r="BH47" s="1"/>
  <c r="I332" i="17" s="1"/>
  <c r="AF56" i="21"/>
  <c r="AF75" i="22"/>
  <c r="AF74"/>
  <c r="AF76"/>
  <c r="AF46"/>
  <c r="AP46" s="1"/>
  <c r="AY46" s="1"/>
  <c r="BH46" s="1"/>
  <c r="I331" i="17" s="1"/>
  <c r="AF44" i="22"/>
  <c r="AP44" s="1"/>
  <c r="AY44" s="1"/>
  <c r="BH44" s="1"/>
  <c r="I329" i="17" s="1"/>
  <c r="AF45" i="22"/>
  <c r="AP45" s="1"/>
  <c r="AY45" s="1"/>
  <c r="BH45" s="1"/>
  <c r="I330" i="17" s="1"/>
  <c r="AP43" i="21"/>
  <c r="AY43" s="1"/>
  <c r="BH43" s="1"/>
  <c r="I178" i="17" s="1"/>
  <c r="AF43" i="22"/>
  <c r="AP43" s="1"/>
  <c r="AY43" s="1"/>
  <c r="BH43" s="1"/>
  <c r="I328" i="17" s="1"/>
  <c r="AF71" i="21"/>
  <c r="V54"/>
  <c r="AF73"/>
  <c r="AF58" i="22"/>
  <c r="AF28"/>
  <c r="AP28" s="1"/>
  <c r="AY28" s="1"/>
  <c r="BH28" s="1"/>
  <c r="AP34"/>
  <c r="AY34" s="1"/>
  <c r="BH34" s="1"/>
  <c r="I319" i="17" s="1"/>
  <c r="AF44" i="21"/>
  <c r="AP44" s="1"/>
  <c r="AY44" s="1"/>
  <c r="BH44" s="1"/>
  <c r="I179" i="17" s="1"/>
  <c r="AF75" i="21"/>
  <c r="AF45"/>
  <c r="AP45" s="1"/>
  <c r="AY45" s="1"/>
  <c r="BH45" s="1"/>
  <c r="I180" i="17" s="1"/>
  <c r="AP33" i="22"/>
  <c r="AY33" s="1"/>
  <c r="BH33" s="1"/>
  <c r="I318" i="17" s="1"/>
  <c r="AF47" i="21"/>
  <c r="AP47" s="1"/>
  <c r="AY47" s="1"/>
  <c r="BH47" s="1"/>
  <c r="I182" i="17" s="1"/>
  <c r="AF46" i="21"/>
  <c r="AP46" s="1"/>
  <c r="AY46" s="1"/>
  <c r="BH46" s="1"/>
  <c r="I181" i="17" s="1"/>
  <c r="AF77" i="21"/>
  <c r="AP30"/>
  <c r="AY30" s="1"/>
  <c r="BH30" s="1"/>
  <c r="AP19"/>
  <c r="AY19" s="1"/>
  <c r="BH19" s="1"/>
  <c r="I159" i="17" s="1"/>
  <c r="AP41" i="22"/>
  <c r="AY41" s="1"/>
  <c r="BH41" s="1"/>
  <c r="I326" i="17" s="1"/>
  <c r="AF74" i="21"/>
  <c r="AF76"/>
  <c r="AP36" i="22"/>
  <c r="AY36" s="1"/>
  <c r="BH36" s="1"/>
  <c r="I321" i="17" s="1"/>
  <c r="AP24" i="22"/>
  <c r="AY24" s="1"/>
  <c r="BH24" s="1"/>
  <c r="I314" i="17" s="1"/>
  <c r="AF54" i="21"/>
  <c r="AF20" i="22"/>
  <c r="AP20" s="1"/>
  <c r="AY20" s="1"/>
  <c r="BH20" s="1"/>
  <c r="I310" i="17" s="1"/>
  <c r="AF32" i="21"/>
  <c r="AP32" s="1"/>
  <c r="AY32" s="1"/>
  <c r="BH32" s="1"/>
  <c r="AP59" i="15"/>
  <c r="AY59" s="1"/>
  <c r="BH59" s="1"/>
  <c r="AF31" i="21"/>
  <c r="AP31" s="1"/>
  <c r="AY31" s="1"/>
  <c r="BH31" s="1"/>
  <c r="AF61"/>
  <c r="AP42"/>
  <c r="AY42" s="1"/>
  <c r="BH42" s="1"/>
  <c r="I177" i="17" s="1"/>
  <c r="V63" i="21"/>
  <c r="AF51"/>
  <c r="V65"/>
  <c r="AP65" s="1"/>
  <c r="AY65" s="1"/>
  <c r="BH65" s="1"/>
  <c r="I195" i="17" s="1"/>
  <c r="V62" i="21"/>
  <c r="V67"/>
  <c r="V57"/>
  <c r="AF49" i="22"/>
  <c r="AF21"/>
  <c r="AP21" s="1"/>
  <c r="AY21" s="1"/>
  <c r="BH21" s="1"/>
  <c r="I311" i="17" s="1"/>
  <c r="AF21" i="21"/>
  <c r="AP21" s="1"/>
  <c r="AY21" s="1"/>
  <c r="BH21" s="1"/>
  <c r="I161" i="17" s="1"/>
  <c r="AP34" i="21"/>
  <c r="AY34" s="1"/>
  <c r="BH34" s="1"/>
  <c r="I169" i="17" s="1"/>
  <c r="V61" i="21"/>
  <c r="V74"/>
  <c r="V71"/>
  <c r="AF28"/>
  <c r="AP28" s="1"/>
  <c r="AY28" s="1"/>
  <c r="BH28" s="1"/>
  <c r="AF59"/>
  <c r="AF19" i="22"/>
  <c r="AP19" s="1"/>
  <c r="AY19" s="1"/>
  <c r="BH19" s="1"/>
  <c r="I309" i="17" s="1"/>
  <c r="AF49" i="21"/>
  <c r="V66"/>
  <c r="AF22" i="22"/>
  <c r="AP22" s="1"/>
  <c r="AY22" s="1"/>
  <c r="BH22" s="1"/>
  <c r="I312" i="17" s="1"/>
  <c r="AF50" i="21"/>
  <c r="AP68" i="15"/>
  <c r="AY68" s="1"/>
  <c r="BH68" s="1"/>
  <c r="I48" i="17" s="1"/>
  <c r="V75" i="21"/>
  <c r="V73"/>
  <c r="V55"/>
  <c r="AP55" s="1"/>
  <c r="AY55" s="1"/>
  <c r="BH55" s="1"/>
  <c r="I190" i="17" s="1"/>
  <c r="AF60" i="21"/>
  <c r="AF23"/>
  <c r="AP23" s="1"/>
  <c r="AY23" s="1"/>
  <c r="BH23" s="1"/>
  <c r="I163" i="17" s="1"/>
  <c r="AF57" i="21"/>
  <c r="AF26"/>
  <c r="AP26" s="1"/>
  <c r="AY26" s="1"/>
  <c r="BH26" s="1"/>
  <c r="I166" i="17" s="1"/>
  <c r="AF25" i="21"/>
  <c r="AP25" s="1"/>
  <c r="AY25" s="1"/>
  <c r="BH25" s="1"/>
  <c r="I165" i="17" s="1"/>
  <c r="V48" i="22"/>
  <c r="AF59"/>
  <c r="AF27" i="21"/>
  <c r="AP27" s="1"/>
  <c r="AY27" s="1"/>
  <c r="BH27" s="1"/>
  <c r="I167" i="17" s="1"/>
  <c r="AF24" i="21"/>
  <c r="AP24" s="1"/>
  <c r="AY24" s="1"/>
  <c r="BH24" s="1"/>
  <c r="I164" i="17" s="1"/>
  <c r="AF53" i="21"/>
  <c r="V65" i="22"/>
  <c r="AP65" s="1"/>
  <c r="AY65" s="1"/>
  <c r="BH65" s="1"/>
  <c r="I345" i="17" s="1"/>
  <c r="AF69" i="22"/>
  <c r="AF62"/>
  <c r="AF18"/>
  <c r="AP18" s="1"/>
  <c r="AY18" s="1"/>
  <c r="BH18" s="1"/>
  <c r="I308" i="17" s="1"/>
  <c r="AF52" i="22"/>
  <c r="AF39" i="21"/>
  <c r="AP39" s="1"/>
  <c r="AY39" s="1"/>
  <c r="BH39" s="1"/>
  <c r="I174" i="17" s="1"/>
  <c r="AF48" i="21"/>
  <c r="AF52"/>
  <c r="AF20"/>
  <c r="AP20" s="1"/>
  <c r="AY20" s="1"/>
  <c r="BH20" s="1"/>
  <c r="I160" i="17" s="1"/>
  <c r="V59" i="21"/>
  <c r="V76"/>
  <c r="V56"/>
  <c r="V49"/>
  <c r="V69"/>
  <c r="V77"/>
  <c r="V51"/>
  <c r="V50"/>
  <c r="AF48" i="22"/>
  <c r="AF50"/>
  <c r="AF72" i="21"/>
  <c r="AP72" s="1"/>
  <c r="AY72" s="1"/>
  <c r="BH72" s="1"/>
  <c r="I202" i="17" s="1"/>
  <c r="J17" i="2" s="1"/>
  <c r="AF18" i="21"/>
  <c r="AP18" s="1"/>
  <c r="AY18" s="1"/>
  <c r="BH18" s="1"/>
  <c r="I158" i="17" s="1"/>
  <c r="AF22" i="21"/>
  <c r="AP22" s="1"/>
  <c r="AY22" s="1"/>
  <c r="BH22" s="1"/>
  <c r="I162" i="17" s="1"/>
  <c r="V70" i="21"/>
  <c r="V53"/>
  <c r="V48"/>
  <c r="V64"/>
  <c r="V68"/>
  <c r="V52"/>
  <c r="V58"/>
  <c r="V60"/>
  <c r="AF40"/>
  <c r="AP40" s="1"/>
  <c r="AY40" s="1"/>
  <c r="BH40" s="1"/>
  <c r="I175" i="17" s="1"/>
  <c r="AF38" i="21"/>
  <c r="AP38" s="1"/>
  <c r="AY38" s="1"/>
  <c r="BH38" s="1"/>
  <c r="I173" i="17" s="1"/>
  <c r="AF31" i="22"/>
  <c r="AP31" s="1"/>
  <c r="AY31" s="1"/>
  <c r="BH31" s="1"/>
  <c r="AF69" i="21"/>
  <c r="AF29" i="22"/>
  <c r="AP29" s="1"/>
  <c r="AY29" s="1"/>
  <c r="BH29" s="1"/>
  <c r="AF30"/>
  <c r="AP30" s="1"/>
  <c r="AY30" s="1"/>
  <c r="BH30" s="1"/>
  <c r="AF58" i="21"/>
  <c r="AF62"/>
  <c r="AF29"/>
  <c r="AP29" s="1"/>
  <c r="AY29" s="1"/>
  <c r="BH29" s="1"/>
  <c r="AF41"/>
  <c r="AP41" s="1"/>
  <c r="AY41" s="1"/>
  <c r="BH41" s="1"/>
  <c r="I176" i="17" s="1"/>
  <c r="AF68" i="21"/>
  <c r="AF70"/>
  <c r="V49" i="22"/>
  <c r="V68"/>
  <c r="V58"/>
  <c r="V50"/>
  <c r="V59"/>
  <c r="V77"/>
  <c r="AP77" s="1"/>
  <c r="AY77" s="1"/>
  <c r="BH77" s="1"/>
  <c r="I357" i="17" s="1"/>
  <c r="J27" i="2" s="1"/>
  <c r="AF40" i="22"/>
  <c r="AP40" s="1"/>
  <c r="AY40" s="1"/>
  <c r="BH40" s="1"/>
  <c r="I325" i="17" s="1"/>
  <c r="AF61" i="22"/>
  <c r="AF32"/>
  <c r="AP32" s="1"/>
  <c r="AY32" s="1"/>
  <c r="BH32" s="1"/>
  <c r="AE21" i="12"/>
  <c r="AP60" i="15"/>
  <c r="AY60" s="1"/>
  <c r="BH60" s="1"/>
  <c r="AF53" i="22"/>
  <c r="AF27"/>
  <c r="AP27" s="1"/>
  <c r="AY27" s="1"/>
  <c r="BH27" s="1"/>
  <c r="I317" i="17" s="1"/>
  <c r="AF56" i="22"/>
  <c r="AF23"/>
  <c r="AP23" s="1"/>
  <c r="AY23" s="1"/>
  <c r="BH23" s="1"/>
  <c r="I313" i="17" s="1"/>
  <c r="AF57" i="22"/>
  <c r="V53"/>
  <c r="V56"/>
  <c r="V51"/>
  <c r="AP51" s="1"/>
  <c r="AY51" s="1"/>
  <c r="BH51" s="1"/>
  <c r="I336" i="17" s="1"/>
  <c r="V54" i="22"/>
  <c r="AF38"/>
  <c r="AP38" s="1"/>
  <c r="AY38" s="1"/>
  <c r="BH38" s="1"/>
  <c r="I323" i="17" s="1"/>
  <c r="AF71" i="22"/>
  <c r="V69"/>
  <c r="V52"/>
  <c r="V74"/>
  <c r="V57"/>
  <c r="V71"/>
  <c r="V70"/>
  <c r="V55"/>
  <c r="AF70"/>
  <c r="AF42"/>
  <c r="AP42" s="1"/>
  <c r="AY42" s="1"/>
  <c r="BH42" s="1"/>
  <c r="I327" i="17" s="1"/>
  <c r="AF72" i="22"/>
  <c r="AP58" i="15"/>
  <c r="AY58" s="1"/>
  <c r="BH58" s="1"/>
  <c r="AP71"/>
  <c r="AY71" s="1"/>
  <c r="BH71" s="1"/>
  <c r="I51" i="17" s="1"/>
  <c r="AP75" i="15"/>
  <c r="AY75" s="1"/>
  <c r="BH75" s="1"/>
  <c r="I55" i="17" s="1"/>
  <c r="AF54" i="22"/>
  <c r="AF55"/>
  <c r="V62"/>
  <c r="V66"/>
  <c r="AP66" s="1"/>
  <c r="AY66" s="1"/>
  <c r="BH66" s="1"/>
  <c r="I346" i="17" s="1"/>
  <c r="V72" i="22"/>
  <c r="V63"/>
  <c r="AP63" s="1"/>
  <c r="AY63" s="1"/>
  <c r="BH63" s="1"/>
  <c r="I343" i="17" s="1"/>
  <c r="V64" i="22"/>
  <c r="AP64" s="1"/>
  <c r="AY64" s="1"/>
  <c r="BH64" s="1"/>
  <c r="I344" i="17" s="1"/>
  <c r="V76" i="22"/>
  <c r="V60"/>
  <c r="AP60" s="1"/>
  <c r="AY60" s="1"/>
  <c r="BH60" s="1"/>
  <c r="V73"/>
  <c r="V61"/>
  <c r="V75"/>
  <c r="AF68"/>
  <c r="AF39"/>
  <c r="AP39" s="1"/>
  <c r="AY39" s="1"/>
  <c r="BH39" s="1"/>
  <c r="I324" i="17" s="1"/>
  <c r="AP70" i="15"/>
  <c r="AY70" s="1"/>
  <c r="BH70" s="1"/>
  <c r="I50" i="17" s="1"/>
  <c r="AF25" i="22"/>
  <c r="AP25" s="1"/>
  <c r="AY25" s="1"/>
  <c r="BH25" s="1"/>
  <c r="I315" i="17" s="1"/>
  <c r="AF26" i="22"/>
  <c r="AP26" s="1"/>
  <c r="AY26" s="1"/>
  <c r="BH26" s="1"/>
  <c r="I316" i="17" s="1"/>
  <c r="AP77" i="15"/>
  <c r="AY77" s="1"/>
  <c r="BH77" s="1"/>
  <c r="I57" i="17" s="1"/>
  <c r="AP72" i="15"/>
  <c r="AY72" s="1"/>
  <c r="BH72" s="1"/>
  <c r="I52" i="17" s="1"/>
  <c r="J8" i="2" s="1"/>
  <c r="AP61" i="15"/>
  <c r="AY61" s="1"/>
  <c r="BH61" s="1"/>
  <c r="AP74"/>
  <c r="AY74" s="1"/>
  <c r="BH74" s="1"/>
  <c r="I54" i="17" s="1"/>
  <c r="AP73" i="15"/>
  <c r="AY73" s="1"/>
  <c r="BH73" s="1"/>
  <c r="I53" i="17" s="1"/>
  <c r="Z21" i="12"/>
  <c r="AP76" i="15"/>
  <c r="AY76" s="1"/>
  <c r="BH76" s="1"/>
  <c r="I56" i="17" s="1"/>
  <c r="AP62" i="15"/>
  <c r="AY62" s="1"/>
  <c r="BH62" s="1"/>
  <c r="AA21" i="12"/>
  <c r="AP67" i="22"/>
  <c r="AY67" s="1"/>
  <c r="BH67" s="1"/>
  <c r="I347" i="17" s="1"/>
  <c r="J25" i="2" s="1"/>
  <c r="J57" s="1"/>
  <c r="J24" i="5" s="1"/>
  <c r="H26" i="3" s="1"/>
  <c r="AB21" i="12"/>
  <c r="AP49" i="15"/>
  <c r="AY49" s="1"/>
  <c r="BH49" s="1"/>
  <c r="I34" i="17" s="1"/>
  <c r="AP51" i="15"/>
  <c r="AY51" s="1"/>
  <c r="BH51" s="1"/>
  <c r="I36" i="17" s="1"/>
  <c r="AP52" i="15"/>
  <c r="AY52" s="1"/>
  <c r="BH52" s="1"/>
  <c r="I37" i="17" s="1"/>
  <c r="AP65" i="15"/>
  <c r="AY65" s="1"/>
  <c r="BH65" s="1"/>
  <c r="I45" i="17" s="1"/>
  <c r="Y51" i="22"/>
  <c r="Y52"/>
  <c r="Y69" i="21"/>
  <c r="Y41"/>
  <c r="Y70"/>
  <c r="Y39"/>
  <c r="Y71"/>
  <c r="Y40"/>
  <c r="Y68"/>
  <c r="Y38"/>
  <c r="Y42"/>
  <c r="Y72"/>
  <c r="Y66" i="15"/>
  <c r="Y64"/>
  <c r="Y36"/>
  <c r="Y37"/>
  <c r="Y34"/>
  <c r="Y63"/>
  <c r="Y35"/>
  <c r="Y33"/>
  <c r="Y67"/>
  <c r="Y65"/>
  <c r="Y32" i="22"/>
  <c r="Y29" i="21"/>
  <c r="Y61"/>
  <c r="Y30"/>
  <c r="Y32"/>
  <c r="Y31"/>
  <c r="Y59"/>
  <c r="Y28"/>
  <c r="Y60"/>
  <c r="Y58"/>
  <c r="Y62"/>
  <c r="X54" i="15"/>
  <c r="X53"/>
  <c r="X25"/>
  <c r="X24"/>
  <c r="X56"/>
  <c r="X60"/>
  <c r="D9" i="14"/>
  <c r="B33" i="30" a="1"/>
  <c r="AP66" i="15"/>
  <c r="AY66" s="1"/>
  <c r="BH66" s="1"/>
  <c r="I46" i="17" s="1"/>
  <c r="AP54" i="15"/>
  <c r="AY54" s="1"/>
  <c r="BH54" s="1"/>
  <c r="I39" i="17" s="1"/>
  <c r="AP67" i="15"/>
  <c r="AY67" s="1"/>
  <c r="BH67" s="1"/>
  <c r="I47" i="17" s="1"/>
  <c r="J7" i="2" s="1"/>
  <c r="J39" s="1"/>
  <c r="J6" i="5" s="1"/>
  <c r="H8" i="3" s="1"/>
  <c r="Y73" i="21"/>
  <c r="Y45"/>
  <c r="Y75"/>
  <c r="Y44"/>
  <c r="Y46"/>
  <c r="Y76"/>
  <c r="Y77"/>
  <c r="Y43"/>
  <c r="Y74"/>
  <c r="Y47"/>
  <c r="Y76" i="22"/>
  <c r="Y73"/>
  <c r="Y46"/>
  <c r="Y44"/>
  <c r="Y77"/>
  <c r="Y47"/>
  <c r="Y43"/>
  <c r="Y74"/>
  <c r="Y75"/>
  <c r="Y45"/>
  <c r="Y19" i="21"/>
  <c r="Y20"/>
  <c r="Y21"/>
  <c r="Y22"/>
  <c r="Y51"/>
  <c r="Y48"/>
  <c r="Y50"/>
  <c r="Y18"/>
  <c r="Y52"/>
  <c r="Y49"/>
  <c r="X62"/>
  <c r="X60"/>
  <c r="X31"/>
  <c r="X32"/>
  <c r="X30"/>
  <c r="X29"/>
  <c r="Y71" i="15"/>
  <c r="Y42"/>
  <c r="Y40"/>
  <c r="Y68"/>
  <c r="Y70"/>
  <c r="Y25" i="21"/>
  <c r="Y23"/>
  <c r="Y55"/>
  <c r="Y57"/>
  <c r="Y53"/>
  <c r="Y27"/>
  <c r="Y24"/>
  <c r="Y56"/>
  <c r="Y54"/>
  <c r="Y26"/>
  <c r="Y35" i="22"/>
  <c r="Y37"/>
  <c r="Y64"/>
  <c r="Y33"/>
  <c r="Y66"/>
  <c r="Y65"/>
  <c r="Y67"/>
  <c r="Y34"/>
  <c r="Y36"/>
  <c r="Y63"/>
  <c r="C10" i="26"/>
  <c r="C10" i="27"/>
  <c r="C10" i="14"/>
  <c r="X45" i="22"/>
  <c r="X47"/>
  <c r="X75"/>
  <c r="X35"/>
  <c r="X66"/>
  <c r="X34"/>
  <c r="AP64" i="15"/>
  <c r="AY64" s="1"/>
  <c r="BH64" s="1"/>
  <c r="I44" i="17" s="1"/>
  <c r="AP57" i="15"/>
  <c r="AY57" s="1"/>
  <c r="BH57" s="1"/>
  <c r="I42" i="17" s="1"/>
  <c r="AP53" i="15"/>
  <c r="AY53" s="1"/>
  <c r="BH53" s="1"/>
  <c r="I38" i="17" s="1"/>
  <c r="AP55" i="15"/>
  <c r="AY55" s="1"/>
  <c r="BH55" s="1"/>
  <c r="I40" i="17" s="1"/>
  <c r="Y33" i="21"/>
  <c r="Y66"/>
  <c r="Y64"/>
  <c r="Y37"/>
  <c r="Y36"/>
  <c r="Y35"/>
  <c r="Y34"/>
  <c r="Y67"/>
  <c r="Y63"/>
  <c r="Y65"/>
  <c r="Y30" i="15"/>
  <c r="Y32"/>
  <c r="Y62"/>
  <c r="Y28"/>
  <c r="Y60"/>
  <c r="Y59"/>
  <c r="Y58"/>
  <c r="Y61"/>
  <c r="Y31"/>
  <c r="Y29"/>
  <c r="X71" i="22"/>
  <c r="X70"/>
  <c r="X67" i="15"/>
  <c r="X66"/>
  <c r="I19" i="14"/>
  <c r="I20" s="1"/>
  <c r="X64" i="15"/>
  <c r="X34"/>
  <c r="Y43"/>
  <c r="Y76"/>
  <c r="Y73"/>
  <c r="Y44"/>
  <c r="Y47"/>
  <c r="Y46"/>
  <c r="Y45"/>
  <c r="Y77"/>
  <c r="Y74"/>
  <c r="Y75"/>
  <c r="Y51"/>
  <c r="Y52"/>
  <c r="Y49"/>
  <c r="Y22"/>
  <c r="Y48"/>
  <c r="Y21"/>
  <c r="Y19"/>
  <c r="Y20"/>
  <c r="Y50"/>
  <c r="Y18"/>
  <c r="Y38" i="22"/>
  <c r="Y70"/>
  <c r="Y68"/>
  <c r="Y40"/>
  <c r="Y39"/>
  <c r="Y41"/>
  <c r="Y72"/>
  <c r="Y71"/>
  <c r="Y69"/>
  <c r="Y42"/>
  <c r="Y27" i="15"/>
  <c r="Y55"/>
  <c r="Y23"/>
  <c r="Y25"/>
  <c r="Y56"/>
  <c r="Y26"/>
  <c r="Y57"/>
  <c r="Y54"/>
  <c r="Y53"/>
  <c r="Y24"/>
  <c r="Y54" i="22"/>
  <c r="Y23"/>
  <c r="Y55"/>
  <c r="Y25"/>
  <c r="Y57"/>
  <c r="Y27"/>
  <c r="Y26"/>
  <c r="Y53"/>
  <c r="Y56"/>
  <c r="Y24"/>
  <c r="X72" i="21"/>
  <c r="X38"/>
  <c r="X40"/>
  <c r="X70"/>
  <c r="X69"/>
  <c r="X42"/>
  <c r="X39"/>
  <c r="X71"/>
  <c r="J19" i="26"/>
  <c r="J20" s="1"/>
  <c r="X68" i="21"/>
  <c r="X41"/>
  <c r="X60" i="22"/>
  <c r="X31"/>
  <c r="X30"/>
  <c r="X61"/>
  <c r="X62"/>
  <c r="X28"/>
  <c r="X59"/>
  <c r="H19" i="27"/>
  <c r="H20" s="1"/>
  <c r="X20" i="15"/>
  <c r="X51"/>
  <c r="X21"/>
  <c r="X45" i="21"/>
  <c r="AP63" i="15"/>
  <c r="AY63" s="1"/>
  <c r="BH63" s="1"/>
  <c r="I43" i="17" s="1"/>
  <c r="AC21" i="12"/>
  <c r="AP56" i="15"/>
  <c r="AY56" s="1"/>
  <c r="BH56" s="1"/>
  <c r="I41" i="17" s="1"/>
  <c r="AP48" i="15"/>
  <c r="AY48" s="1"/>
  <c r="BH48" s="1"/>
  <c r="I33" i="17" s="1"/>
  <c r="AP50" i="15"/>
  <c r="AY50" s="1"/>
  <c r="BH50" s="1"/>
  <c r="I35" i="17" s="1"/>
  <c r="Y49" i="22" l="1"/>
  <c r="X47" i="21"/>
  <c r="Y38" i="15"/>
  <c r="Y41"/>
  <c r="X43"/>
  <c r="Y19" i="22"/>
  <c r="Y50"/>
  <c r="Y22"/>
  <c r="Y48"/>
  <c r="Y39" i="15"/>
  <c r="Y69"/>
  <c r="Y18" i="22"/>
  <c r="Y21"/>
  <c r="D8" i="14"/>
  <c r="F19"/>
  <c r="F20" s="1"/>
  <c r="X38" i="22"/>
  <c r="X37"/>
  <c r="I19" i="27"/>
  <c r="I20" s="1"/>
  <c r="X74" i="22"/>
  <c r="D8" i="26"/>
  <c r="X50" i="15"/>
  <c r="X39" i="22"/>
  <c r="X68"/>
  <c r="X40"/>
  <c r="X65"/>
  <c r="X63"/>
  <c r="X67"/>
  <c r="X73"/>
  <c r="K19" i="27"/>
  <c r="K20" s="1"/>
  <c r="D9" i="26"/>
  <c r="N72" i="21" s="1"/>
  <c r="AH72" s="1"/>
  <c r="X18" i="15"/>
  <c r="X69" i="22"/>
  <c r="X72"/>
  <c r="X43"/>
  <c r="X46"/>
  <c r="X48" i="15"/>
  <c r="X22"/>
  <c r="X49"/>
  <c r="X52"/>
  <c r="J19" i="27"/>
  <c r="J20" s="1"/>
  <c r="X42" i="22"/>
  <c r="X36"/>
  <c r="X64"/>
  <c r="X44"/>
  <c r="X76"/>
  <c r="X20"/>
  <c r="X49" i="21"/>
  <c r="AC22" i="12"/>
  <c r="X77" i="21"/>
  <c r="X70" i="15"/>
  <c r="X51" i="22"/>
  <c r="X40" i="15"/>
  <c r="Y58" i="22"/>
  <c r="X75" i="21"/>
  <c r="X54" i="22"/>
  <c r="X49"/>
  <c r="X50" i="21"/>
  <c r="X23"/>
  <c r="X64"/>
  <c r="X62" i="15"/>
  <c r="X53" i="22"/>
  <c r="C8" i="27"/>
  <c r="X45" i="15"/>
  <c r="X44" i="21"/>
  <c r="K19" i="26"/>
  <c r="K20" s="1"/>
  <c r="X27" i="22"/>
  <c r="X71" i="15"/>
  <c r="X54" i="21"/>
  <c r="D10" i="26"/>
  <c r="O73" i="21" s="1"/>
  <c r="AI73" s="1"/>
  <c r="BE73" s="1"/>
  <c r="X44" i="15"/>
  <c r="X32"/>
  <c r="Y61" i="22"/>
  <c r="X55"/>
  <c r="X26"/>
  <c r="X52"/>
  <c r="X69" i="15"/>
  <c r="X76"/>
  <c r="X31"/>
  <c r="Y59" i="22"/>
  <c r="X76" i="21"/>
  <c r="X73"/>
  <c r="X57" i="22"/>
  <c r="X46" i="21"/>
  <c r="X74"/>
  <c r="G19" i="27"/>
  <c r="G20" s="1"/>
  <c r="X24" i="22"/>
  <c r="X48"/>
  <c r="X50"/>
  <c r="X18"/>
  <c r="C8" i="26"/>
  <c r="F19"/>
  <c r="F20" s="1"/>
  <c r="X39" i="15"/>
  <c r="X38"/>
  <c r="X72"/>
  <c r="D10" i="27"/>
  <c r="O55" i="22" s="1"/>
  <c r="AI55" s="1"/>
  <c r="BE55" s="1"/>
  <c r="X33" i="21"/>
  <c r="X75" i="15"/>
  <c r="X74"/>
  <c r="X46"/>
  <c r="X29"/>
  <c r="X28"/>
  <c r="Y62" i="22"/>
  <c r="Y60"/>
  <c r="Y29"/>
  <c r="AE22" i="12"/>
  <c r="X25" i="22"/>
  <c r="X21"/>
  <c r="X41" i="15"/>
  <c r="X42"/>
  <c r="X47"/>
  <c r="H19" i="14"/>
  <c r="H20" s="1"/>
  <c r="X59" i="15"/>
  <c r="Y31" i="22"/>
  <c r="AB22" i="12"/>
  <c r="X23" i="22"/>
  <c r="X22"/>
  <c r="X19"/>
  <c r="C9" i="14"/>
  <c r="N86" i="15" s="1"/>
  <c r="J19" i="14"/>
  <c r="J20" s="1"/>
  <c r="X56" i="21"/>
  <c r="D10" i="14"/>
  <c r="O63" i="15" s="1"/>
  <c r="AI63" s="1"/>
  <c r="BE63" s="1"/>
  <c r="X66" i="21"/>
  <c r="K19" i="14"/>
  <c r="K20" s="1"/>
  <c r="X73" i="15"/>
  <c r="X58"/>
  <c r="X30"/>
  <c r="Y30" i="22"/>
  <c r="AD22" i="12"/>
  <c r="AA22"/>
  <c r="X21" i="21"/>
  <c r="X51"/>
  <c r="X48"/>
  <c r="C9" i="26"/>
  <c r="N26" i="21" s="1"/>
  <c r="X24"/>
  <c r="X55"/>
  <c r="X65"/>
  <c r="X29" i="22"/>
  <c r="X58"/>
  <c r="X35" i="15"/>
  <c r="X37"/>
  <c r="X65"/>
  <c r="X19" i="21"/>
  <c r="X18"/>
  <c r="X26"/>
  <c r="X25"/>
  <c r="G19" i="26"/>
  <c r="G20" s="1"/>
  <c r="X59" i="21"/>
  <c r="X28"/>
  <c r="X35"/>
  <c r="X34"/>
  <c r="X67"/>
  <c r="G19" i="14"/>
  <c r="G20" s="1"/>
  <c r="X26" i="15"/>
  <c r="X57"/>
  <c r="I19" i="26"/>
  <c r="I20" s="1"/>
  <c r="X63" i="15"/>
  <c r="X36"/>
  <c r="X20" i="21"/>
  <c r="X52"/>
  <c r="X53"/>
  <c r="X27"/>
  <c r="H19" i="26"/>
  <c r="H20" s="1"/>
  <c r="X58" i="21"/>
  <c r="X37"/>
  <c r="X36"/>
  <c r="X27" i="15"/>
  <c r="X55"/>
  <c r="AP56" i="22"/>
  <c r="AY56" s="1"/>
  <c r="BH56" s="1"/>
  <c r="I341" i="17" s="1"/>
  <c r="AP70" i="21"/>
  <c r="AY70" s="1"/>
  <c r="BH70" s="1"/>
  <c r="I200" i="17" s="1"/>
  <c r="AP75" i="22"/>
  <c r="AY75" s="1"/>
  <c r="BH75" s="1"/>
  <c r="I355" i="17" s="1"/>
  <c r="AP64" i="21"/>
  <c r="AY64" s="1"/>
  <c r="BH64" s="1"/>
  <c r="I194" i="17" s="1"/>
  <c r="AP66" i="21"/>
  <c r="AY66" s="1"/>
  <c r="BH66" s="1"/>
  <c r="I196" i="17" s="1"/>
  <c r="AP67" i="21"/>
  <c r="AY67" s="1"/>
  <c r="BH67" s="1"/>
  <c r="I197" i="17" s="1"/>
  <c r="J16" i="2" s="1"/>
  <c r="J48" s="1"/>
  <c r="J15" i="5" s="1"/>
  <c r="H17" i="3" s="1"/>
  <c r="AP63" i="21"/>
  <c r="AY63" s="1"/>
  <c r="BH63" s="1"/>
  <c r="I193" i="17" s="1"/>
  <c r="AP73" i="22"/>
  <c r="AY73" s="1"/>
  <c r="BH73" s="1"/>
  <c r="I353" i="17" s="1"/>
  <c r="AP74" i="22"/>
  <c r="AY74" s="1"/>
  <c r="BH74" s="1"/>
  <c r="I354" i="17" s="1"/>
  <c r="AP77" i="21"/>
  <c r="AY77" s="1"/>
  <c r="BH77" s="1"/>
  <c r="I207" i="17" s="1"/>
  <c r="J18" i="2" s="1"/>
  <c r="J50" s="1"/>
  <c r="J17" i="5" s="1"/>
  <c r="H19" i="3" s="1"/>
  <c r="AP56" i="21"/>
  <c r="AY56" s="1"/>
  <c r="BH56" s="1"/>
  <c r="I191" i="17" s="1"/>
  <c r="AP62" i="21"/>
  <c r="AY62" s="1"/>
  <c r="BH62" s="1"/>
  <c r="AP76" i="22"/>
  <c r="AY76" s="1"/>
  <c r="BH76" s="1"/>
  <c r="I356" i="17" s="1"/>
  <c r="AP73" i="21"/>
  <c r="AY73" s="1"/>
  <c r="BH73" s="1"/>
  <c r="I203" i="17" s="1"/>
  <c r="AP74" i="21"/>
  <c r="AY74" s="1"/>
  <c r="BH74" s="1"/>
  <c r="I204" i="17" s="1"/>
  <c r="AP60" i="21"/>
  <c r="AY60" s="1"/>
  <c r="BH60" s="1"/>
  <c r="AP71"/>
  <c r="AY71" s="1"/>
  <c r="BH71" s="1"/>
  <c r="I201" i="17" s="1"/>
  <c r="AP75" i="21"/>
  <c r="AY75" s="1"/>
  <c r="BH75" s="1"/>
  <c r="I205" i="17" s="1"/>
  <c r="AP48" i="21"/>
  <c r="AY48" s="1"/>
  <c r="BH48" s="1"/>
  <c r="I183" i="17" s="1"/>
  <c r="AP54" i="21"/>
  <c r="AY54" s="1"/>
  <c r="BH54" s="1"/>
  <c r="I189" i="17" s="1"/>
  <c r="AP69" i="22"/>
  <c r="AY69" s="1"/>
  <c r="BH69" s="1"/>
  <c r="I349" i="17" s="1"/>
  <c r="AP58" i="22"/>
  <c r="AY58" s="1"/>
  <c r="BH58" s="1"/>
  <c r="AP53" i="21"/>
  <c r="AY53" s="1"/>
  <c r="BH53" s="1"/>
  <c r="I188" i="17" s="1"/>
  <c r="AP76" i="21"/>
  <c r="AY76" s="1"/>
  <c r="BH76" s="1"/>
  <c r="I206" i="17" s="1"/>
  <c r="AP59" i="21"/>
  <c r="AY59" s="1"/>
  <c r="BH59" s="1"/>
  <c r="AP61"/>
  <c r="AY61" s="1"/>
  <c r="BH61" s="1"/>
  <c r="AP49" i="22"/>
  <c r="AY49" s="1"/>
  <c r="BH49" s="1"/>
  <c r="I334" i="17" s="1"/>
  <c r="AP53" i="22"/>
  <c r="AY53" s="1"/>
  <c r="BH53" s="1"/>
  <c r="I338" i="17" s="1"/>
  <c r="AP50" i="21"/>
  <c r="AY50" s="1"/>
  <c r="BH50" s="1"/>
  <c r="I185" i="17" s="1"/>
  <c r="AP49" i="21"/>
  <c r="AY49" s="1"/>
  <c r="BH49" s="1"/>
  <c r="I184" i="17" s="1"/>
  <c r="AP52" i="22"/>
  <c r="AY52" s="1"/>
  <c r="BH52" s="1"/>
  <c r="I337" i="17" s="1"/>
  <c r="AP57" i="21"/>
  <c r="AY57" s="1"/>
  <c r="BH57" s="1"/>
  <c r="I192" i="17" s="1"/>
  <c r="AP51" i="21"/>
  <c r="AY51" s="1"/>
  <c r="BH51" s="1"/>
  <c r="I186" i="17" s="1"/>
  <c r="AP54" i="22"/>
  <c r="AY54" s="1"/>
  <c r="BH54" s="1"/>
  <c r="I339" i="17" s="1"/>
  <c r="AP57" i="22"/>
  <c r="AY57" s="1"/>
  <c r="BH57" s="1"/>
  <c r="I342" i="17" s="1"/>
  <c r="AP59" i="22"/>
  <c r="AY59" s="1"/>
  <c r="BH59" s="1"/>
  <c r="AP58" i="21"/>
  <c r="AY58" s="1"/>
  <c r="BH58" s="1"/>
  <c r="J49" i="2"/>
  <c r="J16" i="5" s="1"/>
  <c r="H18" i="3" s="1"/>
  <c r="AP48" i="22"/>
  <c r="AY48" s="1"/>
  <c r="BH48" s="1"/>
  <c r="I333" i="17" s="1"/>
  <c r="AP68" i="21"/>
  <c r="AY68" s="1"/>
  <c r="BH68" s="1"/>
  <c r="I198" i="17" s="1"/>
  <c r="AP50" i="22"/>
  <c r="AY50" s="1"/>
  <c r="BH50" s="1"/>
  <c r="I335" i="17" s="1"/>
  <c r="AP52" i="21"/>
  <c r="AY52" s="1"/>
  <c r="BH52" s="1"/>
  <c r="I187" i="17" s="1"/>
  <c r="AP69" i="21"/>
  <c r="AY69" s="1"/>
  <c r="BH69" s="1"/>
  <c r="I199" i="17" s="1"/>
  <c r="AP62" i="22"/>
  <c r="AY62" s="1"/>
  <c r="BH62" s="1"/>
  <c r="AP72"/>
  <c r="AY72" s="1"/>
  <c r="BH72" s="1"/>
  <c r="I352" i="17" s="1"/>
  <c r="J26" i="2" s="1"/>
  <c r="J59" s="1"/>
  <c r="J26" i="5" s="1"/>
  <c r="H28" i="3" s="1"/>
  <c r="AP61" i="22"/>
  <c r="AY61" s="1"/>
  <c r="BH61" s="1"/>
  <c r="AP68"/>
  <c r="AY68" s="1"/>
  <c r="BH68" s="1"/>
  <c r="I348" i="17" s="1"/>
  <c r="AP70" i="22"/>
  <c r="AY70" s="1"/>
  <c r="BH70" s="1"/>
  <c r="I350" i="17" s="1"/>
  <c r="AP55" i="22"/>
  <c r="AY55" s="1"/>
  <c r="BH55" s="1"/>
  <c r="I340" i="17" s="1"/>
  <c r="J9" i="2"/>
  <c r="J41" s="1"/>
  <c r="J8" i="5" s="1"/>
  <c r="H10" i="3" s="1"/>
  <c r="AP71" i="22"/>
  <c r="AY71" s="1"/>
  <c r="BH71" s="1"/>
  <c r="I351" i="17" s="1"/>
  <c r="O64" i="21"/>
  <c r="AI64" s="1"/>
  <c r="BE64" s="1"/>
  <c r="O76"/>
  <c r="AI76" s="1"/>
  <c r="BE76" s="1"/>
  <c r="O75"/>
  <c r="AI75" s="1"/>
  <c r="BE75" s="1"/>
  <c r="O53"/>
  <c r="AI53" s="1"/>
  <c r="BE53" s="1"/>
  <c r="O49"/>
  <c r="AI49" s="1"/>
  <c r="BE49" s="1"/>
  <c r="O51"/>
  <c r="AI51" s="1"/>
  <c r="BE51" s="1"/>
  <c r="O70"/>
  <c r="AI70" s="1"/>
  <c r="BE70" s="1"/>
  <c r="O33"/>
  <c r="AI33" s="1"/>
  <c r="BE33" s="1"/>
  <c r="O20"/>
  <c r="AI20" s="1"/>
  <c r="BE20" s="1"/>
  <c r="O23"/>
  <c r="AI23" s="1"/>
  <c r="BE23" s="1"/>
  <c r="O19"/>
  <c r="AI19" s="1"/>
  <c r="BE19" s="1"/>
  <c r="O34"/>
  <c r="AI34" s="1"/>
  <c r="BE34" s="1"/>
  <c r="O24"/>
  <c r="AI24" s="1"/>
  <c r="BE24" s="1"/>
  <c r="O27"/>
  <c r="AI27" s="1"/>
  <c r="BE27" s="1"/>
  <c r="O21"/>
  <c r="AI21" s="1"/>
  <c r="BE21" s="1"/>
  <c r="O37"/>
  <c r="AI37" s="1"/>
  <c r="BE37" s="1"/>
  <c r="O28"/>
  <c r="AI28" s="1"/>
  <c r="BE28" s="1"/>
  <c r="AS28" s="1"/>
  <c r="O31"/>
  <c r="AI31" s="1"/>
  <c r="BE31" s="1"/>
  <c r="AS31" s="1"/>
  <c r="O22"/>
  <c r="AI22" s="1"/>
  <c r="BE22" s="1"/>
  <c r="O38"/>
  <c r="AI38" s="1"/>
  <c r="BE38" s="1"/>
  <c r="O32"/>
  <c r="AI32" s="1"/>
  <c r="BE32" s="1"/>
  <c r="AS32" s="1"/>
  <c r="O35"/>
  <c r="AI35" s="1"/>
  <c r="BE35" s="1"/>
  <c r="O45"/>
  <c r="AI45" s="1"/>
  <c r="BE45" s="1"/>
  <c r="O43"/>
  <c r="AI43" s="1"/>
  <c r="BE43" s="1"/>
  <c r="O46"/>
  <c r="AI46" s="1"/>
  <c r="BE46" s="1"/>
  <c r="O44"/>
  <c r="AI44" s="1"/>
  <c r="BE44" s="1"/>
  <c r="O41"/>
  <c r="AI41" s="1"/>
  <c r="BE41" s="1"/>
  <c r="O39"/>
  <c r="AI39" s="1"/>
  <c r="BE39" s="1"/>
  <c r="O42"/>
  <c r="AI42" s="1"/>
  <c r="BE42" s="1"/>
  <c r="O47"/>
  <c r="AI47" s="1"/>
  <c r="BE47" s="1"/>
  <c r="O30"/>
  <c r="AI30" s="1"/>
  <c r="BE30" s="1"/>
  <c r="AS30" s="1"/>
  <c r="O29"/>
  <c r="AI29" s="1"/>
  <c r="BE29" s="1"/>
  <c r="AS29" s="1"/>
  <c r="O18"/>
  <c r="AI18" s="1"/>
  <c r="BE18" s="1"/>
  <c r="O25"/>
  <c r="AI25" s="1"/>
  <c r="BE25" s="1"/>
  <c r="O36"/>
  <c r="AI36" s="1"/>
  <c r="BE36" s="1"/>
  <c r="O26"/>
  <c r="AI26" s="1"/>
  <c r="BE26" s="1"/>
  <c r="O40"/>
  <c r="AI40" s="1"/>
  <c r="BE40" s="1"/>
  <c r="N77" i="15"/>
  <c r="AH77" s="1"/>
  <c r="N72"/>
  <c r="N67"/>
  <c r="AH67" s="1"/>
  <c r="N110"/>
  <c r="N137"/>
  <c r="N59"/>
  <c r="AH59" s="1"/>
  <c r="N75"/>
  <c r="AH75" s="1"/>
  <c r="N66"/>
  <c r="AH66" s="1"/>
  <c r="N129"/>
  <c r="N136"/>
  <c r="N64"/>
  <c r="AH64" s="1"/>
  <c r="N48"/>
  <c r="N109"/>
  <c r="N61"/>
  <c r="AH61" s="1"/>
  <c r="N108"/>
  <c r="N113"/>
  <c r="N122"/>
  <c r="N126"/>
  <c r="N62"/>
  <c r="N131"/>
  <c r="N116"/>
  <c r="N118"/>
  <c r="N60"/>
  <c r="AH60" s="1"/>
  <c r="N57"/>
  <c r="AH57" s="1"/>
  <c r="N114"/>
  <c r="N125"/>
  <c r="N74"/>
  <c r="N115"/>
  <c r="N55"/>
  <c r="AH55" s="1"/>
  <c r="N52"/>
  <c r="N65"/>
  <c r="AH65" s="1"/>
  <c r="N71"/>
  <c r="N70"/>
  <c r="N121"/>
  <c r="N119"/>
  <c r="N127"/>
  <c r="N132"/>
  <c r="N120"/>
  <c r="N73"/>
  <c r="N68"/>
  <c r="AH68" s="1"/>
  <c r="N49"/>
  <c r="N128"/>
  <c r="N133"/>
  <c r="N51"/>
  <c r="AH51" s="1"/>
  <c r="N50"/>
  <c r="N130"/>
  <c r="N111"/>
  <c r="N53"/>
  <c r="AH53" s="1"/>
  <c r="D19" i="14"/>
  <c r="D20" s="1"/>
  <c r="N123" i="15"/>
  <c r="N76"/>
  <c r="AH76" s="1"/>
  <c r="N112"/>
  <c r="N54"/>
  <c r="AH54" s="1"/>
  <c r="N58"/>
  <c r="N124"/>
  <c r="N69"/>
  <c r="N63"/>
  <c r="AH63" s="1"/>
  <c r="N135"/>
  <c r="N56"/>
  <c r="AH56" s="1"/>
  <c r="N134"/>
  <c r="N117"/>
  <c r="N93"/>
  <c r="N31"/>
  <c r="AH31" s="1"/>
  <c r="N78"/>
  <c r="N106"/>
  <c r="N45"/>
  <c r="N29"/>
  <c r="N91"/>
  <c r="N96"/>
  <c r="O20" i="22"/>
  <c r="AI20" s="1"/>
  <c r="BE20" s="1"/>
  <c r="O35"/>
  <c r="AI35" s="1"/>
  <c r="BE35" s="1"/>
  <c r="O18"/>
  <c r="AI18" s="1"/>
  <c r="BE18" s="1"/>
  <c r="O25"/>
  <c r="AI25" s="1"/>
  <c r="BE25" s="1"/>
  <c r="O24"/>
  <c r="AI24" s="1"/>
  <c r="BE24" s="1"/>
  <c r="O40"/>
  <c r="AI40" s="1"/>
  <c r="BE40" s="1"/>
  <c r="O38"/>
  <c r="AI38" s="1"/>
  <c r="BE38" s="1"/>
  <c r="O37"/>
  <c r="AI37" s="1"/>
  <c r="BE37" s="1"/>
  <c r="O23"/>
  <c r="AI23" s="1"/>
  <c r="BE23" s="1"/>
  <c r="O39"/>
  <c r="AI39" s="1"/>
  <c r="BE39" s="1"/>
  <c r="O26"/>
  <c r="AI26" s="1"/>
  <c r="BE26" s="1"/>
  <c r="O33"/>
  <c r="AI33" s="1"/>
  <c r="BE33" s="1"/>
  <c r="O28"/>
  <c r="AI28" s="1"/>
  <c r="BE28" s="1"/>
  <c r="AS28" s="1"/>
  <c r="O44"/>
  <c r="AI44" s="1"/>
  <c r="BE44" s="1"/>
  <c r="O46"/>
  <c r="AI46" s="1"/>
  <c r="BE46" s="1"/>
  <c r="O45"/>
  <c r="AI45" s="1"/>
  <c r="BE45" s="1"/>
  <c r="O31"/>
  <c r="O42"/>
  <c r="AI42" s="1"/>
  <c r="BE42" s="1"/>
  <c r="O36"/>
  <c r="AI36" s="1"/>
  <c r="BE36" s="1"/>
  <c r="O29"/>
  <c r="O27"/>
  <c r="AI27" s="1"/>
  <c r="BE27" s="1"/>
  <c r="O34"/>
  <c r="AI34" s="1"/>
  <c r="BE34" s="1"/>
  <c r="O32"/>
  <c r="AI32" s="1"/>
  <c r="BE32" s="1"/>
  <c r="AS32" s="1"/>
  <c r="O21"/>
  <c r="O41"/>
  <c r="AI41" s="1"/>
  <c r="BE41" s="1"/>
  <c r="O47"/>
  <c r="AI47" s="1"/>
  <c r="BE47" s="1"/>
  <c r="O30"/>
  <c r="O22"/>
  <c r="AI22" s="1"/>
  <c r="BE22" s="1"/>
  <c r="O43"/>
  <c r="AI43" s="1"/>
  <c r="BE43" s="1"/>
  <c r="O19"/>
  <c r="O73" i="15"/>
  <c r="AI73" s="1"/>
  <c r="BE73" s="1"/>
  <c r="O67"/>
  <c r="AI67" s="1"/>
  <c r="BE67" s="1"/>
  <c r="O76"/>
  <c r="AI76" s="1"/>
  <c r="BE76" s="1"/>
  <c r="O70"/>
  <c r="AI70" s="1"/>
  <c r="BE70" s="1"/>
  <c r="O58"/>
  <c r="AI58" s="1"/>
  <c r="BE58" s="1"/>
  <c r="AS58" s="1"/>
  <c r="O57"/>
  <c r="AI57" s="1"/>
  <c r="BE57" s="1"/>
  <c r="O74"/>
  <c r="AI74" s="1"/>
  <c r="BE74" s="1"/>
  <c r="O54"/>
  <c r="AI54" s="1"/>
  <c r="BE54" s="1"/>
  <c r="C33" i="30"/>
  <c r="B33"/>
  <c r="N42" i="22"/>
  <c r="AH42" s="1"/>
  <c r="N105"/>
  <c r="N86"/>
  <c r="N106"/>
  <c r="N37"/>
  <c r="AH37" s="1"/>
  <c r="N81"/>
  <c r="N30"/>
  <c r="AH30" s="1"/>
  <c r="N93"/>
  <c r="N103"/>
  <c r="N80"/>
  <c r="N104"/>
  <c r="N27"/>
  <c r="N98"/>
  <c r="N21"/>
  <c r="N24"/>
  <c r="N28"/>
  <c r="AH28" s="1"/>
  <c r="N34"/>
  <c r="AH34" s="1"/>
  <c r="N99"/>
  <c r="N35"/>
  <c r="AH35" s="1"/>
  <c r="N102"/>
  <c r="N25"/>
  <c r="N92"/>
  <c r="N45"/>
  <c r="AH45" s="1"/>
  <c r="N79"/>
  <c r="N87"/>
  <c r="N38"/>
  <c r="N101"/>
  <c r="N107"/>
  <c r="N33"/>
  <c r="AH33" s="1"/>
  <c r="N82"/>
  <c r="N94"/>
  <c r="N47"/>
  <c r="AH47" s="1"/>
  <c r="N18"/>
  <c r="AH18" s="1"/>
  <c r="N26"/>
  <c r="N95"/>
  <c r="N78"/>
  <c r="N39"/>
  <c r="AH39" s="1"/>
  <c r="N29"/>
  <c r="C19" i="27"/>
  <c r="C20" s="1"/>
  <c r="N40" i="22"/>
  <c r="AH40" s="1"/>
  <c r="N84"/>
  <c r="N20"/>
  <c r="AH20" s="1"/>
  <c r="N43"/>
  <c r="N19"/>
  <c r="N96"/>
  <c r="N91"/>
  <c r="N44"/>
  <c r="AH44" s="1"/>
  <c r="N100"/>
  <c r="N85"/>
  <c r="N41"/>
  <c r="AH41" s="1"/>
  <c r="N90"/>
  <c r="N31"/>
  <c r="AH31" s="1"/>
  <c r="N36"/>
  <c r="AH36" s="1"/>
  <c r="N22"/>
  <c r="N89"/>
  <c r="N83"/>
  <c r="N46"/>
  <c r="N23"/>
  <c r="N32"/>
  <c r="AH32" s="1"/>
  <c r="N97"/>
  <c r="N88"/>
  <c r="N72"/>
  <c r="N67"/>
  <c r="AH67" s="1"/>
  <c r="N77"/>
  <c r="AH77" s="1"/>
  <c r="N110"/>
  <c r="N57"/>
  <c r="N126"/>
  <c r="N52"/>
  <c r="N129"/>
  <c r="N50"/>
  <c r="N56"/>
  <c r="AH56" s="1"/>
  <c r="N123"/>
  <c r="N135"/>
  <c r="N116"/>
  <c r="N63"/>
  <c r="N130"/>
  <c r="N113"/>
  <c r="N127"/>
  <c r="N117"/>
  <c r="N70"/>
  <c r="AH70" s="1"/>
  <c r="N137"/>
  <c r="N108"/>
  <c r="N61"/>
  <c r="AH61" s="1"/>
  <c r="N71"/>
  <c r="AH71" s="1"/>
  <c r="N75"/>
  <c r="AH75" s="1"/>
  <c r="N58"/>
  <c r="N131"/>
  <c r="N51"/>
  <c r="N114"/>
  <c r="N120"/>
  <c r="N128"/>
  <c r="N109"/>
  <c r="N111"/>
  <c r="N125"/>
  <c r="N69"/>
  <c r="AH69" s="1"/>
  <c r="N136"/>
  <c r="N121"/>
  <c r="N68"/>
  <c r="N53"/>
  <c r="N119"/>
  <c r="N62"/>
  <c r="AH62" s="1"/>
  <c r="N122"/>
  <c r="N49"/>
  <c r="AH49" s="1"/>
  <c r="N76"/>
  <c r="N55"/>
  <c r="AH55" s="1"/>
  <c r="N65"/>
  <c r="N115"/>
  <c r="D19" i="27"/>
  <c r="D20" s="1"/>
  <c r="N60" i="22"/>
  <c r="AH60" s="1"/>
  <c r="N134"/>
  <c r="N74"/>
  <c r="AH74" s="1"/>
  <c r="N73"/>
  <c r="AH73" s="1"/>
  <c r="N59"/>
  <c r="AH59" s="1"/>
  <c r="N112"/>
  <c r="N133"/>
  <c r="N132"/>
  <c r="N118"/>
  <c r="N54"/>
  <c r="N64"/>
  <c r="AH64" s="1"/>
  <c r="N66"/>
  <c r="AH66" s="1"/>
  <c r="N124"/>
  <c r="N48"/>
  <c r="N40" i="21"/>
  <c r="AH40" s="1"/>
  <c r="N27"/>
  <c r="AH27" s="1"/>
  <c r="N86"/>
  <c r="N91"/>
  <c r="N78"/>
  <c r="N104"/>
  <c r="N80"/>
  <c r="N99"/>
  <c r="N39"/>
  <c r="AH39" s="1"/>
  <c r="N96"/>
  <c r="C19" i="26"/>
  <c r="C20" s="1"/>
  <c r="N42" i="21"/>
  <c r="AH42" s="1"/>
  <c r="N23"/>
  <c r="AH23" s="1"/>
  <c r="N106"/>
  <c r="N102"/>
  <c r="O40" i="15"/>
  <c r="AI40" s="1"/>
  <c r="BE40" s="1"/>
  <c r="O32"/>
  <c r="AI32" s="1"/>
  <c r="BE32" s="1"/>
  <c r="AS32" s="1"/>
  <c r="O46"/>
  <c r="AI46" s="1"/>
  <c r="BE46" s="1"/>
  <c r="O39"/>
  <c r="O27"/>
  <c r="AI27" s="1"/>
  <c r="BE27" s="1"/>
  <c r="O36"/>
  <c r="AI36" s="1"/>
  <c r="BE36" s="1"/>
  <c r="O43"/>
  <c r="AI43" s="1"/>
  <c r="BE43" s="1"/>
  <c r="O20"/>
  <c r="AI20" s="1"/>
  <c r="BE20" s="1"/>
  <c r="O44"/>
  <c r="AI44" s="1"/>
  <c r="BE44" s="1"/>
  <c r="O25"/>
  <c r="AI25" s="1"/>
  <c r="BE25" s="1"/>
  <c r="O42"/>
  <c r="AI42" s="1"/>
  <c r="BE42" s="1"/>
  <c r="O31"/>
  <c r="AI31" s="1"/>
  <c r="BE31" s="1"/>
  <c r="AS31" s="1"/>
  <c r="O19"/>
  <c r="AI19" s="1"/>
  <c r="BE19" s="1"/>
  <c r="O38"/>
  <c r="AI38" s="1"/>
  <c r="BE38" s="1"/>
  <c r="O28"/>
  <c r="AI28" s="1"/>
  <c r="BE28" s="1"/>
  <c r="AS28" s="1"/>
  <c r="O47"/>
  <c r="AI47" s="1"/>
  <c r="BE47" s="1"/>
  <c r="O41"/>
  <c r="AI41" s="1"/>
  <c r="BE41" s="1"/>
  <c r="O29"/>
  <c r="AI29" s="1"/>
  <c r="BE29" s="1"/>
  <c r="AS29" s="1"/>
  <c r="O24"/>
  <c r="AI24" s="1"/>
  <c r="BE24" s="1"/>
  <c r="O33"/>
  <c r="AI33" s="1"/>
  <c r="BE33" s="1"/>
  <c r="O35"/>
  <c r="AI35" s="1"/>
  <c r="BE35" s="1"/>
  <c r="O21"/>
  <c r="AI21" s="1"/>
  <c r="BE21" s="1"/>
  <c r="O45"/>
  <c r="AI45" s="1"/>
  <c r="BE45" s="1"/>
  <c r="O18"/>
  <c r="AI18" s="1"/>
  <c r="BE18" s="1"/>
  <c r="O22"/>
  <c r="AI22" s="1"/>
  <c r="BE22" s="1"/>
  <c r="O30"/>
  <c r="AI30" s="1"/>
  <c r="BE30" s="1"/>
  <c r="AS30" s="1"/>
  <c r="O34"/>
  <c r="AI34" s="1"/>
  <c r="BE34" s="1"/>
  <c r="O26"/>
  <c r="AI26" s="1"/>
  <c r="BE26" s="1"/>
  <c r="O37"/>
  <c r="AI37" s="1"/>
  <c r="BE37" s="1"/>
  <c r="O23"/>
  <c r="AI23" s="1"/>
  <c r="BE23" s="1"/>
  <c r="N67" i="21"/>
  <c r="N119"/>
  <c r="N127"/>
  <c r="N110"/>
  <c r="N120"/>
  <c r="N124"/>
  <c r="N76"/>
  <c r="N53"/>
  <c r="N125"/>
  <c r="D19" i="26"/>
  <c r="D20" s="1"/>
  <c r="N55" i="21"/>
  <c r="N108"/>
  <c r="N54"/>
  <c r="N56"/>
  <c r="N115"/>
  <c r="N59"/>
  <c r="N116"/>
  <c r="N75"/>
  <c r="AH75" s="1"/>
  <c r="N52"/>
  <c r="N123"/>
  <c r="N64"/>
  <c r="N68"/>
  <c r="AH68" s="1"/>
  <c r="N61"/>
  <c r="AH61" s="1"/>
  <c r="N132"/>
  <c r="N109"/>
  <c r="N112"/>
  <c r="N117"/>
  <c r="N128"/>
  <c r="N135"/>
  <c r="N49"/>
  <c r="N57"/>
  <c r="AH57" s="1"/>
  <c r="J40" i="2"/>
  <c r="J7" i="5" s="1"/>
  <c r="H9" i="3" s="1"/>
  <c r="N89" i="21" l="1"/>
  <c r="N18"/>
  <c r="AH18" s="1"/>
  <c r="BC138" s="1"/>
  <c r="D258" i="17" s="1"/>
  <c r="N100" i="21"/>
  <c r="N37"/>
  <c r="N33"/>
  <c r="N45"/>
  <c r="AH45" s="1"/>
  <c r="AV45" s="1"/>
  <c r="N95"/>
  <c r="AH65" i="22"/>
  <c r="AH72"/>
  <c r="AH29"/>
  <c r="BC149" s="1"/>
  <c r="O56" i="15"/>
  <c r="AI56" s="1"/>
  <c r="BE56" s="1"/>
  <c r="F41" i="17" s="1"/>
  <c r="O62" i="15"/>
  <c r="AI62" s="1"/>
  <c r="BE62" s="1"/>
  <c r="AS62" s="1"/>
  <c r="O59"/>
  <c r="AI59" s="1"/>
  <c r="BE59" s="1"/>
  <c r="AS59" s="1"/>
  <c r="O68"/>
  <c r="AI68" s="1"/>
  <c r="BE68" s="1"/>
  <c r="AS68" s="1"/>
  <c r="AI21" i="22"/>
  <c r="BE21" s="1"/>
  <c r="O63" i="21"/>
  <c r="AI63" s="1"/>
  <c r="BE63" s="1"/>
  <c r="O56"/>
  <c r="AI56" s="1"/>
  <c r="BE56" s="1"/>
  <c r="O61"/>
  <c r="AI61" s="1"/>
  <c r="BE61" s="1"/>
  <c r="AS61" s="1"/>
  <c r="N60"/>
  <c r="AH60" s="1"/>
  <c r="BH180" s="1"/>
  <c r="N137"/>
  <c r="N51"/>
  <c r="N121"/>
  <c r="N74"/>
  <c r="AH74" s="1"/>
  <c r="BH194" s="1"/>
  <c r="I304" i="17" s="1"/>
  <c r="N126" i="21"/>
  <c r="N48"/>
  <c r="N69"/>
  <c r="AH69" s="1"/>
  <c r="BC189" s="1"/>
  <c r="D299" i="17" s="1"/>
  <c r="N70" i="21"/>
  <c r="AH70" s="1"/>
  <c r="BC190" s="1"/>
  <c r="D300" i="17" s="1"/>
  <c r="N63" i="21"/>
  <c r="AH63" s="1"/>
  <c r="N131"/>
  <c r="N113"/>
  <c r="N66"/>
  <c r="N133"/>
  <c r="N77"/>
  <c r="AH77" s="1"/>
  <c r="AI39" i="15"/>
  <c r="BE39" s="1"/>
  <c r="AS39" s="1"/>
  <c r="N25" i="21"/>
  <c r="AH25" s="1"/>
  <c r="BC145" s="1"/>
  <c r="D265" i="17" s="1"/>
  <c r="N36" i="21"/>
  <c r="AH36" s="1"/>
  <c r="N82"/>
  <c r="N93"/>
  <c r="N31"/>
  <c r="AH31" s="1"/>
  <c r="BH151" s="1"/>
  <c r="N88"/>
  <c r="N35"/>
  <c r="AH35" s="1"/>
  <c r="N32"/>
  <c r="AH32" s="1"/>
  <c r="AV32" s="1"/>
  <c r="N19"/>
  <c r="N83"/>
  <c r="N30"/>
  <c r="AH30" s="1"/>
  <c r="N21"/>
  <c r="AH21" s="1"/>
  <c r="BH141" s="1"/>
  <c r="I261" i="17" s="1"/>
  <c r="N98" i="21"/>
  <c r="N47"/>
  <c r="AH47" s="1"/>
  <c r="N81"/>
  <c r="N20"/>
  <c r="AH20" s="1"/>
  <c r="AV20" s="1"/>
  <c r="AH53" i="22"/>
  <c r="AV53" s="1"/>
  <c r="AH63"/>
  <c r="AH43"/>
  <c r="O48" i="15"/>
  <c r="AI48" s="1"/>
  <c r="BE48" s="1"/>
  <c r="AS48" s="1"/>
  <c r="O71"/>
  <c r="AI71" s="1"/>
  <c r="BE71" s="1"/>
  <c r="AS71" s="1"/>
  <c r="O72"/>
  <c r="AI72" s="1"/>
  <c r="BE72" s="1"/>
  <c r="O55"/>
  <c r="AI55" s="1"/>
  <c r="BE55" s="1"/>
  <c r="O69"/>
  <c r="AI69" s="1"/>
  <c r="BE69" s="1"/>
  <c r="AS69" s="1"/>
  <c r="O60"/>
  <c r="AI60" s="1"/>
  <c r="BE60" s="1"/>
  <c r="AS60" s="1"/>
  <c r="O53"/>
  <c r="AI53" s="1"/>
  <c r="BE53" s="1"/>
  <c r="AI31" i="22"/>
  <c r="BE31" s="1"/>
  <c r="AS31" s="1"/>
  <c r="N101" i="15"/>
  <c r="N103"/>
  <c r="N98"/>
  <c r="AH50"/>
  <c r="AH49"/>
  <c r="BH169" s="1"/>
  <c r="I134" i="17" s="1"/>
  <c r="AH70" i="15"/>
  <c r="BC190" s="1"/>
  <c r="D150" i="17" s="1"/>
  <c r="O71" i="21"/>
  <c r="AI71" s="1"/>
  <c r="BE71" s="1"/>
  <c r="O65"/>
  <c r="AI65" s="1"/>
  <c r="BE65" s="1"/>
  <c r="O50"/>
  <c r="AI50" s="1"/>
  <c r="BE50" s="1"/>
  <c r="AS50" s="1"/>
  <c r="O54"/>
  <c r="AI54" s="1"/>
  <c r="BE54" s="1"/>
  <c r="AS54" s="1"/>
  <c r="O52"/>
  <c r="AI52" s="1"/>
  <c r="BE52" s="1"/>
  <c r="O77"/>
  <c r="AI77" s="1"/>
  <c r="BE77" s="1"/>
  <c r="O58"/>
  <c r="AI58" s="1"/>
  <c r="BE58" s="1"/>
  <c r="AS58" s="1"/>
  <c r="O57"/>
  <c r="AI57" s="1"/>
  <c r="BE57" s="1"/>
  <c r="N24"/>
  <c r="N28"/>
  <c r="N41"/>
  <c r="AH41" s="1"/>
  <c r="BH161" s="1"/>
  <c r="I276" i="17" s="1"/>
  <c r="N94" i="21"/>
  <c r="N90"/>
  <c r="N84"/>
  <c r="N92"/>
  <c r="N46"/>
  <c r="O49" i="15"/>
  <c r="AI49" s="1"/>
  <c r="BE49" s="1"/>
  <c r="O51"/>
  <c r="AI51" s="1"/>
  <c r="BE51" s="1"/>
  <c r="O61"/>
  <c r="AI61" s="1"/>
  <c r="BE61" s="1"/>
  <c r="AS61" s="1"/>
  <c r="O65"/>
  <c r="AI65" s="1"/>
  <c r="BE65" s="1"/>
  <c r="F45" i="17" s="1"/>
  <c r="O66" i="21"/>
  <c r="AI66" s="1"/>
  <c r="BE66" s="1"/>
  <c r="O48"/>
  <c r="AI48" s="1"/>
  <c r="BE48" s="1"/>
  <c r="O62"/>
  <c r="AI62" s="1"/>
  <c r="BE62" s="1"/>
  <c r="AS62" s="1"/>
  <c r="O67"/>
  <c r="AI67" s="1"/>
  <c r="BE67" s="1"/>
  <c r="AS67" s="1"/>
  <c r="N58"/>
  <c r="N134"/>
  <c r="N122"/>
  <c r="N65"/>
  <c r="N114"/>
  <c r="N111"/>
  <c r="N118"/>
  <c r="N130"/>
  <c r="N50"/>
  <c r="AH50" s="1"/>
  <c r="N129"/>
  <c r="N62"/>
  <c r="AH62" s="1"/>
  <c r="BC182" s="1"/>
  <c r="N71"/>
  <c r="AH71" s="1"/>
  <c r="AV71" s="1"/>
  <c r="N136"/>
  <c r="N73"/>
  <c r="AH73" s="1"/>
  <c r="N105"/>
  <c r="N107"/>
  <c r="N97"/>
  <c r="N79"/>
  <c r="N38"/>
  <c r="AH38" s="1"/>
  <c r="BC158" s="1"/>
  <c r="D273" i="17" s="1"/>
  <c r="N101" i="21"/>
  <c r="N85"/>
  <c r="N87"/>
  <c r="N103"/>
  <c r="N34"/>
  <c r="AH34" s="1"/>
  <c r="AV34" s="1"/>
  <c r="N29"/>
  <c r="AH29" s="1"/>
  <c r="N44"/>
  <c r="AH44" s="1"/>
  <c r="N22"/>
  <c r="AH22" s="1"/>
  <c r="BH142" s="1"/>
  <c r="I262" i="17" s="1"/>
  <c r="N43" i="21"/>
  <c r="AH43" s="1"/>
  <c r="BH163" s="1"/>
  <c r="I278" i="17" s="1"/>
  <c r="AH76" i="22"/>
  <c r="AH19"/>
  <c r="AH27"/>
  <c r="BC147" s="1"/>
  <c r="D417" i="17" s="1"/>
  <c r="O50" i="15"/>
  <c r="AI50" s="1"/>
  <c r="BE50" s="1"/>
  <c r="F35" i="17" s="1"/>
  <c r="O77" i="15"/>
  <c r="AI77" s="1"/>
  <c r="BE77" s="1"/>
  <c r="O66"/>
  <c r="AI66" s="1"/>
  <c r="BE66" s="1"/>
  <c r="O52"/>
  <c r="AI52" s="1"/>
  <c r="BE52" s="1"/>
  <c r="AS52" s="1"/>
  <c r="O75"/>
  <c r="AI75" s="1"/>
  <c r="BE75" s="1"/>
  <c r="F55" i="17" s="1"/>
  <c r="O64" i="15"/>
  <c r="AI64" s="1"/>
  <c r="BE64" s="1"/>
  <c r="AI19" i="22"/>
  <c r="BE19" s="1"/>
  <c r="N47" i="15"/>
  <c r="AH47" s="1"/>
  <c r="BH167" s="1"/>
  <c r="I132" i="17" s="1"/>
  <c r="N20" i="15"/>
  <c r="AH20" s="1"/>
  <c r="BH140" s="1"/>
  <c r="I110" i="17" s="1"/>
  <c r="N81" i="15"/>
  <c r="N92"/>
  <c r="AH58"/>
  <c r="AV58" s="1"/>
  <c r="O59" i="21"/>
  <c r="AI59" s="1"/>
  <c r="BE59" s="1"/>
  <c r="AS59" s="1"/>
  <c r="O69"/>
  <c r="AI69" s="1"/>
  <c r="BE69" s="1"/>
  <c r="O60"/>
  <c r="AI60" s="1"/>
  <c r="BE60" s="1"/>
  <c r="AS60" s="1"/>
  <c r="O68"/>
  <c r="AI68" s="1"/>
  <c r="BE68" s="1"/>
  <c r="F198" i="17" s="1"/>
  <c r="O55" i="21"/>
  <c r="AI55" s="1"/>
  <c r="BE55" s="1"/>
  <c r="O72"/>
  <c r="AI72" s="1"/>
  <c r="BE72" s="1"/>
  <c r="O74"/>
  <c r="AI74" s="1"/>
  <c r="BE74" s="1"/>
  <c r="AH52" i="15"/>
  <c r="BC172" s="1"/>
  <c r="D137" i="17" s="1"/>
  <c r="O48" i="22"/>
  <c r="AI48" s="1"/>
  <c r="BE48" s="1"/>
  <c r="F333" i="17" s="1"/>
  <c r="AH68" i="22"/>
  <c r="AH38"/>
  <c r="AH48" i="15"/>
  <c r="BC168" s="1"/>
  <c r="D133" i="17" s="1"/>
  <c r="AH46" i="22"/>
  <c r="BH166" s="1"/>
  <c r="I431" i="17" s="1"/>
  <c r="O62" i="22"/>
  <c r="AI62" s="1"/>
  <c r="BE62" s="1"/>
  <c r="AS62" s="1"/>
  <c r="AH54" i="21"/>
  <c r="BH174" s="1"/>
  <c r="I289" i="17" s="1"/>
  <c r="AH76" i="21"/>
  <c r="AV76" s="1"/>
  <c r="O77" i="22"/>
  <c r="AI77" s="1"/>
  <c r="BE77" s="1"/>
  <c r="AH49" i="21"/>
  <c r="AV49" s="1"/>
  <c r="AH56"/>
  <c r="AV56" s="1"/>
  <c r="O58" i="22"/>
  <c r="AI58" s="1"/>
  <c r="BE58" s="1"/>
  <c r="AS58" s="1"/>
  <c r="AH64" i="21"/>
  <c r="BH184" s="1"/>
  <c r="I294" i="17" s="1"/>
  <c r="O68" i="22"/>
  <c r="AI68" s="1"/>
  <c r="BE68" s="1"/>
  <c r="F348" i="17" s="1"/>
  <c r="O74" i="22"/>
  <c r="AI74" s="1"/>
  <c r="BE74" s="1"/>
  <c r="F354" i="17" s="1"/>
  <c r="AH51" i="22"/>
  <c r="AV51" s="1"/>
  <c r="AH51" i="21"/>
  <c r="AV51" s="1"/>
  <c r="AH48"/>
  <c r="BC168" s="1"/>
  <c r="D283" i="17" s="1"/>
  <c r="O57" i="22"/>
  <c r="AI57" s="1"/>
  <c r="BE57" s="1"/>
  <c r="AS57" s="1"/>
  <c r="O67"/>
  <c r="AI67" s="1"/>
  <c r="BE67" s="1"/>
  <c r="AS67" s="1"/>
  <c r="O73"/>
  <c r="AI73" s="1"/>
  <c r="BE73" s="1"/>
  <c r="AS73" s="1"/>
  <c r="AI30"/>
  <c r="BE30" s="1"/>
  <c r="AS30" s="1"/>
  <c r="AH45" i="15"/>
  <c r="AV45" s="1"/>
  <c r="AH73"/>
  <c r="BC193" s="1"/>
  <c r="D153" i="17" s="1"/>
  <c r="AH62" i="15"/>
  <c r="BH182" s="1"/>
  <c r="O49" i="22"/>
  <c r="AI49" s="1"/>
  <c r="BE49" s="1"/>
  <c r="F334" i="17" s="1"/>
  <c r="AH52" i="22"/>
  <c r="BH172" s="1"/>
  <c r="I437" i="17" s="1"/>
  <c r="AH65" i="21"/>
  <c r="BC185" s="1"/>
  <c r="D295" i="17" s="1"/>
  <c r="O56" i="22"/>
  <c r="AI56" s="1"/>
  <c r="BE56" s="1"/>
  <c r="AS56" s="1"/>
  <c r="O65"/>
  <c r="AI65" s="1"/>
  <c r="BE65" s="1"/>
  <c r="AS65" s="1"/>
  <c r="O53"/>
  <c r="AI53" s="1"/>
  <c r="BE53" s="1"/>
  <c r="F338" i="17" s="1"/>
  <c r="O70" i="22"/>
  <c r="AI70" s="1"/>
  <c r="BE70" s="1"/>
  <c r="F350" i="17" s="1"/>
  <c r="AH28" i="21"/>
  <c r="BC148" s="1"/>
  <c r="AH37"/>
  <c r="AV37" s="1"/>
  <c r="AH33"/>
  <c r="AV33" s="1"/>
  <c r="AH54" i="22"/>
  <c r="BH174" s="1"/>
  <c r="I439" i="17" s="1"/>
  <c r="AH50" i="22"/>
  <c r="AV50" s="1"/>
  <c r="AH22"/>
  <c r="BC142" s="1"/>
  <c r="D412" i="17" s="1"/>
  <c r="AI29" i="22"/>
  <c r="BE29" s="1"/>
  <c r="AS29" s="1"/>
  <c r="AH29" i="15"/>
  <c r="BC149" s="1"/>
  <c r="AH69"/>
  <c r="BH189" s="1"/>
  <c r="I149" i="17" s="1"/>
  <c r="AH71" i="15"/>
  <c r="BC191" s="1"/>
  <c r="D151" i="17" s="1"/>
  <c r="AH66" i="21"/>
  <c r="BH186" s="1"/>
  <c r="I296" i="17" s="1"/>
  <c r="N95" i="15"/>
  <c r="N19"/>
  <c r="AH19" s="1"/>
  <c r="BC139" s="1"/>
  <c r="D109" i="17" s="1"/>
  <c r="N40" i="15"/>
  <c r="AH40" s="1"/>
  <c r="AV40" s="1"/>
  <c r="C19" i="14"/>
  <c r="C20" s="1"/>
  <c r="N80" i="15"/>
  <c r="N99"/>
  <c r="N90"/>
  <c r="O52" i="22"/>
  <c r="AI52" s="1"/>
  <c r="BE52" s="1"/>
  <c r="AS52" s="1"/>
  <c r="O51"/>
  <c r="AI51" s="1"/>
  <c r="BE51" s="1"/>
  <c r="F336" i="17" s="1"/>
  <c r="O61" i="22"/>
  <c r="AI61" s="1"/>
  <c r="BE61" s="1"/>
  <c r="AS61" s="1"/>
  <c r="O72"/>
  <c r="AI72" s="1"/>
  <c r="BE72" s="1"/>
  <c r="AS72" s="1"/>
  <c r="O50"/>
  <c r="AI50" s="1"/>
  <c r="BE50" s="1"/>
  <c r="AS50" s="1"/>
  <c r="O75"/>
  <c r="AI75" s="1"/>
  <c r="BE75" s="1"/>
  <c r="F355" i="17" s="1"/>
  <c r="O76" i="22"/>
  <c r="AI76" s="1"/>
  <c r="BE76" s="1"/>
  <c r="AS76" s="1"/>
  <c r="O71"/>
  <c r="AI71" s="1"/>
  <c r="BE71" s="1"/>
  <c r="F351" i="17" s="1"/>
  <c r="AH19" i="21"/>
  <c r="BH139" s="1"/>
  <c r="I259" i="17" s="1"/>
  <c r="AH24" i="22"/>
  <c r="BC144" s="1"/>
  <c r="D414" i="17" s="1"/>
  <c r="N97" i="15"/>
  <c r="N28"/>
  <c r="AH28" s="1"/>
  <c r="BH148" s="1"/>
  <c r="N39"/>
  <c r="AH39" s="1"/>
  <c r="BH159" s="1"/>
  <c r="I124" i="17" s="1"/>
  <c r="N82" i="15"/>
  <c r="N43"/>
  <c r="AH43" s="1"/>
  <c r="BH163" s="1"/>
  <c r="I128" i="17" s="1"/>
  <c r="N46" i="15"/>
  <c r="AH46" s="1"/>
  <c r="BH166" s="1"/>
  <c r="I131" i="17" s="1"/>
  <c r="N87" i="15"/>
  <c r="N37"/>
  <c r="AH37" s="1"/>
  <c r="N21"/>
  <c r="AH21" s="1"/>
  <c r="AV21" s="1"/>
  <c r="N32"/>
  <c r="AH32" s="1"/>
  <c r="AV32" s="1"/>
  <c r="N36"/>
  <c r="AH36" s="1"/>
  <c r="BC156" s="1"/>
  <c r="D121" i="17" s="1"/>
  <c r="N26" i="15"/>
  <c r="AH26" s="1"/>
  <c r="BH146" s="1"/>
  <c r="I116" i="17" s="1"/>
  <c r="N23" i="15"/>
  <c r="AH23" s="1"/>
  <c r="BC143" s="1"/>
  <c r="D113" i="17" s="1"/>
  <c r="N30" i="15"/>
  <c r="AH30" s="1"/>
  <c r="AV30" s="1"/>
  <c r="N100"/>
  <c r="AH74"/>
  <c r="BC194" s="1"/>
  <c r="D154" i="17" s="1"/>
  <c r="AH25" i="22"/>
  <c r="BC145" s="1"/>
  <c r="D415" i="17" s="1"/>
  <c r="N22" i="15"/>
  <c r="AH22" s="1"/>
  <c r="BC142" s="1"/>
  <c r="D112" i="17" s="1"/>
  <c r="N42" i="15"/>
  <c r="AH42" s="1"/>
  <c r="AV42" s="1"/>
  <c r="N88"/>
  <c r="N83"/>
  <c r="N38"/>
  <c r="AH38" s="1"/>
  <c r="BC158" s="1"/>
  <c r="D123" i="17" s="1"/>
  <c r="N104" i="15"/>
  <c r="N94"/>
  <c r="N89"/>
  <c r="O54" i="22"/>
  <c r="AI54" s="1"/>
  <c r="BE54" s="1"/>
  <c r="AS54" s="1"/>
  <c r="O66"/>
  <c r="AI66" s="1"/>
  <c r="BE66" s="1"/>
  <c r="O63"/>
  <c r="AI63" s="1"/>
  <c r="BE63" s="1"/>
  <c r="AS63" s="1"/>
  <c r="O69"/>
  <c r="AI69" s="1"/>
  <c r="BE69" s="1"/>
  <c r="AS69" s="1"/>
  <c r="O64"/>
  <c r="AI64" s="1"/>
  <c r="BE64" s="1"/>
  <c r="AS64" s="1"/>
  <c r="O59"/>
  <c r="AI59" s="1"/>
  <c r="BE59" s="1"/>
  <c r="AS59" s="1"/>
  <c r="O60"/>
  <c r="AI60" s="1"/>
  <c r="BE60" s="1"/>
  <c r="AS60" s="1"/>
  <c r="AH24" i="21"/>
  <c r="BC144" s="1"/>
  <c r="D264" i="17" s="1"/>
  <c r="AH46" i="21"/>
  <c r="AV46" s="1"/>
  <c r="AH48" i="22"/>
  <c r="BH168" s="1"/>
  <c r="I433" i="17" s="1"/>
  <c r="AH58" i="22"/>
  <c r="AH57"/>
  <c r="BC177" s="1"/>
  <c r="D442" i="17" s="1"/>
  <c r="AH23" i="22"/>
  <c r="BC143" s="1"/>
  <c r="D413" i="17" s="1"/>
  <c r="AH26" i="22"/>
  <c r="AV26" s="1"/>
  <c r="AH21"/>
  <c r="N27" i="15"/>
  <c r="AH27" s="1"/>
  <c r="BH147" s="1"/>
  <c r="I117" i="17" s="1"/>
  <c r="N34" i="15"/>
  <c r="AH34" s="1"/>
  <c r="BH154" s="1"/>
  <c r="I119" i="17" s="1"/>
  <c r="N44" i="15"/>
  <c r="AH44" s="1"/>
  <c r="AV44" s="1"/>
  <c r="N35"/>
  <c r="AH35" s="1"/>
  <c r="N33"/>
  <c r="AH33" s="1"/>
  <c r="BH153" s="1"/>
  <c r="I118" i="17" s="1"/>
  <c r="N41" i="15"/>
  <c r="AH41" s="1"/>
  <c r="AV41" s="1"/>
  <c r="N84"/>
  <c r="N25"/>
  <c r="AH25" s="1"/>
  <c r="N85"/>
  <c r="N107"/>
  <c r="N24"/>
  <c r="AH24" s="1"/>
  <c r="BC144" s="1"/>
  <c r="D114" i="17" s="1"/>
  <c r="N102" i="15"/>
  <c r="N105"/>
  <c r="N79"/>
  <c r="N18"/>
  <c r="AH18" s="1"/>
  <c r="AV18" s="1"/>
  <c r="AH72"/>
  <c r="AH58" i="21"/>
  <c r="BH178" s="1"/>
  <c r="AH52"/>
  <c r="BC172" s="1"/>
  <c r="D287" i="17" s="1"/>
  <c r="AH55" i="21"/>
  <c r="AV55" s="1"/>
  <c r="AH67"/>
  <c r="AH26"/>
  <c r="BC146" s="1"/>
  <c r="D266" i="17" s="1"/>
  <c r="AH59" i="21"/>
  <c r="BC179" s="1"/>
  <c r="AH53"/>
  <c r="BH173" s="1"/>
  <c r="I288" i="17" s="1"/>
  <c r="J33" i="5"/>
  <c r="H35" i="3" s="1"/>
  <c r="J58" i="2"/>
  <c r="J25" i="5" s="1"/>
  <c r="H27" i="3" s="1"/>
  <c r="J34" i="5"/>
  <c r="H36" i="3" s="1"/>
  <c r="J35" i="5"/>
  <c r="H37" i="3" s="1"/>
  <c r="AS77" i="22"/>
  <c r="F357" i="17"/>
  <c r="G27" i="2" s="1"/>
  <c r="AS66" i="15"/>
  <c r="F46" i="17"/>
  <c r="AS64" i="15"/>
  <c r="F44" i="17"/>
  <c r="F163"/>
  <c r="AS23" i="21"/>
  <c r="AS66" i="22"/>
  <c r="F346" i="17"/>
  <c r="F343"/>
  <c r="AS34" i="15"/>
  <c r="F19" i="17"/>
  <c r="AS45" i="15"/>
  <c r="F30" i="17"/>
  <c r="AS24" i="15"/>
  <c r="F14" i="17"/>
  <c r="AS42" i="15"/>
  <c r="F27" i="17"/>
  <c r="F28"/>
  <c r="AS43" i="15"/>
  <c r="F31" i="17"/>
  <c r="AS46" i="15"/>
  <c r="AS26" i="22"/>
  <c r="F316" i="17"/>
  <c r="AS75" i="15"/>
  <c r="F207" i="17"/>
  <c r="G18" i="2" s="1"/>
  <c r="AS77" i="21"/>
  <c r="F36" i="17"/>
  <c r="AS51" i="15"/>
  <c r="F48" i="17"/>
  <c r="AS22" i="22"/>
  <c r="F312" i="17"/>
  <c r="F311"/>
  <c r="AS21" i="22"/>
  <c r="F318" i="17"/>
  <c r="AS33" i="22"/>
  <c r="AS37"/>
  <c r="F322" i="17"/>
  <c r="AS25" i="22"/>
  <c r="F315" i="17"/>
  <c r="AS26" i="21"/>
  <c r="F166" i="17"/>
  <c r="AS39" i="21"/>
  <c r="F174" i="17"/>
  <c r="F178"/>
  <c r="AS43" i="21"/>
  <c r="F173" i="17"/>
  <c r="AS38" i="21"/>
  <c r="AS37"/>
  <c r="F172" i="17"/>
  <c r="AS34" i="21"/>
  <c r="F169" i="17"/>
  <c r="AS33" i="21"/>
  <c r="F168" i="17"/>
  <c r="F200"/>
  <c r="AS70" i="21"/>
  <c r="AS51"/>
  <c r="F186" i="17"/>
  <c r="F184"/>
  <c r="AS49" i="21"/>
  <c r="F188" i="17"/>
  <c r="AS53" i="21"/>
  <c r="AS75"/>
  <c r="F205" i="17"/>
  <c r="F206"/>
  <c r="AS76" i="21"/>
  <c r="AS21" i="15"/>
  <c r="F11" i="17"/>
  <c r="AS77" i="15"/>
  <c r="F57" i="17"/>
  <c r="AS47" i="22"/>
  <c r="F332" i="17"/>
  <c r="F325"/>
  <c r="AS40" i="22"/>
  <c r="F18" i="17"/>
  <c r="AS33" i="15"/>
  <c r="F34" i="17"/>
  <c r="AS49" i="15"/>
  <c r="F345" i="17"/>
  <c r="AS49" i="22"/>
  <c r="AS53"/>
  <c r="AS35" i="15"/>
  <c r="F20" i="17"/>
  <c r="AS41" i="15"/>
  <c r="F26" i="17"/>
  <c r="AS27" i="15"/>
  <c r="F17" i="17"/>
  <c r="AS40" i="15"/>
  <c r="F25" i="17"/>
  <c r="AS55" i="15"/>
  <c r="F40" i="17"/>
  <c r="AS46" i="21"/>
  <c r="F181" i="17"/>
  <c r="AS44" i="22"/>
  <c r="F329" i="17"/>
  <c r="F340"/>
  <c r="AS55" i="22"/>
  <c r="BC193" i="21"/>
  <c r="D303" i="17" s="1"/>
  <c r="BH193" i="21"/>
  <c r="I303" i="17" s="1"/>
  <c r="AV73" i="21"/>
  <c r="BH192"/>
  <c r="I302" i="17" s="1"/>
  <c r="J23" i="2" s="1"/>
  <c r="AV72" i="21"/>
  <c r="BC192"/>
  <c r="D302" i="17" s="1"/>
  <c r="E23" i="2" s="1"/>
  <c r="BH193" i="22"/>
  <c r="I453" i="17" s="1"/>
  <c r="BC193" i="22"/>
  <c r="D453" i="17" s="1"/>
  <c r="AV73" i="22"/>
  <c r="BH190"/>
  <c r="I450" i="17" s="1"/>
  <c r="AV70" i="22"/>
  <c r="BC190"/>
  <c r="D450" i="17" s="1"/>
  <c r="AV52" i="22"/>
  <c r="BC139"/>
  <c r="D409" i="17" s="1"/>
  <c r="BH139" i="22"/>
  <c r="I409" i="17" s="1"/>
  <c r="AV19" i="22"/>
  <c r="BH167"/>
  <c r="I432" i="17" s="1"/>
  <c r="BC167" i="22"/>
  <c r="D432" i="17" s="1"/>
  <c r="AV47" i="22"/>
  <c r="BC148"/>
  <c r="BH148"/>
  <c r="AV28"/>
  <c r="F176" i="17"/>
  <c r="AS41" i="21"/>
  <c r="AS45" i="22"/>
  <c r="F330" i="17"/>
  <c r="BC138" i="15"/>
  <c r="D108" i="17" s="1"/>
  <c r="AS71" i="21"/>
  <c r="F201" i="17"/>
  <c r="AV56" i="15"/>
  <c r="BC176"/>
  <c r="D141" i="17" s="1"/>
  <c r="BH176" i="15"/>
  <c r="I141" i="17" s="1"/>
  <c r="BH185" i="15"/>
  <c r="I145" i="17" s="1"/>
  <c r="AV65" i="15"/>
  <c r="BC185"/>
  <c r="D145" i="17" s="1"/>
  <c r="BH187" i="15"/>
  <c r="I147" i="17" s="1"/>
  <c r="J13" i="2" s="1"/>
  <c r="J45" s="1"/>
  <c r="J12" i="5" s="1"/>
  <c r="H14" i="3" s="1"/>
  <c r="AV67" i="15"/>
  <c r="BC187"/>
  <c r="D147" i="17" s="1"/>
  <c r="E13" i="2" s="1"/>
  <c r="E45" s="1"/>
  <c r="E12" i="5" s="1"/>
  <c r="C14" i="3" s="1"/>
  <c r="AS43" i="22"/>
  <c r="F328" i="17"/>
  <c r="F15"/>
  <c r="AS25" i="15"/>
  <c r="BH169" i="21"/>
  <c r="I284" i="17" s="1"/>
  <c r="BC188" i="21"/>
  <c r="D298" i="17" s="1"/>
  <c r="BH188" i="21"/>
  <c r="I298" i="17" s="1"/>
  <c r="AV68" i="21"/>
  <c r="F50" i="17"/>
  <c r="AS70" i="15"/>
  <c r="AS22"/>
  <c r="F12" i="17"/>
  <c r="BH149" i="21"/>
  <c r="BC149"/>
  <c r="AV29"/>
  <c r="BH192" i="22"/>
  <c r="I452" i="17" s="1"/>
  <c r="J32" i="2" s="1"/>
  <c r="BC192" i="22"/>
  <c r="D452" i="17" s="1"/>
  <c r="E32" i="2" s="1"/>
  <c r="AV72" i="22"/>
  <c r="AV41"/>
  <c r="BH161"/>
  <c r="I426" i="17" s="1"/>
  <c r="BC161" i="22"/>
  <c r="D426" i="17" s="1"/>
  <c r="BC158" i="22"/>
  <c r="D423" i="17" s="1"/>
  <c r="AV38" i="22"/>
  <c r="BH158"/>
  <c r="I423" i="17" s="1"/>
  <c r="BC141" i="22"/>
  <c r="D411" i="17" s="1"/>
  <c r="AV21" i="22"/>
  <c r="BH141"/>
  <c r="I411" i="17" s="1"/>
  <c r="AS18" i="21"/>
  <c r="F158" i="17"/>
  <c r="F190"/>
  <c r="AS55" i="21"/>
  <c r="BC167" i="15"/>
  <c r="D132" i="17" s="1"/>
  <c r="BH149" i="15"/>
  <c r="BC140"/>
  <c r="D110" i="17" s="1"/>
  <c r="AV20" i="15"/>
  <c r="BC151"/>
  <c r="AV31"/>
  <c r="BH151"/>
  <c r="AS38"/>
  <c r="F23" i="17"/>
  <c r="BC183" i="15"/>
  <c r="D143" i="17" s="1"/>
  <c r="AV63" i="15"/>
  <c r="BH183"/>
  <c r="I143" i="17" s="1"/>
  <c r="BH174" i="15"/>
  <c r="I139" i="17" s="1"/>
  <c r="AV54" i="15"/>
  <c r="BC174"/>
  <c r="D139" i="17" s="1"/>
  <c r="BH170" i="15"/>
  <c r="I135" i="17" s="1"/>
  <c r="AV50" i="15"/>
  <c r="BC170"/>
  <c r="D135" i="17" s="1"/>
  <c r="AV49" i="15"/>
  <c r="BH190"/>
  <c r="I150" i="17" s="1"/>
  <c r="AV70" i="15"/>
  <c r="BH175"/>
  <c r="I140" i="17" s="1"/>
  <c r="BC175" i="15"/>
  <c r="D140" i="17" s="1"/>
  <c r="AV55" i="15"/>
  <c r="BH197"/>
  <c r="I157" i="17" s="1"/>
  <c r="J15" i="2" s="1"/>
  <c r="BC197" i="15"/>
  <c r="D157" i="17" s="1"/>
  <c r="E15" i="2" s="1"/>
  <c r="AV77" i="15"/>
  <c r="F159" i="17"/>
  <c r="AS19" i="21"/>
  <c r="AS56"/>
  <c r="F191" i="17"/>
  <c r="AS44" i="15"/>
  <c r="F29" i="17"/>
  <c r="AS19" i="15"/>
  <c r="F9" i="17"/>
  <c r="F341"/>
  <c r="F22"/>
  <c r="AS37" i="15"/>
  <c r="AS25" i="21"/>
  <c r="F165" i="17"/>
  <c r="F54"/>
  <c r="AS74" i="15"/>
  <c r="F352" i="17"/>
  <c r="G26" i="2" s="1"/>
  <c r="BH170" i="21"/>
  <c r="I285" i="17" s="1"/>
  <c r="AV50" i="21"/>
  <c r="BC170"/>
  <c r="D285" i="17" s="1"/>
  <c r="BH191" i="21"/>
  <c r="I301" i="17" s="1"/>
  <c r="BH148" i="21"/>
  <c r="BC157"/>
  <c r="D272" i="17" s="1"/>
  <c r="BH165" i="21"/>
  <c r="I280" i="17" s="1"/>
  <c r="BH191" i="22"/>
  <c r="I451" i="17" s="1"/>
  <c r="AV71" i="22"/>
  <c r="BC191"/>
  <c r="D451" i="17" s="1"/>
  <c r="BH197" i="22"/>
  <c r="I457" i="17" s="1"/>
  <c r="J33" i="2" s="1"/>
  <c r="AV77" i="22"/>
  <c r="BC197"/>
  <c r="D457" i="17" s="1"/>
  <c r="E33" i="2" s="1"/>
  <c r="BH151" i="22"/>
  <c r="BC151"/>
  <c r="AV31"/>
  <c r="BC160"/>
  <c r="D425" i="17" s="1"/>
  <c r="AV40" i="22"/>
  <c r="BH160"/>
  <c r="I425" i="17" s="1"/>
  <c r="BH147" i="22"/>
  <c r="I417" i="17" s="1"/>
  <c r="AS63" i="15"/>
  <c r="F43" i="17"/>
  <c r="F179"/>
  <c r="AS44" i="21"/>
  <c r="BH145" i="15"/>
  <c r="I115" i="17" s="1"/>
  <c r="AV25" i="15"/>
  <c r="BC145"/>
  <c r="D115" i="17" s="1"/>
  <c r="BH144" i="15"/>
  <c r="I114" i="17" s="1"/>
  <c r="AV24" i="15"/>
  <c r="BC196"/>
  <c r="D156" i="17" s="1"/>
  <c r="AV76" i="15"/>
  <c r="BH196"/>
  <c r="I156" i="17" s="1"/>
  <c r="BC180" i="15"/>
  <c r="AV60"/>
  <c r="BH180"/>
  <c r="BH195"/>
  <c r="I155" i="17" s="1"/>
  <c r="AV75" i="15"/>
  <c r="BC195"/>
  <c r="D155" i="17" s="1"/>
  <c r="F10"/>
  <c r="AS20" i="15"/>
  <c r="AS24" i="22"/>
  <c r="F314" i="17"/>
  <c r="F321"/>
  <c r="AS36" i="22"/>
  <c r="AS65" i="21"/>
  <c r="F195" i="17"/>
  <c r="AS50" i="15"/>
  <c r="AS53"/>
  <c r="F38" i="17"/>
  <c r="AV75" i="21"/>
  <c r="BC195"/>
  <c r="D305" i="17" s="1"/>
  <c r="BH195" i="21"/>
  <c r="I305" i="17" s="1"/>
  <c r="AV59" i="21"/>
  <c r="BH179"/>
  <c r="AS46" i="22"/>
  <c r="F331" i="17"/>
  <c r="AS52" i="21"/>
  <c r="F187" i="17"/>
  <c r="F319"/>
  <c r="AS34" i="22"/>
  <c r="AS42"/>
  <c r="F327" i="17"/>
  <c r="F317"/>
  <c r="AS27" i="22"/>
  <c r="AS39"/>
  <c r="F324" i="17"/>
  <c r="F308"/>
  <c r="AS18" i="22"/>
  <c r="AS45" i="21"/>
  <c r="F180" i="17"/>
  <c r="F183"/>
  <c r="AS48" i="21"/>
  <c r="AS35"/>
  <c r="F170" i="17"/>
  <c r="F33"/>
  <c r="BC177" i="21"/>
  <c r="D292" i="17" s="1"/>
  <c r="AV57" i="21"/>
  <c r="BH177"/>
  <c r="I292" i="17" s="1"/>
  <c r="BC181" i="21"/>
  <c r="AV61"/>
  <c r="BH181"/>
  <c r="AV54"/>
  <c r="BH175"/>
  <c r="I290" i="17" s="1"/>
  <c r="BH187" i="21"/>
  <c r="I297" i="17" s="1"/>
  <c r="J22" i="2" s="1"/>
  <c r="J54" s="1"/>
  <c r="AV67" i="21"/>
  <c r="BC187"/>
  <c r="D297" i="17" s="1"/>
  <c r="E22" i="2" s="1"/>
  <c r="E54" s="1"/>
  <c r="BH158" i="21"/>
  <c r="I273" i="17" s="1"/>
  <c r="BH154" i="21"/>
  <c r="I269" i="17" s="1"/>
  <c r="BC164" i="21"/>
  <c r="D279" i="17" s="1"/>
  <c r="AV44" i="21"/>
  <c r="BH164"/>
  <c r="I279" i="17" s="1"/>
  <c r="BC142" i="21"/>
  <c r="D262" i="17" s="1"/>
  <c r="BC163" i="21"/>
  <c r="D278" i="17" s="1"/>
  <c r="BC168" i="22"/>
  <c r="D433" i="17" s="1"/>
  <c r="BC185" i="22"/>
  <c r="D445" i="17" s="1"/>
  <c r="BH185" i="22"/>
  <c r="I445" i="17" s="1"/>
  <c r="AV65" i="22"/>
  <c r="BH188"/>
  <c r="I448" i="17" s="1"/>
  <c r="AV68" i="22"/>
  <c r="BC188"/>
  <c r="D448" i="17" s="1"/>
  <c r="AV58" i="22"/>
  <c r="BC178"/>
  <c r="BH178"/>
  <c r="AV22"/>
  <c r="BH142"/>
  <c r="I412" i="17" s="1"/>
  <c r="BH140" i="22"/>
  <c r="I410" i="17" s="1"/>
  <c r="BC140" i="22"/>
  <c r="D410" i="17" s="1"/>
  <c r="AV20" i="22"/>
  <c r="BH146"/>
  <c r="I416" i="17" s="1"/>
  <c r="F202"/>
  <c r="G17" i="2" s="1"/>
  <c r="AS72" i="21"/>
  <c r="F309" i="17"/>
  <c r="AS19" i="22"/>
  <c r="AS74" i="21"/>
  <c r="F204" i="17"/>
  <c r="F193"/>
  <c r="AS63" i="21"/>
  <c r="AS41" i="22"/>
  <c r="F326" i="17"/>
  <c r="F313"/>
  <c r="AS23" i="22"/>
  <c r="AS73" i="15"/>
  <c r="F53" i="17"/>
  <c r="AS38" i="22"/>
  <c r="F323" i="17"/>
  <c r="AS57" i="15"/>
  <c r="F42" i="17"/>
  <c r="AS20" i="22"/>
  <c r="F310" i="17"/>
  <c r="AS20" i="21"/>
  <c r="F160" i="17"/>
  <c r="F189"/>
  <c r="AS66" i="21"/>
  <c r="F196" i="17"/>
  <c r="AV60" i="21"/>
  <c r="BC180"/>
  <c r="AV48"/>
  <c r="BH168"/>
  <c r="I283" i="17" s="1"/>
  <c r="AV69" i="21"/>
  <c r="AV70"/>
  <c r="BH190"/>
  <c r="I300" i="17" s="1"/>
  <c r="BC183" i="21"/>
  <c r="D293" i="17" s="1"/>
  <c r="AV63" i="21"/>
  <c r="BH183"/>
  <c r="I293" i="17" s="1"/>
  <c r="BH197" i="21"/>
  <c r="I307" i="17" s="1"/>
  <c r="J24" i="2" s="1"/>
  <c r="BC197" i="21"/>
  <c r="D307" i="17" s="1"/>
  <c r="E24" i="2" s="1"/>
  <c r="AV77" i="21"/>
  <c r="BH143"/>
  <c r="I263" i="17" s="1"/>
  <c r="AV23" i="21"/>
  <c r="BC143"/>
  <c r="D263" i="17" s="1"/>
  <c r="AV42" i="21"/>
  <c r="BH162"/>
  <c r="I277" i="17" s="1"/>
  <c r="BC162" i="21"/>
  <c r="D277" i="17" s="1"/>
  <c r="BH159" i="21"/>
  <c r="I274" i="17" s="1"/>
  <c r="AV39" i="21"/>
  <c r="BC159"/>
  <c r="D274" i="17" s="1"/>
  <c r="BC147" i="21"/>
  <c r="D267" i="17" s="1"/>
  <c r="AV27" i="21"/>
  <c r="BH147"/>
  <c r="I267" i="17" s="1"/>
  <c r="BH160" i="21"/>
  <c r="I275" i="17" s="1"/>
  <c r="BC160" i="21"/>
  <c r="D275" i="17" s="1"/>
  <c r="AV40" i="21"/>
  <c r="BH184" i="22"/>
  <c r="I444" i="17" s="1"/>
  <c r="AV64" i="22"/>
  <c r="BC184"/>
  <c r="D444" i="17" s="1"/>
  <c r="BH194" i="22"/>
  <c r="I454" i="17" s="1"/>
  <c r="BC194" i="22"/>
  <c r="D454" i="17" s="1"/>
  <c r="AV74" i="22"/>
  <c r="BH169"/>
  <c r="I434" i="17" s="1"/>
  <c r="AV49" i="22"/>
  <c r="BC169"/>
  <c r="D434" i="17" s="1"/>
  <c r="BH173" i="22"/>
  <c r="I438" i="17" s="1"/>
  <c r="AV69" i="22"/>
  <c r="BC189"/>
  <c r="D449" i="17" s="1"/>
  <c r="BH189" i="22"/>
  <c r="I449" i="17" s="1"/>
  <c r="AV61" i="22"/>
  <c r="BC181"/>
  <c r="BH181"/>
  <c r="BH183"/>
  <c r="I443" i="17" s="1"/>
  <c r="BC183" i="22"/>
  <c r="D443" i="17" s="1"/>
  <c r="AV63" i="22"/>
  <c r="AV56"/>
  <c r="BH176"/>
  <c r="I441" i="17" s="1"/>
  <c r="BC176" i="22"/>
  <c r="D441" i="17" s="1"/>
  <c r="BH187" i="22"/>
  <c r="I447" i="17" s="1"/>
  <c r="J31" i="2" s="1"/>
  <c r="J63" s="1"/>
  <c r="J30" i="5" s="1"/>
  <c r="H32" i="3" s="1"/>
  <c r="BC187" i="22"/>
  <c r="D447" i="17" s="1"/>
  <c r="E31" i="2" s="1"/>
  <c r="E63" s="1"/>
  <c r="E30" i="5" s="1"/>
  <c r="C32" i="3" s="1"/>
  <c r="AV67" i="22"/>
  <c r="AV32"/>
  <c r="BC152"/>
  <c r="BH152"/>
  <c r="BC164"/>
  <c r="D429" i="17" s="1"/>
  <c r="AV44" i="22"/>
  <c r="BH164"/>
  <c r="I429" i="17" s="1"/>
  <c r="BC163" i="22"/>
  <c r="D428" i="17" s="1"/>
  <c r="BH163" i="22"/>
  <c r="I428" i="17" s="1"/>
  <c r="AV43" i="22"/>
  <c r="BH165"/>
  <c r="I430" i="17" s="1"/>
  <c r="AV45" i="22"/>
  <c r="BC165"/>
  <c r="D430" i="17" s="1"/>
  <c r="BC155" i="22"/>
  <c r="D420" i="17" s="1"/>
  <c r="AV35" i="22"/>
  <c r="BH155"/>
  <c r="I420" i="17" s="1"/>
  <c r="BH144" i="22"/>
  <c r="I414" i="17" s="1"/>
  <c r="AV24" i="22"/>
  <c r="AV30"/>
  <c r="BC150"/>
  <c r="BH150"/>
  <c r="AS40" i="21"/>
  <c r="F175" i="17"/>
  <c r="AS22" i="21"/>
  <c r="F162" i="17"/>
  <c r="BC162" i="15"/>
  <c r="D127" i="17" s="1"/>
  <c r="BH160" i="15"/>
  <c r="I125" i="17" s="1"/>
  <c r="F177"/>
  <c r="AS42" i="21"/>
  <c r="BH178" i="15"/>
  <c r="BH181"/>
  <c r="BC181"/>
  <c r="AV61"/>
  <c r="BH179"/>
  <c r="AV59"/>
  <c r="BC179"/>
  <c r="BH192"/>
  <c r="I152" i="17" s="1"/>
  <c r="J14" i="2" s="1"/>
  <c r="BC192" i="15"/>
  <c r="D152" i="17" s="1"/>
  <c r="E14" i="2" s="1"/>
  <c r="AV72" i="15"/>
  <c r="F21" i="17"/>
  <c r="AS36" i="15"/>
  <c r="AS36" i="21"/>
  <c r="F171" i="17"/>
  <c r="AS54" i="15"/>
  <c r="F39" i="17"/>
  <c r="AS23" i="15"/>
  <c r="F13" i="17"/>
  <c r="AV41" i="21"/>
  <c r="BH186" i="22"/>
  <c r="I446" i="17" s="1"/>
  <c r="BC186" i="22"/>
  <c r="D446" i="17" s="1"/>
  <c r="AV66" i="22"/>
  <c r="AV76"/>
  <c r="BH196"/>
  <c r="I456" i="17" s="1"/>
  <c r="BC196" i="22"/>
  <c r="D456" i="17" s="1"/>
  <c r="F49"/>
  <c r="BC164" i="15"/>
  <c r="D129" i="17" s="1"/>
  <c r="F47"/>
  <c r="G7" i="2" s="1"/>
  <c r="G39" s="1"/>
  <c r="G6" i="5" s="1"/>
  <c r="E8" i="3" s="1"/>
  <c r="AS67" i="15"/>
  <c r="F167" i="17"/>
  <c r="AS27" i="21"/>
  <c r="F194" i="17"/>
  <c r="AS64" i="21"/>
  <c r="F8" i="17"/>
  <c r="AS18" i="15"/>
  <c r="AS26"/>
  <c r="F16" i="17"/>
  <c r="AS74" i="22"/>
  <c r="F320" i="17"/>
  <c r="AS35" i="22"/>
  <c r="BH194" i="15"/>
  <c r="I154" i="17" s="1"/>
  <c r="AV74" i="15"/>
  <c r="BH184"/>
  <c r="I144" i="17" s="1"/>
  <c r="AV64" i="15"/>
  <c r="BC184"/>
  <c r="D144" i="17" s="1"/>
  <c r="AS68" i="21"/>
  <c r="AS73"/>
  <c r="F203" i="17"/>
  <c r="F192"/>
  <c r="AS57" i="21"/>
  <c r="AS47"/>
  <c r="F182" i="17"/>
  <c r="AS47" i="15"/>
  <c r="F32" i="17"/>
  <c r="BC176" i="21"/>
  <c r="D291" i="17" s="1"/>
  <c r="AV25" i="21"/>
  <c r="BH145"/>
  <c r="I265" i="17" s="1"/>
  <c r="BC156" i="21"/>
  <c r="D271" i="17" s="1"/>
  <c r="AV36" i="21"/>
  <c r="BH156"/>
  <c r="I271" i="17" s="1"/>
  <c r="BC151" i="21"/>
  <c r="AV35"/>
  <c r="BH155"/>
  <c r="I270" i="17" s="1"/>
  <c r="BC155" i="21"/>
  <c r="D270" i="17" s="1"/>
  <c r="BC152" i="21"/>
  <c r="BH150"/>
  <c r="AV30"/>
  <c r="BC150"/>
  <c r="BC167"/>
  <c r="D282" i="17" s="1"/>
  <c r="AV47" i="21"/>
  <c r="BH167"/>
  <c r="I282" i="17" s="1"/>
  <c r="BH179" i="22"/>
  <c r="BC179"/>
  <c r="AV59"/>
  <c r="BH180"/>
  <c r="AV60"/>
  <c r="BC180"/>
  <c r="BH175"/>
  <c r="I440" i="17" s="1"/>
  <c r="BC175" i="22"/>
  <c r="D440" i="17" s="1"/>
  <c r="AV55" i="22"/>
  <c r="BH182"/>
  <c r="BC182"/>
  <c r="AV62"/>
  <c r="BH195"/>
  <c r="I455" i="17" s="1"/>
  <c r="AV75" i="22"/>
  <c r="BC195"/>
  <c r="D455" i="17" s="1"/>
  <c r="AV46" i="22"/>
  <c r="BC156"/>
  <c r="D421" i="17" s="1"/>
  <c r="AV36" i="22"/>
  <c r="BH156"/>
  <c r="I421" i="17" s="1"/>
  <c r="BH159" i="22"/>
  <c r="I424" i="17" s="1"/>
  <c r="BC159" i="22"/>
  <c r="D424" i="17" s="1"/>
  <c r="AV39" i="22"/>
  <c r="BH138"/>
  <c r="I408" i="17" s="1"/>
  <c r="BC138" i="22"/>
  <c r="D408" i="17" s="1"/>
  <c r="AV18" i="22"/>
  <c r="BC153"/>
  <c r="D418" i="17" s="1"/>
  <c r="AV33" i="22"/>
  <c r="BH153"/>
  <c r="I418" i="17" s="1"/>
  <c r="AV34" i="22"/>
  <c r="BH154"/>
  <c r="I419" i="17" s="1"/>
  <c r="BC154" i="22"/>
  <c r="D419" i="17" s="1"/>
  <c r="AV37" i="22"/>
  <c r="BC157"/>
  <c r="D422" i="17" s="1"/>
  <c r="BH157" i="22"/>
  <c r="I422" i="17" s="1"/>
  <c r="BH162" i="22"/>
  <c r="I427" i="17" s="1"/>
  <c r="BC162" i="22"/>
  <c r="D427" i="17" s="1"/>
  <c r="AV42" i="22"/>
  <c r="AS72" i="15"/>
  <c r="F52" i="17"/>
  <c r="AS24" i="21"/>
  <c r="F164" i="17"/>
  <c r="D14" i="14"/>
  <c r="D15" s="1"/>
  <c r="H14" i="26"/>
  <c r="H15" s="1"/>
  <c r="C14"/>
  <c r="C15" s="1"/>
  <c r="I14"/>
  <c r="I15" s="1"/>
  <c r="I14" i="27"/>
  <c r="I15" s="1"/>
  <c r="K14" i="14"/>
  <c r="K15" s="1"/>
  <c r="F14"/>
  <c r="F15" s="1"/>
  <c r="J14"/>
  <c r="J15" s="1"/>
  <c r="H14"/>
  <c r="H15" s="1"/>
  <c r="H14" i="27"/>
  <c r="H15" s="1"/>
  <c r="J14"/>
  <c r="J15" s="1"/>
  <c r="C14"/>
  <c r="C15" s="1"/>
  <c r="K14"/>
  <c r="K15" s="1"/>
  <c r="K14" i="26"/>
  <c r="K15" s="1"/>
  <c r="D14"/>
  <c r="D15" s="1"/>
  <c r="G14" i="14"/>
  <c r="G15" s="1"/>
  <c r="F14" i="26"/>
  <c r="F15" s="1"/>
  <c r="D14" i="27"/>
  <c r="D15" s="1"/>
  <c r="F14"/>
  <c r="F15" s="1"/>
  <c r="J14" i="26"/>
  <c r="J15" s="1"/>
  <c r="G14" i="27"/>
  <c r="G15" s="1"/>
  <c r="C14" i="14"/>
  <c r="C15" s="1"/>
  <c r="I14"/>
  <c r="I15" s="1"/>
  <c r="G14" i="26"/>
  <c r="G15" s="1"/>
  <c r="AV39" i="15"/>
  <c r="BC166"/>
  <c r="D131" i="17" s="1"/>
  <c r="BC146" i="15"/>
  <c r="D116" i="17" s="1"/>
  <c r="AS69" i="21"/>
  <c r="F199" i="17"/>
  <c r="F161"/>
  <c r="AS21" i="21"/>
  <c r="F56" i="17"/>
  <c r="AS76" i="15"/>
  <c r="BC173"/>
  <c r="D138" i="17" s="1"/>
  <c r="AV53" i="15"/>
  <c r="BH173"/>
  <c r="I138" i="17" s="1"/>
  <c r="BC171" i="15"/>
  <c r="D136" i="17" s="1"/>
  <c r="BH171" i="15"/>
  <c r="I136" i="17" s="1"/>
  <c r="AV51" i="15"/>
  <c r="BC188"/>
  <c r="D148" i="17" s="1"/>
  <c r="BH188" i="15"/>
  <c r="I148" i="17" s="1"/>
  <c r="AV68" i="15"/>
  <c r="AV71"/>
  <c r="BH191"/>
  <c r="I151" i="17" s="1"/>
  <c r="BH177" i="15"/>
  <c r="I142" i="17" s="1"/>
  <c r="AV57" i="15"/>
  <c r="BC177"/>
  <c r="D142" i="17" s="1"/>
  <c r="BC186" i="15"/>
  <c r="D146" i="17" s="1"/>
  <c r="AV66" i="15"/>
  <c r="BH186"/>
  <c r="I146" i="17" s="1"/>
  <c r="BH141" i="15" l="1"/>
  <c r="I111" i="17" s="1"/>
  <c r="BH152" i="21"/>
  <c r="BC178" i="15"/>
  <c r="AV22" i="21"/>
  <c r="BC169" i="15"/>
  <c r="D134" i="17" s="1"/>
  <c r="AV29" i="22"/>
  <c r="AV31" i="21"/>
  <c r="F342" i="17"/>
  <c r="AV23" i="15"/>
  <c r="BC163"/>
  <c r="D128" i="17" s="1"/>
  <c r="BC161" i="21"/>
  <c r="D276" i="17" s="1"/>
  <c r="F51"/>
  <c r="BC173" i="22"/>
  <c r="D438" i="17" s="1"/>
  <c r="AV43" i="21"/>
  <c r="BC154"/>
  <c r="D269" i="17" s="1"/>
  <c r="AV38" i="21"/>
  <c r="AV27" i="22"/>
  <c r="BC165" i="21"/>
  <c r="D280" i="17" s="1"/>
  <c r="BC191" i="21"/>
  <c r="D301" i="17" s="1"/>
  <c r="F197"/>
  <c r="G16" i="2" s="1"/>
  <c r="G48" s="1"/>
  <c r="AV47" i="15"/>
  <c r="BH149" i="22"/>
  <c r="BH182" i="21"/>
  <c r="F24" i="17"/>
  <c r="F37"/>
  <c r="AS65" i="15"/>
  <c r="AS56"/>
  <c r="AV66" i="21"/>
  <c r="BH189"/>
  <c r="I299" i="17" s="1"/>
  <c r="F185"/>
  <c r="AV62" i="21"/>
  <c r="F337" i="17"/>
  <c r="AV52" i="15"/>
  <c r="BH196" i="21"/>
  <c r="I306" i="17" s="1"/>
  <c r="BH153" i="21"/>
  <c r="I268" i="17" s="1"/>
  <c r="BH165" i="15"/>
  <c r="I130" i="17" s="1"/>
  <c r="BH168" i="15"/>
  <c r="I133" i="17" s="1"/>
  <c r="BC171" i="22"/>
  <c r="D436" i="17" s="1"/>
  <c r="AV48" i="15"/>
  <c r="BH143"/>
  <c r="I113" i="17" s="1"/>
  <c r="BC141" i="15"/>
  <c r="D111" i="17" s="1"/>
  <c r="AV43" i="15"/>
  <c r="BC166" i="22"/>
  <c r="D431" i="17" s="1"/>
  <c r="AV19" i="21"/>
  <c r="BH171" i="22"/>
  <c r="I436" i="17" s="1"/>
  <c r="BH172" i="15"/>
  <c r="I137" i="17" s="1"/>
  <c r="AV54" i="22"/>
  <c r="BC196" i="21"/>
  <c r="D306" i="17" s="1"/>
  <c r="BC153" i="21"/>
  <c r="D268" i="17" s="1"/>
  <c r="F335"/>
  <c r="BC165" i="15"/>
  <c r="D130" i="17" s="1"/>
  <c r="BC172" i="22"/>
  <c r="D437" i="17" s="1"/>
  <c r="AV65" i="21"/>
  <c r="AS48" i="22"/>
  <c r="BC139" i="21"/>
  <c r="D259" i="17" s="1"/>
  <c r="BC186" i="21"/>
  <c r="D296" i="17" s="1"/>
  <c r="BH171" i="21"/>
  <c r="I286" i="17" s="1"/>
  <c r="BC157" i="15"/>
  <c r="D122" i="17" s="1"/>
  <c r="BH157" i="15"/>
  <c r="I122" i="17" s="1"/>
  <c r="BC189" i="15"/>
  <c r="D149" i="17" s="1"/>
  <c r="AV22" i="15"/>
  <c r="BC169" i="21"/>
  <c r="D284" i="17" s="1"/>
  <c r="AV26" i="15"/>
  <c r="BH176" i="21"/>
  <c r="I291" i="17" s="1"/>
  <c r="BH164" i="15"/>
  <c r="I129" i="17" s="1"/>
  <c r="BC160" i="15"/>
  <c r="D125" i="17" s="1"/>
  <c r="BH162" i="15"/>
  <c r="I127" i="17" s="1"/>
  <c r="BC146" i="22"/>
  <c r="D416" i="17" s="1"/>
  <c r="BC170" i="22"/>
  <c r="D435" i="17" s="1"/>
  <c r="AV48" i="22"/>
  <c r="BC175" i="21"/>
  <c r="D290" i="17" s="1"/>
  <c r="BC174" i="21"/>
  <c r="D289" i="17" s="1"/>
  <c r="BH157" i="21"/>
  <c r="I272" i="17" s="1"/>
  <c r="AV34" i="15"/>
  <c r="AS71" i="22"/>
  <c r="BH139" i="15"/>
  <c r="I109" i="17" s="1"/>
  <c r="AS68" i="22"/>
  <c r="AV74" i="21"/>
  <c r="BH170" i="22"/>
  <c r="I435" i="17" s="1"/>
  <c r="AV28" i="21"/>
  <c r="F353" i="17"/>
  <c r="AV62" i="15"/>
  <c r="BH138"/>
  <c r="I108" i="17" s="1"/>
  <c r="AV18" i="21"/>
  <c r="AV35" i="15"/>
  <c r="BC155"/>
  <c r="D120" i="17" s="1"/>
  <c r="BH155" i="15"/>
  <c r="I120" i="17" s="1"/>
  <c r="BC174" i="22"/>
  <c r="D439" i="17" s="1"/>
  <c r="AS70" i="22"/>
  <c r="BC153" i="15"/>
  <c r="D118" i="17" s="1"/>
  <c r="BH185" i="21"/>
  <c r="I295" i="17" s="1"/>
  <c r="AV69" i="15"/>
  <c r="BH150"/>
  <c r="BH156"/>
  <c r="I121" i="17" s="1"/>
  <c r="BC140" i="21"/>
  <c r="D260" i="17" s="1"/>
  <c r="BC141" i="21"/>
  <c r="D261" i="17" s="1"/>
  <c r="AV73" i="15"/>
  <c r="F356" i="17"/>
  <c r="AV58" i="21"/>
  <c r="AV38" i="15"/>
  <c r="AV19"/>
  <c r="BC194" i="21"/>
  <c r="D304" i="17" s="1"/>
  <c r="BC171" i="21"/>
  <c r="D286" i="17" s="1"/>
  <c r="BH177" i="22"/>
  <c r="I442" i="17" s="1"/>
  <c r="AV64" i="21"/>
  <c r="AV29" i="15"/>
  <c r="AV52" i="21"/>
  <c r="BC182" i="15"/>
  <c r="AS51" i="22"/>
  <c r="F347" i="17"/>
  <c r="G25" i="2" s="1"/>
  <c r="G57" s="1"/>
  <c r="G24" i="5" s="1"/>
  <c r="E26" i="3" s="1"/>
  <c r="F349" i="17"/>
  <c r="BH152" i="15"/>
  <c r="AV25" i="22"/>
  <c r="BH193" i="15"/>
  <c r="I153" i="17" s="1"/>
  <c r="BC184" i="21"/>
  <c r="D294" i="17" s="1"/>
  <c r="AV36" i="15"/>
  <c r="AV28"/>
  <c r="BH143" i="22"/>
  <c r="I413" i="17" s="1"/>
  <c r="AV26" i="21"/>
  <c r="BH161" i="15"/>
  <c r="I126" i="17" s="1"/>
  <c r="BC147" i="15"/>
  <c r="D117" i="17" s="1"/>
  <c r="BH166" i="21"/>
  <c r="I281" i="17" s="1"/>
  <c r="BC154" i="15"/>
  <c r="D119" i="17" s="1"/>
  <c r="BH138" i="21"/>
  <c r="I258" i="17" s="1"/>
  <c r="BC150" i="15"/>
  <c r="BC152"/>
  <c r="AV46"/>
  <c r="BC148"/>
  <c r="BH145" i="22"/>
  <c r="I415" i="17" s="1"/>
  <c r="AV24" i="21"/>
  <c r="AV57" i="22"/>
  <c r="AV33" i="15"/>
  <c r="AV37"/>
  <c r="BC159"/>
  <c r="D124" i="17" s="1"/>
  <c r="BH140" i="21"/>
  <c r="I260" i="17" s="1"/>
  <c r="BH144" i="21"/>
  <c r="I264" i="17" s="1"/>
  <c r="BH158" i="15"/>
  <c r="I123" i="17" s="1"/>
  <c r="BH142" i="15"/>
  <c r="I112" i="17" s="1"/>
  <c r="AV23" i="22"/>
  <c r="BC161" i="15"/>
  <c r="D126" i="17" s="1"/>
  <c r="AV27" i="15"/>
  <c r="BC166" i="21"/>
  <c r="D281" i="17" s="1"/>
  <c r="BH172" i="21"/>
  <c r="I287" i="17" s="1"/>
  <c r="AS75" i="22"/>
  <c r="F344" i="17"/>
  <c r="F339"/>
  <c r="AV21" i="21"/>
  <c r="BC173"/>
  <c r="D288" i="17" s="1"/>
  <c r="BH146" i="21"/>
  <c r="I266" i="17" s="1"/>
  <c r="AV53" i="21"/>
  <c r="BC178"/>
  <c r="J46" i="2"/>
  <c r="J13" i="5" s="1"/>
  <c r="H15" i="3" s="1"/>
  <c r="J65" i="2"/>
  <c r="J32" i="5" s="1"/>
  <c r="H34" i="3" s="1"/>
  <c r="G49" i="2"/>
  <c r="G16" i="5" s="1"/>
  <c r="E18" i="3" s="1"/>
  <c r="E46" i="2"/>
  <c r="E13" i="5" s="1"/>
  <c r="C15" i="3" s="1"/>
  <c r="J56" i="2"/>
  <c r="J23" i="5" s="1"/>
  <c r="H25" i="3" s="1"/>
  <c r="E55" i="2"/>
  <c r="E22" i="5" s="1"/>
  <c r="C24" i="3" s="1"/>
  <c r="D22" i="27"/>
  <c r="D24" s="1"/>
  <c r="D28" s="1"/>
  <c r="H22" i="26"/>
  <c r="H24" s="1"/>
  <c r="H28" s="1"/>
  <c r="J21" i="5"/>
  <c r="H23" i="3" s="1"/>
  <c r="J39" i="5"/>
  <c r="H41" i="3" s="1"/>
  <c r="G33" i="5"/>
  <c r="E35" i="3" s="1"/>
  <c r="G15" i="5"/>
  <c r="E17" i="3" s="1"/>
  <c r="J47" i="2"/>
  <c r="J14" i="5" s="1"/>
  <c r="H16" i="3" s="1"/>
  <c r="G50" i="2"/>
  <c r="G59"/>
  <c r="G26" i="5" s="1"/>
  <c r="E28" i="3" s="1"/>
  <c r="F22" i="26"/>
  <c r="F24" s="1"/>
  <c r="F28" s="1"/>
  <c r="I22" i="27"/>
  <c r="I24" s="1"/>
  <c r="I28" s="1"/>
  <c r="H22"/>
  <c r="F22"/>
  <c r="F24" s="1"/>
  <c r="F28" s="1"/>
  <c r="C22" i="26"/>
  <c r="E47" i="2"/>
  <c r="E14" i="5" s="1"/>
  <c r="C16" i="3" s="1"/>
  <c r="J55" i="2"/>
  <c r="G22" i="27"/>
  <c r="G24" s="1"/>
  <c r="G28" s="1"/>
  <c r="K22"/>
  <c r="K24" s="1"/>
  <c r="K28" s="1"/>
  <c r="H22" i="14"/>
  <c r="D22"/>
  <c r="D24" s="1"/>
  <c r="D28" s="1"/>
  <c r="C22"/>
  <c r="C24" s="1"/>
  <c r="C28" s="1"/>
  <c r="K22" i="26"/>
  <c r="K22" i="14"/>
  <c r="K24" s="1"/>
  <c r="K28" s="1"/>
  <c r="G8" i="2"/>
  <c r="G40" s="1"/>
  <c r="G7" i="5" s="1"/>
  <c r="E9" i="3" s="1"/>
  <c r="G9" i="2"/>
  <c r="I22" i="14"/>
  <c r="I24" s="1"/>
  <c r="I28" s="1"/>
  <c r="D22" i="26"/>
  <c r="D24" s="1"/>
  <c r="D28" s="1"/>
  <c r="J22" i="27"/>
  <c r="J24" s="1"/>
  <c r="J28" s="1"/>
  <c r="F22" i="14"/>
  <c r="G22" i="26"/>
  <c r="G24" s="1"/>
  <c r="G28" s="1"/>
  <c r="J22"/>
  <c r="G22" i="14"/>
  <c r="G24" s="1"/>
  <c r="G28" s="1"/>
  <c r="C22" i="27"/>
  <c r="J22" i="14"/>
  <c r="J24" s="1"/>
  <c r="J28" s="1"/>
  <c r="I22" i="26"/>
  <c r="E21" i="5"/>
  <c r="C23" i="3" s="1"/>
  <c r="E39" i="5"/>
  <c r="C41" i="3" s="1"/>
  <c r="E64" i="2"/>
  <c r="E31" i="5" s="1"/>
  <c r="C33" i="3" s="1"/>
  <c r="E56" i="2"/>
  <c r="E65"/>
  <c r="E32" i="5" s="1"/>
  <c r="C34" i="3" s="1"/>
  <c r="J64" i="2"/>
  <c r="J31" i="5" s="1"/>
  <c r="H33" i="3" s="1"/>
  <c r="G34" i="5" l="1"/>
  <c r="E36" i="3" s="1"/>
  <c r="G58" i="2"/>
  <c r="G25" i="5" s="1"/>
  <c r="E27" i="3" s="1"/>
  <c r="E40" i="5"/>
  <c r="C42" i="3" s="1"/>
  <c r="J41" i="5"/>
  <c r="H43" i="3" s="1"/>
  <c r="G41" i="2"/>
  <c r="G8" i="5" s="1"/>
  <c r="E10" i="3" s="1"/>
  <c r="AA108" i="22"/>
  <c r="AA111"/>
  <c r="AA80"/>
  <c r="AA79"/>
  <c r="AA81"/>
  <c r="AA109"/>
  <c r="F32" i="27"/>
  <c r="AA78" i="22"/>
  <c r="AA112"/>
  <c r="AA110"/>
  <c r="AA82"/>
  <c r="Q115"/>
  <c r="Q131"/>
  <c r="Q118"/>
  <c r="Q113"/>
  <c r="Q129"/>
  <c r="Q112"/>
  <c r="AK112" s="1"/>
  <c r="AT112" s="1"/>
  <c r="Q128"/>
  <c r="Q111"/>
  <c r="Q127"/>
  <c r="Q114"/>
  <c r="Q130"/>
  <c r="Q109"/>
  <c r="Q125"/>
  <c r="Q108"/>
  <c r="AK108" s="1"/>
  <c r="AT108" s="1"/>
  <c r="Q124"/>
  <c r="Q132"/>
  <c r="Q119"/>
  <c r="Q122"/>
  <c r="Q117"/>
  <c r="Q116"/>
  <c r="Q135"/>
  <c r="D32" i="27"/>
  <c r="Q110" i="22"/>
  <c r="AK110" s="1"/>
  <c r="AT110" s="1"/>
  <c r="Q134"/>
  <c r="Q137"/>
  <c r="Q133"/>
  <c r="Q121"/>
  <c r="Q126"/>
  <c r="Q123"/>
  <c r="Q136"/>
  <c r="Q120"/>
  <c r="AA133" i="15"/>
  <c r="AA105"/>
  <c r="AA104"/>
  <c r="AA134"/>
  <c r="AA136"/>
  <c r="K32" i="14"/>
  <c r="AA106" i="15"/>
  <c r="AA137"/>
  <c r="AA135"/>
  <c r="AA103"/>
  <c r="AA107"/>
  <c r="K32" i="27"/>
  <c r="AA133" i="22"/>
  <c r="AA103"/>
  <c r="AA104"/>
  <c r="AA137"/>
  <c r="AA105"/>
  <c r="AA135"/>
  <c r="AA136"/>
  <c r="AA134"/>
  <c r="AA107"/>
  <c r="AA106"/>
  <c r="Q82" i="15"/>
  <c r="Q91"/>
  <c r="Q83"/>
  <c r="Q87"/>
  <c r="C32" i="14"/>
  <c r="Q85" i="15"/>
  <c r="Q86"/>
  <c r="Q104"/>
  <c r="Q93"/>
  <c r="Q102"/>
  <c r="Q103"/>
  <c r="Q79"/>
  <c r="Q105"/>
  <c r="Q97"/>
  <c r="Q81"/>
  <c r="Q90"/>
  <c r="Q98"/>
  <c r="Q99"/>
  <c r="Q89"/>
  <c r="Q94"/>
  <c r="Q107"/>
  <c r="AK107" s="1"/>
  <c r="AT107" s="1"/>
  <c r="Q80"/>
  <c r="Q101"/>
  <c r="Q78"/>
  <c r="Q96"/>
  <c r="Q88"/>
  <c r="Q92"/>
  <c r="Q100"/>
  <c r="Q95"/>
  <c r="Q84"/>
  <c r="Q106"/>
  <c r="AA123" i="22"/>
  <c r="AA127"/>
  <c r="AA95"/>
  <c r="AA93"/>
  <c r="AA97"/>
  <c r="AA125"/>
  <c r="I32" i="27"/>
  <c r="AA94" i="22"/>
  <c r="AA124"/>
  <c r="AA96"/>
  <c r="AA126"/>
  <c r="AA130" i="15"/>
  <c r="AA102"/>
  <c r="AA132"/>
  <c r="AA99"/>
  <c r="AA131"/>
  <c r="AA129"/>
  <c r="AA101"/>
  <c r="AA100"/>
  <c r="J32" i="14"/>
  <c r="AA128" i="15"/>
  <c r="AA98"/>
  <c r="J32" i="27"/>
  <c r="AA129" i="22"/>
  <c r="AA130"/>
  <c r="AA100"/>
  <c r="AA132"/>
  <c r="AA101"/>
  <c r="AA102"/>
  <c r="AA128"/>
  <c r="AA99"/>
  <c r="AA98"/>
  <c r="AA131"/>
  <c r="Q137" i="15"/>
  <c r="Q120"/>
  <c r="Q119"/>
  <c r="Q110"/>
  <c r="Q111"/>
  <c r="Q124"/>
  <c r="Q129"/>
  <c r="Q112"/>
  <c r="Q116"/>
  <c r="D32" i="14"/>
  <c r="Q136" i="15"/>
  <c r="AK136" s="1"/>
  <c r="AT136" s="1"/>
  <c r="Q130"/>
  <c r="Q128"/>
  <c r="Q114"/>
  <c r="Q118"/>
  <c r="Q131"/>
  <c r="Q126"/>
  <c r="Q117"/>
  <c r="Q108"/>
  <c r="Q127"/>
  <c r="Q134"/>
  <c r="Q113"/>
  <c r="Q109"/>
  <c r="Q135"/>
  <c r="Q121"/>
  <c r="Q125"/>
  <c r="Q123"/>
  <c r="Q132"/>
  <c r="Q133"/>
  <c r="Q122"/>
  <c r="Q115"/>
  <c r="I23" i="26"/>
  <c r="I27" s="1"/>
  <c r="I25"/>
  <c r="I29" s="1"/>
  <c r="H23" i="14"/>
  <c r="H27" s="1"/>
  <c r="H25"/>
  <c r="H29" s="1"/>
  <c r="AA84" i="22"/>
  <c r="AA87"/>
  <c r="AA113"/>
  <c r="AA116"/>
  <c r="AA86"/>
  <c r="AA114"/>
  <c r="AA85"/>
  <c r="G32" i="27"/>
  <c r="AA117" i="22"/>
  <c r="AA115"/>
  <c r="AA83"/>
  <c r="C23" i="26"/>
  <c r="C27" s="1"/>
  <c r="C25"/>
  <c r="C29" s="1"/>
  <c r="H23" i="27"/>
  <c r="H27" s="1"/>
  <c r="H25"/>
  <c r="H29" s="1"/>
  <c r="AA88" i="21"/>
  <c r="AA119"/>
  <c r="H32" i="26"/>
  <c r="AA120" i="21"/>
  <c r="AA122"/>
  <c r="AA89"/>
  <c r="AA121"/>
  <c r="AA90"/>
  <c r="AA91"/>
  <c r="AA118"/>
  <c r="AA92"/>
  <c r="G23" i="14"/>
  <c r="G27" s="1"/>
  <c r="G25"/>
  <c r="G29" s="1"/>
  <c r="G23" i="26"/>
  <c r="G27" s="1"/>
  <c r="G25"/>
  <c r="G29" s="1"/>
  <c r="I23" i="14"/>
  <c r="I27" s="1"/>
  <c r="I25"/>
  <c r="I29" s="1"/>
  <c r="G35" i="5"/>
  <c r="E37" i="3" s="1"/>
  <c r="G17" i="5"/>
  <c r="E19" i="3" s="1"/>
  <c r="H23" i="26"/>
  <c r="H27" s="1"/>
  <c r="H25"/>
  <c r="H29" s="1"/>
  <c r="C23" i="27"/>
  <c r="C27" s="1"/>
  <c r="C25"/>
  <c r="C29" s="1"/>
  <c r="F23" i="14"/>
  <c r="F27" s="1"/>
  <c r="F25"/>
  <c r="F29" s="1"/>
  <c r="K23" i="26"/>
  <c r="K27" s="1"/>
  <c r="K25"/>
  <c r="K29" s="1"/>
  <c r="E23" i="5"/>
  <c r="C25" i="3" s="1"/>
  <c r="E41" i="5"/>
  <c r="C43" i="3" s="1"/>
  <c r="J23" i="14"/>
  <c r="J27" s="1"/>
  <c r="J25"/>
  <c r="J29" s="1"/>
  <c r="AA116" i="15"/>
  <c r="G32" i="14"/>
  <c r="AA114" i="15"/>
  <c r="AA85"/>
  <c r="AA87"/>
  <c r="AA84"/>
  <c r="AA113"/>
  <c r="AA83"/>
  <c r="AA117"/>
  <c r="AA115"/>
  <c r="AA86"/>
  <c r="AA87" i="21"/>
  <c r="AA83"/>
  <c r="AA117"/>
  <c r="AA114"/>
  <c r="AA115"/>
  <c r="AA85"/>
  <c r="AA116"/>
  <c r="AA84"/>
  <c r="AA113"/>
  <c r="G32" i="26"/>
  <c r="AA86" i="21"/>
  <c r="J23" i="27"/>
  <c r="J27" s="1"/>
  <c r="J25"/>
  <c r="J29" s="1"/>
  <c r="AA124" i="15"/>
  <c r="AA94"/>
  <c r="AA123"/>
  <c r="AA125"/>
  <c r="AA95"/>
  <c r="AA126"/>
  <c r="AA127"/>
  <c r="AA93"/>
  <c r="I32" i="14"/>
  <c r="AA97" i="15"/>
  <c r="AA96"/>
  <c r="K23" i="14"/>
  <c r="K27" s="1"/>
  <c r="K25"/>
  <c r="K29" s="1"/>
  <c r="C23"/>
  <c r="C27" s="1"/>
  <c r="C25"/>
  <c r="C29" s="1"/>
  <c r="D23"/>
  <c r="D27" s="1"/>
  <c r="D25"/>
  <c r="D29" s="1"/>
  <c r="K23" i="27"/>
  <c r="K27" s="1"/>
  <c r="K25"/>
  <c r="K29" s="1"/>
  <c r="J22" i="5"/>
  <c r="H24" i="3" s="1"/>
  <c r="J40" i="5"/>
  <c r="H42" i="3" s="1"/>
  <c r="F23" i="27"/>
  <c r="F27" s="1"/>
  <c r="F25"/>
  <c r="F29" s="1"/>
  <c r="I23"/>
  <c r="I27" s="1"/>
  <c r="I25"/>
  <c r="I29" s="1"/>
  <c r="J23" i="26"/>
  <c r="J27" s="1"/>
  <c r="J25"/>
  <c r="J29" s="1"/>
  <c r="Q117" i="21"/>
  <c r="Q124"/>
  <c r="Q131"/>
  <c r="Q122"/>
  <c r="Q108"/>
  <c r="Q135"/>
  <c r="Q113"/>
  <c r="Q137"/>
  <c r="Q116"/>
  <c r="Q123"/>
  <c r="Q118"/>
  <c r="Q134"/>
  <c r="Q136"/>
  <c r="Q111"/>
  <c r="Q127"/>
  <c r="Q129"/>
  <c r="Q132"/>
  <c r="Q126"/>
  <c r="Q125"/>
  <c r="Q112"/>
  <c r="Q114"/>
  <c r="Q128"/>
  <c r="Q119"/>
  <c r="Q133"/>
  <c r="Q130"/>
  <c r="Q121"/>
  <c r="Q110"/>
  <c r="Q109"/>
  <c r="Q115"/>
  <c r="D32" i="26"/>
  <c r="Q120" i="21"/>
  <c r="AA81"/>
  <c r="AA109"/>
  <c r="AA78"/>
  <c r="F32" i="26"/>
  <c r="AA108" i="21"/>
  <c r="AA110"/>
  <c r="AA111"/>
  <c r="AA112"/>
  <c r="AA82"/>
  <c r="AA80"/>
  <c r="AA79"/>
  <c r="D23" i="26"/>
  <c r="D27" s="1"/>
  <c r="D25"/>
  <c r="D29" s="1"/>
  <c r="G23" i="27"/>
  <c r="G27" s="1"/>
  <c r="G25"/>
  <c r="G29" s="1"/>
  <c r="F23" i="26"/>
  <c r="F27" s="1"/>
  <c r="F25"/>
  <c r="F29" s="1"/>
  <c r="D23" i="27"/>
  <c r="D27" s="1"/>
  <c r="D25"/>
  <c r="D29" s="1"/>
  <c r="I24" i="26"/>
  <c r="I28" s="1"/>
  <c r="C24" i="27"/>
  <c r="C28" s="1"/>
  <c r="J24" i="26"/>
  <c r="J28" s="1"/>
  <c r="F24" i="14"/>
  <c r="F28" s="1"/>
  <c r="K24" i="26"/>
  <c r="K28" s="1"/>
  <c r="H24" i="14"/>
  <c r="H28" s="1"/>
  <c r="C24" i="26"/>
  <c r="C28" s="1"/>
  <c r="H24" i="27"/>
  <c r="H28" s="1"/>
  <c r="AK121" i="21" l="1"/>
  <c r="AT121" s="1"/>
  <c r="BC121" s="1"/>
  <c r="AK122"/>
  <c r="AT122" s="1"/>
  <c r="AX122" s="1"/>
  <c r="AK120"/>
  <c r="AT120" s="1"/>
  <c r="AX120" s="1"/>
  <c r="AK114"/>
  <c r="AT114" s="1"/>
  <c r="AX114" s="1"/>
  <c r="AK109" i="22"/>
  <c r="AT109" s="1"/>
  <c r="AX109" s="1"/>
  <c r="AK111"/>
  <c r="AT111" s="1"/>
  <c r="AX111" s="1"/>
  <c r="AK134" i="15"/>
  <c r="AT134" s="1"/>
  <c r="AX134" s="1"/>
  <c r="AK137"/>
  <c r="AT137" s="1"/>
  <c r="AX137" s="1"/>
  <c r="AK100"/>
  <c r="AT100" s="1"/>
  <c r="BC100" s="1"/>
  <c r="D75" i="17" s="1"/>
  <c r="AK135" i="15"/>
  <c r="AT135" s="1"/>
  <c r="AX135" s="1"/>
  <c r="AK131"/>
  <c r="AT131" s="1"/>
  <c r="AX131" s="1"/>
  <c r="AK130"/>
  <c r="AT130" s="1"/>
  <c r="AX130" s="1"/>
  <c r="AK116" i="21"/>
  <c r="AT116" s="1"/>
  <c r="BC116" s="1"/>
  <c r="D241" i="17" s="1"/>
  <c r="AK133" i="15"/>
  <c r="AT133" s="1"/>
  <c r="BC133" s="1"/>
  <c r="D103" i="17" s="1"/>
  <c r="AK126" i="15"/>
  <c r="AT126" s="1"/>
  <c r="BC126" s="1"/>
  <c r="D96" i="17" s="1"/>
  <c r="AK117" i="21"/>
  <c r="AT117" s="1"/>
  <c r="AX117" s="1"/>
  <c r="AK128" i="15"/>
  <c r="AT128" s="1"/>
  <c r="AX128" s="1"/>
  <c r="AK116"/>
  <c r="AT116" s="1"/>
  <c r="AX116" s="1"/>
  <c r="AK95"/>
  <c r="AT95" s="1"/>
  <c r="BC95" s="1"/>
  <c r="D70" i="17" s="1"/>
  <c r="AK96" i="15"/>
  <c r="AT96" s="1"/>
  <c r="BC96" s="1"/>
  <c r="D71" i="17" s="1"/>
  <c r="AK105" i="15"/>
  <c r="AT105" s="1"/>
  <c r="AX105" s="1"/>
  <c r="AK133" i="22"/>
  <c r="AT133" s="1"/>
  <c r="AX133" s="1"/>
  <c r="AK131"/>
  <c r="AT131" s="1"/>
  <c r="AX131" s="1"/>
  <c r="AK112" i="21"/>
  <c r="AT112" s="1"/>
  <c r="BC112" s="1"/>
  <c r="D237" i="17" s="1"/>
  <c r="AK129" i="15"/>
  <c r="AT129" s="1"/>
  <c r="BC129" s="1"/>
  <c r="D99" i="17" s="1"/>
  <c r="AK103" i="15"/>
  <c r="AT103" s="1"/>
  <c r="AX103" s="1"/>
  <c r="Q91" i="21"/>
  <c r="AK91" s="1"/>
  <c r="AT91" s="1"/>
  <c r="Q99"/>
  <c r="Q85"/>
  <c r="AK85" s="1"/>
  <c r="AT85" s="1"/>
  <c r="Q84"/>
  <c r="AK84" s="1"/>
  <c r="AT84" s="1"/>
  <c r="Q100"/>
  <c r="Q98"/>
  <c r="Q97"/>
  <c r="Q87"/>
  <c r="AK87" s="1"/>
  <c r="AT87" s="1"/>
  <c r="Q78"/>
  <c r="AK78" s="1"/>
  <c r="AT78" s="1"/>
  <c r="Q94"/>
  <c r="C32" i="26"/>
  <c r="Q93" i="21"/>
  <c r="Q80"/>
  <c r="AK80" s="1"/>
  <c r="AT80" s="1"/>
  <c r="Q96"/>
  <c r="Q90"/>
  <c r="AK90" s="1"/>
  <c r="AT90" s="1"/>
  <c r="Q89"/>
  <c r="AK89" s="1"/>
  <c r="AT89" s="1"/>
  <c r="Q95"/>
  <c r="Q88"/>
  <c r="AK88" s="1"/>
  <c r="AT88" s="1"/>
  <c r="Q106"/>
  <c r="Q83"/>
  <c r="AK83" s="1"/>
  <c r="AT83" s="1"/>
  <c r="Q107"/>
  <c r="Q102"/>
  <c r="Q101"/>
  <c r="Q82"/>
  <c r="AK82" s="1"/>
  <c r="AT82" s="1"/>
  <c r="Q81"/>
  <c r="AK81" s="1"/>
  <c r="AT81" s="1"/>
  <c r="Q79"/>
  <c r="AK79" s="1"/>
  <c r="AT79" s="1"/>
  <c r="Q104"/>
  <c r="Q86"/>
  <c r="AK86" s="1"/>
  <c r="AT86" s="1"/>
  <c r="Q92"/>
  <c r="AK92" s="1"/>
  <c r="AT92" s="1"/>
  <c r="Q103"/>
  <c r="Q105"/>
  <c r="AB57" i="22"/>
  <c r="G33" i="27"/>
  <c r="AB54" i="22"/>
  <c r="AB53"/>
  <c r="AB56"/>
  <c r="AB25"/>
  <c r="AB27"/>
  <c r="AB26"/>
  <c r="AB55"/>
  <c r="AB23"/>
  <c r="AB24"/>
  <c r="AX121" i="21"/>
  <c r="P57" i="15"/>
  <c r="P54"/>
  <c r="P66"/>
  <c r="P68"/>
  <c r="P67"/>
  <c r="P64"/>
  <c r="P70"/>
  <c r="P74"/>
  <c r="P72"/>
  <c r="P61"/>
  <c r="P52"/>
  <c r="P51"/>
  <c r="P71"/>
  <c r="P49"/>
  <c r="P77"/>
  <c r="P63"/>
  <c r="P59"/>
  <c r="P48"/>
  <c r="P58"/>
  <c r="P62"/>
  <c r="P69"/>
  <c r="P60"/>
  <c r="P65"/>
  <c r="P56"/>
  <c r="P73"/>
  <c r="P50"/>
  <c r="P55"/>
  <c r="P75"/>
  <c r="P53"/>
  <c r="P76"/>
  <c r="Z73"/>
  <c r="Z45"/>
  <c r="Z43"/>
  <c r="Z76"/>
  <c r="Z44"/>
  <c r="Z75"/>
  <c r="Z46"/>
  <c r="Z77"/>
  <c r="Z47"/>
  <c r="Z74"/>
  <c r="AB71"/>
  <c r="AB41"/>
  <c r="AB42"/>
  <c r="AB72"/>
  <c r="AB39"/>
  <c r="AB70"/>
  <c r="J33" i="14"/>
  <c r="AB38" i="15"/>
  <c r="AB68"/>
  <c r="AB69"/>
  <c r="AB40"/>
  <c r="Z28" i="22"/>
  <c r="Z62"/>
  <c r="Z32"/>
  <c r="Z29"/>
  <c r="Z59"/>
  <c r="Z58"/>
  <c r="Z31"/>
  <c r="Z30"/>
  <c r="Z61"/>
  <c r="Z60"/>
  <c r="AB66" i="21"/>
  <c r="AB34"/>
  <c r="AB67"/>
  <c r="AB37"/>
  <c r="AB64"/>
  <c r="AB63"/>
  <c r="I33" i="26"/>
  <c r="AB35" i="21"/>
  <c r="AB65"/>
  <c r="AB36"/>
  <c r="AB33"/>
  <c r="BC107" i="15"/>
  <c r="D82" i="17" s="1"/>
  <c r="AX107" i="15"/>
  <c r="T100"/>
  <c r="T98"/>
  <c r="T102"/>
  <c r="T93"/>
  <c r="T80"/>
  <c r="T96"/>
  <c r="T97"/>
  <c r="T79"/>
  <c r="T82"/>
  <c r="T101"/>
  <c r="T105"/>
  <c r="T89"/>
  <c r="T84"/>
  <c r="T99"/>
  <c r="T85"/>
  <c r="T94"/>
  <c r="T107"/>
  <c r="T83"/>
  <c r="T91"/>
  <c r="T88"/>
  <c r="T92"/>
  <c r="T78"/>
  <c r="T87"/>
  <c r="T86"/>
  <c r="T90"/>
  <c r="T103"/>
  <c r="T106"/>
  <c r="T95"/>
  <c r="T81"/>
  <c r="T104"/>
  <c r="T112" i="22"/>
  <c r="T128"/>
  <c r="T118"/>
  <c r="T121"/>
  <c r="T115"/>
  <c r="T131"/>
  <c r="T130"/>
  <c r="T133"/>
  <c r="T120"/>
  <c r="T110"/>
  <c r="T129"/>
  <c r="T123"/>
  <c r="T122"/>
  <c r="T116"/>
  <c r="T136"/>
  <c r="T113"/>
  <c r="T119"/>
  <c r="T114"/>
  <c r="T125"/>
  <c r="T126"/>
  <c r="T127"/>
  <c r="T132"/>
  <c r="T111"/>
  <c r="T117"/>
  <c r="T124"/>
  <c r="T137"/>
  <c r="T109"/>
  <c r="T134"/>
  <c r="T135"/>
  <c r="T108"/>
  <c r="AX108"/>
  <c r="BC108"/>
  <c r="D383" i="17" s="1"/>
  <c r="BC112" i="22"/>
  <c r="D387" i="17" s="1"/>
  <c r="AX112" i="22"/>
  <c r="AA92"/>
  <c r="AA120"/>
  <c r="AK120" s="1"/>
  <c r="AT120" s="1"/>
  <c r="AA118"/>
  <c r="AK118" s="1"/>
  <c r="AT118" s="1"/>
  <c r="AA89"/>
  <c r="AA91"/>
  <c r="AA88"/>
  <c r="AA90"/>
  <c r="H32" i="27"/>
  <c r="AA119" i="22"/>
  <c r="AK119" s="1"/>
  <c r="AT119" s="1"/>
  <c r="AA121"/>
  <c r="AK121" s="1"/>
  <c r="AT121" s="1"/>
  <c r="AA122"/>
  <c r="AK122" s="1"/>
  <c r="AT122" s="1"/>
  <c r="AA104" i="21"/>
  <c r="AA105"/>
  <c r="AA136"/>
  <c r="AK136" s="1"/>
  <c r="AT136" s="1"/>
  <c r="AA106"/>
  <c r="AA135"/>
  <c r="AK135" s="1"/>
  <c r="AT135" s="1"/>
  <c r="AA103"/>
  <c r="AA134"/>
  <c r="AK134" s="1"/>
  <c r="AT134" s="1"/>
  <c r="K32" i="26"/>
  <c r="AA107" i="21"/>
  <c r="AA137"/>
  <c r="AK137" s="1"/>
  <c r="AT137" s="1"/>
  <c r="AA133"/>
  <c r="AK133" s="1"/>
  <c r="AT133" s="1"/>
  <c r="AA95"/>
  <c r="I32" i="26"/>
  <c r="AA97" i="21"/>
  <c r="AA124"/>
  <c r="AK124" s="1"/>
  <c r="AT124" s="1"/>
  <c r="AA126"/>
  <c r="AK126" s="1"/>
  <c r="AT126" s="1"/>
  <c r="AA123"/>
  <c r="AK123" s="1"/>
  <c r="AT123" s="1"/>
  <c r="AA127"/>
  <c r="AK127" s="1"/>
  <c r="AT127" s="1"/>
  <c r="AA94"/>
  <c r="AA125"/>
  <c r="AK125" s="1"/>
  <c r="AT125" s="1"/>
  <c r="AA93"/>
  <c r="AA96"/>
  <c r="Z49"/>
  <c r="Z51"/>
  <c r="Z20"/>
  <c r="Z22"/>
  <c r="Z18"/>
  <c r="Z48"/>
  <c r="Z50"/>
  <c r="Z19"/>
  <c r="Z21"/>
  <c r="Z52"/>
  <c r="P63"/>
  <c r="P54"/>
  <c r="P61"/>
  <c r="P52"/>
  <c r="AJ52" s="1"/>
  <c r="P68"/>
  <c r="P58"/>
  <c r="P57"/>
  <c r="P51"/>
  <c r="AJ51" s="1"/>
  <c r="P71"/>
  <c r="P53"/>
  <c r="P56"/>
  <c r="P76"/>
  <c r="P49"/>
  <c r="P67"/>
  <c r="P70"/>
  <c r="P48"/>
  <c r="AJ48" s="1"/>
  <c r="P72"/>
  <c r="P74"/>
  <c r="P75"/>
  <c r="P60"/>
  <c r="P65"/>
  <c r="P59"/>
  <c r="P77"/>
  <c r="P66"/>
  <c r="P55"/>
  <c r="P69"/>
  <c r="P50"/>
  <c r="P64"/>
  <c r="P62"/>
  <c r="P73"/>
  <c r="AD109"/>
  <c r="AD111"/>
  <c r="AD78"/>
  <c r="AD112"/>
  <c r="AD108"/>
  <c r="AD79"/>
  <c r="AD82"/>
  <c r="AD110"/>
  <c r="AD81"/>
  <c r="AD80"/>
  <c r="Z72"/>
  <c r="Z41"/>
  <c r="Z38"/>
  <c r="Z70"/>
  <c r="Z71"/>
  <c r="Z40"/>
  <c r="Z69"/>
  <c r="Z39"/>
  <c r="Z68"/>
  <c r="Z42"/>
  <c r="F33" i="27"/>
  <c r="AB49" i="22"/>
  <c r="AB18"/>
  <c r="AB50"/>
  <c r="AB52"/>
  <c r="AB21"/>
  <c r="AB48"/>
  <c r="AB22"/>
  <c r="AB20"/>
  <c r="AB19"/>
  <c r="AB51"/>
  <c r="R75" i="15"/>
  <c r="R50"/>
  <c r="R69"/>
  <c r="R71"/>
  <c r="R67"/>
  <c r="R52"/>
  <c r="R70"/>
  <c r="R56"/>
  <c r="D33" i="14"/>
  <c r="R61" i="15"/>
  <c r="R77"/>
  <c r="R48"/>
  <c r="R73"/>
  <c r="R55"/>
  <c r="R58"/>
  <c r="R62"/>
  <c r="R64"/>
  <c r="R60"/>
  <c r="R54"/>
  <c r="R49"/>
  <c r="R51"/>
  <c r="R76"/>
  <c r="R72"/>
  <c r="R66"/>
  <c r="R63"/>
  <c r="R74"/>
  <c r="R65"/>
  <c r="R53"/>
  <c r="R57"/>
  <c r="R68"/>
  <c r="R59"/>
  <c r="AB44"/>
  <c r="AB76"/>
  <c r="AB47"/>
  <c r="AB73"/>
  <c r="AB74"/>
  <c r="AB77"/>
  <c r="AB43"/>
  <c r="AB45"/>
  <c r="K33" i="14"/>
  <c r="AB75" i="15"/>
  <c r="AB46"/>
  <c r="AD125"/>
  <c r="AD123"/>
  <c r="AD127"/>
  <c r="AD126"/>
  <c r="AD96"/>
  <c r="AD94"/>
  <c r="AD95"/>
  <c r="AD97"/>
  <c r="AD124"/>
  <c r="AD93"/>
  <c r="AD86" i="21"/>
  <c r="AD116"/>
  <c r="AD84"/>
  <c r="AD85"/>
  <c r="AD113"/>
  <c r="AD114"/>
  <c r="AD117"/>
  <c r="AD83"/>
  <c r="AD115"/>
  <c r="AD87"/>
  <c r="Z52" i="15"/>
  <c r="Z49"/>
  <c r="Z19"/>
  <c r="Z21"/>
  <c r="Z50"/>
  <c r="Z22"/>
  <c r="Z51"/>
  <c r="Z20"/>
  <c r="Z18"/>
  <c r="Z48"/>
  <c r="Z59" i="21"/>
  <c r="Z30"/>
  <c r="Z31"/>
  <c r="Z60"/>
  <c r="Z32"/>
  <c r="Z61"/>
  <c r="Z58"/>
  <c r="Z62"/>
  <c r="Z29"/>
  <c r="Z28"/>
  <c r="Z35" i="15"/>
  <c r="Z65"/>
  <c r="Z63"/>
  <c r="Z67"/>
  <c r="Z66"/>
  <c r="Z64"/>
  <c r="Z36"/>
  <c r="Z37"/>
  <c r="Z34"/>
  <c r="Z33"/>
  <c r="Z55"/>
  <c r="Z26"/>
  <c r="Z56"/>
  <c r="Z23"/>
  <c r="Z24"/>
  <c r="Z25"/>
  <c r="Z57"/>
  <c r="Z27"/>
  <c r="Z54"/>
  <c r="Z53"/>
  <c r="H33" i="27"/>
  <c r="AB59" i="22"/>
  <c r="AB29"/>
  <c r="AB30"/>
  <c r="AB32"/>
  <c r="AB60"/>
  <c r="AB61"/>
  <c r="AB62"/>
  <c r="AB58"/>
  <c r="AB28"/>
  <c r="AB31"/>
  <c r="Z31" i="15"/>
  <c r="Z61"/>
  <c r="Z28"/>
  <c r="Z32"/>
  <c r="Z58"/>
  <c r="Z59"/>
  <c r="Z30"/>
  <c r="Z62"/>
  <c r="Z29"/>
  <c r="Z60"/>
  <c r="T108"/>
  <c r="T122"/>
  <c r="T134"/>
  <c r="T111"/>
  <c r="T136"/>
  <c r="T115"/>
  <c r="T112"/>
  <c r="T133"/>
  <c r="T128"/>
  <c r="T127"/>
  <c r="AN127" s="1"/>
  <c r="AU127" s="1"/>
  <c r="BO127" s="1"/>
  <c r="T120"/>
  <c r="T110"/>
  <c r="T119"/>
  <c r="T132"/>
  <c r="T113"/>
  <c r="T130"/>
  <c r="T125"/>
  <c r="T117"/>
  <c r="T124"/>
  <c r="T109"/>
  <c r="T121"/>
  <c r="T126"/>
  <c r="T116"/>
  <c r="T131"/>
  <c r="T118"/>
  <c r="T129"/>
  <c r="T114"/>
  <c r="T137"/>
  <c r="T135"/>
  <c r="T123"/>
  <c r="AD130" i="22"/>
  <c r="AD101"/>
  <c r="AD129"/>
  <c r="AD100"/>
  <c r="AD102"/>
  <c r="AD131"/>
  <c r="AD128"/>
  <c r="AD132"/>
  <c r="AD99"/>
  <c r="AD98"/>
  <c r="AD95"/>
  <c r="AD94"/>
  <c r="AD127"/>
  <c r="AD124"/>
  <c r="AD126"/>
  <c r="AD123"/>
  <c r="AD93"/>
  <c r="AD125"/>
  <c r="AD97"/>
  <c r="AD96"/>
  <c r="AD105"/>
  <c r="AD104"/>
  <c r="AD136"/>
  <c r="AD134"/>
  <c r="AD135"/>
  <c r="AD106"/>
  <c r="AD133"/>
  <c r="AD103"/>
  <c r="AD137"/>
  <c r="AD107"/>
  <c r="BC110"/>
  <c r="D385" i="17" s="1"/>
  <c r="AX110" i="22"/>
  <c r="AK111" i="21"/>
  <c r="AT111" s="1"/>
  <c r="AK98" i="15"/>
  <c r="AT98" s="1"/>
  <c r="AK93"/>
  <c r="AT93" s="1"/>
  <c r="AK136" i="22"/>
  <c r="AT136" s="1"/>
  <c r="AK114"/>
  <c r="AT114" s="1"/>
  <c r="AK110" i="21"/>
  <c r="AT110" s="1"/>
  <c r="AK119"/>
  <c r="AT119" s="1"/>
  <c r="AK118"/>
  <c r="AT118" s="1"/>
  <c r="AK113"/>
  <c r="AT113" s="1"/>
  <c r="AK125" i="15"/>
  <c r="AT125" s="1"/>
  <c r="AK113"/>
  <c r="AT113" s="1"/>
  <c r="AK117"/>
  <c r="AT117" s="1"/>
  <c r="AK114"/>
  <c r="AT114" s="1"/>
  <c r="AK124"/>
  <c r="AT124" s="1"/>
  <c r="AK84"/>
  <c r="AT84" s="1"/>
  <c r="AK99"/>
  <c r="AT99" s="1"/>
  <c r="AK97"/>
  <c r="AT97" s="1"/>
  <c r="AK102"/>
  <c r="AT102" s="1"/>
  <c r="AK85"/>
  <c r="AT85" s="1"/>
  <c r="AK117" i="22"/>
  <c r="AT117" s="1"/>
  <c r="AK124"/>
  <c r="AT124" s="1"/>
  <c r="AK130"/>
  <c r="AT130" s="1"/>
  <c r="AK128"/>
  <c r="AT128" s="1"/>
  <c r="R62"/>
  <c r="R58"/>
  <c r="R74"/>
  <c r="R61"/>
  <c r="R77"/>
  <c r="R60"/>
  <c r="R76"/>
  <c r="R59"/>
  <c r="R75"/>
  <c r="R66"/>
  <c r="R57"/>
  <c r="R48"/>
  <c r="R68"/>
  <c r="R55"/>
  <c r="R54"/>
  <c r="R53"/>
  <c r="R73"/>
  <c r="R64"/>
  <c r="R51"/>
  <c r="R71"/>
  <c r="R65"/>
  <c r="R72"/>
  <c r="R49"/>
  <c r="R56"/>
  <c r="R67"/>
  <c r="R70"/>
  <c r="R52"/>
  <c r="R63"/>
  <c r="D33" i="27"/>
  <c r="R69" i="22"/>
  <c r="R50"/>
  <c r="T109" i="21"/>
  <c r="T125"/>
  <c r="T112"/>
  <c r="T115"/>
  <c r="T114"/>
  <c r="T130"/>
  <c r="T124"/>
  <c r="T127"/>
  <c r="T117"/>
  <c r="T137"/>
  <c r="T123"/>
  <c r="T122"/>
  <c r="T116"/>
  <c r="T135"/>
  <c r="T113"/>
  <c r="T133"/>
  <c r="T136"/>
  <c r="T118"/>
  <c r="T108"/>
  <c r="T119"/>
  <c r="T120"/>
  <c r="T126"/>
  <c r="T129"/>
  <c r="T110"/>
  <c r="T111"/>
  <c r="T121"/>
  <c r="T131"/>
  <c r="T132"/>
  <c r="T134"/>
  <c r="T128"/>
  <c r="AB41" i="22"/>
  <c r="AB71"/>
  <c r="J33" i="27"/>
  <c r="AB69" i="22"/>
  <c r="AB42"/>
  <c r="AB38"/>
  <c r="AB70"/>
  <c r="AB72"/>
  <c r="AB68"/>
  <c r="AB39"/>
  <c r="AB40"/>
  <c r="AD90" i="21"/>
  <c r="AD92"/>
  <c r="AD122"/>
  <c r="AD118"/>
  <c r="AD88"/>
  <c r="AD119"/>
  <c r="AD91"/>
  <c r="AD121"/>
  <c r="AD89"/>
  <c r="AD120"/>
  <c r="AA122" i="15"/>
  <c r="AK122" s="1"/>
  <c r="AT122" s="1"/>
  <c r="AA119"/>
  <c r="AK119" s="1"/>
  <c r="AT119" s="1"/>
  <c r="H32" i="14"/>
  <c r="AA92" i="15"/>
  <c r="AK92" s="1"/>
  <c r="AT92" s="1"/>
  <c r="AA89"/>
  <c r="AK89" s="1"/>
  <c r="AT89" s="1"/>
  <c r="AA90"/>
  <c r="AK90" s="1"/>
  <c r="AT90" s="1"/>
  <c r="AA88"/>
  <c r="AK88" s="1"/>
  <c r="AT88" s="1"/>
  <c r="AA120"/>
  <c r="AK120" s="1"/>
  <c r="AT120" s="1"/>
  <c r="AA121"/>
  <c r="AK121" s="1"/>
  <c r="AT121" s="1"/>
  <c r="AA91"/>
  <c r="AK91" s="1"/>
  <c r="AT91" s="1"/>
  <c r="AA118"/>
  <c r="AK118" s="1"/>
  <c r="AT118" s="1"/>
  <c r="Q79" i="22"/>
  <c r="AK79" s="1"/>
  <c r="AT79" s="1"/>
  <c r="Q95"/>
  <c r="AK95" s="1"/>
  <c r="AT95" s="1"/>
  <c r="Q78"/>
  <c r="AK78" s="1"/>
  <c r="AT78" s="1"/>
  <c r="Q94"/>
  <c r="AK94" s="1"/>
  <c r="AT94" s="1"/>
  <c r="Q102"/>
  <c r="AK102" s="1"/>
  <c r="AT102" s="1"/>
  <c r="C32" i="27"/>
  <c r="Q93" i="22"/>
  <c r="AK93" s="1"/>
  <c r="AT93" s="1"/>
  <c r="Q80"/>
  <c r="AK80" s="1"/>
  <c r="AT80" s="1"/>
  <c r="Q96"/>
  <c r="AK96" s="1"/>
  <c r="AT96" s="1"/>
  <c r="Q91"/>
  <c r="Q107"/>
  <c r="AK107" s="1"/>
  <c r="AT107" s="1"/>
  <c r="Q90"/>
  <c r="Q106"/>
  <c r="AK106" s="1"/>
  <c r="AT106" s="1"/>
  <c r="Q89"/>
  <c r="Q105"/>
  <c r="AK105" s="1"/>
  <c r="AT105" s="1"/>
  <c r="Q92"/>
  <c r="Q83"/>
  <c r="AK83" s="1"/>
  <c r="AT83" s="1"/>
  <c r="Q82"/>
  <c r="AK82" s="1"/>
  <c r="AT82" s="1"/>
  <c r="Q97"/>
  <c r="AK97" s="1"/>
  <c r="AT97" s="1"/>
  <c r="Q100"/>
  <c r="AK100" s="1"/>
  <c r="AT100" s="1"/>
  <c r="Q99"/>
  <c r="AK99" s="1"/>
  <c r="AT99" s="1"/>
  <c r="Q81"/>
  <c r="AK81" s="1"/>
  <c r="AT81" s="1"/>
  <c r="Q103"/>
  <c r="AK103" s="1"/>
  <c r="AT103" s="1"/>
  <c r="Q85"/>
  <c r="AK85" s="1"/>
  <c r="AT85" s="1"/>
  <c r="Q88"/>
  <c r="Q84"/>
  <c r="AK84" s="1"/>
  <c r="AT84" s="1"/>
  <c r="Q98"/>
  <c r="AK98" s="1"/>
  <c r="AT98" s="1"/>
  <c r="Q87"/>
  <c r="AK87" s="1"/>
  <c r="AT87" s="1"/>
  <c r="Q104"/>
  <c r="AK104" s="1"/>
  <c r="AT104" s="1"/>
  <c r="Q101"/>
  <c r="AK101" s="1"/>
  <c r="AT101" s="1"/>
  <c r="Q86"/>
  <c r="AK86" s="1"/>
  <c r="AT86" s="1"/>
  <c r="AB49" i="21"/>
  <c r="AB51"/>
  <c r="AB21"/>
  <c r="AB22"/>
  <c r="F33" i="26"/>
  <c r="AB18" i="21"/>
  <c r="AB48"/>
  <c r="AB50"/>
  <c r="AB19"/>
  <c r="AB20"/>
  <c r="AB52"/>
  <c r="R48"/>
  <c r="R64"/>
  <c r="R51"/>
  <c r="AL51" s="1"/>
  <c r="R50"/>
  <c r="R49"/>
  <c r="R65"/>
  <c r="D33" i="26"/>
  <c r="R54" i="21"/>
  <c r="R52"/>
  <c r="R72"/>
  <c r="R75"/>
  <c r="R53"/>
  <c r="R73"/>
  <c r="R71"/>
  <c r="R68"/>
  <c r="R67"/>
  <c r="R74"/>
  <c r="R69"/>
  <c r="R63"/>
  <c r="R56"/>
  <c r="R58"/>
  <c r="R77"/>
  <c r="R59"/>
  <c r="R61"/>
  <c r="R70"/>
  <c r="R76"/>
  <c r="R57"/>
  <c r="R62"/>
  <c r="R55"/>
  <c r="R60"/>
  <c r="R66"/>
  <c r="AB71"/>
  <c r="AB69"/>
  <c r="AB68"/>
  <c r="AB40"/>
  <c r="AB41"/>
  <c r="AB70"/>
  <c r="J33" i="26"/>
  <c r="AB38" i="21"/>
  <c r="AB42"/>
  <c r="AB39"/>
  <c r="AB72"/>
  <c r="Z67" i="22"/>
  <c r="Z64"/>
  <c r="Z36"/>
  <c r="Z66"/>
  <c r="Z37"/>
  <c r="Z65"/>
  <c r="Z34"/>
  <c r="Z63"/>
  <c r="Z35"/>
  <c r="Z33"/>
  <c r="Z43"/>
  <c r="Z73"/>
  <c r="Z77"/>
  <c r="Z44"/>
  <c r="Z76"/>
  <c r="Z74"/>
  <c r="Z47"/>
  <c r="Z46"/>
  <c r="Z75"/>
  <c r="Z45"/>
  <c r="P42" i="15"/>
  <c r="P31"/>
  <c r="P26"/>
  <c r="P45"/>
  <c r="P34"/>
  <c r="P30"/>
  <c r="P20"/>
  <c r="P25"/>
  <c r="P39"/>
  <c r="P21"/>
  <c r="P35"/>
  <c r="P24"/>
  <c r="P33"/>
  <c r="P28"/>
  <c r="P37"/>
  <c r="P46"/>
  <c r="P41"/>
  <c r="P40"/>
  <c r="P43"/>
  <c r="P36"/>
  <c r="P18"/>
  <c r="P44"/>
  <c r="P27"/>
  <c r="P38"/>
  <c r="P32"/>
  <c r="P19"/>
  <c r="P22"/>
  <c r="P29"/>
  <c r="P23"/>
  <c r="P47"/>
  <c r="AD84"/>
  <c r="AD114"/>
  <c r="AD85"/>
  <c r="AD83"/>
  <c r="AD116"/>
  <c r="AD115"/>
  <c r="AD86"/>
  <c r="AD117"/>
  <c r="AD87"/>
  <c r="AD113"/>
  <c r="AB21"/>
  <c r="AB48"/>
  <c r="AB20"/>
  <c r="AB19"/>
  <c r="AB22"/>
  <c r="AB52"/>
  <c r="AB49"/>
  <c r="AB18"/>
  <c r="AB50"/>
  <c r="F33" i="14"/>
  <c r="AB51" i="15"/>
  <c r="AB31" i="21"/>
  <c r="AB61"/>
  <c r="AB59"/>
  <c r="H33" i="26"/>
  <c r="AB28" i="21"/>
  <c r="AB29"/>
  <c r="AB58"/>
  <c r="AB60"/>
  <c r="AB62"/>
  <c r="AB32"/>
  <c r="AB30"/>
  <c r="I33" i="14"/>
  <c r="AB33" i="15"/>
  <c r="AB66"/>
  <c r="AB35"/>
  <c r="AB65"/>
  <c r="AB67"/>
  <c r="AB63"/>
  <c r="AB34"/>
  <c r="AB36"/>
  <c r="AB37"/>
  <c r="AB64"/>
  <c r="AB53"/>
  <c r="AB56"/>
  <c r="AB24"/>
  <c r="AB54"/>
  <c r="AB27"/>
  <c r="AB55"/>
  <c r="AB23"/>
  <c r="AB26"/>
  <c r="AB57"/>
  <c r="G33" i="14"/>
  <c r="AB25" i="15"/>
  <c r="P27" i="21"/>
  <c r="P43"/>
  <c r="P30"/>
  <c r="P29"/>
  <c r="P20"/>
  <c r="P36"/>
  <c r="P34"/>
  <c r="P19"/>
  <c r="P39"/>
  <c r="P38"/>
  <c r="P32"/>
  <c r="P42"/>
  <c r="P35"/>
  <c r="P22"/>
  <c r="P37"/>
  <c r="P28"/>
  <c r="P26"/>
  <c r="P45"/>
  <c r="P47"/>
  <c r="P41"/>
  <c r="P25"/>
  <c r="P31"/>
  <c r="P21"/>
  <c r="P44"/>
  <c r="P23"/>
  <c r="P46"/>
  <c r="P40"/>
  <c r="P18"/>
  <c r="P24"/>
  <c r="P33"/>
  <c r="AD114" i="22"/>
  <c r="AD113"/>
  <c r="AD115"/>
  <c r="AD85"/>
  <c r="AD83"/>
  <c r="AD87"/>
  <c r="AD84"/>
  <c r="AD117"/>
  <c r="AD116"/>
  <c r="AD86"/>
  <c r="AB31" i="15"/>
  <c r="AB59"/>
  <c r="AB58"/>
  <c r="AB60"/>
  <c r="AB62"/>
  <c r="AB61"/>
  <c r="AB30"/>
  <c r="AB32"/>
  <c r="AB29"/>
  <c r="H33" i="14"/>
  <c r="AB28" i="15"/>
  <c r="BC136"/>
  <c r="D106" i="17" s="1"/>
  <c r="AX136" i="15"/>
  <c r="AD128"/>
  <c r="AD101"/>
  <c r="AD100"/>
  <c r="AD130"/>
  <c r="AD129"/>
  <c r="AD131"/>
  <c r="AD132"/>
  <c r="AD99"/>
  <c r="AD102"/>
  <c r="AD98"/>
  <c r="AD111" i="22"/>
  <c r="AD110"/>
  <c r="AD78"/>
  <c r="AD81"/>
  <c r="AD112"/>
  <c r="AD108"/>
  <c r="AD109"/>
  <c r="AD80"/>
  <c r="AD82"/>
  <c r="AD79"/>
  <c r="AK109" i="21"/>
  <c r="AT109" s="1"/>
  <c r="AK115" i="15"/>
  <c r="AT115" s="1"/>
  <c r="AK123"/>
  <c r="AT123" s="1"/>
  <c r="AK106"/>
  <c r="AT106" s="1"/>
  <c r="AK101"/>
  <c r="AT101" s="1"/>
  <c r="AK86"/>
  <c r="AT86" s="1"/>
  <c r="AK83"/>
  <c r="AT83" s="1"/>
  <c r="AK126" i="22"/>
  <c r="AT126" s="1"/>
  <c r="AK134"/>
  <c r="AT134" s="1"/>
  <c r="AK116"/>
  <c r="AT116" s="1"/>
  <c r="AK132"/>
  <c r="AT132" s="1"/>
  <c r="AK113"/>
  <c r="AT113" s="1"/>
  <c r="AA80" i="15"/>
  <c r="AK80" s="1"/>
  <c r="AT80" s="1"/>
  <c r="F32" i="14"/>
  <c r="AA82" i="15"/>
  <c r="AK82" s="1"/>
  <c r="AT82" s="1"/>
  <c r="AA112"/>
  <c r="AK112" s="1"/>
  <c r="AT112" s="1"/>
  <c r="AA108"/>
  <c r="AK108" s="1"/>
  <c r="AT108" s="1"/>
  <c r="AA81"/>
  <c r="AK81" s="1"/>
  <c r="AT81" s="1"/>
  <c r="AA111"/>
  <c r="AK111" s="1"/>
  <c r="AT111" s="1"/>
  <c r="AA109"/>
  <c r="AK109" s="1"/>
  <c r="AT109" s="1"/>
  <c r="AA79"/>
  <c r="AK79" s="1"/>
  <c r="AT79" s="1"/>
  <c r="AA78"/>
  <c r="AK78" s="1"/>
  <c r="AT78" s="1"/>
  <c r="AA110"/>
  <c r="AK110" s="1"/>
  <c r="AT110" s="1"/>
  <c r="Z22" i="22"/>
  <c r="Z48"/>
  <c r="Z19"/>
  <c r="Z20"/>
  <c r="Z51"/>
  <c r="Z18"/>
  <c r="Z49"/>
  <c r="Z21"/>
  <c r="Z50"/>
  <c r="Z52"/>
  <c r="AB45" i="21"/>
  <c r="K33" i="26"/>
  <c r="AB77" i="21"/>
  <c r="AB74"/>
  <c r="AB44"/>
  <c r="AB73"/>
  <c r="AB75"/>
  <c r="AB43"/>
  <c r="AB46"/>
  <c r="AB47"/>
  <c r="AB76"/>
  <c r="R19" i="22"/>
  <c r="R37"/>
  <c r="R24"/>
  <c r="R36"/>
  <c r="R23"/>
  <c r="R35"/>
  <c r="R26"/>
  <c r="R38"/>
  <c r="R20"/>
  <c r="R25"/>
  <c r="R45"/>
  <c r="R32"/>
  <c r="R27"/>
  <c r="R43"/>
  <c r="R34"/>
  <c r="R22"/>
  <c r="C33" i="27"/>
  <c r="R41" i="22"/>
  <c r="R18"/>
  <c r="R39"/>
  <c r="R46"/>
  <c r="R21"/>
  <c r="R31"/>
  <c r="R42"/>
  <c r="R33"/>
  <c r="R44"/>
  <c r="R30"/>
  <c r="R29"/>
  <c r="R40"/>
  <c r="R47"/>
  <c r="R28"/>
  <c r="AB23" i="21"/>
  <c r="AB26"/>
  <c r="AB55"/>
  <c r="AB27"/>
  <c r="AB53"/>
  <c r="AB24"/>
  <c r="AB54"/>
  <c r="AB56"/>
  <c r="AB25"/>
  <c r="AB57"/>
  <c r="G33" i="26"/>
  <c r="AA98" i="21"/>
  <c r="AA132"/>
  <c r="AK132" s="1"/>
  <c r="AT132" s="1"/>
  <c r="AA131"/>
  <c r="AK131" s="1"/>
  <c r="AT131" s="1"/>
  <c r="AA102"/>
  <c r="AA100"/>
  <c r="AA128"/>
  <c r="AK128" s="1"/>
  <c r="AT128" s="1"/>
  <c r="AA101"/>
  <c r="AA99"/>
  <c r="AA129"/>
  <c r="AK129" s="1"/>
  <c r="AT129" s="1"/>
  <c r="AA130"/>
  <c r="AK130" s="1"/>
  <c r="AT130" s="1"/>
  <c r="J32" i="26"/>
  <c r="P59" i="22"/>
  <c r="P75"/>
  <c r="P53"/>
  <c r="P48"/>
  <c r="P64"/>
  <c r="P50"/>
  <c r="P49"/>
  <c r="P55"/>
  <c r="P54"/>
  <c r="P69"/>
  <c r="P60"/>
  <c r="P58"/>
  <c r="P65"/>
  <c r="P51"/>
  <c r="P71"/>
  <c r="P61"/>
  <c r="P56"/>
  <c r="P76"/>
  <c r="P57"/>
  <c r="P62"/>
  <c r="P68"/>
  <c r="P73"/>
  <c r="P67"/>
  <c r="P52"/>
  <c r="P74"/>
  <c r="P63"/>
  <c r="P77"/>
  <c r="P66"/>
  <c r="P70"/>
  <c r="P72"/>
  <c r="Z26"/>
  <c r="Z23"/>
  <c r="Z24"/>
  <c r="Z27"/>
  <c r="Z54"/>
  <c r="Z57"/>
  <c r="Z56"/>
  <c r="Z53"/>
  <c r="Z55"/>
  <c r="Z25"/>
  <c r="AB64"/>
  <c r="AB33"/>
  <c r="AB36"/>
  <c r="AB35"/>
  <c r="AB37"/>
  <c r="AB67"/>
  <c r="AB65"/>
  <c r="AB66"/>
  <c r="AB63"/>
  <c r="AB34"/>
  <c r="I33" i="27"/>
  <c r="AB43" i="22"/>
  <c r="AB46"/>
  <c r="AB45"/>
  <c r="AB76"/>
  <c r="AB74"/>
  <c r="AB47"/>
  <c r="AB44"/>
  <c r="K33" i="27"/>
  <c r="AB77" i="22"/>
  <c r="AB73"/>
  <c r="AB75"/>
  <c r="R44" i="15"/>
  <c r="C33" i="14"/>
  <c r="R35" i="15"/>
  <c r="R22"/>
  <c r="R20"/>
  <c r="R36"/>
  <c r="R45"/>
  <c r="R27"/>
  <c r="R37"/>
  <c r="R33"/>
  <c r="R39"/>
  <c r="R26"/>
  <c r="R42"/>
  <c r="R25"/>
  <c r="R29"/>
  <c r="R18"/>
  <c r="R40"/>
  <c r="R43"/>
  <c r="R28"/>
  <c r="R34"/>
  <c r="R21"/>
  <c r="R47"/>
  <c r="R23"/>
  <c r="R24"/>
  <c r="R41"/>
  <c r="R30"/>
  <c r="R32"/>
  <c r="R46"/>
  <c r="R38"/>
  <c r="R19"/>
  <c r="R31"/>
  <c r="Z38" i="22"/>
  <c r="Z72"/>
  <c r="Z69"/>
  <c r="Z42"/>
  <c r="Z40"/>
  <c r="Z39"/>
  <c r="Z70"/>
  <c r="Z71"/>
  <c r="Z41"/>
  <c r="Z68"/>
  <c r="Z38" i="15"/>
  <c r="Z68"/>
  <c r="Z39"/>
  <c r="Z42"/>
  <c r="Z70"/>
  <c r="Z71"/>
  <c r="Z69"/>
  <c r="Z72"/>
  <c r="Z41"/>
  <c r="Z40"/>
  <c r="Z45" i="21"/>
  <c r="Z76"/>
  <c r="Z75"/>
  <c r="Z73"/>
  <c r="Z46"/>
  <c r="Z47"/>
  <c r="Z44"/>
  <c r="Z43"/>
  <c r="Z74"/>
  <c r="Z77"/>
  <c r="P27" i="22"/>
  <c r="P43"/>
  <c r="P38"/>
  <c r="AJ38" s="1"/>
  <c r="P37"/>
  <c r="P32"/>
  <c r="P20"/>
  <c r="P25"/>
  <c r="P18"/>
  <c r="P39"/>
  <c r="P46"/>
  <c r="P24"/>
  <c r="P44"/>
  <c r="P33"/>
  <c r="P35"/>
  <c r="P30"/>
  <c r="P19"/>
  <c r="P40"/>
  <c r="P42"/>
  <c r="AJ42" s="1"/>
  <c r="P23"/>
  <c r="P21"/>
  <c r="P26"/>
  <c r="P22"/>
  <c r="P36"/>
  <c r="P45"/>
  <c r="P47"/>
  <c r="P28"/>
  <c r="P41"/>
  <c r="AJ41" s="1"/>
  <c r="P29"/>
  <c r="P31"/>
  <c r="P34"/>
  <c r="Z57" i="21"/>
  <c r="Z55"/>
  <c r="Z23"/>
  <c r="Z54"/>
  <c r="Z53"/>
  <c r="Z25"/>
  <c r="Z56"/>
  <c r="Z24"/>
  <c r="Z27"/>
  <c r="Z26"/>
  <c r="R26"/>
  <c r="R42"/>
  <c r="R29"/>
  <c r="C33" i="26"/>
  <c r="R44" i="21"/>
  <c r="R27"/>
  <c r="R43"/>
  <c r="R33"/>
  <c r="R32"/>
  <c r="R30"/>
  <c r="R18"/>
  <c r="R45"/>
  <c r="R35"/>
  <c r="R25"/>
  <c r="R40"/>
  <c r="R22"/>
  <c r="R46"/>
  <c r="R36"/>
  <c r="R31"/>
  <c r="R24"/>
  <c r="R21"/>
  <c r="R19"/>
  <c r="R38"/>
  <c r="R28"/>
  <c r="R47"/>
  <c r="R34"/>
  <c r="R20"/>
  <c r="R39"/>
  <c r="R41"/>
  <c r="R23"/>
  <c r="R37"/>
  <c r="Z36"/>
  <c r="Z34"/>
  <c r="Z63"/>
  <c r="Z37"/>
  <c r="Z67"/>
  <c r="Z64"/>
  <c r="Z66"/>
  <c r="Z33"/>
  <c r="Z65"/>
  <c r="Z35"/>
  <c r="AD105" i="15"/>
  <c r="AD135"/>
  <c r="AD103"/>
  <c r="AD104"/>
  <c r="AD107"/>
  <c r="AD137"/>
  <c r="AD136"/>
  <c r="AD133"/>
  <c r="AD134"/>
  <c r="AD106"/>
  <c r="AK115" i="21"/>
  <c r="AT115" s="1"/>
  <c r="AK108"/>
  <c r="AT108" s="1"/>
  <c r="AK132" i="15"/>
  <c r="AT132" s="1"/>
  <c r="AK127"/>
  <c r="AT127" s="1"/>
  <c r="AK94"/>
  <c r="AT94" s="1"/>
  <c r="AK104"/>
  <c r="AT104" s="1"/>
  <c r="AK87"/>
  <c r="AT87" s="1"/>
  <c r="AK123" i="22"/>
  <c r="AT123" s="1"/>
  <c r="AK137"/>
  <c r="AT137" s="1"/>
  <c r="AK135"/>
  <c r="AT135" s="1"/>
  <c r="AK125"/>
  <c r="AT125" s="1"/>
  <c r="AK127"/>
  <c r="AT127" s="1"/>
  <c r="AK129"/>
  <c r="AT129" s="1"/>
  <c r="AK115"/>
  <c r="AT115" s="1"/>
  <c r="BC134" i="15" l="1"/>
  <c r="D104" i="17" s="1"/>
  <c r="BC114" i="21"/>
  <c r="D239" i="17" s="1"/>
  <c r="BC137" i="15"/>
  <c r="D107" i="17" s="1"/>
  <c r="E12" i="2" s="1"/>
  <c r="BC109" i="22"/>
  <c r="D384" i="17" s="1"/>
  <c r="AL65" i="21"/>
  <c r="AL64"/>
  <c r="BC130" i="15"/>
  <c r="D100" i="17" s="1"/>
  <c r="AX112" i="21"/>
  <c r="AL54" i="22"/>
  <c r="AL70" i="15"/>
  <c r="AL69"/>
  <c r="AJ31" i="22"/>
  <c r="AJ32"/>
  <c r="BC117" i="21"/>
  <c r="D242" i="17" s="1"/>
  <c r="AL24" i="22"/>
  <c r="AL27"/>
  <c r="AX96" i="15"/>
  <c r="AL41"/>
  <c r="AL66" i="21"/>
  <c r="AJ38"/>
  <c r="AJ21" i="15"/>
  <c r="AJ31"/>
  <c r="BC111" i="22"/>
  <c r="D386" i="17" s="1"/>
  <c r="BC122" i="21"/>
  <c r="BC116" i="15"/>
  <c r="D91" i="17" s="1"/>
  <c r="BC120" i="21"/>
  <c r="AX100" i="15"/>
  <c r="AL40" i="22"/>
  <c r="BC105" i="15"/>
  <c r="D80" i="17" s="1"/>
  <c r="BC128" i="15"/>
  <c r="D98" i="17" s="1"/>
  <c r="AJ23" i="22"/>
  <c r="AJ25"/>
  <c r="AX116" i="21"/>
  <c r="AX126" i="15"/>
  <c r="AL51" i="22"/>
  <c r="AL47" i="21"/>
  <c r="AJ27" i="22"/>
  <c r="AJ41" i="21"/>
  <c r="AJ42"/>
  <c r="AJ29"/>
  <c r="AJ36" i="15"/>
  <c r="AJ24"/>
  <c r="AJ37" i="22"/>
  <c r="AJ26"/>
  <c r="AL30" i="15"/>
  <c r="AL36"/>
  <c r="AJ76" i="22"/>
  <c r="AJ75"/>
  <c r="AJ28" i="15"/>
  <c r="AJ30"/>
  <c r="AL60" i="21"/>
  <c r="AL47" i="15"/>
  <c r="AL30" i="22"/>
  <c r="AJ30" i="21"/>
  <c r="AJ37" i="15"/>
  <c r="AJ20"/>
  <c r="BC131"/>
  <c r="D101" i="17" s="1"/>
  <c r="AL27" i="21"/>
  <c r="AJ35" i="22"/>
  <c r="AJ20"/>
  <c r="AJ43"/>
  <c r="AL28" i="15"/>
  <c r="AJ67" i="22"/>
  <c r="AJ28" i="21"/>
  <c r="AJ29" i="15"/>
  <c r="AJ25"/>
  <c r="AK89" i="22"/>
  <c r="AT89" s="1"/>
  <c r="AX89" s="1"/>
  <c r="AN116" i="21"/>
  <c r="AU116" s="1"/>
  <c r="BO116" s="1"/>
  <c r="P241" i="17" s="1"/>
  <c r="AN114" i="21"/>
  <c r="AU114" s="1"/>
  <c r="BO114" s="1"/>
  <c r="P239" i="17" s="1"/>
  <c r="AL43" i="15"/>
  <c r="AJ26"/>
  <c r="AL52" i="22"/>
  <c r="AL20" i="21"/>
  <c r="AL38"/>
  <c r="AL40"/>
  <c r="AL18"/>
  <c r="AL46" i="15"/>
  <c r="AL46" i="22"/>
  <c r="AL20"/>
  <c r="AJ20" i="21"/>
  <c r="AL62" i="22"/>
  <c r="AN126" i="15"/>
  <c r="AU126" s="1"/>
  <c r="BO126" s="1"/>
  <c r="AX95"/>
  <c r="AL33" i="22"/>
  <c r="AL22" i="21"/>
  <c r="AL46"/>
  <c r="AL32"/>
  <c r="AL44"/>
  <c r="AL26"/>
  <c r="AJ47" i="22"/>
  <c r="AJ40"/>
  <c r="AJ63"/>
  <c r="BC131"/>
  <c r="D401" i="17" s="1"/>
  <c r="AL39" i="21"/>
  <c r="AL41" i="22"/>
  <c r="AT41" s="1"/>
  <c r="AL57"/>
  <c r="AJ34"/>
  <c r="AJ77"/>
  <c r="AJ57"/>
  <c r="AJ49"/>
  <c r="AL42"/>
  <c r="AT42" s="1"/>
  <c r="AL32"/>
  <c r="AJ19" i="21"/>
  <c r="AJ46" i="15"/>
  <c r="AL61" i="21"/>
  <c r="AL50"/>
  <c r="AK91" i="22"/>
  <c r="AT91" s="1"/>
  <c r="AX91" s="1"/>
  <c r="AL68"/>
  <c r="AL19" i="21"/>
  <c r="AL44" i="22"/>
  <c r="AJ21" i="21"/>
  <c r="AJ22" i="15"/>
  <c r="AJ27"/>
  <c r="AK88" i="22"/>
  <c r="AT88" s="1"/>
  <c r="AX88" s="1"/>
  <c r="AN109" i="21"/>
  <c r="AU109" s="1"/>
  <c r="BO109" s="1"/>
  <c r="P234" i="17" s="1"/>
  <c r="AL56" i="22"/>
  <c r="AL48"/>
  <c r="AN123" i="15"/>
  <c r="AU123" s="1"/>
  <c r="BO123" s="1"/>
  <c r="BC133" i="22"/>
  <c r="D403" i="17" s="1"/>
  <c r="AL30" i="21"/>
  <c r="AJ46" i="22"/>
  <c r="AX133" i="15"/>
  <c r="AL28" i="22"/>
  <c r="AL18"/>
  <c r="AJ18" i="21"/>
  <c r="AJ45" i="15"/>
  <c r="AL56" i="21"/>
  <c r="AL67"/>
  <c r="AL54"/>
  <c r="AN121"/>
  <c r="AU121" s="1"/>
  <c r="BO121" s="1"/>
  <c r="AN118"/>
  <c r="AU118" s="1"/>
  <c r="BO118" s="1"/>
  <c r="AL67" i="22"/>
  <c r="AL73"/>
  <c r="AL75"/>
  <c r="BC135" i="15"/>
  <c r="D105" i="17" s="1"/>
  <c r="AJ28" i="22"/>
  <c r="AL35" i="15"/>
  <c r="AJ61" i="22"/>
  <c r="BC103" i="15"/>
  <c r="D78" i="17" s="1"/>
  <c r="AL33" i="21"/>
  <c r="AJ44" i="22"/>
  <c r="AL38" i="15"/>
  <c r="AL20"/>
  <c r="AL44"/>
  <c r="AJ59" i="22"/>
  <c r="AL39"/>
  <c r="AL38"/>
  <c r="AT38" s="1"/>
  <c r="AJ23" i="15"/>
  <c r="AJ33"/>
  <c r="AL49" i="21"/>
  <c r="AN108"/>
  <c r="AU108" s="1"/>
  <c r="BO108" s="1"/>
  <c r="P233" i="17" s="1"/>
  <c r="AL70" i="22"/>
  <c r="AL55"/>
  <c r="AL60"/>
  <c r="AL72" i="15"/>
  <c r="AJ38"/>
  <c r="AJ27" i="21"/>
  <c r="AJ32" i="15"/>
  <c r="AJ39"/>
  <c r="AL73" i="21"/>
  <c r="AN113"/>
  <c r="AU113" s="1"/>
  <c r="BO113" s="1"/>
  <c r="P238" i="17" s="1"/>
  <c r="AL36" i="21"/>
  <c r="AJ30" i="22"/>
  <c r="AJ33" i="21"/>
  <c r="AT33" s="1"/>
  <c r="AJ46"/>
  <c r="AJ45"/>
  <c r="AJ47" i="15"/>
  <c r="AJ19"/>
  <c r="AJ44"/>
  <c r="AK90" i="22"/>
  <c r="AT90" s="1"/>
  <c r="AX90" s="1"/>
  <c r="AN115" i="21"/>
  <c r="AU115" s="1"/>
  <c r="BO115" s="1"/>
  <c r="P240" i="17" s="1"/>
  <c r="AL50" i="22"/>
  <c r="AN137" i="15"/>
  <c r="AU137" s="1"/>
  <c r="BO137" s="1"/>
  <c r="AN131"/>
  <c r="AU131" s="1"/>
  <c r="BO131" s="1"/>
  <c r="AN130"/>
  <c r="AU130" s="1"/>
  <c r="BO130" s="1"/>
  <c r="AN133"/>
  <c r="AU133" s="1"/>
  <c r="BO133" s="1"/>
  <c r="AL59"/>
  <c r="AL65"/>
  <c r="AL54"/>
  <c r="AL58"/>
  <c r="AL77"/>
  <c r="AJ73" i="21"/>
  <c r="AJ69"/>
  <c r="AJ59"/>
  <c r="AJ74"/>
  <c r="AJ53"/>
  <c r="AJ54"/>
  <c r="AN135" i="22"/>
  <c r="AU135" s="1"/>
  <c r="BO135" s="1"/>
  <c r="P405" i="17" s="1"/>
  <c r="AN127" i="22"/>
  <c r="AU127" s="1"/>
  <c r="BO127" s="1"/>
  <c r="P397" i="17" s="1"/>
  <c r="Q28" i="2" s="1"/>
  <c r="Q60" s="1"/>
  <c r="Q27" i="5" s="1"/>
  <c r="O29" i="3" s="1"/>
  <c r="AN115" i="22"/>
  <c r="AU115" s="1"/>
  <c r="BO115" s="1"/>
  <c r="P390" i="17" s="1"/>
  <c r="AN107" i="15"/>
  <c r="AU107" s="1"/>
  <c r="BO107" s="1"/>
  <c r="P57" i="17" s="1"/>
  <c r="AN84" i="15"/>
  <c r="AU84" s="1"/>
  <c r="BO84" s="1"/>
  <c r="P39" i="17" s="1"/>
  <c r="AN100" i="15"/>
  <c r="AU100" s="1"/>
  <c r="BO100" s="1"/>
  <c r="P50" i="17" s="1"/>
  <c r="AJ53" i="15"/>
  <c r="AJ73"/>
  <c r="AJ69"/>
  <c r="AJ71"/>
  <c r="AJ67"/>
  <c r="AK107" i="21"/>
  <c r="AT107" s="1"/>
  <c r="AX107" s="1"/>
  <c r="AK95"/>
  <c r="AT95" s="1"/>
  <c r="BC95" s="1"/>
  <c r="D220" i="17" s="1"/>
  <c r="AK100" i="21"/>
  <c r="AT100" s="1"/>
  <c r="AX100" s="1"/>
  <c r="AJ44"/>
  <c r="AL77" i="22"/>
  <c r="AL34" i="21"/>
  <c r="AL31" i="22"/>
  <c r="AL26"/>
  <c r="AX129" i="15"/>
  <c r="AL28" i="21"/>
  <c r="AL24"/>
  <c r="AL45"/>
  <c r="AJ29" i="22"/>
  <c r="AJ45"/>
  <c r="AJ21"/>
  <c r="AJ19"/>
  <c r="AJ18"/>
  <c r="AL21" i="15"/>
  <c r="AL40"/>
  <c r="AL42"/>
  <c r="AL37"/>
  <c r="AJ70" i="22"/>
  <c r="AT70" s="1"/>
  <c r="BC70" s="1"/>
  <c r="D350" i="17" s="1"/>
  <c r="AJ74" i="22"/>
  <c r="AJ65"/>
  <c r="AJ54"/>
  <c r="AJ64"/>
  <c r="AL29"/>
  <c r="AL22"/>
  <c r="AJ40" i="21"/>
  <c r="AJ32"/>
  <c r="AL63"/>
  <c r="AN111"/>
  <c r="AU111" s="1"/>
  <c r="BO111" s="1"/>
  <c r="P236" i="17" s="1"/>
  <c r="AL53" i="22"/>
  <c r="AJ50" i="21"/>
  <c r="BC131"/>
  <c r="D251" i="17" s="1"/>
  <c r="AX131" i="21"/>
  <c r="BC82" i="15"/>
  <c r="D62" i="17" s="1"/>
  <c r="AX82" i="15"/>
  <c r="AX118"/>
  <c r="BC118"/>
  <c r="BC88"/>
  <c r="AX88"/>
  <c r="AX127" i="21"/>
  <c r="BC127"/>
  <c r="D247" i="17" s="1"/>
  <c r="E19" i="2" s="1"/>
  <c r="E51" s="1"/>
  <c r="AX137" i="21"/>
  <c r="BC137"/>
  <c r="D257" i="17" s="1"/>
  <c r="E21" i="2" s="1"/>
  <c r="BC109" i="15"/>
  <c r="D84" i="17" s="1"/>
  <c r="AX109" i="15"/>
  <c r="BC112"/>
  <c r="D87" i="17" s="1"/>
  <c r="AX112" i="15"/>
  <c r="AX79"/>
  <c r="BC79"/>
  <c r="D59" i="17" s="1"/>
  <c r="BC108" i="15"/>
  <c r="D83" i="17" s="1"/>
  <c r="AX108" i="15"/>
  <c r="AX80"/>
  <c r="BC80"/>
  <c r="D60" i="17" s="1"/>
  <c r="AX122" i="15"/>
  <c r="BC122"/>
  <c r="AX130" i="21"/>
  <c r="BC130"/>
  <c r="D250" i="17" s="1"/>
  <c r="BC128" i="21"/>
  <c r="D248" i="17" s="1"/>
  <c r="AX128" i="21"/>
  <c r="BC78" i="15"/>
  <c r="D58" i="17" s="1"/>
  <c r="AX78" i="15"/>
  <c r="AX119" i="22"/>
  <c r="BC119"/>
  <c r="AE45"/>
  <c r="AE44"/>
  <c r="AE76"/>
  <c r="AE73"/>
  <c r="AE77"/>
  <c r="AE74"/>
  <c r="AE46"/>
  <c r="AE47"/>
  <c r="AE43"/>
  <c r="AE75"/>
  <c r="AX126"/>
  <c r="BC126"/>
  <c r="D396" i="17" s="1"/>
  <c r="BC121" i="15"/>
  <c r="AX121"/>
  <c r="BC81" i="22"/>
  <c r="D361" i="17" s="1"/>
  <c r="AX81" i="22"/>
  <c r="BC95"/>
  <c r="D370" i="17" s="1"/>
  <c r="AX95" i="22"/>
  <c r="AX124"/>
  <c r="BC124"/>
  <c r="D394" i="17" s="1"/>
  <c r="BC92" i="21"/>
  <c r="AX92"/>
  <c r="BC123" i="22"/>
  <c r="D393" i="17" s="1"/>
  <c r="AX123" i="22"/>
  <c r="AX136" i="21"/>
  <c r="BC136"/>
  <c r="D256" i="17" s="1"/>
  <c r="BC135" i="21"/>
  <c r="D255" i="17" s="1"/>
  <c r="AX135" i="21"/>
  <c r="U24" i="22"/>
  <c r="U40"/>
  <c r="U38"/>
  <c r="U41"/>
  <c r="U31"/>
  <c r="U47"/>
  <c r="U42"/>
  <c r="U45"/>
  <c r="U32"/>
  <c r="U30"/>
  <c r="U20"/>
  <c r="U39"/>
  <c r="U34"/>
  <c r="U28"/>
  <c r="U22"/>
  <c r="U33"/>
  <c r="U35"/>
  <c r="U26"/>
  <c r="U37"/>
  <c r="U46"/>
  <c r="U43"/>
  <c r="U27"/>
  <c r="U29"/>
  <c r="U44"/>
  <c r="U36"/>
  <c r="U23"/>
  <c r="U19"/>
  <c r="U18"/>
  <c r="U25"/>
  <c r="U21"/>
  <c r="BC134"/>
  <c r="D404" i="17" s="1"/>
  <c r="AX134" i="22"/>
  <c r="BC81" i="15"/>
  <c r="D61" i="17" s="1"/>
  <c r="AX81" i="15"/>
  <c r="AX106"/>
  <c r="BC106"/>
  <c r="D81" i="17" s="1"/>
  <c r="AX134" i="21"/>
  <c r="BC134"/>
  <c r="D254" i="17" s="1"/>
  <c r="AX111" i="15"/>
  <c r="BC111"/>
  <c r="D86" i="17" s="1"/>
  <c r="AX86" i="22"/>
  <c r="BC86"/>
  <c r="D366" i="17" s="1"/>
  <c r="BC98" i="22"/>
  <c r="D373" i="17" s="1"/>
  <c r="AX98" i="22"/>
  <c r="AX103"/>
  <c r="BC103"/>
  <c r="D378" i="17" s="1"/>
  <c r="BC97" i="22"/>
  <c r="D372" i="17" s="1"/>
  <c r="AX97" i="22"/>
  <c r="AX105"/>
  <c r="BC105"/>
  <c r="D380" i="17" s="1"/>
  <c r="AX107" i="22"/>
  <c r="BC107"/>
  <c r="D382" i="17" s="1"/>
  <c r="BC93" i="22"/>
  <c r="D368" i="17" s="1"/>
  <c r="AX93" i="22"/>
  <c r="BC78"/>
  <c r="D358" i="17" s="1"/>
  <c r="AX78" i="22"/>
  <c r="AX130"/>
  <c r="BC130"/>
  <c r="D400" i="17" s="1"/>
  <c r="AX120" i="22"/>
  <c r="BC120"/>
  <c r="BC97" i="15"/>
  <c r="D72" i="17" s="1"/>
  <c r="AX97" i="15"/>
  <c r="AX84"/>
  <c r="BC84"/>
  <c r="D64" i="17" s="1"/>
  <c r="BC117" i="15"/>
  <c r="D92" i="17" s="1"/>
  <c r="AX117" i="15"/>
  <c r="AX125" i="21"/>
  <c r="BC125"/>
  <c r="D245" i="17" s="1"/>
  <c r="BC122" i="22"/>
  <c r="AX122"/>
  <c r="AX98" i="15"/>
  <c r="BC98"/>
  <c r="D73" i="17" s="1"/>
  <c r="AE43" i="15"/>
  <c r="AE44"/>
  <c r="AE46"/>
  <c r="AE76"/>
  <c r="AE47"/>
  <c r="AE75"/>
  <c r="AE45"/>
  <c r="AE74"/>
  <c r="AE73"/>
  <c r="AE77"/>
  <c r="BC79" i="21"/>
  <c r="D209" i="17" s="1"/>
  <c r="AX79" i="21"/>
  <c r="BC88"/>
  <c r="AX88"/>
  <c r="AJ56" i="22"/>
  <c r="AL65"/>
  <c r="AN112"/>
  <c r="AU112" s="1"/>
  <c r="BO112" s="1"/>
  <c r="P387" i="17" s="1"/>
  <c r="AJ59" i="15"/>
  <c r="AJ57"/>
  <c r="AL19"/>
  <c r="AJ73" i="22"/>
  <c r="AJ69"/>
  <c r="AL19"/>
  <c r="AJ24" i="21"/>
  <c r="AJ23"/>
  <c r="AJ25"/>
  <c r="AJ26"/>
  <c r="AJ35"/>
  <c r="AJ39"/>
  <c r="AJ18" i="15"/>
  <c r="AJ41"/>
  <c r="AJ34"/>
  <c r="AJ42"/>
  <c r="AL55" i="21"/>
  <c r="AL70"/>
  <c r="AL58"/>
  <c r="AL74"/>
  <c r="AL52"/>
  <c r="AT52" s="1"/>
  <c r="AL48"/>
  <c r="AT48" s="1"/>
  <c r="AN112"/>
  <c r="AU112" s="1"/>
  <c r="BO112" s="1"/>
  <c r="P237" i="17" s="1"/>
  <c r="AL69" i="22"/>
  <c r="AL72"/>
  <c r="AL64"/>
  <c r="AL66"/>
  <c r="AL58"/>
  <c r="AN135" i="15"/>
  <c r="AU135" s="1"/>
  <c r="BO135" s="1"/>
  <c r="AN125"/>
  <c r="AU125" s="1"/>
  <c r="BO125" s="1"/>
  <c r="AN128"/>
  <c r="AU128" s="1"/>
  <c r="BO128" s="1"/>
  <c r="AN136"/>
  <c r="AU136" s="1"/>
  <c r="BO136" s="1"/>
  <c r="AL53"/>
  <c r="AL66"/>
  <c r="AL49"/>
  <c r="AL62"/>
  <c r="AL48"/>
  <c r="AL56"/>
  <c r="AL71"/>
  <c r="AJ77" i="21"/>
  <c r="AJ75"/>
  <c r="AJ70"/>
  <c r="AJ56"/>
  <c r="AJ57"/>
  <c r="AJ61"/>
  <c r="AN108" i="22"/>
  <c r="AU108" s="1"/>
  <c r="BO108" s="1"/>
  <c r="P383" i="17" s="1"/>
  <c r="AN137" i="22"/>
  <c r="AU137" s="1"/>
  <c r="BO137" s="1"/>
  <c r="P407" i="17" s="1"/>
  <c r="Q30" i="2" s="1"/>
  <c r="AN132" i="22"/>
  <c r="AU132" s="1"/>
  <c r="BO132" s="1"/>
  <c r="P402" i="17" s="1"/>
  <c r="Q29" i="2" s="1"/>
  <c r="AN114" i="22"/>
  <c r="AU114" s="1"/>
  <c r="BO114" s="1"/>
  <c r="P389" i="17" s="1"/>
  <c r="AN116" i="22"/>
  <c r="AU116" s="1"/>
  <c r="BO116" s="1"/>
  <c r="P391" i="17" s="1"/>
  <c r="AN110" i="22"/>
  <c r="AU110" s="1"/>
  <c r="BO110" s="1"/>
  <c r="P385" i="17" s="1"/>
  <c r="AN131" i="22"/>
  <c r="AU131" s="1"/>
  <c r="BO131" s="1"/>
  <c r="P401" i="17" s="1"/>
  <c r="AN128" i="22"/>
  <c r="AU128" s="1"/>
  <c r="BO128" s="1"/>
  <c r="P398" i="17" s="1"/>
  <c r="AN104" i="15"/>
  <c r="AU104" s="1"/>
  <c r="BO104" s="1"/>
  <c r="P54" i="17" s="1"/>
  <c r="AN103" i="15"/>
  <c r="AU103" s="1"/>
  <c r="BO103" s="1"/>
  <c r="P53" i="17" s="1"/>
  <c r="AN83" i="15"/>
  <c r="AU83" s="1"/>
  <c r="BO83" s="1"/>
  <c r="P38" i="17" s="1"/>
  <c r="AN99" i="15"/>
  <c r="AU99" s="1"/>
  <c r="BO99" s="1"/>
  <c r="P49" i="17" s="1"/>
  <c r="AN101" i="15"/>
  <c r="AU101" s="1"/>
  <c r="BO101" s="1"/>
  <c r="P51" i="17" s="1"/>
  <c r="AN96" i="15"/>
  <c r="AU96" s="1"/>
  <c r="BO96" s="1"/>
  <c r="P46" i="17" s="1"/>
  <c r="AN98" i="15"/>
  <c r="AU98" s="1"/>
  <c r="BO98" s="1"/>
  <c r="P48" i="17" s="1"/>
  <c r="AJ76" i="15"/>
  <c r="AJ50"/>
  <c r="AJ60"/>
  <c r="AJ48"/>
  <c r="AJ49"/>
  <c r="AJ61"/>
  <c r="AJ64"/>
  <c r="AJ54"/>
  <c r="AK103" i="21"/>
  <c r="AT103" s="1"/>
  <c r="AK102"/>
  <c r="AT102" s="1"/>
  <c r="AK96"/>
  <c r="AT96" s="1"/>
  <c r="AK94"/>
  <c r="AT94" s="1"/>
  <c r="AK98"/>
  <c r="AT98" s="1"/>
  <c r="AK99"/>
  <c r="AT99" s="1"/>
  <c r="BC87" i="15"/>
  <c r="D67" i="17" s="1"/>
  <c r="AX87" i="15"/>
  <c r="AX132" i="21"/>
  <c r="BC132"/>
  <c r="D252" i="17" s="1"/>
  <c r="E20" i="2" s="1"/>
  <c r="AX126" i="21"/>
  <c r="BC126"/>
  <c r="D246" i="17" s="1"/>
  <c r="U31" i="21"/>
  <c r="U47"/>
  <c r="U42"/>
  <c r="U41"/>
  <c r="U32"/>
  <c r="U22"/>
  <c r="U25"/>
  <c r="U19"/>
  <c r="U39"/>
  <c r="U34"/>
  <c r="U20"/>
  <c r="U40"/>
  <c r="U46"/>
  <c r="U35"/>
  <c r="U26"/>
  <c r="U37"/>
  <c r="U36"/>
  <c r="U38"/>
  <c r="U23"/>
  <c r="U21"/>
  <c r="U44"/>
  <c r="U18"/>
  <c r="U45"/>
  <c r="U43"/>
  <c r="U28"/>
  <c r="U24"/>
  <c r="U33"/>
  <c r="U27"/>
  <c r="U29"/>
  <c r="U30"/>
  <c r="AX89" i="15"/>
  <c r="BC89"/>
  <c r="BC123"/>
  <c r="D93" i="17" s="1"/>
  <c r="AX123" i="15"/>
  <c r="AX84" i="22"/>
  <c r="BC84"/>
  <c r="D364" i="17" s="1"/>
  <c r="U62" i="22"/>
  <c r="U52"/>
  <c r="U55"/>
  <c r="U53"/>
  <c r="U69"/>
  <c r="U56"/>
  <c r="U59"/>
  <c r="U66"/>
  <c r="U76"/>
  <c r="U57"/>
  <c r="U77"/>
  <c r="U51"/>
  <c r="U58"/>
  <c r="U68"/>
  <c r="U49"/>
  <c r="U73"/>
  <c r="U72"/>
  <c r="U70"/>
  <c r="U63"/>
  <c r="U48"/>
  <c r="U60"/>
  <c r="U65"/>
  <c r="U54"/>
  <c r="U75"/>
  <c r="U61"/>
  <c r="U67"/>
  <c r="U64"/>
  <c r="U71"/>
  <c r="U50"/>
  <c r="U74"/>
  <c r="AX99" i="15"/>
  <c r="BC99"/>
  <c r="D74" i="17" s="1"/>
  <c r="BC81" i="21"/>
  <c r="D211" i="17" s="1"/>
  <c r="AX81" i="21"/>
  <c r="AX80"/>
  <c r="BC80"/>
  <c r="D210" i="17" s="1"/>
  <c r="AX78" i="21"/>
  <c r="BC78"/>
  <c r="D208" i="17" s="1"/>
  <c r="AX127" i="22"/>
  <c r="BC127"/>
  <c r="D397" i="17" s="1"/>
  <c r="E28" i="2" s="1"/>
  <c r="E60" s="1"/>
  <c r="E27" i="5" s="1"/>
  <c r="C29" i="3" s="1"/>
  <c r="BC108" i="21"/>
  <c r="D233" i="17" s="1"/>
  <c r="AX108" i="21"/>
  <c r="AX115"/>
  <c r="BC115"/>
  <c r="D240" i="17" s="1"/>
  <c r="BC116" i="22"/>
  <c r="D391" i="17" s="1"/>
  <c r="AX116" i="22"/>
  <c r="AE21" i="15"/>
  <c r="AE49"/>
  <c r="AE50"/>
  <c r="AE22"/>
  <c r="AE19"/>
  <c r="AE20"/>
  <c r="AE51"/>
  <c r="AE48"/>
  <c r="AE18"/>
  <c r="AE52"/>
  <c r="AE38" i="21"/>
  <c r="AE69"/>
  <c r="AE71"/>
  <c r="AE40"/>
  <c r="AE72"/>
  <c r="AE42"/>
  <c r="AE70"/>
  <c r="AE68"/>
  <c r="AE39"/>
  <c r="AE41"/>
  <c r="AE18"/>
  <c r="AE48"/>
  <c r="AE49"/>
  <c r="AE20"/>
  <c r="AE19"/>
  <c r="AE50"/>
  <c r="AE52"/>
  <c r="AE21"/>
  <c r="AE22"/>
  <c r="AE51"/>
  <c r="BC87" i="22"/>
  <c r="D367" i="17" s="1"/>
  <c r="AX87" i="22"/>
  <c r="BC85"/>
  <c r="D365" i="17" s="1"/>
  <c r="AX85" i="22"/>
  <c r="AX100"/>
  <c r="BC100"/>
  <c r="D375" i="17" s="1"/>
  <c r="AX80" i="22"/>
  <c r="BC80"/>
  <c r="D360" i="17" s="1"/>
  <c r="BC94" i="22"/>
  <c r="D369" i="17" s="1"/>
  <c r="AX94" i="22"/>
  <c r="AD90" i="15"/>
  <c r="AN90" s="1"/>
  <c r="AU90" s="1"/>
  <c r="BO90" s="1"/>
  <c r="AD88"/>
  <c r="AN88" s="1"/>
  <c r="AU88" s="1"/>
  <c r="BO88" s="1"/>
  <c r="AD89"/>
  <c r="AN89" s="1"/>
  <c r="AU89" s="1"/>
  <c r="BO89" s="1"/>
  <c r="AD120"/>
  <c r="AN120" s="1"/>
  <c r="AU120" s="1"/>
  <c r="BO120" s="1"/>
  <c r="AD118"/>
  <c r="AN118" s="1"/>
  <c r="AU118" s="1"/>
  <c r="BO118" s="1"/>
  <c r="AD119"/>
  <c r="AN119" s="1"/>
  <c r="AU119" s="1"/>
  <c r="BO119" s="1"/>
  <c r="AD121"/>
  <c r="AN121" s="1"/>
  <c r="AU121" s="1"/>
  <c r="BO121" s="1"/>
  <c r="AD122"/>
  <c r="AN122" s="1"/>
  <c r="AU122" s="1"/>
  <c r="BO122" s="1"/>
  <c r="AD92"/>
  <c r="AN92" s="1"/>
  <c r="AU92" s="1"/>
  <c r="BO92" s="1"/>
  <c r="AD91"/>
  <c r="AN91" s="1"/>
  <c r="AU91" s="1"/>
  <c r="BO91" s="1"/>
  <c r="BC128" i="22"/>
  <c r="D398" i="17" s="1"/>
  <c r="AX128" i="22"/>
  <c r="AX121"/>
  <c r="BC121"/>
  <c r="AX102" i="15"/>
  <c r="BC102"/>
  <c r="D77" i="17" s="1"/>
  <c r="BC114" i="15"/>
  <c r="D89" i="17" s="1"/>
  <c r="AX114" i="15"/>
  <c r="AX114" i="22"/>
  <c r="BC114"/>
  <c r="D389" i="17" s="1"/>
  <c r="AX93" i="15"/>
  <c r="BC93"/>
  <c r="D68" i="17" s="1"/>
  <c r="U63" i="15"/>
  <c r="U62"/>
  <c r="U75"/>
  <c r="U77"/>
  <c r="U72"/>
  <c r="U49"/>
  <c r="U76"/>
  <c r="U53"/>
  <c r="U71"/>
  <c r="U52"/>
  <c r="U54"/>
  <c r="U58"/>
  <c r="U57"/>
  <c r="U50"/>
  <c r="U68"/>
  <c r="U69"/>
  <c r="U61"/>
  <c r="U56"/>
  <c r="U74"/>
  <c r="U65"/>
  <c r="U51"/>
  <c r="U59"/>
  <c r="U67"/>
  <c r="U60"/>
  <c r="U73"/>
  <c r="U55"/>
  <c r="U48"/>
  <c r="U66"/>
  <c r="U64"/>
  <c r="U70"/>
  <c r="AD107" i="21"/>
  <c r="AD103"/>
  <c r="AD133"/>
  <c r="AN133" s="1"/>
  <c r="AU133" s="1"/>
  <c r="BO133" s="1"/>
  <c r="P253" i="17" s="1"/>
  <c r="AD134" i="21"/>
  <c r="AN134" s="1"/>
  <c r="AU134" s="1"/>
  <c r="BO134" s="1"/>
  <c r="P254" i="17" s="1"/>
  <c r="AD104" i="21"/>
  <c r="AD106"/>
  <c r="AD136"/>
  <c r="AN136" s="1"/>
  <c r="AU136" s="1"/>
  <c r="BO136" s="1"/>
  <c r="P256" i="17" s="1"/>
  <c r="AD105" i="21"/>
  <c r="AD137"/>
  <c r="AN137" s="1"/>
  <c r="AU137" s="1"/>
  <c r="BO137" s="1"/>
  <c r="P257" i="17" s="1"/>
  <c r="Q21" i="2" s="1"/>
  <c r="AD135" i="21"/>
  <c r="AN135" s="1"/>
  <c r="AU135" s="1"/>
  <c r="BO135" s="1"/>
  <c r="P255" i="17" s="1"/>
  <c r="AE68" i="15"/>
  <c r="AE38"/>
  <c r="AE41"/>
  <c r="AE42"/>
  <c r="AE40"/>
  <c r="AE71"/>
  <c r="AE72"/>
  <c r="AE70"/>
  <c r="AE39"/>
  <c r="AE69"/>
  <c r="BC90" i="21"/>
  <c r="AX90"/>
  <c r="T81"/>
  <c r="AN81" s="1"/>
  <c r="AU81" s="1"/>
  <c r="BO81" s="1"/>
  <c r="P211" i="17" s="1"/>
  <c r="T97" i="21"/>
  <c r="T92"/>
  <c r="AN92" s="1"/>
  <c r="AU92" s="1"/>
  <c r="BO92" s="1"/>
  <c r="T95"/>
  <c r="T86"/>
  <c r="AN86" s="1"/>
  <c r="AU86" s="1"/>
  <c r="BO86" s="1"/>
  <c r="P216" i="17" s="1"/>
  <c r="T102" i="21"/>
  <c r="T96"/>
  <c r="T99"/>
  <c r="T101"/>
  <c r="T78"/>
  <c r="AN78" s="1"/>
  <c r="AU78" s="1"/>
  <c r="BO78" s="1"/>
  <c r="P208" i="17" s="1"/>
  <c r="T82" i="21"/>
  <c r="AN82" s="1"/>
  <c r="AU82" s="1"/>
  <c r="BO82" s="1"/>
  <c r="P212" i="17" s="1"/>
  <c r="T106" i="21"/>
  <c r="AN106" s="1"/>
  <c r="AU106" s="1"/>
  <c r="BO106" s="1"/>
  <c r="P231" i="17" s="1"/>
  <c r="T83" i="21"/>
  <c r="AN83" s="1"/>
  <c r="AU83" s="1"/>
  <c r="BO83" s="1"/>
  <c r="P213" i="17" s="1"/>
  <c r="T93" i="21"/>
  <c r="T100"/>
  <c r="T79"/>
  <c r="AN79" s="1"/>
  <c r="AU79" s="1"/>
  <c r="BO79" s="1"/>
  <c r="P209" i="17" s="1"/>
  <c r="T98" i="21"/>
  <c r="T104"/>
  <c r="T105"/>
  <c r="T90"/>
  <c r="AN90" s="1"/>
  <c r="AU90" s="1"/>
  <c r="BO90" s="1"/>
  <c r="T91"/>
  <c r="AN91" s="1"/>
  <c r="AU91" s="1"/>
  <c r="BO91" s="1"/>
  <c r="T89"/>
  <c r="AN89" s="1"/>
  <c r="AU89" s="1"/>
  <c r="BO89" s="1"/>
  <c r="T103"/>
  <c r="T88"/>
  <c r="AN88" s="1"/>
  <c r="AU88" s="1"/>
  <c r="BO88" s="1"/>
  <c r="T85"/>
  <c r="AN85" s="1"/>
  <c r="AU85" s="1"/>
  <c r="BO85" s="1"/>
  <c r="P215" i="17" s="1"/>
  <c r="T87" i="21"/>
  <c r="AN87" s="1"/>
  <c r="AU87" s="1"/>
  <c r="BO87" s="1"/>
  <c r="P217" i="17" s="1"/>
  <c r="T80" i="21"/>
  <c r="AN80" s="1"/>
  <c r="AU80" s="1"/>
  <c r="BO80" s="1"/>
  <c r="P210" i="17" s="1"/>
  <c r="T94" i="21"/>
  <c r="T84"/>
  <c r="AN84" s="1"/>
  <c r="AU84" s="1"/>
  <c r="BO84" s="1"/>
  <c r="P214" i="17" s="1"/>
  <c r="T107" i="21"/>
  <c r="AX85"/>
  <c r="BC85"/>
  <c r="D215" i="17" s="1"/>
  <c r="AJ68" i="22"/>
  <c r="AL53" i="21"/>
  <c r="AJ58"/>
  <c r="AJ72" i="15"/>
  <c r="AL35" i="21"/>
  <c r="AJ39" i="22"/>
  <c r="AL25" i="15"/>
  <c r="AJ50" i="22"/>
  <c r="AL23" i="21"/>
  <c r="AL23" i="15"/>
  <c r="AL29"/>
  <c r="AJ71" i="22"/>
  <c r="AJ53"/>
  <c r="AL43"/>
  <c r="AL35"/>
  <c r="AJ36" i="21"/>
  <c r="AJ40" i="15"/>
  <c r="AL76" i="21"/>
  <c r="AL77"/>
  <c r="AL69"/>
  <c r="AL71"/>
  <c r="AL72"/>
  <c r="AK92" i="22"/>
  <c r="AT92" s="1"/>
  <c r="AN110" i="21"/>
  <c r="AU110" s="1"/>
  <c r="BO110" s="1"/>
  <c r="P235" i="17" s="1"/>
  <c r="AN119" i="21"/>
  <c r="AU119" s="1"/>
  <c r="BO119" s="1"/>
  <c r="AN122"/>
  <c r="AU122" s="1"/>
  <c r="BO122" s="1"/>
  <c r="AL49" i="22"/>
  <c r="AL76"/>
  <c r="AL74"/>
  <c r="AN129" i="15"/>
  <c r="AU129" s="1"/>
  <c r="BO129" s="1"/>
  <c r="AN117"/>
  <c r="AU117" s="1"/>
  <c r="BO117" s="1"/>
  <c r="AN132"/>
  <c r="AU132" s="1"/>
  <c r="BO132" s="1"/>
  <c r="AN115"/>
  <c r="AU115" s="1"/>
  <c r="BO115" s="1"/>
  <c r="AL57"/>
  <c r="AL63"/>
  <c r="AL51"/>
  <c r="AL64"/>
  <c r="AL73"/>
  <c r="AL67"/>
  <c r="AL75"/>
  <c r="AJ64" i="21"/>
  <c r="AT64" s="1"/>
  <c r="AJ66"/>
  <c r="AT66" s="1"/>
  <c r="AJ60"/>
  <c r="AJ76"/>
  <c r="AT51"/>
  <c r="AN109" i="22"/>
  <c r="AU109" s="1"/>
  <c r="BO109" s="1"/>
  <c r="P384" i="17" s="1"/>
  <c r="AN111" i="22"/>
  <c r="AU111" s="1"/>
  <c r="BO111" s="1"/>
  <c r="P386" i="17" s="1"/>
  <c r="AN125" i="22"/>
  <c r="AU125" s="1"/>
  <c r="BO125" s="1"/>
  <c r="P395" i="17" s="1"/>
  <c r="AN136" i="22"/>
  <c r="AU136" s="1"/>
  <c r="BO136" s="1"/>
  <c r="P406" i="17" s="1"/>
  <c r="AN129" i="22"/>
  <c r="AU129" s="1"/>
  <c r="BO129" s="1"/>
  <c r="P399" i="17" s="1"/>
  <c r="AN130" i="22"/>
  <c r="AU130" s="1"/>
  <c r="BO130" s="1"/>
  <c r="P400" i="17" s="1"/>
  <c r="AN106" i="15"/>
  <c r="AU106" s="1"/>
  <c r="BO106" s="1"/>
  <c r="P56" i="17" s="1"/>
  <c r="AN87" i="15"/>
  <c r="AU87" s="1"/>
  <c r="BO87" s="1"/>
  <c r="P42" i="17" s="1"/>
  <c r="AN85" i="15"/>
  <c r="AU85" s="1"/>
  <c r="BO85" s="1"/>
  <c r="P40" i="17" s="1"/>
  <c r="AN105" i="15"/>
  <c r="AU105" s="1"/>
  <c r="BO105" s="1"/>
  <c r="P55" i="17" s="1"/>
  <c r="AN97" i="15"/>
  <c r="AU97" s="1"/>
  <c r="BO97" s="1"/>
  <c r="P47" i="17" s="1"/>
  <c r="Q7" i="2" s="1"/>
  <c r="Q39" s="1"/>
  <c r="Q6" i="5" s="1"/>
  <c r="O8" i="3" s="1"/>
  <c r="AN102" i="15"/>
  <c r="AU102" s="1"/>
  <c r="BO102" s="1"/>
  <c r="P52" i="17" s="1"/>
  <c r="AJ55" i="15"/>
  <c r="AJ65"/>
  <c r="AJ58"/>
  <c r="AJ77"/>
  <c r="AJ52"/>
  <c r="AJ70"/>
  <c r="AJ66"/>
  <c r="AK105" i="21"/>
  <c r="AT105" s="1"/>
  <c r="AK104"/>
  <c r="AT104" s="1"/>
  <c r="AK101"/>
  <c r="AT101" s="1"/>
  <c r="AK106"/>
  <c r="AT106" s="1"/>
  <c r="AK97"/>
  <c r="AT97" s="1"/>
  <c r="BC115" i="22"/>
  <c r="D390" i="17" s="1"/>
  <c r="AX115" i="22"/>
  <c r="BC94" i="15"/>
  <c r="D69" i="17" s="1"/>
  <c r="AX94" i="15"/>
  <c r="AX127"/>
  <c r="BC127"/>
  <c r="D97" i="17" s="1"/>
  <c r="E10" i="2" s="1"/>
  <c r="E42" s="1"/>
  <c r="E9" i="5" s="1"/>
  <c r="C11" i="3" s="1"/>
  <c r="AE34" i="22"/>
  <c r="AE65"/>
  <c r="AE33"/>
  <c r="AE63"/>
  <c r="AE64"/>
  <c r="AE67"/>
  <c r="AE37"/>
  <c r="AE35"/>
  <c r="AE36"/>
  <c r="AE66"/>
  <c r="BC113"/>
  <c r="D388" i="17" s="1"/>
  <c r="AX113" i="22"/>
  <c r="AX119" i="15"/>
  <c r="BC119"/>
  <c r="BC129" i="21"/>
  <c r="D249" i="17" s="1"/>
  <c r="AX129" i="21"/>
  <c r="BC101" i="22"/>
  <c r="D376" i="17" s="1"/>
  <c r="AX101" i="22"/>
  <c r="BC82"/>
  <c r="D362" i="17" s="1"/>
  <c r="AX82" i="22"/>
  <c r="T78"/>
  <c r="AN78" s="1"/>
  <c r="AU78" s="1"/>
  <c r="BO78" s="1"/>
  <c r="P358" i="17" s="1"/>
  <c r="T94" i="22"/>
  <c r="AN94" s="1"/>
  <c r="AU94" s="1"/>
  <c r="BO94" s="1"/>
  <c r="P369" i="17" s="1"/>
  <c r="T80" i="22"/>
  <c r="AN80" s="1"/>
  <c r="AU80" s="1"/>
  <c r="BO80" s="1"/>
  <c r="P360" i="17" s="1"/>
  <c r="T83" i="22"/>
  <c r="AN83" s="1"/>
  <c r="AU83" s="1"/>
  <c r="BO83" s="1"/>
  <c r="P363" i="17" s="1"/>
  <c r="T81" i="22"/>
  <c r="AN81" s="1"/>
  <c r="AU81" s="1"/>
  <c r="BO81" s="1"/>
  <c r="P361" i="17" s="1"/>
  <c r="T97" i="22"/>
  <c r="AN97" s="1"/>
  <c r="AU97" s="1"/>
  <c r="BO97" s="1"/>
  <c r="P372" i="17" s="1"/>
  <c r="T92" i="22"/>
  <c r="T95"/>
  <c r="AN95" s="1"/>
  <c r="AU95" s="1"/>
  <c r="BO95" s="1"/>
  <c r="P370" i="17" s="1"/>
  <c r="T82" i="22"/>
  <c r="AN82" s="1"/>
  <c r="AU82" s="1"/>
  <c r="BO82" s="1"/>
  <c r="P362" i="17" s="1"/>
  <c r="T102" i="22"/>
  <c r="AN102" s="1"/>
  <c r="AU102" s="1"/>
  <c r="BO102" s="1"/>
  <c r="P377" i="17" s="1"/>
  <c r="T104" i="22"/>
  <c r="AN104" s="1"/>
  <c r="AU104" s="1"/>
  <c r="BO104" s="1"/>
  <c r="P379" i="17" s="1"/>
  <c r="T85" i="22"/>
  <c r="AN85" s="1"/>
  <c r="AU85" s="1"/>
  <c r="BO85" s="1"/>
  <c r="P365" i="17" s="1"/>
  <c r="T105" i="22"/>
  <c r="AN105" s="1"/>
  <c r="AU105" s="1"/>
  <c r="BO105" s="1"/>
  <c r="P380" i="17" s="1"/>
  <c r="T87" i="22"/>
  <c r="AN87" s="1"/>
  <c r="AU87" s="1"/>
  <c r="BO87" s="1"/>
  <c r="P367" i="17" s="1"/>
  <c r="T98" i="22"/>
  <c r="AN98" s="1"/>
  <c r="AU98" s="1"/>
  <c r="BO98" s="1"/>
  <c r="P373" i="17" s="1"/>
  <c r="T96" i="22"/>
  <c r="AN96" s="1"/>
  <c r="AU96" s="1"/>
  <c r="BO96" s="1"/>
  <c r="P371" i="17" s="1"/>
  <c r="T107" i="22"/>
  <c r="AN107" s="1"/>
  <c r="AU107" s="1"/>
  <c r="BO107" s="1"/>
  <c r="P382" i="17" s="1"/>
  <c r="T101" i="22"/>
  <c r="AN101" s="1"/>
  <c r="AU101" s="1"/>
  <c r="BO101" s="1"/>
  <c r="P376" i="17" s="1"/>
  <c r="T79" i="22"/>
  <c r="AN79" s="1"/>
  <c r="AU79" s="1"/>
  <c r="BO79" s="1"/>
  <c r="P359" i="17" s="1"/>
  <c r="T106" i="22"/>
  <c r="AN106" s="1"/>
  <c r="AU106" s="1"/>
  <c r="BO106" s="1"/>
  <c r="P381" i="17" s="1"/>
  <c r="T89" i="22"/>
  <c r="T103"/>
  <c r="AN103" s="1"/>
  <c r="AU103" s="1"/>
  <c r="BO103" s="1"/>
  <c r="P378" i="17" s="1"/>
  <c r="T90" i="22"/>
  <c r="T99"/>
  <c r="AN99" s="1"/>
  <c r="AU99" s="1"/>
  <c r="BO99" s="1"/>
  <c r="P374" i="17" s="1"/>
  <c r="T100" i="22"/>
  <c r="AN100" s="1"/>
  <c r="AU100" s="1"/>
  <c r="BO100" s="1"/>
  <c r="P375" i="17" s="1"/>
  <c r="T86" i="22"/>
  <c r="AN86" s="1"/>
  <c r="AU86" s="1"/>
  <c r="BO86" s="1"/>
  <c r="P366" i="17" s="1"/>
  <c r="T91" i="22"/>
  <c r="T84"/>
  <c r="AN84" s="1"/>
  <c r="AU84" s="1"/>
  <c r="BO84" s="1"/>
  <c r="P364" i="17" s="1"/>
  <c r="T93" i="22"/>
  <c r="AN93" s="1"/>
  <c r="AU93" s="1"/>
  <c r="BO93" s="1"/>
  <c r="P368" i="17" s="1"/>
  <c r="T88" i="22"/>
  <c r="AX91" i="15"/>
  <c r="BC91"/>
  <c r="BC120"/>
  <c r="AX120"/>
  <c r="BC113"/>
  <c r="D88" i="17" s="1"/>
  <c r="AX113" i="15"/>
  <c r="BC113" i="21"/>
  <c r="D238" i="17" s="1"/>
  <c r="AX113" i="21"/>
  <c r="AX119"/>
  <c r="BC119"/>
  <c r="BC136" i="22"/>
  <c r="D406" i="17" s="1"/>
  <c r="AX136" i="22"/>
  <c r="BC124" i="21"/>
  <c r="D244" i="17" s="1"/>
  <c r="AX124" i="21"/>
  <c r="AE32" i="22"/>
  <c r="AE61"/>
  <c r="AE58"/>
  <c r="AE59"/>
  <c r="AE30"/>
  <c r="AE62"/>
  <c r="AE60"/>
  <c r="AE31"/>
  <c r="AE29"/>
  <c r="AE28"/>
  <c r="AE56"/>
  <c r="AE57"/>
  <c r="AE53"/>
  <c r="AE54"/>
  <c r="AE25"/>
  <c r="AE24"/>
  <c r="AE23"/>
  <c r="AE26"/>
  <c r="AE27"/>
  <c r="AE55"/>
  <c r="AX91" i="21"/>
  <c r="BC91"/>
  <c r="AX125" i="22"/>
  <c r="BC125"/>
  <c r="D395" i="17" s="1"/>
  <c r="AX90" i="15"/>
  <c r="BC90"/>
  <c r="U20"/>
  <c r="U47"/>
  <c r="U39"/>
  <c r="U36"/>
  <c r="U21"/>
  <c r="U38"/>
  <c r="U26"/>
  <c r="U30"/>
  <c r="U23"/>
  <c r="U41"/>
  <c r="U34"/>
  <c r="U18"/>
  <c r="U27"/>
  <c r="U19"/>
  <c r="U42"/>
  <c r="U24"/>
  <c r="U22"/>
  <c r="U40"/>
  <c r="U29"/>
  <c r="U37"/>
  <c r="U33"/>
  <c r="U44"/>
  <c r="U32"/>
  <c r="U43"/>
  <c r="U28"/>
  <c r="U46"/>
  <c r="U31"/>
  <c r="U35"/>
  <c r="U25"/>
  <c r="U45"/>
  <c r="BC137" i="22"/>
  <c r="D407" i="17" s="1"/>
  <c r="E30" i="2" s="1"/>
  <c r="AX137" i="22"/>
  <c r="AX110" i="15"/>
  <c r="BC110"/>
  <c r="D85" i="17" s="1"/>
  <c r="AE26" i="21"/>
  <c r="AE23"/>
  <c r="AE24"/>
  <c r="AE27"/>
  <c r="AE53"/>
  <c r="AE57"/>
  <c r="AE56"/>
  <c r="AE54"/>
  <c r="AE55"/>
  <c r="AE25"/>
  <c r="AD81" i="15"/>
  <c r="AN81" s="1"/>
  <c r="AU81" s="1"/>
  <c r="BO81" s="1"/>
  <c r="P36" i="17" s="1"/>
  <c r="AD82" i="15"/>
  <c r="AN82" s="1"/>
  <c r="AU82" s="1"/>
  <c r="BO82" s="1"/>
  <c r="P37" i="17" s="1"/>
  <c r="AD80" i="15"/>
  <c r="AD108"/>
  <c r="AN108" s="1"/>
  <c r="AU108" s="1"/>
  <c r="BO108" s="1"/>
  <c r="AD78"/>
  <c r="AN78" s="1"/>
  <c r="AU78" s="1"/>
  <c r="BO78" s="1"/>
  <c r="P33" i="17" s="1"/>
  <c r="AD111" i="15"/>
  <c r="AN111" s="1"/>
  <c r="AU111" s="1"/>
  <c r="BO111" s="1"/>
  <c r="AD109"/>
  <c r="AN109" s="1"/>
  <c r="AU109" s="1"/>
  <c r="BO109" s="1"/>
  <c r="AD79"/>
  <c r="AN79" s="1"/>
  <c r="AU79" s="1"/>
  <c r="BO79" s="1"/>
  <c r="P34" i="17" s="1"/>
  <c r="AD110" i="15"/>
  <c r="AN110" s="1"/>
  <c r="AU110" s="1"/>
  <c r="BO110" s="1"/>
  <c r="AD112"/>
  <c r="AN112" s="1"/>
  <c r="AU112" s="1"/>
  <c r="BO112" s="1"/>
  <c r="BC86"/>
  <c r="D66" i="17" s="1"/>
  <c r="AX86" i="15"/>
  <c r="BC92"/>
  <c r="AX92"/>
  <c r="AX109" i="21"/>
  <c r="BC109"/>
  <c r="D234" i="17" s="1"/>
  <c r="AE62" i="15"/>
  <c r="AE30"/>
  <c r="AE28"/>
  <c r="AE61"/>
  <c r="AE59"/>
  <c r="AE32"/>
  <c r="AE31"/>
  <c r="AE29"/>
  <c r="AE60"/>
  <c r="AE58"/>
  <c r="AX129" i="22"/>
  <c r="BC129"/>
  <c r="D399" i="17" s="1"/>
  <c r="BC135" i="22"/>
  <c r="D405" i="17" s="1"/>
  <c r="AX135" i="22"/>
  <c r="BC104" i="15"/>
  <c r="D79" i="17" s="1"/>
  <c r="AX104" i="15"/>
  <c r="AX132"/>
  <c r="BC132"/>
  <c r="D102" i="17" s="1"/>
  <c r="E11" i="2" s="1"/>
  <c r="E43" s="1"/>
  <c r="E10" i="5" s="1"/>
  <c r="C12" i="3" s="1"/>
  <c r="AD128" i="21"/>
  <c r="AN128" s="1"/>
  <c r="AU128" s="1"/>
  <c r="BO128" s="1"/>
  <c r="P248" i="17" s="1"/>
  <c r="AD130" i="21"/>
  <c r="AN130" s="1"/>
  <c r="AU130" s="1"/>
  <c r="BO130" s="1"/>
  <c r="P250" i="17" s="1"/>
  <c r="AD131" i="21"/>
  <c r="AN131" s="1"/>
  <c r="AU131" s="1"/>
  <c r="BO131" s="1"/>
  <c r="P251" i="17" s="1"/>
  <c r="AD99" i="21"/>
  <c r="AD102"/>
  <c r="AD98"/>
  <c r="AD100"/>
  <c r="AD101"/>
  <c r="AD129"/>
  <c r="AN129" s="1"/>
  <c r="AU129" s="1"/>
  <c r="BO129" s="1"/>
  <c r="P249" i="17" s="1"/>
  <c r="AD132" i="21"/>
  <c r="AN132" s="1"/>
  <c r="AU132" s="1"/>
  <c r="BO132" s="1"/>
  <c r="P252" i="17" s="1"/>
  <c r="Q20" i="2" s="1"/>
  <c r="AE75" i="21"/>
  <c r="AE47"/>
  <c r="AE76"/>
  <c r="AE73"/>
  <c r="AE44"/>
  <c r="AE45"/>
  <c r="AE74"/>
  <c r="AE43"/>
  <c r="AE77"/>
  <c r="AE46"/>
  <c r="BC132" i="22"/>
  <c r="D402" i="17" s="1"/>
  <c r="E29" i="2" s="1"/>
  <c r="AX132" i="22"/>
  <c r="AX83" i="15"/>
  <c r="BC83"/>
  <c r="D63" i="17" s="1"/>
  <c r="BC101" i="15"/>
  <c r="D76" i="17" s="1"/>
  <c r="AX101" i="15"/>
  <c r="AX115"/>
  <c r="BC115"/>
  <c r="D90" i="17" s="1"/>
  <c r="BC133" i="21"/>
  <c r="D253" i="17" s="1"/>
  <c r="AX133" i="21"/>
  <c r="BC123"/>
  <c r="D243" i="17" s="1"/>
  <c r="AX123" i="21"/>
  <c r="AE54" i="15"/>
  <c r="AE23"/>
  <c r="AE55"/>
  <c r="AE56"/>
  <c r="AE26"/>
  <c r="AE25"/>
  <c r="AE57"/>
  <c r="AE24"/>
  <c r="AE27"/>
  <c r="AE53"/>
  <c r="AE33"/>
  <c r="AE35"/>
  <c r="AE65"/>
  <c r="AE64"/>
  <c r="AE36"/>
  <c r="AE34"/>
  <c r="AE63"/>
  <c r="AE67"/>
  <c r="AE37"/>
  <c r="AE66"/>
  <c r="AE58" i="21"/>
  <c r="AE30"/>
  <c r="AE60"/>
  <c r="AE29"/>
  <c r="AE59"/>
  <c r="AE31"/>
  <c r="AE62"/>
  <c r="AE61"/>
  <c r="AE28"/>
  <c r="AE32"/>
  <c r="U57"/>
  <c r="U73"/>
  <c r="U68"/>
  <c r="U67"/>
  <c r="U58"/>
  <c r="U74"/>
  <c r="U72"/>
  <c r="U65"/>
  <c r="U60"/>
  <c r="U75"/>
  <c r="U66"/>
  <c r="U64"/>
  <c r="U61"/>
  <c r="U52"/>
  <c r="U59"/>
  <c r="AO59" s="1"/>
  <c r="AU59" s="1"/>
  <c r="BO59" s="1"/>
  <c r="U62"/>
  <c r="U56"/>
  <c r="U71"/>
  <c r="U49"/>
  <c r="U76"/>
  <c r="U70"/>
  <c r="U77"/>
  <c r="U63"/>
  <c r="U54"/>
  <c r="U69"/>
  <c r="U50"/>
  <c r="U55"/>
  <c r="U48"/>
  <c r="U51"/>
  <c r="U53"/>
  <c r="AX104" i="22"/>
  <c r="BC104"/>
  <c r="D379" i="17" s="1"/>
  <c r="AX99" i="22"/>
  <c r="BC99"/>
  <c r="D374" i="17" s="1"/>
  <c r="AX83" i="22"/>
  <c r="BC83"/>
  <c r="D363" i="17" s="1"/>
  <c r="AX106" i="22"/>
  <c r="BC106"/>
  <c r="D381" i="17" s="1"/>
  <c r="AX96" i="22"/>
  <c r="BC96"/>
  <c r="D371" i="17" s="1"/>
  <c r="BC102" i="22"/>
  <c r="D377" i="17" s="1"/>
  <c r="AX102" i="22"/>
  <c r="AX79"/>
  <c r="BC79"/>
  <c r="D359" i="17" s="1"/>
  <c r="AE41" i="22"/>
  <c r="AE70"/>
  <c r="AE38"/>
  <c r="AE68"/>
  <c r="AE72"/>
  <c r="AE69"/>
  <c r="AE39"/>
  <c r="AE40"/>
  <c r="AE71"/>
  <c r="AE42"/>
  <c r="AX118"/>
  <c r="BC118"/>
  <c r="AX117"/>
  <c r="BC117"/>
  <c r="D392" i="17" s="1"/>
  <c r="BC85" i="15"/>
  <c r="D65" i="17" s="1"/>
  <c r="AX85" i="15"/>
  <c r="AX124"/>
  <c r="BC124"/>
  <c r="D94" i="17" s="1"/>
  <c r="AX125" i="15"/>
  <c r="BC125"/>
  <c r="D95" i="17" s="1"/>
  <c r="BC118" i="21"/>
  <c r="AX118"/>
  <c r="BC110"/>
  <c r="D235" i="17" s="1"/>
  <c r="AX110" i="21"/>
  <c r="BC111"/>
  <c r="D236" i="17" s="1"/>
  <c r="AX111" i="21"/>
  <c r="AE51" i="22"/>
  <c r="AE50"/>
  <c r="AE48"/>
  <c r="AE52"/>
  <c r="AE49"/>
  <c r="AE20"/>
  <c r="AE22"/>
  <c r="AE21"/>
  <c r="AE18"/>
  <c r="AE19"/>
  <c r="AD96" i="21"/>
  <c r="AD127"/>
  <c r="AN127" s="1"/>
  <c r="AU127" s="1"/>
  <c r="BO127" s="1"/>
  <c r="P247" i="17" s="1"/>
  <c r="Q19" i="2" s="1"/>
  <c r="Q51" s="1"/>
  <c r="AD95" i="21"/>
  <c r="AD93"/>
  <c r="AD94"/>
  <c r="AD123"/>
  <c r="AN123" s="1"/>
  <c r="AU123" s="1"/>
  <c r="BO123" s="1"/>
  <c r="P243" i="17" s="1"/>
  <c r="AD125" i="21"/>
  <c r="AN125" s="1"/>
  <c r="AU125" s="1"/>
  <c r="BO125" s="1"/>
  <c r="P245" i="17" s="1"/>
  <c r="AD126" i="21"/>
  <c r="AN126" s="1"/>
  <c r="AU126" s="1"/>
  <c r="BO126" s="1"/>
  <c r="P246" i="17" s="1"/>
  <c r="AD97" i="21"/>
  <c r="AD124"/>
  <c r="AN124" s="1"/>
  <c r="AU124" s="1"/>
  <c r="BO124" s="1"/>
  <c r="P244" i="17" s="1"/>
  <c r="AD92" i="22"/>
  <c r="AD122"/>
  <c r="AN122" s="1"/>
  <c r="AU122" s="1"/>
  <c r="BO122" s="1"/>
  <c r="AD90"/>
  <c r="AD118"/>
  <c r="AN118" s="1"/>
  <c r="AU118" s="1"/>
  <c r="BO118" s="1"/>
  <c r="AD88"/>
  <c r="AD91"/>
  <c r="AD89"/>
  <c r="AD120"/>
  <c r="AN120" s="1"/>
  <c r="AU120" s="1"/>
  <c r="BO120" s="1"/>
  <c r="AD119"/>
  <c r="AN119" s="1"/>
  <c r="AU119" s="1"/>
  <c r="BO119" s="1"/>
  <c r="AD121"/>
  <c r="AN121" s="1"/>
  <c r="AU121" s="1"/>
  <c r="BO121" s="1"/>
  <c r="AE65" i="21"/>
  <c r="AE37"/>
  <c r="AE67"/>
  <c r="AE33"/>
  <c r="AE64"/>
  <c r="AE34"/>
  <c r="AE66"/>
  <c r="AE35"/>
  <c r="AE36"/>
  <c r="AE63"/>
  <c r="BC86"/>
  <c r="D216" i="17" s="1"/>
  <c r="AX86" i="21"/>
  <c r="AX82"/>
  <c r="BC82"/>
  <c r="D212" i="17" s="1"/>
  <c r="AX83" i="21"/>
  <c r="BC83"/>
  <c r="D213" i="17" s="1"/>
  <c r="BC89" i="21"/>
  <c r="AX89"/>
  <c r="BC87"/>
  <c r="D217" i="17" s="1"/>
  <c r="AX87" i="21"/>
  <c r="AX84"/>
  <c r="BC84"/>
  <c r="D214" i="17" s="1"/>
  <c r="AL36" i="22"/>
  <c r="AL62" i="21"/>
  <c r="AJ67"/>
  <c r="AN124" i="22"/>
  <c r="AU124" s="1"/>
  <c r="BO124" s="1"/>
  <c r="P394" i="17" s="1"/>
  <c r="AN80" i="15"/>
  <c r="AU80" s="1"/>
  <c r="BO80" s="1"/>
  <c r="P35" i="17" s="1"/>
  <c r="AL41" i="21"/>
  <c r="AL21"/>
  <c r="AJ33" i="22"/>
  <c r="AL33" i="15"/>
  <c r="AJ72" i="22"/>
  <c r="AJ51"/>
  <c r="AL23"/>
  <c r="AL25" i="21"/>
  <c r="AL42"/>
  <c r="AJ22" i="22"/>
  <c r="AL31" i="15"/>
  <c r="AL32"/>
  <c r="AL39"/>
  <c r="AL45"/>
  <c r="AJ60" i="22"/>
  <c r="AL47"/>
  <c r="AL21"/>
  <c r="AL25"/>
  <c r="AL37"/>
  <c r="AJ31" i="21"/>
  <c r="AJ22"/>
  <c r="AJ43"/>
  <c r="AL37"/>
  <c r="AL31"/>
  <c r="AL43"/>
  <c r="AL29"/>
  <c r="AJ36" i="22"/>
  <c r="AJ24"/>
  <c r="AL24" i="15"/>
  <c r="AT24" s="1"/>
  <c r="AL34"/>
  <c r="AL18"/>
  <c r="AL26"/>
  <c r="AL27"/>
  <c r="AL22"/>
  <c r="AJ66" i="22"/>
  <c r="AJ52"/>
  <c r="AJ62"/>
  <c r="AJ58"/>
  <c r="AJ55"/>
  <c r="AJ48"/>
  <c r="AL34"/>
  <c r="AL45"/>
  <c r="AJ47" i="21"/>
  <c r="AT47" s="1"/>
  <c r="AJ37"/>
  <c r="AJ34"/>
  <c r="AJ43" i="15"/>
  <c r="AJ35"/>
  <c r="AL57" i="21"/>
  <c r="AL59"/>
  <c r="AL68"/>
  <c r="AL75"/>
  <c r="AN120"/>
  <c r="AU120" s="1"/>
  <c r="BO120" s="1"/>
  <c r="AN117"/>
  <c r="AU117" s="1"/>
  <c r="BO117" s="1"/>
  <c r="P242" i="17" s="1"/>
  <c r="AL63" i="22"/>
  <c r="AL71"/>
  <c r="AL59"/>
  <c r="AL61"/>
  <c r="AN114" i="15"/>
  <c r="AU114" s="1"/>
  <c r="BO114" s="1"/>
  <c r="AN116"/>
  <c r="AU116" s="1"/>
  <c r="BO116" s="1"/>
  <c r="AN124"/>
  <c r="AU124" s="1"/>
  <c r="BO124" s="1"/>
  <c r="AN113"/>
  <c r="AU113" s="1"/>
  <c r="BO113" s="1"/>
  <c r="AN134"/>
  <c r="AU134" s="1"/>
  <c r="BO134" s="1"/>
  <c r="AL68"/>
  <c r="AL74"/>
  <c r="AL76"/>
  <c r="AL60"/>
  <c r="AL55"/>
  <c r="AL61"/>
  <c r="AL52"/>
  <c r="AL50"/>
  <c r="AJ62" i="21"/>
  <c r="AJ55"/>
  <c r="AJ65"/>
  <c r="AJ72"/>
  <c r="AJ49"/>
  <c r="AJ71"/>
  <c r="AJ68"/>
  <c r="AJ63"/>
  <c r="AN134" i="22"/>
  <c r="AU134" s="1"/>
  <c r="BO134" s="1"/>
  <c r="P404" i="17" s="1"/>
  <c r="AN117" i="22"/>
  <c r="AU117" s="1"/>
  <c r="BO117" s="1"/>
  <c r="P392" i="17" s="1"/>
  <c r="AN126" i="22"/>
  <c r="AU126" s="1"/>
  <c r="BO126" s="1"/>
  <c r="P396" i="17" s="1"/>
  <c r="AN113" i="22"/>
  <c r="AU113" s="1"/>
  <c r="BO113" s="1"/>
  <c r="P388" i="17" s="1"/>
  <c r="AN123" i="22"/>
  <c r="AU123" s="1"/>
  <c r="BO123" s="1"/>
  <c r="P393" i="17" s="1"/>
  <c r="AN133" i="22"/>
  <c r="AU133" s="1"/>
  <c r="BO133" s="1"/>
  <c r="P403" i="17" s="1"/>
  <c r="AN95" i="15"/>
  <c r="AU95" s="1"/>
  <c r="BO95" s="1"/>
  <c r="P45" i="17" s="1"/>
  <c r="AN86" i="15"/>
  <c r="AU86" s="1"/>
  <c r="BO86" s="1"/>
  <c r="P41" i="17" s="1"/>
  <c r="AN94" i="15"/>
  <c r="AU94" s="1"/>
  <c r="BO94" s="1"/>
  <c r="P44" i="17" s="1"/>
  <c r="AN93" i="15"/>
  <c r="AU93" s="1"/>
  <c r="BO93" s="1"/>
  <c r="P43" i="17" s="1"/>
  <c r="AJ75" i="15"/>
  <c r="AJ56"/>
  <c r="AJ62"/>
  <c r="AJ63"/>
  <c r="AJ51"/>
  <c r="AJ74"/>
  <c r="AJ68"/>
  <c r="AK93" i="21"/>
  <c r="AT93" s="1"/>
  <c r="AT69" i="15" l="1"/>
  <c r="BC69" s="1"/>
  <c r="D49" i="17" s="1"/>
  <c r="AT24" i="22"/>
  <c r="BC24" s="1"/>
  <c r="D314" i="17" s="1"/>
  <c r="AT70" i="15"/>
  <c r="BC70" s="1"/>
  <c r="D50" i="17" s="1"/>
  <c r="AO60" i="21"/>
  <c r="AU60" s="1"/>
  <c r="BO60" s="1"/>
  <c r="AT65"/>
  <c r="AX65" s="1"/>
  <c r="AT32" i="22"/>
  <c r="BC32" s="1"/>
  <c r="AT54"/>
  <c r="AX54" s="1"/>
  <c r="AT31"/>
  <c r="BC31" s="1"/>
  <c r="AT27"/>
  <c r="AX27" s="1"/>
  <c r="AT31" i="15"/>
  <c r="AX31" s="1"/>
  <c r="AT41"/>
  <c r="BC41" s="1"/>
  <c r="D26" i="17" s="1"/>
  <c r="AT46" i="21"/>
  <c r="AX46" s="1"/>
  <c r="AT27"/>
  <c r="AX27" s="1"/>
  <c r="AT46" i="22"/>
  <c r="BC46" s="1"/>
  <c r="D331" i="17" s="1"/>
  <c r="AT38" i="21"/>
  <c r="BC38" s="1"/>
  <c r="D173" i="17" s="1"/>
  <c r="AT21" i="15"/>
  <c r="BC21" s="1"/>
  <c r="D11" i="17" s="1"/>
  <c r="AT46" i="15"/>
  <c r="AX46" s="1"/>
  <c r="AT34" i="22"/>
  <c r="BC34" s="1"/>
  <c r="D319" i="17" s="1"/>
  <c r="AO75" i="15"/>
  <c r="AU75" s="1"/>
  <c r="BO75" s="1"/>
  <c r="AT30"/>
  <c r="BC30" s="1"/>
  <c r="AT42" i="21"/>
  <c r="AX42" s="1"/>
  <c r="AT51" i="22"/>
  <c r="BC51" s="1"/>
  <c r="D336" i="17" s="1"/>
  <c r="AO75" i="22"/>
  <c r="AU75" s="1"/>
  <c r="BO75" s="1"/>
  <c r="P355" i="17" s="1"/>
  <c r="AT62" i="22"/>
  <c r="BC62" s="1"/>
  <c r="AT22" i="15"/>
  <c r="BC22" s="1"/>
  <c r="D12" i="17" s="1"/>
  <c r="AT29" i="21"/>
  <c r="BC29" s="1"/>
  <c r="AT25" i="22"/>
  <c r="AX25" s="1"/>
  <c r="AT67" i="21"/>
  <c r="BC67" s="1"/>
  <c r="D197" i="17" s="1"/>
  <c r="E16" i="2" s="1"/>
  <c r="E48" s="1"/>
  <c r="AT29" i="15"/>
  <c r="AX29" s="1"/>
  <c r="AT75" i="22"/>
  <c r="AX75" s="1"/>
  <c r="AT40"/>
  <c r="BC40" s="1"/>
  <c r="D325" i="17" s="1"/>
  <c r="AT43" i="22"/>
  <c r="AX43" s="1"/>
  <c r="AT23" i="15"/>
  <c r="BC23" s="1"/>
  <c r="D13" i="17" s="1"/>
  <c r="AT44" i="15"/>
  <c r="BC44" s="1"/>
  <c r="D29" i="17" s="1"/>
  <c r="AT28" i="15"/>
  <c r="AX28" s="1"/>
  <c r="AT36"/>
  <c r="BC36" s="1"/>
  <c r="D21" i="17" s="1"/>
  <c r="AT23" i="22"/>
  <c r="AX23" s="1"/>
  <c r="AT67" i="15"/>
  <c r="BC67" s="1"/>
  <c r="D47" i="17" s="1"/>
  <c r="E7" i="2" s="1"/>
  <c r="E39" s="1"/>
  <c r="E6" i="5" s="1"/>
  <c r="C8" i="3" s="1"/>
  <c r="AO74" i="22"/>
  <c r="AU74" s="1"/>
  <c r="BO74" s="1"/>
  <c r="P354" i="17" s="1"/>
  <c r="AO44" i="22"/>
  <c r="AU44" s="1"/>
  <c r="BO44" s="1"/>
  <c r="P329" i="17" s="1"/>
  <c r="AT50" i="21"/>
  <c r="BC50" s="1"/>
  <c r="D185" i="17" s="1"/>
  <c r="AT32" i="21"/>
  <c r="BC32" s="1"/>
  <c r="AT43" i="15"/>
  <c r="AX43" s="1"/>
  <c r="AT58" i="22"/>
  <c r="AX58" s="1"/>
  <c r="AO38" i="15"/>
  <c r="AU38" s="1"/>
  <c r="BO38" s="1"/>
  <c r="P23" i="17" s="1"/>
  <c r="AT59" i="22"/>
  <c r="AX59" s="1"/>
  <c r="AT48"/>
  <c r="BC48" s="1"/>
  <c r="D333" i="17" s="1"/>
  <c r="AT47" i="22"/>
  <c r="AX47" s="1"/>
  <c r="AT41" i="21"/>
  <c r="BC41" s="1"/>
  <c r="D176" i="17" s="1"/>
  <c r="AT27" i="15"/>
  <c r="BC27" s="1"/>
  <c r="D17" i="17" s="1"/>
  <c r="AT25" i="15"/>
  <c r="AX25" s="1"/>
  <c r="AT61" i="21"/>
  <c r="BC61" s="1"/>
  <c r="AT54"/>
  <c r="AX54" s="1"/>
  <c r="AT30"/>
  <c r="AX30" s="1"/>
  <c r="AT64" i="22"/>
  <c r="AX64" s="1"/>
  <c r="AT74" i="21"/>
  <c r="AX74" s="1"/>
  <c r="AT38" i="15"/>
  <c r="AX38" s="1"/>
  <c r="AT67" i="22"/>
  <c r="BC67" s="1"/>
  <c r="D347" i="17" s="1"/>
  <c r="E25" i="2" s="1"/>
  <c r="E57" s="1"/>
  <c r="E24" i="5" s="1"/>
  <c r="C26" i="3" s="1"/>
  <c r="AT71" i="21"/>
  <c r="BC71" s="1"/>
  <c r="D201" i="17" s="1"/>
  <c r="AT57" i="22"/>
  <c r="BC57" s="1"/>
  <c r="D342" i="17" s="1"/>
  <c r="AT20" i="21"/>
  <c r="BC20" s="1"/>
  <c r="D160" i="17" s="1"/>
  <c r="AT47" i="15"/>
  <c r="BC47" s="1"/>
  <c r="D32" i="17" s="1"/>
  <c r="AO44" i="15"/>
  <c r="AU44" s="1"/>
  <c r="BO44" s="1"/>
  <c r="P29" i="17" s="1"/>
  <c r="AO51" i="15"/>
  <c r="AU51" s="1"/>
  <c r="BO51" s="1"/>
  <c r="AT24" i="21"/>
  <c r="BC24" s="1"/>
  <c r="D164" i="17" s="1"/>
  <c r="AO45" i="22"/>
  <c r="AU45" s="1"/>
  <c r="BO45" s="1"/>
  <c r="P330" i="17" s="1"/>
  <c r="AX40" i="22"/>
  <c r="AT51" i="15"/>
  <c r="AX51" s="1"/>
  <c r="AT75"/>
  <c r="AX75" s="1"/>
  <c r="AO54" i="21"/>
  <c r="AU54" s="1"/>
  <c r="BO54" s="1"/>
  <c r="P189" i="17" s="1"/>
  <c r="AO62" i="21"/>
  <c r="AU62" s="1"/>
  <c r="BO62" s="1"/>
  <c r="AT48" i="15"/>
  <c r="AX48" s="1"/>
  <c r="AO43" i="22"/>
  <c r="AU43" s="1"/>
  <c r="BO43" s="1"/>
  <c r="P328" i="17" s="1"/>
  <c r="AX70" i="22"/>
  <c r="AT37"/>
  <c r="BC37" s="1"/>
  <c r="D322" i="17" s="1"/>
  <c r="AT60" i="21"/>
  <c r="BC60" s="1"/>
  <c r="AT39"/>
  <c r="AX39" s="1"/>
  <c r="AT28"/>
  <c r="AX28" s="1"/>
  <c r="AT20" i="22"/>
  <c r="AX20" s="1"/>
  <c r="AT20" i="15"/>
  <c r="AX20" s="1"/>
  <c r="AO47"/>
  <c r="AU47" s="1"/>
  <c r="BO47" s="1"/>
  <c r="P32" i="17" s="1"/>
  <c r="AT65" i="15"/>
  <c r="BC65" s="1"/>
  <c r="D45" i="17" s="1"/>
  <c r="AT76" i="22"/>
  <c r="AX76" s="1"/>
  <c r="BC90"/>
  <c r="AO77"/>
  <c r="AU77" s="1"/>
  <c r="BO77" s="1"/>
  <c r="P357" i="17" s="1"/>
  <c r="Q27" i="2" s="1"/>
  <c r="BC89" i="22"/>
  <c r="AT53" i="15"/>
  <c r="BC53" s="1"/>
  <c r="D38" i="17" s="1"/>
  <c r="AT26" i="22"/>
  <c r="BC26" s="1"/>
  <c r="D316" i="17" s="1"/>
  <c r="AT45" i="22"/>
  <c r="BC45" s="1"/>
  <c r="D330" i="17" s="1"/>
  <c r="AT62" i="15"/>
  <c r="AX62" s="1"/>
  <c r="AT26"/>
  <c r="BC26" s="1"/>
  <c r="D16" i="17" s="1"/>
  <c r="AT21" i="22"/>
  <c r="AX21" s="1"/>
  <c r="AT39" i="15"/>
  <c r="BC39" s="1"/>
  <c r="D24" i="17" s="1"/>
  <c r="AO42" i="15"/>
  <c r="AU42" s="1"/>
  <c r="BO42" s="1"/>
  <c r="P27" i="17" s="1"/>
  <c r="AT35" i="22"/>
  <c r="AX35" s="1"/>
  <c r="AT53" i="21"/>
  <c r="BC53" s="1"/>
  <c r="D188" i="17" s="1"/>
  <c r="AT40" i="21"/>
  <c r="AX40" s="1"/>
  <c r="AT37" i="15"/>
  <c r="BC37" s="1"/>
  <c r="D22" i="17" s="1"/>
  <c r="AT77" i="22"/>
  <c r="BC77" s="1"/>
  <c r="D357" i="17" s="1"/>
  <c r="E27" i="2" s="1"/>
  <c r="AT44" i="22"/>
  <c r="BC44" s="1"/>
  <c r="D329" i="17" s="1"/>
  <c r="AT59" i="21"/>
  <c r="AX59" s="1"/>
  <c r="AT56" i="15"/>
  <c r="BC56" s="1"/>
  <c r="D41" i="17" s="1"/>
  <c r="AT34" i="21"/>
  <c r="BC34" s="1"/>
  <c r="D169" i="17" s="1"/>
  <c r="AT66" i="22"/>
  <c r="AX66" s="1"/>
  <c r="AT22" i="21"/>
  <c r="BC22" s="1"/>
  <c r="D162" i="17" s="1"/>
  <c r="AO53" i="21"/>
  <c r="AU53" s="1"/>
  <c r="BO53" s="1"/>
  <c r="P188" i="17" s="1"/>
  <c r="AO50" i="21"/>
  <c r="AU50" s="1"/>
  <c r="BO50" s="1"/>
  <c r="P185" i="17" s="1"/>
  <c r="AO77" i="21"/>
  <c r="AU77" s="1"/>
  <c r="BO77" s="1"/>
  <c r="P207" i="17" s="1"/>
  <c r="Q18" i="2" s="1"/>
  <c r="AO75" i="21"/>
  <c r="AU75" s="1"/>
  <c r="BO75" s="1"/>
  <c r="P205" i="17" s="1"/>
  <c r="AO43" i="15"/>
  <c r="AU43" s="1"/>
  <c r="BO43" s="1"/>
  <c r="P28" i="17" s="1"/>
  <c r="AT36" i="21"/>
  <c r="AX36" s="1"/>
  <c r="AT58"/>
  <c r="BC58" s="1"/>
  <c r="AO77" i="15"/>
  <c r="AU77" s="1"/>
  <c r="BO77" s="1"/>
  <c r="AT56" i="21"/>
  <c r="AX56" s="1"/>
  <c r="AX95"/>
  <c r="AT74" i="22"/>
  <c r="BC74" s="1"/>
  <c r="D354" i="17" s="1"/>
  <c r="AT30" i="22"/>
  <c r="AT18" i="21"/>
  <c r="AT52" i="22"/>
  <c r="BC52" s="1"/>
  <c r="D337" i="17" s="1"/>
  <c r="AT45" i="15"/>
  <c r="BC45" s="1"/>
  <c r="D30" i="17" s="1"/>
  <c r="E61" i="2"/>
  <c r="E28" i="5" s="1"/>
  <c r="C30" i="3" s="1"/>
  <c r="AT58" i="15"/>
  <c r="BC58" s="1"/>
  <c r="AT53" i="22"/>
  <c r="AX53" s="1"/>
  <c r="AT72" i="15"/>
  <c r="BC72" s="1"/>
  <c r="D52" i="17" s="1"/>
  <c r="AO73" i="15"/>
  <c r="AU73" s="1"/>
  <c r="BO73" s="1"/>
  <c r="AT26" i="21"/>
  <c r="AX26" s="1"/>
  <c r="AT19" i="22"/>
  <c r="BC19" s="1"/>
  <c r="D309" i="17" s="1"/>
  <c r="AT69" i="21"/>
  <c r="BC69" s="1"/>
  <c r="D199" i="17" s="1"/>
  <c r="AO76" i="21"/>
  <c r="AU76" s="1"/>
  <c r="BO76" s="1"/>
  <c r="P206" i="17" s="1"/>
  <c r="AO64" i="21"/>
  <c r="AU64" s="1"/>
  <c r="BO64" s="1"/>
  <c r="P194" i="17" s="1"/>
  <c r="AT63" i="21"/>
  <c r="AX63" s="1"/>
  <c r="AT63" i="22"/>
  <c r="BC63" s="1"/>
  <c r="D343" i="17" s="1"/>
  <c r="AT35" i="15"/>
  <c r="AX35" s="1"/>
  <c r="AT60" i="22"/>
  <c r="AX60" s="1"/>
  <c r="AT21" i="21"/>
  <c r="AX21" s="1"/>
  <c r="BC88" i="22"/>
  <c r="AO69" i="21"/>
  <c r="AU69" s="1"/>
  <c r="BO69" s="1"/>
  <c r="P199" i="17" s="1"/>
  <c r="AO56" i="21"/>
  <c r="AU56" s="1"/>
  <c r="BO56" s="1"/>
  <c r="P191" i="17" s="1"/>
  <c r="AO58" i="21"/>
  <c r="AU58" s="1"/>
  <c r="BO58" s="1"/>
  <c r="AO27" i="15"/>
  <c r="AU27" s="1"/>
  <c r="BO27" s="1"/>
  <c r="P17" i="17" s="1"/>
  <c r="AO20" i="15"/>
  <c r="AU20" s="1"/>
  <c r="BO20" s="1"/>
  <c r="P10" i="17" s="1"/>
  <c r="BC91" i="22"/>
  <c r="AT49"/>
  <c r="BC49" s="1"/>
  <c r="D334" i="17" s="1"/>
  <c r="AT68" i="22"/>
  <c r="AX68" s="1"/>
  <c r="AT19" i="15"/>
  <c r="BC19" s="1"/>
  <c r="D9" i="17" s="1"/>
  <c r="AO47" i="22"/>
  <c r="AU47" s="1"/>
  <c r="BO47" s="1"/>
  <c r="P332" i="17" s="1"/>
  <c r="AT19" i="21"/>
  <c r="BC19" s="1"/>
  <c r="D159" i="17" s="1"/>
  <c r="AT55" i="22"/>
  <c r="BC55" s="1"/>
  <c r="D340" i="17" s="1"/>
  <c r="AT33" i="15"/>
  <c r="AX33" s="1"/>
  <c r="AO65" i="21"/>
  <c r="AU65" s="1"/>
  <c r="BO65" s="1"/>
  <c r="P195" i="17" s="1"/>
  <c r="AT54" i="15"/>
  <c r="BC54" s="1"/>
  <c r="D39" i="17" s="1"/>
  <c r="AT49" i="21"/>
  <c r="BC49" s="1"/>
  <c r="D184" i="17" s="1"/>
  <c r="AT36" i="22"/>
  <c r="AX36" s="1"/>
  <c r="AT33"/>
  <c r="AX33" s="1"/>
  <c r="AO52" i="21"/>
  <c r="AU52" s="1"/>
  <c r="BO52" s="1"/>
  <c r="P187" i="17" s="1"/>
  <c r="AO74" i="21"/>
  <c r="AU74" s="1"/>
  <c r="BO74" s="1"/>
  <c r="P204" i="17" s="1"/>
  <c r="AO45" i="15"/>
  <c r="AU45" s="1"/>
  <c r="BO45" s="1"/>
  <c r="P30" i="17" s="1"/>
  <c r="AO46" i="15"/>
  <c r="AU46" s="1"/>
  <c r="BO46" s="1"/>
  <c r="P31" i="17" s="1"/>
  <c r="AO19" i="15"/>
  <c r="AU19" s="1"/>
  <c r="BO19" s="1"/>
  <c r="P9" i="17" s="1"/>
  <c r="AO41" i="15"/>
  <c r="AU41" s="1"/>
  <c r="BO41" s="1"/>
  <c r="P26" i="17" s="1"/>
  <c r="AT50" i="22"/>
  <c r="AX50" s="1"/>
  <c r="AO70" i="15"/>
  <c r="AU70" s="1"/>
  <c r="BO70" s="1"/>
  <c r="AO52"/>
  <c r="AU52" s="1"/>
  <c r="BO52" s="1"/>
  <c r="AO49"/>
  <c r="AU49" s="1"/>
  <c r="BO49" s="1"/>
  <c r="AT73" i="22"/>
  <c r="AX73" s="1"/>
  <c r="AT44" i="21"/>
  <c r="AT28" i="22"/>
  <c r="AT68" i="15"/>
  <c r="AX68" s="1"/>
  <c r="AT61" i="22"/>
  <c r="AX61" s="1"/>
  <c r="AO49" i="21"/>
  <c r="AU49" s="1"/>
  <c r="BO49" s="1"/>
  <c r="P184" i="17" s="1"/>
  <c r="AO72" i="21"/>
  <c r="AU72" s="1"/>
  <c r="BO72" s="1"/>
  <c r="P202" i="17" s="1"/>
  <c r="Q17" i="2" s="1"/>
  <c r="AT73" i="15"/>
  <c r="BC73" s="1"/>
  <c r="D53" i="17" s="1"/>
  <c r="AT40" i="15"/>
  <c r="AX40" s="1"/>
  <c r="AT39" i="22"/>
  <c r="AX39" s="1"/>
  <c r="AT49" i="15"/>
  <c r="AX49" s="1"/>
  <c r="AT65" i="22"/>
  <c r="BC65" s="1"/>
  <c r="D345" i="17" s="1"/>
  <c r="AT29" i="22"/>
  <c r="AO18" i="15"/>
  <c r="AU18" s="1"/>
  <c r="BO18" s="1"/>
  <c r="P8" i="17" s="1"/>
  <c r="BC107" i="21"/>
  <c r="D232" i="17" s="1"/>
  <c r="AO72" i="15"/>
  <c r="AU72" s="1"/>
  <c r="BO72" s="1"/>
  <c r="AT18" i="22"/>
  <c r="AT71" i="15"/>
  <c r="AX71" s="1"/>
  <c r="AT45" i="21"/>
  <c r="BC45" s="1"/>
  <c r="D180" i="17" s="1"/>
  <c r="AO21" i="15"/>
  <c r="AU21" s="1"/>
  <c r="BO21" s="1"/>
  <c r="P11" i="17" s="1"/>
  <c r="AN107" i="21"/>
  <c r="AU107" s="1"/>
  <c r="BO107" s="1"/>
  <c r="P232" i="17" s="1"/>
  <c r="AN104" i="21"/>
  <c r="AU104" s="1"/>
  <c r="BO104" s="1"/>
  <c r="P229" i="17" s="1"/>
  <c r="Q62" i="2"/>
  <c r="Q29" i="5" s="1"/>
  <c r="O31" i="3" s="1"/>
  <c r="AT56" i="22"/>
  <c r="BC56" s="1"/>
  <c r="D341" i="17" s="1"/>
  <c r="AT73" i="21"/>
  <c r="AT63" i="15"/>
  <c r="AX63" s="1"/>
  <c r="AO70" i="21"/>
  <c r="AU70" s="1"/>
  <c r="BO70" s="1"/>
  <c r="P200" i="17" s="1"/>
  <c r="AN102" i="21"/>
  <c r="AU102" s="1"/>
  <c r="BO102" s="1"/>
  <c r="P227" i="17" s="1"/>
  <c r="AN97" i="21"/>
  <c r="AU97" s="1"/>
  <c r="BO97" s="1"/>
  <c r="P222" i="17" s="1"/>
  <c r="AO55" i="15"/>
  <c r="AU55" s="1"/>
  <c r="BO55" s="1"/>
  <c r="AO59"/>
  <c r="AU59" s="1"/>
  <c r="BO59" s="1"/>
  <c r="AO50"/>
  <c r="AU50" s="1"/>
  <c r="BO50" s="1"/>
  <c r="AO62"/>
  <c r="AU62" s="1"/>
  <c r="BO62" s="1"/>
  <c r="AO71" i="22"/>
  <c r="AU71" s="1"/>
  <c r="BO71" s="1"/>
  <c r="P351" i="17" s="1"/>
  <c r="AO48" i="22"/>
  <c r="AU48" s="1"/>
  <c r="BO48" s="1"/>
  <c r="P333" i="17" s="1"/>
  <c r="AO73" i="22"/>
  <c r="AU73" s="1"/>
  <c r="BO73" s="1"/>
  <c r="P353" i="17" s="1"/>
  <c r="AO53" i="22"/>
  <c r="AU53" s="1"/>
  <c r="BO53" s="1"/>
  <c r="P338" i="17" s="1"/>
  <c r="AO27" i="21"/>
  <c r="AU27" s="1"/>
  <c r="BO27" s="1"/>
  <c r="P167" i="17" s="1"/>
  <c r="AO43" i="21"/>
  <c r="AU43" s="1"/>
  <c r="BO43" s="1"/>
  <c r="P178" i="17" s="1"/>
  <c r="AO21" i="21"/>
  <c r="AU21" s="1"/>
  <c r="BO21" s="1"/>
  <c r="P161" i="17" s="1"/>
  <c r="AO19" i="21"/>
  <c r="AU19" s="1"/>
  <c r="BO19" s="1"/>
  <c r="P159" i="17" s="1"/>
  <c r="AO41" i="21"/>
  <c r="AU41" s="1"/>
  <c r="BO41" s="1"/>
  <c r="P176" i="17" s="1"/>
  <c r="Q61" i="2"/>
  <c r="Q28" i="5" s="1"/>
  <c r="O30" i="3" s="1"/>
  <c r="BC100" i="21"/>
  <c r="D225" i="17" s="1"/>
  <c r="AO40" i="15"/>
  <c r="AU40" s="1"/>
  <c r="BO40" s="1"/>
  <c r="P25" i="17" s="1"/>
  <c r="AT77" i="15"/>
  <c r="BC77" s="1"/>
  <c r="D57" i="17" s="1"/>
  <c r="E44" i="2"/>
  <c r="E11" i="5" s="1"/>
  <c r="C13" i="3" s="1"/>
  <c r="AO74" i="15"/>
  <c r="AU74" s="1"/>
  <c r="BO74" s="1"/>
  <c r="AO76"/>
  <c r="AU76" s="1"/>
  <c r="BO76" s="1"/>
  <c r="AT59"/>
  <c r="AX59" s="1"/>
  <c r="AT35" i="21"/>
  <c r="BC35" s="1"/>
  <c r="D170" i="17" s="1"/>
  <c r="AT62" i="21"/>
  <c r="AX62" s="1"/>
  <c r="AT55"/>
  <c r="AX55" s="1"/>
  <c r="AT37"/>
  <c r="AX37" s="1"/>
  <c r="AT22" i="22"/>
  <c r="AX22" s="1"/>
  <c r="AT72"/>
  <c r="AX72" s="1"/>
  <c r="AO71" i="21"/>
  <c r="AU71" s="1"/>
  <c r="BO71" s="1"/>
  <c r="P201" i="17" s="1"/>
  <c r="AO73" i="21"/>
  <c r="AU73" s="1"/>
  <c r="BO73" s="1"/>
  <c r="P203" i="17" s="1"/>
  <c r="AT74" i="15"/>
  <c r="BC74" s="1"/>
  <c r="D54" i="17" s="1"/>
  <c r="AT68" i="21"/>
  <c r="AX68" s="1"/>
  <c r="AT32" i="15"/>
  <c r="AX32" s="1"/>
  <c r="E52" i="2"/>
  <c r="E19" i="5" s="1"/>
  <c r="C21" i="3" s="1"/>
  <c r="AT42" i="15"/>
  <c r="AX42" s="1"/>
  <c r="AO25" i="22"/>
  <c r="AU25" s="1"/>
  <c r="BO25" s="1"/>
  <c r="P315" i="17" s="1"/>
  <c r="AO36" i="22"/>
  <c r="AU36" s="1"/>
  <c r="BO36" s="1"/>
  <c r="P321" i="17" s="1"/>
  <c r="AO35" i="22"/>
  <c r="AU35" s="1"/>
  <c r="BO35" s="1"/>
  <c r="P320" i="17" s="1"/>
  <c r="AO34" i="22"/>
  <c r="AU34" s="1"/>
  <c r="BO34" s="1"/>
  <c r="P319" i="17" s="1"/>
  <c r="AO32" i="22"/>
  <c r="AU32" s="1"/>
  <c r="BO32" s="1"/>
  <c r="Q18" i="5"/>
  <c r="O20" i="3" s="1"/>
  <c r="Q36" i="5"/>
  <c r="O38" i="3" s="1"/>
  <c r="Q52" i="2"/>
  <c r="AX48" i="21"/>
  <c r="BC48"/>
  <c r="D183" i="17" s="1"/>
  <c r="AX24" i="15"/>
  <c r="BC24"/>
  <c r="D14" i="17" s="1"/>
  <c r="BC97" i="21"/>
  <c r="D222" i="17" s="1"/>
  <c r="AX97" i="21"/>
  <c r="AX105"/>
  <c r="BC105"/>
  <c r="D230" i="17" s="1"/>
  <c r="AX66" i="21"/>
  <c r="BC66"/>
  <c r="D196" i="17" s="1"/>
  <c r="AX47" i="15"/>
  <c r="BC94" i="21"/>
  <c r="D219" i="17" s="1"/>
  <c r="AX94" i="21"/>
  <c r="BC93"/>
  <c r="D218" i="17" s="1"/>
  <c r="AX93" i="21"/>
  <c r="BC47"/>
  <c r="D182" i="17" s="1"/>
  <c r="AX47" i="21"/>
  <c r="AX104"/>
  <c r="BC104"/>
  <c r="D229" i="17" s="1"/>
  <c r="BC52" i="21"/>
  <c r="D187" i="17" s="1"/>
  <c r="AX52" i="21"/>
  <c r="AX92" i="22"/>
  <c r="BC92"/>
  <c r="BC98" i="21"/>
  <c r="D223" i="17" s="1"/>
  <c r="AX98" i="21"/>
  <c r="BC103"/>
  <c r="D228" i="17" s="1"/>
  <c r="AX103" i="21"/>
  <c r="E36" i="5"/>
  <c r="C38" i="3" s="1"/>
  <c r="E18" i="5"/>
  <c r="C20" i="3" s="1"/>
  <c r="AO56" i="15"/>
  <c r="AU56" s="1"/>
  <c r="BO56" s="1"/>
  <c r="AO51" i="22"/>
  <c r="AU51" s="1"/>
  <c r="BO51" s="1"/>
  <c r="P336" i="17" s="1"/>
  <c r="AO66" i="22"/>
  <c r="AU66" s="1"/>
  <c r="BO66" s="1"/>
  <c r="P346" i="17" s="1"/>
  <c r="AO37" i="21"/>
  <c r="AU37" s="1"/>
  <c r="BO37" s="1"/>
  <c r="P172" i="17" s="1"/>
  <c r="AO40" i="21"/>
  <c r="AU40" s="1"/>
  <c r="BO40" s="1"/>
  <c r="P175" i="17" s="1"/>
  <c r="AT75" i="21"/>
  <c r="Q53" i="2"/>
  <c r="AO31" i="22"/>
  <c r="AU31" s="1"/>
  <c r="BO31" s="1"/>
  <c r="AO24"/>
  <c r="AU24" s="1"/>
  <c r="BO24" s="1"/>
  <c r="P314" i="17" s="1"/>
  <c r="AT43" i="21"/>
  <c r="AO55"/>
  <c r="AU55" s="1"/>
  <c r="BO55" s="1"/>
  <c r="P190" i="17" s="1"/>
  <c r="AO63" i="21"/>
  <c r="AU63" s="1"/>
  <c r="BO63" s="1"/>
  <c r="P193" i="17" s="1"/>
  <c r="AO66" i="21"/>
  <c r="AU66" s="1"/>
  <c r="BO66" s="1"/>
  <c r="P196" i="17" s="1"/>
  <c r="AO68" i="21"/>
  <c r="AU68" s="1"/>
  <c r="BO68" s="1"/>
  <c r="P198" i="17" s="1"/>
  <c r="E62" i="2"/>
  <c r="E29" i="5" s="1"/>
  <c r="C31" i="3" s="1"/>
  <c r="AO31" i="15"/>
  <c r="AU31" s="1"/>
  <c r="BO31" s="1"/>
  <c r="AO32"/>
  <c r="AU32" s="1"/>
  <c r="BO32" s="1"/>
  <c r="AO29"/>
  <c r="AU29" s="1"/>
  <c r="BO29" s="1"/>
  <c r="AO34"/>
  <c r="AU34" s="1"/>
  <c r="BO34" s="1"/>
  <c r="P19" i="17" s="1"/>
  <c r="AO26" i="15"/>
  <c r="AU26" s="1"/>
  <c r="BO26" s="1"/>
  <c r="P16" i="17" s="1"/>
  <c r="AO39" i="15"/>
  <c r="AU39" s="1"/>
  <c r="BO39" s="1"/>
  <c r="P24" i="17" s="1"/>
  <c r="AN89" i="22"/>
  <c r="AU89" s="1"/>
  <c r="BO89" s="1"/>
  <c r="AT52" i="15"/>
  <c r="AT55"/>
  <c r="AT71" i="22"/>
  <c r="AN103" i="21"/>
  <c r="AU103" s="1"/>
  <c r="BO103" s="1"/>
  <c r="P228" i="17" s="1"/>
  <c r="AN105" i="21"/>
  <c r="AU105" s="1"/>
  <c r="BO105" s="1"/>
  <c r="P230" i="17" s="1"/>
  <c r="AN100" i="21"/>
  <c r="AU100" s="1"/>
  <c r="BO100" s="1"/>
  <c r="P225" i="17" s="1"/>
  <c r="AN96" i="21"/>
  <c r="AU96" s="1"/>
  <c r="BO96" s="1"/>
  <c r="P221" i="17" s="1"/>
  <c r="AO48" i="15"/>
  <c r="AU48" s="1"/>
  <c r="BO48" s="1"/>
  <c r="AO67"/>
  <c r="AU67" s="1"/>
  <c r="BO67" s="1"/>
  <c r="AO68"/>
  <c r="AU68" s="1"/>
  <c r="BO68" s="1"/>
  <c r="AO54"/>
  <c r="AU54" s="1"/>
  <c r="BO54" s="1"/>
  <c r="AO50" i="22"/>
  <c r="AU50" s="1"/>
  <c r="BO50" s="1"/>
  <c r="P335" i="17" s="1"/>
  <c r="AO61" i="22"/>
  <c r="AU61" s="1"/>
  <c r="BO61" s="1"/>
  <c r="AO60"/>
  <c r="AU60" s="1"/>
  <c r="BO60" s="1"/>
  <c r="AO72"/>
  <c r="AU72" s="1"/>
  <c r="BO72" s="1"/>
  <c r="P352" i="17" s="1"/>
  <c r="Q26" i="2" s="1"/>
  <c r="AO58" i="22"/>
  <c r="AU58" s="1"/>
  <c r="BO58" s="1"/>
  <c r="AO76"/>
  <c r="AU76" s="1"/>
  <c r="BO76" s="1"/>
  <c r="P356" i="17" s="1"/>
  <c r="AO69" i="22"/>
  <c r="AU69" s="1"/>
  <c r="BO69" s="1"/>
  <c r="P349" i="17" s="1"/>
  <c r="AO62" i="22"/>
  <c r="AU62" s="1"/>
  <c r="BO62" s="1"/>
  <c r="AO29" i="21"/>
  <c r="AU29" s="1"/>
  <c r="BO29" s="1"/>
  <c r="AO28"/>
  <c r="AU28" s="1"/>
  <c r="BO28" s="1"/>
  <c r="AO44"/>
  <c r="AU44" s="1"/>
  <c r="BO44" s="1"/>
  <c r="P179" i="17" s="1"/>
  <c r="AO36" i="21"/>
  <c r="AU36" s="1"/>
  <c r="BO36" s="1"/>
  <c r="P171" i="17" s="1"/>
  <c r="AO46" i="21"/>
  <c r="AU46" s="1"/>
  <c r="BO46" s="1"/>
  <c r="P181" i="17" s="1"/>
  <c r="AO39" i="21"/>
  <c r="AU39" s="1"/>
  <c r="BO39" s="1"/>
  <c r="P174" i="17" s="1"/>
  <c r="AO32" i="21"/>
  <c r="AU32" s="1"/>
  <c r="BO32" s="1"/>
  <c r="AO31"/>
  <c r="AU31" s="1"/>
  <c r="BO31" s="1"/>
  <c r="AT76" i="15"/>
  <c r="AT70" i="21"/>
  <c r="AT34" i="15"/>
  <c r="AT18"/>
  <c r="AT23" i="21"/>
  <c r="AO21" i="22"/>
  <c r="AU21" s="1"/>
  <c r="BO21" s="1"/>
  <c r="P311" i="17" s="1"/>
  <c r="AO23" i="22"/>
  <c r="AU23" s="1"/>
  <c r="BO23" s="1"/>
  <c r="P313" i="17" s="1"/>
  <c r="AO27" i="22"/>
  <c r="AU27" s="1"/>
  <c r="BO27" s="1"/>
  <c r="P317" i="17" s="1"/>
  <c r="AO26" i="22"/>
  <c r="AU26" s="1"/>
  <c r="BO26" s="1"/>
  <c r="P316" i="17" s="1"/>
  <c r="AO28" i="22"/>
  <c r="AU28" s="1"/>
  <c r="BO28" s="1"/>
  <c r="AO30"/>
  <c r="AU30" s="1"/>
  <c r="BO30" s="1"/>
  <c r="AO40"/>
  <c r="AU40" s="1"/>
  <c r="BO40" s="1"/>
  <c r="P325" i="17" s="1"/>
  <c r="BC51" i="21"/>
  <c r="D186" i="17" s="1"/>
  <c r="AX51" i="21"/>
  <c r="BC41" i="22"/>
  <c r="D326" i="17" s="1"/>
  <c r="AX41" i="22"/>
  <c r="BC33" i="21"/>
  <c r="D168" i="17" s="1"/>
  <c r="AX33" i="21"/>
  <c r="BC101"/>
  <c r="D226" i="17" s="1"/>
  <c r="AX101" i="21"/>
  <c r="AX99"/>
  <c r="BC99"/>
  <c r="D224" i="17" s="1"/>
  <c r="BC102" i="21"/>
  <c r="D227" i="17" s="1"/>
  <c r="AX102" i="21"/>
  <c r="AO48"/>
  <c r="AU48" s="1"/>
  <c r="BO48" s="1"/>
  <c r="P183" i="17" s="1"/>
  <c r="AO67" i="21"/>
  <c r="AU67" s="1"/>
  <c r="BO67" s="1"/>
  <c r="P197" i="17" s="1"/>
  <c r="Q16" i="2" s="1"/>
  <c r="Q48" s="1"/>
  <c r="AO35" i="15"/>
  <c r="AU35" s="1"/>
  <c r="BO35" s="1"/>
  <c r="P20" i="17" s="1"/>
  <c r="AO37" i="15"/>
  <c r="AU37" s="1"/>
  <c r="BO37" s="1"/>
  <c r="P22" i="17" s="1"/>
  <c r="AO24" i="15"/>
  <c r="AU24" s="1"/>
  <c r="BO24" s="1"/>
  <c r="P14" i="17" s="1"/>
  <c r="AO30" i="15"/>
  <c r="AU30" s="1"/>
  <c r="BO30" s="1"/>
  <c r="AO36"/>
  <c r="AU36" s="1"/>
  <c r="BO36" s="1"/>
  <c r="P21" i="17" s="1"/>
  <c r="AN88" i="22"/>
  <c r="AU88" s="1"/>
  <c r="BO88" s="1"/>
  <c r="AN94" i="21"/>
  <c r="AU94" s="1"/>
  <c r="BO94" s="1"/>
  <c r="P219" i="17" s="1"/>
  <c r="AN99" i="21"/>
  <c r="AU99" s="1"/>
  <c r="BO99" s="1"/>
  <c r="P224" i="17" s="1"/>
  <c r="AN95" i="21"/>
  <c r="AU95" s="1"/>
  <c r="BO95" s="1"/>
  <c r="P220" i="17" s="1"/>
  <c r="AO66" i="15"/>
  <c r="AU66" s="1"/>
  <c r="BO66" s="1"/>
  <c r="AO60"/>
  <c r="AU60" s="1"/>
  <c r="BO60" s="1"/>
  <c r="AO65"/>
  <c r="AU65" s="1"/>
  <c r="BO65" s="1"/>
  <c r="AO69"/>
  <c r="AU69" s="1"/>
  <c r="BO69" s="1"/>
  <c r="AO58"/>
  <c r="AU58" s="1"/>
  <c r="BO58" s="1"/>
  <c r="AO53"/>
  <c r="AU53" s="1"/>
  <c r="BO53" s="1"/>
  <c r="AO67" i="22"/>
  <c r="AU67" s="1"/>
  <c r="BO67" s="1"/>
  <c r="P347" i="17" s="1"/>
  <c r="Q25" i="2" s="1"/>
  <c r="Q57" s="1"/>
  <c r="Q24" i="5" s="1"/>
  <c r="O26" i="3" s="1"/>
  <c r="AO65" i="22"/>
  <c r="AU65" s="1"/>
  <c r="BO65" s="1"/>
  <c r="P345" i="17" s="1"/>
  <c r="AO70" i="22"/>
  <c r="AU70" s="1"/>
  <c r="BO70" s="1"/>
  <c r="P350" i="17" s="1"/>
  <c r="AO68" i="22"/>
  <c r="AU68" s="1"/>
  <c r="BO68" s="1"/>
  <c r="P348" i="17" s="1"/>
  <c r="AO57" i="22"/>
  <c r="AU57" s="1"/>
  <c r="BO57" s="1"/>
  <c r="P342" i="17" s="1"/>
  <c r="AO56" i="22"/>
  <c r="AU56" s="1"/>
  <c r="BO56" s="1"/>
  <c r="P341" i="17" s="1"/>
  <c r="AO52" i="22"/>
  <c r="AU52" s="1"/>
  <c r="BO52" s="1"/>
  <c r="P337" i="17" s="1"/>
  <c r="AO30" i="21"/>
  <c r="AU30" s="1"/>
  <c r="BO30" s="1"/>
  <c r="AO24"/>
  <c r="AU24" s="1"/>
  <c r="BO24" s="1"/>
  <c r="P164" i="17" s="1"/>
  <c r="AO18" i="21"/>
  <c r="AU18" s="1"/>
  <c r="BO18" s="1"/>
  <c r="P158" i="17" s="1"/>
  <c r="AO38" i="21"/>
  <c r="AU38" s="1"/>
  <c r="BO38" s="1"/>
  <c r="P173" i="17" s="1"/>
  <c r="AO35" i="21"/>
  <c r="AU35" s="1"/>
  <c r="BO35" s="1"/>
  <c r="P170" i="17" s="1"/>
  <c r="AO34" i="21"/>
  <c r="AU34" s="1"/>
  <c r="BO34" s="1"/>
  <c r="P169" i="17" s="1"/>
  <c r="AO22" i="21"/>
  <c r="AU22" s="1"/>
  <c r="BO22" s="1"/>
  <c r="P162" i="17" s="1"/>
  <c r="AO47" i="21"/>
  <c r="AU47" s="1"/>
  <c r="BO47" s="1"/>
  <c r="P182" i="17" s="1"/>
  <c r="AT61" i="15"/>
  <c r="AT50"/>
  <c r="AT25" i="21"/>
  <c r="AT69" i="22"/>
  <c r="AO19"/>
  <c r="AU19" s="1"/>
  <c r="BO19" s="1"/>
  <c r="P309" i="17" s="1"/>
  <c r="AO29" i="22"/>
  <c r="AU29" s="1"/>
  <c r="BO29" s="1"/>
  <c r="AO37"/>
  <c r="AU37" s="1"/>
  <c r="BO37" s="1"/>
  <c r="P322" i="17" s="1"/>
  <c r="AO22" i="22"/>
  <c r="AU22" s="1"/>
  <c r="BO22" s="1"/>
  <c r="P312" i="17" s="1"/>
  <c r="AO20" i="22"/>
  <c r="AU20" s="1"/>
  <c r="BO20" s="1"/>
  <c r="P310" i="17" s="1"/>
  <c r="AO42" i="22"/>
  <c r="AU42" s="1"/>
  <c r="BO42" s="1"/>
  <c r="P327" i="17" s="1"/>
  <c r="AO38" i="22"/>
  <c r="AU38" s="1"/>
  <c r="BO38" s="1"/>
  <c r="P323" i="17" s="1"/>
  <c r="BC42" i="22"/>
  <c r="D327" i="17" s="1"/>
  <c r="AX42" i="22"/>
  <c r="AX38"/>
  <c r="BC38"/>
  <c r="D323" i="17" s="1"/>
  <c r="AX106" i="21"/>
  <c r="BC106"/>
  <c r="D231" i="17" s="1"/>
  <c r="Q8" i="2"/>
  <c r="Q40" s="1"/>
  <c r="Q7" i="5" s="1"/>
  <c r="O9" i="3" s="1"/>
  <c r="Q9" i="2"/>
  <c r="BC64" i="21"/>
  <c r="D194" i="17" s="1"/>
  <c r="AX64" i="21"/>
  <c r="AX96"/>
  <c r="BC96"/>
  <c r="D221" i="17" s="1"/>
  <c r="AN93" i="21"/>
  <c r="AU93" s="1"/>
  <c r="BO93" s="1"/>
  <c r="P218" i="17" s="1"/>
  <c r="AT72" i="21"/>
  <c r="AT31"/>
  <c r="AO51"/>
  <c r="AU51" s="1"/>
  <c r="BO51" s="1"/>
  <c r="P186" i="17" s="1"/>
  <c r="AO61" i="21"/>
  <c r="AU61" s="1"/>
  <c r="BO61" s="1"/>
  <c r="AO57"/>
  <c r="AU57" s="1"/>
  <c r="BO57" s="1"/>
  <c r="P192" i="17" s="1"/>
  <c r="AO25" i="15"/>
  <c r="AU25" s="1"/>
  <c r="BO25" s="1"/>
  <c r="P15" i="17" s="1"/>
  <c r="AO28" i="15"/>
  <c r="AU28" s="1"/>
  <c r="BO28" s="1"/>
  <c r="AO33"/>
  <c r="AU33" s="1"/>
  <c r="BO33" s="1"/>
  <c r="P18" i="17" s="1"/>
  <c r="AO22" i="15"/>
  <c r="AU22" s="1"/>
  <c r="BO22" s="1"/>
  <c r="P12" i="17" s="1"/>
  <c r="AO23" i="15"/>
  <c r="AU23" s="1"/>
  <c r="BO23" s="1"/>
  <c r="P13" i="17" s="1"/>
  <c r="AN91" i="22"/>
  <c r="AU91" s="1"/>
  <c r="BO91" s="1"/>
  <c r="AN90"/>
  <c r="AU90" s="1"/>
  <c r="BO90" s="1"/>
  <c r="AN92"/>
  <c r="AU92" s="1"/>
  <c r="BO92" s="1"/>
  <c r="AT66" i="15"/>
  <c r="AT76" i="21"/>
  <c r="AN98"/>
  <c r="AU98" s="1"/>
  <c r="BO98" s="1"/>
  <c r="P223" i="17" s="1"/>
  <c r="AN101" i="21"/>
  <c r="AU101" s="1"/>
  <c r="BO101" s="1"/>
  <c r="P226" i="17" s="1"/>
  <c r="AO64" i="15"/>
  <c r="AU64" s="1"/>
  <c r="BO64" s="1"/>
  <c r="AO61"/>
  <c r="AU61" s="1"/>
  <c r="BO61" s="1"/>
  <c r="AO57"/>
  <c r="AU57" s="1"/>
  <c r="BO57" s="1"/>
  <c r="AO71"/>
  <c r="AU71" s="1"/>
  <c r="BO71" s="1"/>
  <c r="AO63"/>
  <c r="AU63" s="1"/>
  <c r="BO63" s="1"/>
  <c r="AO64" i="22"/>
  <c r="AU64" s="1"/>
  <c r="BO64" s="1"/>
  <c r="P344" i="17" s="1"/>
  <c r="AO54" i="22"/>
  <c r="AU54" s="1"/>
  <c r="BO54" s="1"/>
  <c r="P339" i="17" s="1"/>
  <c r="AO63" i="22"/>
  <c r="AU63" s="1"/>
  <c r="BO63" s="1"/>
  <c r="P343" i="17" s="1"/>
  <c r="AO49" i="22"/>
  <c r="AU49" s="1"/>
  <c r="BO49" s="1"/>
  <c r="P334" i="17" s="1"/>
  <c r="AO59" i="22"/>
  <c r="AU59" s="1"/>
  <c r="BO59" s="1"/>
  <c r="AO55"/>
  <c r="AU55" s="1"/>
  <c r="BO55" s="1"/>
  <c r="P340" i="17" s="1"/>
  <c r="AO33" i="21"/>
  <c r="AU33" s="1"/>
  <c r="BO33" s="1"/>
  <c r="P168" i="17" s="1"/>
  <c r="AO45" i="21"/>
  <c r="AU45" s="1"/>
  <c r="BO45" s="1"/>
  <c r="P180" i="17" s="1"/>
  <c r="AO23" i="21"/>
  <c r="AU23" s="1"/>
  <c r="BO23" s="1"/>
  <c r="P163" i="17" s="1"/>
  <c r="AO26" i="21"/>
  <c r="AU26" s="1"/>
  <c r="BO26" s="1"/>
  <c r="P166" i="17" s="1"/>
  <c r="AO20" i="21"/>
  <c r="AU20" s="1"/>
  <c r="BO20" s="1"/>
  <c r="P160" i="17" s="1"/>
  <c r="AO25" i="21"/>
  <c r="AU25" s="1"/>
  <c r="BO25" s="1"/>
  <c r="P165" i="17" s="1"/>
  <c r="AO42" i="21"/>
  <c r="AU42" s="1"/>
  <c r="BO42" s="1"/>
  <c r="P177" i="17" s="1"/>
  <c r="AT64" i="15"/>
  <c r="AT60"/>
  <c r="AT57" i="21"/>
  <c r="AT77"/>
  <c r="AT57" i="15"/>
  <c r="AO18" i="22"/>
  <c r="AU18" s="1"/>
  <c r="BO18" s="1"/>
  <c r="P308" i="17" s="1"/>
  <c r="AO46" i="22"/>
  <c r="AU46" s="1"/>
  <c r="BO46" s="1"/>
  <c r="P331" i="17" s="1"/>
  <c r="AO33" i="22"/>
  <c r="AU33" s="1"/>
  <c r="BO33" s="1"/>
  <c r="P318" i="17" s="1"/>
  <c r="AO39" i="22"/>
  <c r="AU39" s="1"/>
  <c r="BO39" s="1"/>
  <c r="P324" i="17" s="1"/>
  <c r="AO41" i="22"/>
  <c r="AU41" s="1"/>
  <c r="BO41" s="1"/>
  <c r="P326" i="17" s="1"/>
  <c r="E53" i="2"/>
  <c r="AX24" i="22" l="1"/>
  <c r="AX29" i="21"/>
  <c r="AX34" i="22"/>
  <c r="AX32"/>
  <c r="BC75"/>
  <c r="D355" i="17" s="1"/>
  <c r="AX69" i="15"/>
  <c r="AX51" i="22"/>
  <c r="AX70" i="15"/>
  <c r="AX41"/>
  <c r="BC54" i="22"/>
  <c r="D339" i="17" s="1"/>
  <c r="AX31" i="22"/>
  <c r="BC27" i="21"/>
  <c r="D167" i="17" s="1"/>
  <c r="AX44" i="15"/>
  <c r="BC65" i="21"/>
  <c r="D195" i="17" s="1"/>
  <c r="BC31" i="15"/>
  <c r="AX46" i="22"/>
  <c r="BC27"/>
  <c r="D317" i="17" s="1"/>
  <c r="BC46" i="21"/>
  <c r="D181" i="17" s="1"/>
  <c r="AX32" i="21"/>
  <c r="BC42"/>
  <c r="D177" i="17" s="1"/>
  <c r="AX23" i="15"/>
  <c r="AX21"/>
  <c r="AX38" i="21"/>
  <c r="BC46" i="15"/>
  <c r="D31" i="17" s="1"/>
  <c r="BC49" i="15"/>
  <c r="D34" i="17" s="1"/>
  <c r="BC74" i="21"/>
  <c r="D204" i="17" s="1"/>
  <c r="BC28" i="15"/>
  <c r="BC63" i="21"/>
  <c r="D193" i="17" s="1"/>
  <c r="BC23" i="22"/>
  <c r="D313" i="17" s="1"/>
  <c r="AX22" i="15"/>
  <c r="BC38"/>
  <c r="D23" i="17" s="1"/>
  <c r="AX69" i="21"/>
  <c r="BC75" i="15"/>
  <c r="D55" i="17" s="1"/>
  <c r="AX54" i="15"/>
  <c r="AX41" i="21"/>
  <c r="AX49" i="22"/>
  <c r="BC21" i="21"/>
  <c r="D161" i="17" s="1"/>
  <c r="BC39" i="21"/>
  <c r="D174" i="17" s="1"/>
  <c r="AX26" i="22"/>
  <c r="AX44"/>
  <c r="BC25" i="15"/>
  <c r="D15" i="17" s="1"/>
  <c r="BC25" i="22"/>
  <c r="D315" i="17" s="1"/>
  <c r="AX30" i="15"/>
  <c r="AX45"/>
  <c r="BC33" i="22"/>
  <c r="D318" i="17" s="1"/>
  <c r="AX67" i="21"/>
  <c r="BC43" i="22"/>
  <c r="D328" i="17" s="1"/>
  <c r="AX19" i="21"/>
  <c r="BC20" i="15"/>
  <c r="D10" i="17" s="1"/>
  <c r="AX26" i="15"/>
  <c r="BC29"/>
  <c r="AX77" i="22"/>
  <c r="BC54" i="21"/>
  <c r="D189" i="17" s="1"/>
  <c r="AX50" i="21"/>
  <c r="BC58" i="22"/>
  <c r="BC51" i="15"/>
  <c r="D36" i="17" s="1"/>
  <c r="AX62" i="22"/>
  <c r="AX61" i="21"/>
  <c r="BC21" i="22"/>
  <c r="D311" i="17" s="1"/>
  <c r="BC47" i="22"/>
  <c r="D332" i="17" s="1"/>
  <c r="AX36" i="15"/>
  <c r="AX57" i="22"/>
  <c r="BC22"/>
  <c r="D312" i="17" s="1"/>
  <c r="AX56" i="15"/>
  <c r="BC42"/>
  <c r="D27" i="17" s="1"/>
  <c r="AX24" i="21"/>
  <c r="AX53"/>
  <c r="AX20"/>
  <c r="AX67" i="15"/>
  <c r="AX39"/>
  <c r="BC26" i="21"/>
  <c r="D166" i="17" s="1"/>
  <c r="AX48" i="22"/>
  <c r="AX45"/>
  <c r="AX71" i="21"/>
  <c r="BC43" i="15"/>
  <c r="D28" i="17" s="1"/>
  <c r="BC64" i="22"/>
  <c r="D344" i="17" s="1"/>
  <c r="Q59" i="2"/>
  <c r="Q26" i="5" s="1"/>
  <c r="O28" i="3" s="1"/>
  <c r="BC28" i="21"/>
  <c r="BC68" i="22"/>
  <c r="D348" i="17" s="1"/>
  <c r="AX65" i="15"/>
  <c r="BC30" i="21"/>
  <c r="BC59" i="22"/>
  <c r="AX27" i="15"/>
  <c r="AX58"/>
  <c r="BC40" i="21"/>
  <c r="D175" i="17" s="1"/>
  <c r="AX67" i="22"/>
  <c r="AX63"/>
  <c r="Q50" i="2"/>
  <c r="Q17" i="5" s="1"/>
  <c r="O19" i="3" s="1"/>
  <c r="AX58" i="21"/>
  <c r="BC61" i="22"/>
  <c r="BC59" i="15"/>
  <c r="BC53" i="22"/>
  <c r="D338" i="17" s="1"/>
  <c r="AX74" i="22"/>
  <c r="BC48" i="15"/>
  <c r="D33" i="17" s="1"/>
  <c r="AX72" i="15"/>
  <c r="AX19" i="22"/>
  <c r="BC35"/>
  <c r="D320" i="17" s="1"/>
  <c r="AX53" i="15"/>
  <c r="AX77"/>
  <c r="AX22" i="21"/>
  <c r="BC62" i="15"/>
  <c r="E37" i="5"/>
  <c r="C39" i="3" s="1"/>
  <c r="BC33" i="15"/>
  <c r="D18" i="17" s="1"/>
  <c r="BC39" i="22"/>
  <c r="D324" i="17" s="1"/>
  <c r="AX52" i="22"/>
  <c r="AX74" i="15"/>
  <c r="BC60" i="22"/>
  <c r="BC66"/>
  <c r="D346" i="17" s="1"/>
  <c r="BC37" i="21"/>
  <c r="D172" i="17" s="1"/>
  <c r="AX56" i="22"/>
  <c r="BC20"/>
  <c r="D310" i="17" s="1"/>
  <c r="AX60" i="21"/>
  <c r="AX37" i="15"/>
  <c r="BC63"/>
  <c r="D43" i="17" s="1"/>
  <c r="AX35" i="21"/>
  <c r="BC59"/>
  <c r="BC76" i="22"/>
  <c r="D356" i="17" s="1"/>
  <c r="AX37" i="22"/>
  <c r="BC40" i="15"/>
  <c r="D25" i="17" s="1"/>
  <c r="AX65" i="22"/>
  <c r="BC73"/>
  <c r="D353" i="17" s="1"/>
  <c r="AX19" i="15"/>
  <c r="AX18" i="21"/>
  <c r="BC18"/>
  <c r="D158" i="17" s="1"/>
  <c r="BC36" i="21"/>
  <c r="D171" i="17" s="1"/>
  <c r="BC56" i="21"/>
  <c r="D191" i="17" s="1"/>
  <c r="BC50" i="22"/>
  <c r="D335" i="17" s="1"/>
  <c r="AX45" i="21"/>
  <c r="AX34"/>
  <c r="BC30" i="22"/>
  <c r="AX30"/>
  <c r="AX49" i="21"/>
  <c r="BC36" i="22"/>
  <c r="D321" i="17" s="1"/>
  <c r="BC32" i="15"/>
  <c r="AX44" i="21"/>
  <c r="BC44"/>
  <c r="D179" i="17" s="1"/>
  <c r="BC71" i="15"/>
  <c r="D51" i="17" s="1"/>
  <c r="AX55" i="22"/>
  <c r="BC35" i="15"/>
  <c r="D20" i="17" s="1"/>
  <c r="BC55" i="21"/>
  <c r="D190" i="17" s="1"/>
  <c r="AX28" i="22"/>
  <c r="BC28"/>
  <c r="BC68" i="15"/>
  <c r="D48" i="17" s="1"/>
  <c r="BC68" i="21"/>
  <c r="D198" i="17" s="1"/>
  <c r="BC29" i="22"/>
  <c r="AX29"/>
  <c r="AX73" i="15"/>
  <c r="AX73" i="21"/>
  <c r="BC73"/>
  <c r="D203" i="17" s="1"/>
  <c r="BC18" i="22"/>
  <c r="D308" i="17" s="1"/>
  <c r="AX18" i="22"/>
  <c r="BC62" i="21"/>
  <c r="BC72" i="22"/>
  <c r="D352" i="17" s="1"/>
  <c r="E26" i="2" s="1"/>
  <c r="E58" s="1"/>
  <c r="E25" i="5" s="1"/>
  <c r="C27" i="3" s="1"/>
  <c r="BC66" i="15"/>
  <c r="D46" i="17" s="1"/>
  <c r="AX66" i="15"/>
  <c r="AX69" i="22"/>
  <c r="BC69"/>
  <c r="D349" i="17" s="1"/>
  <c r="AX52" i="15"/>
  <c r="BC52"/>
  <c r="D37" i="17" s="1"/>
  <c r="BC76" i="21"/>
  <c r="D206" i="17" s="1"/>
  <c r="AX76" i="21"/>
  <c r="E15" i="5"/>
  <c r="C17" i="3" s="1"/>
  <c r="E33" i="5"/>
  <c r="C35" i="3" s="1"/>
  <c r="BC61" i="15"/>
  <c r="AX61"/>
  <c r="BC34"/>
  <c r="D19" i="17" s="1"/>
  <c r="AX34" i="15"/>
  <c r="BC55"/>
  <c r="D40" i="17" s="1"/>
  <c r="AX55" i="15"/>
  <c r="AX31" i="21"/>
  <c r="BC31"/>
  <c r="E8" i="2"/>
  <c r="E40" s="1"/>
  <c r="E7" i="5" s="1"/>
  <c r="C9" i="3" s="1"/>
  <c r="E9" i="2"/>
  <c r="E20" i="5"/>
  <c r="C22" i="3" s="1"/>
  <c r="E38" i="5"/>
  <c r="C40" i="3" s="1"/>
  <c r="BC57" i="21"/>
  <c r="D192" i="17" s="1"/>
  <c r="AX57" i="21"/>
  <c r="AX77"/>
  <c r="BC77"/>
  <c r="D207" i="17" s="1"/>
  <c r="E18" i="2" s="1"/>
  <c r="BC50" i="15"/>
  <c r="D35" i="17" s="1"/>
  <c r="AX50" i="15"/>
  <c r="Q33" i="5"/>
  <c r="O35" i="3" s="1"/>
  <c r="Q15" i="5"/>
  <c r="O17" i="3" s="1"/>
  <c r="AX18" i="15"/>
  <c r="BC18"/>
  <c r="D8" i="17" s="1"/>
  <c r="AX71" i="22"/>
  <c r="BC71"/>
  <c r="D351" i="17" s="1"/>
  <c r="BC43" i="21"/>
  <c r="D178" i="17" s="1"/>
  <c r="AX43" i="21"/>
  <c r="AX75"/>
  <c r="BC75"/>
  <c r="D205" i="17" s="1"/>
  <c r="Q19" i="5"/>
  <c r="O21" i="3" s="1"/>
  <c r="Q37" i="5"/>
  <c r="O39" i="3" s="1"/>
  <c r="Q58" i="2"/>
  <c r="Q25" i="5" s="1"/>
  <c r="O27" i="3" s="1"/>
  <c r="Q49" i="2"/>
  <c r="AX60" i="15"/>
  <c r="BC60"/>
  <c r="AX70" i="21"/>
  <c r="BC70"/>
  <c r="D200" i="17" s="1"/>
  <c r="BC57" i="15"/>
  <c r="D42" i="17" s="1"/>
  <c r="AX57" i="15"/>
  <c r="AX64"/>
  <c r="BC64"/>
  <c r="D44" i="17" s="1"/>
  <c r="BC72" i="21"/>
  <c r="D202" i="17" s="1"/>
  <c r="E17" i="2" s="1"/>
  <c r="E49" s="1"/>
  <c r="AX72" i="21"/>
  <c r="BC25"/>
  <c r="D165" i="17" s="1"/>
  <c r="AX25" i="21"/>
  <c r="AX23"/>
  <c r="BC23"/>
  <c r="D163" i="17" s="1"/>
  <c r="BC76" i="15"/>
  <c r="D56" i="17" s="1"/>
  <c r="AX76" i="15"/>
  <c r="Q20" i="5"/>
  <c r="O22" i="3" s="1"/>
  <c r="Q38" i="5"/>
  <c r="O40" i="3" s="1"/>
  <c r="Q41" i="2"/>
  <c r="Q8" i="5" s="1"/>
  <c r="O10" i="3" s="1"/>
  <c r="E59" i="2" l="1"/>
  <c r="E26" i="5" s="1"/>
  <c r="C28" i="3" s="1"/>
  <c r="Q35" i="5"/>
  <c r="O37" i="3" s="1"/>
  <c r="E50" i="2"/>
  <c r="E35" i="5" s="1"/>
  <c r="C37" i="3" s="1"/>
  <c r="E34" i="5"/>
  <c r="C36" i="3" s="1"/>
  <c r="E16" i="5"/>
  <c r="C18" i="3" s="1"/>
  <c r="Q16" i="5"/>
  <c r="O18" i="3" s="1"/>
  <c r="Q34" i="5"/>
  <c r="O36" i="3" s="1"/>
  <c r="E41" i="2"/>
  <c r="E8" i="5" s="1"/>
  <c r="C10" i="3" s="1"/>
  <c r="E17" i="5" l="1"/>
  <c r="C19" i="3" s="1"/>
  <c r="B44" i="7" l="1"/>
  <c r="B43" l="1"/>
  <c r="B46"/>
  <c r="F32" i="6"/>
  <c r="A13" i="25"/>
  <c r="A3"/>
  <c r="A21"/>
  <c r="I59" i="7"/>
  <c r="Q59"/>
  <c r="A8" i="25"/>
  <c r="N32" i="6"/>
  <c r="T59" i="7"/>
  <c r="A24" i="25"/>
  <c r="A4"/>
  <c r="X32" i="6"/>
  <c r="S32"/>
  <c r="A52" i="7"/>
  <c r="A43"/>
  <c r="A54"/>
  <c r="B45"/>
  <c r="C52" l="1"/>
  <c r="R59"/>
  <c r="E59"/>
  <c r="A9"/>
  <c r="F59"/>
  <c r="C51"/>
  <c r="C43"/>
  <c r="C53"/>
  <c r="G32" i="6"/>
  <c r="A20" i="25"/>
  <c r="A10"/>
  <c r="A25"/>
  <c r="S59" i="7"/>
  <c r="V32" i="6"/>
  <c r="M32"/>
  <c r="J32"/>
  <c r="A24"/>
  <c r="A25"/>
  <c r="A7" i="25"/>
  <c r="J59" i="7"/>
  <c r="K32" i="6"/>
  <c r="A19" i="25"/>
  <c r="A15"/>
  <c r="O32" i="6"/>
  <c r="H59" i="7"/>
  <c r="Q32" i="6"/>
  <c r="A12" i="25"/>
  <c r="U59" i="7"/>
  <c r="M59"/>
  <c r="I32" i="6"/>
  <c r="V59" i="7"/>
  <c r="L32" i="6"/>
  <c r="A22" i="25"/>
  <c r="A9" i="6"/>
  <c r="E6" i="25" s="1"/>
  <c r="X59" i="7"/>
  <c r="U32" i="6"/>
  <c r="A26" i="25"/>
  <c r="P32" i="6"/>
  <c r="A18" i="25"/>
  <c r="K59" i="7"/>
  <c r="P59"/>
  <c r="A9" i="25"/>
  <c r="A23" i="6"/>
  <c r="A5" i="25"/>
  <c r="L59" i="7"/>
  <c r="R32" i="6"/>
  <c r="A17" i="25"/>
  <c r="A11"/>
  <c r="H32" i="6"/>
  <c r="N59" i="7"/>
  <c r="T32" i="6"/>
  <c r="A23" i="25"/>
  <c r="W59" i="7"/>
  <c r="O59"/>
  <c r="G59"/>
  <c r="A14" i="25"/>
  <c r="W32" i="6"/>
  <c r="A6" i="25"/>
  <c r="A16"/>
  <c r="E32" i="6"/>
  <c r="A26"/>
  <c r="A46" i="7"/>
  <c r="A44"/>
  <c r="A45"/>
  <c r="A53"/>
  <c r="A51"/>
  <c r="E16" i="25"/>
  <c r="E21"/>
  <c r="E24"/>
  <c r="E22"/>
  <c r="E15"/>
  <c r="E26"/>
  <c r="E18"/>
  <c r="E20"/>
  <c r="E23"/>
  <c r="E19"/>
  <c r="E25"/>
  <c r="E17"/>
  <c r="E12"/>
  <c r="E11"/>
  <c r="E10"/>
  <c r="E7"/>
  <c r="E26" i="7"/>
  <c r="I25"/>
  <c r="G25"/>
  <c r="G23"/>
  <c r="G24"/>
  <c r="E25"/>
  <c r="J25"/>
  <c r="B52"/>
  <c r="B24" i="6"/>
  <c r="B51" i="7"/>
  <c r="B23" i="6"/>
  <c r="B26"/>
  <c r="B54" i="7"/>
  <c r="E13" i="25" l="1"/>
  <c r="E8"/>
  <c r="N25" i="7"/>
  <c r="K25"/>
  <c r="C54"/>
  <c r="E54" s="1"/>
  <c r="I26"/>
  <c r="M23"/>
  <c r="Q25"/>
  <c r="F26"/>
  <c r="J26"/>
  <c r="O23"/>
  <c r="G26"/>
  <c r="M24"/>
  <c r="M25"/>
  <c r="N24"/>
  <c r="Q23"/>
  <c r="F23"/>
  <c r="Q24"/>
  <c r="H23"/>
  <c r="H24"/>
  <c r="H26"/>
  <c r="L25"/>
  <c r="J23"/>
  <c r="J24"/>
  <c r="F24"/>
  <c r="R25"/>
  <c r="P23"/>
  <c r="M26"/>
  <c r="L24"/>
  <c r="K26"/>
  <c r="P26"/>
  <c r="O24"/>
  <c r="E24"/>
  <c r="O25"/>
  <c r="N23"/>
  <c r="N51" s="1"/>
  <c r="L23"/>
  <c r="N26"/>
  <c r="K24"/>
  <c r="E5" i="25"/>
  <c r="E9"/>
  <c r="E3"/>
  <c r="C45" i="7"/>
  <c r="I24"/>
  <c r="F25"/>
  <c r="Q26"/>
  <c r="P24"/>
  <c r="E23"/>
  <c r="E51" s="1"/>
  <c r="K23"/>
  <c r="K51" s="1"/>
  <c r="R26"/>
  <c r="L26"/>
  <c r="I23"/>
  <c r="I28" s="1"/>
  <c r="R23"/>
  <c r="R24"/>
  <c r="H25"/>
  <c r="P25"/>
  <c r="O26"/>
  <c r="E4" i="25"/>
  <c r="E14"/>
  <c r="C44" i="7"/>
  <c r="C46"/>
  <c r="R54"/>
  <c r="Q54"/>
  <c r="B53"/>
  <c r="B25" i="6"/>
  <c r="M52" i="7"/>
  <c r="G52"/>
  <c r="R52"/>
  <c r="N52"/>
  <c r="M51"/>
  <c r="G51"/>
  <c r="Q51"/>
  <c r="H51"/>
  <c r="O51"/>
  <c r="F51"/>
  <c r="E52" l="1"/>
  <c r="F54"/>
  <c r="L51"/>
  <c r="R51"/>
  <c r="N54"/>
  <c r="O52"/>
  <c r="F52"/>
  <c r="L52"/>
  <c r="O54"/>
  <c r="J52"/>
  <c r="H52"/>
  <c r="G54"/>
  <c r="G28"/>
  <c r="Q52"/>
  <c r="J54"/>
  <c r="H54"/>
  <c r="M28"/>
  <c r="J51"/>
  <c r="M54"/>
  <c r="I54"/>
  <c r="N28"/>
  <c r="J28"/>
  <c r="F28"/>
  <c r="E28"/>
  <c r="Q28"/>
  <c r="P51"/>
  <c r="K54"/>
  <c r="I51"/>
  <c r="P52"/>
  <c r="P54"/>
  <c r="P28"/>
  <c r="H28"/>
  <c r="I52"/>
  <c r="K52"/>
  <c r="L54"/>
  <c r="L28"/>
  <c r="R28"/>
  <c r="O28"/>
  <c r="K28"/>
  <c r="H53"/>
  <c r="N53"/>
  <c r="Q53"/>
  <c r="I53"/>
  <c r="E53"/>
  <c r="J53"/>
  <c r="F53"/>
  <c r="M53"/>
  <c r="O53"/>
  <c r="L53"/>
  <c r="P53"/>
  <c r="K53"/>
  <c r="R53"/>
  <c r="G53"/>
  <c r="Q56" l="1"/>
  <c r="O56"/>
  <c r="G56"/>
  <c r="L56"/>
  <c r="J56"/>
  <c r="H56"/>
  <c r="M56"/>
  <c r="F56"/>
  <c r="P56"/>
  <c r="E56"/>
  <c r="K56"/>
  <c r="R56"/>
  <c r="N56"/>
  <c r="I56"/>
  <c r="O14" l="1"/>
  <c r="O34" s="1"/>
  <c r="O44" s="1"/>
  <c r="O61" s="1"/>
  <c r="G15"/>
  <c r="G35" s="1"/>
  <c r="G45" s="1"/>
  <c r="G62" s="1"/>
  <c r="X16"/>
  <c r="H15"/>
  <c r="H35" s="1"/>
  <c r="H45" s="1"/>
  <c r="H62" s="1"/>
  <c r="S16"/>
  <c r="S46" s="1"/>
  <c r="X14"/>
  <c r="Z44" s="1"/>
  <c r="R16"/>
  <c r="L16"/>
  <c r="V14"/>
  <c r="F15"/>
  <c r="F35" s="1"/>
  <c r="F45" s="1"/>
  <c r="F62" s="1"/>
  <c r="Q15"/>
  <c r="Q35" s="1"/>
  <c r="Q45" s="1"/>
  <c r="Q62" s="1"/>
  <c r="X15"/>
  <c r="Z45" s="1"/>
  <c r="N15"/>
  <c r="N35" s="1"/>
  <c r="N45" s="1"/>
  <c r="N62" s="1"/>
  <c r="W16"/>
  <c r="W46" s="1"/>
  <c r="M13"/>
  <c r="N14"/>
  <c r="N34" s="1"/>
  <c r="N44" s="1"/>
  <c r="N61" s="1"/>
  <c r="R13"/>
  <c r="T16"/>
  <c r="T46" s="1"/>
  <c r="U15"/>
  <c r="M15"/>
  <c r="M35" s="1"/>
  <c r="M45" s="1"/>
  <c r="M62" s="1"/>
  <c r="I15"/>
  <c r="I35" s="1"/>
  <c r="I45" s="1"/>
  <c r="I62" s="1"/>
  <c r="P14"/>
  <c r="P34" s="1"/>
  <c r="P44" s="1"/>
  <c r="N13"/>
  <c r="I16"/>
  <c r="R14"/>
  <c r="R34" s="1"/>
  <c r="R44" s="1"/>
  <c r="R61" s="1"/>
  <c r="E15"/>
  <c r="G13"/>
  <c r="F14"/>
  <c r="F34" s="1"/>
  <c r="F44" s="1"/>
  <c r="F61" s="1"/>
  <c r="U13"/>
  <c r="H16"/>
  <c r="P13"/>
  <c r="V13"/>
  <c r="Q16"/>
  <c r="V16"/>
  <c r="V46" s="1"/>
  <c r="O15"/>
  <c r="O35" s="1"/>
  <c r="O45" s="1"/>
  <c r="O62" s="1"/>
  <c r="H14"/>
  <c r="H34" s="1"/>
  <c r="H44" s="1"/>
  <c r="H61" s="1"/>
  <c r="K16"/>
  <c r="E14"/>
  <c r="H13"/>
  <c r="J16"/>
  <c r="M16"/>
  <c r="L15"/>
  <c r="L35" s="1"/>
  <c r="L45" s="1"/>
  <c r="L62" s="1"/>
  <c r="V15"/>
  <c r="M14"/>
  <c r="M34" s="1"/>
  <c r="M44" s="1"/>
  <c r="M61" s="1"/>
  <c r="T14"/>
  <c r="X13"/>
  <c r="L14"/>
  <c r="L34" s="1"/>
  <c r="L44" s="1"/>
  <c r="L61" s="1"/>
  <c r="U16"/>
  <c r="U46" s="1"/>
  <c r="S15"/>
  <c r="P16"/>
  <c r="U14"/>
  <c r="K15"/>
  <c r="K35" s="1"/>
  <c r="K45" s="1"/>
  <c r="K62" s="1"/>
  <c r="J15"/>
  <c r="J35" s="1"/>
  <c r="J45" s="1"/>
  <c r="J62" s="1"/>
  <c r="G16"/>
  <c r="Q13"/>
  <c r="S13"/>
  <c r="G14"/>
  <c r="G34" s="1"/>
  <c r="G44" s="1"/>
  <c r="G61" s="1"/>
  <c r="O16"/>
  <c r="I13"/>
  <c r="R15"/>
  <c r="R35" s="1"/>
  <c r="R45" s="1"/>
  <c r="R62" s="1"/>
  <c r="Q14"/>
  <c r="Q34" s="1"/>
  <c r="Q44" s="1"/>
  <c r="F16"/>
  <c r="J13"/>
  <c r="T15"/>
  <c r="E16"/>
  <c r="F13"/>
  <c r="S14"/>
  <c r="J14"/>
  <c r="J34" s="1"/>
  <c r="J44" s="1"/>
  <c r="J61" s="1"/>
  <c r="N16"/>
  <c r="K14"/>
  <c r="K34" s="1"/>
  <c r="K44" s="1"/>
  <c r="K61" s="1"/>
  <c r="W15"/>
  <c r="K13"/>
  <c r="P15"/>
  <c r="P35" s="1"/>
  <c r="P45" s="1"/>
  <c r="P62" s="1"/>
  <c r="W14"/>
  <c r="I14"/>
  <c r="I34" s="1"/>
  <c r="I44" s="1"/>
  <c r="I61" s="1"/>
  <c r="O13"/>
  <c r="L13"/>
  <c r="T13"/>
  <c r="W13"/>
  <c r="E13"/>
  <c r="I14" i="6"/>
  <c r="P16"/>
  <c r="L13"/>
  <c r="R16"/>
  <c r="J16"/>
  <c r="K16"/>
  <c r="G16"/>
  <c r="O13"/>
  <c r="E14"/>
  <c r="T13"/>
  <c r="N16"/>
  <c r="L16"/>
  <c r="W13"/>
  <c r="J13"/>
  <c r="X13"/>
  <c r="I16"/>
  <c r="K13"/>
  <c r="G13"/>
  <c r="R13"/>
  <c r="X16"/>
  <c r="F16"/>
  <c r="O16"/>
  <c r="E16"/>
  <c r="Q16"/>
  <c r="M13"/>
  <c r="X14"/>
  <c r="V14"/>
  <c r="U14"/>
  <c r="M16"/>
  <c r="V13"/>
  <c r="F13"/>
  <c r="W16"/>
  <c r="U13"/>
  <c r="V16"/>
  <c r="H16"/>
  <c r="F14"/>
  <c r="H13"/>
  <c r="R15"/>
  <c r="V15"/>
  <c r="Q14"/>
  <c r="J15"/>
  <c r="J14"/>
  <c r="I15"/>
  <c r="L15"/>
  <c r="Q15"/>
  <c r="P13"/>
  <c r="T16"/>
  <c r="N13"/>
  <c r="T15"/>
  <c r="P14"/>
  <c r="O15"/>
  <c r="O14"/>
  <c r="L14"/>
  <c r="S14"/>
  <c r="T14"/>
  <c r="H15"/>
  <c r="U16"/>
  <c r="S16"/>
  <c r="N14"/>
  <c r="Q13"/>
  <c r="W14"/>
  <c r="S13"/>
  <c r="G14"/>
  <c r="W15"/>
  <c r="I13"/>
  <c r="U15"/>
  <c r="M15"/>
  <c r="M14"/>
  <c r="H14"/>
  <c r="P15"/>
  <c r="E15"/>
  <c r="K14"/>
  <c r="K15"/>
  <c r="R14"/>
  <c r="F15"/>
  <c r="S15"/>
  <c r="N15"/>
  <c r="X15"/>
  <c r="G15"/>
  <c r="E13"/>
  <c r="L18" i="7" l="1"/>
  <c r="L43"/>
  <c r="L33"/>
  <c r="N46"/>
  <c r="N63" s="1"/>
  <c r="N36"/>
  <c r="Q61"/>
  <c r="J81"/>
  <c r="P22" i="25" s="1"/>
  <c r="J77" i="7"/>
  <c r="P18" i="25" s="1"/>
  <c r="J85" i="7"/>
  <c r="P26" i="25" s="1"/>
  <c r="K46" i="7"/>
  <c r="K63" s="1"/>
  <c r="K36"/>
  <c r="U18"/>
  <c r="U43"/>
  <c r="I85"/>
  <c r="O26" i="25" s="1"/>
  <c r="I81" i="7"/>
  <c r="O22" i="25" s="1"/>
  <c r="I77" i="7"/>
  <c r="O18" i="25" s="1"/>
  <c r="N85" i="7"/>
  <c r="T26" i="25" s="1"/>
  <c r="N77" i="7"/>
  <c r="T18" i="25" s="1"/>
  <c r="N81" i="7"/>
  <c r="T22" i="25" s="1"/>
  <c r="K80" i="7"/>
  <c r="Q21" i="25" s="1"/>
  <c r="K84" i="7"/>
  <c r="Q25" i="25" s="1"/>
  <c r="K75" i="7"/>
  <c r="Q16" i="25" s="1"/>
  <c r="F18" i="7"/>
  <c r="F33"/>
  <c r="F38" s="1"/>
  <c r="F43"/>
  <c r="F46"/>
  <c r="F63" s="1"/>
  <c r="F36"/>
  <c r="P46"/>
  <c r="P63" s="1"/>
  <c r="P36"/>
  <c r="X18"/>
  <c r="Z43"/>
  <c r="X43"/>
  <c r="E44"/>
  <c r="E61" s="1"/>
  <c r="E34"/>
  <c r="H46"/>
  <c r="H63" s="1"/>
  <c r="H36"/>
  <c r="P61"/>
  <c r="F81"/>
  <c r="L22" i="25" s="1"/>
  <c r="F77" i="7"/>
  <c r="L18" i="25" s="1"/>
  <c r="F85" i="7"/>
  <c r="L26" i="25" s="1"/>
  <c r="G81" i="7"/>
  <c r="M22" i="25" s="1"/>
  <c r="G77" i="7"/>
  <c r="M18" i="25" s="1"/>
  <c r="G85" i="7"/>
  <c r="M26" i="25" s="1"/>
  <c r="W18" i="7"/>
  <c r="W43"/>
  <c r="I84"/>
  <c r="O25" i="25" s="1"/>
  <c r="I75" i="7"/>
  <c r="O16" i="25" s="1"/>
  <c r="I80" i="7"/>
  <c r="O21" i="25" s="1"/>
  <c r="J18" i="7"/>
  <c r="J43"/>
  <c r="J33"/>
  <c r="I18"/>
  <c r="I43"/>
  <c r="I33"/>
  <c r="I38" s="1"/>
  <c r="Q18"/>
  <c r="Q43"/>
  <c r="Q60" s="1"/>
  <c r="Q33"/>
  <c r="L80"/>
  <c r="R21" i="25" s="1"/>
  <c r="L84" i="7"/>
  <c r="R25" i="25" s="1"/>
  <c r="L75" i="7"/>
  <c r="R16" i="25" s="1"/>
  <c r="H18" i="7"/>
  <c r="H43"/>
  <c r="H33"/>
  <c r="H38" s="1"/>
  <c r="O77"/>
  <c r="U18" i="25" s="1"/>
  <c r="O81" i="7"/>
  <c r="U22" i="25" s="1"/>
  <c r="O85" i="7"/>
  <c r="U26" i="25" s="1"/>
  <c r="P18" i="7"/>
  <c r="P43"/>
  <c r="P60" s="1"/>
  <c r="P33"/>
  <c r="G18"/>
  <c r="G33"/>
  <c r="G38" s="1"/>
  <c r="G43"/>
  <c r="N18"/>
  <c r="N43"/>
  <c r="N33"/>
  <c r="N38" s="1"/>
  <c r="M18"/>
  <c r="M43"/>
  <c r="M33"/>
  <c r="Q85"/>
  <c r="W26" i="25" s="1"/>
  <c r="Q77" i="7"/>
  <c r="W18" i="25" s="1"/>
  <c r="Q81" i="7"/>
  <c r="W22" i="25" s="1"/>
  <c r="R46" i="7"/>
  <c r="R63" s="1"/>
  <c r="R36"/>
  <c r="X46"/>
  <c r="Z46"/>
  <c r="P77"/>
  <c r="V18" i="25" s="1"/>
  <c r="P85" i="7"/>
  <c r="V26" i="25" s="1"/>
  <c r="P81" i="7"/>
  <c r="V22" i="25" s="1"/>
  <c r="E46" i="7"/>
  <c r="E63" s="1"/>
  <c r="E36"/>
  <c r="G80"/>
  <c r="M21" i="25" s="1"/>
  <c r="G84" i="7"/>
  <c r="M25" i="25" s="1"/>
  <c r="G75" i="7"/>
  <c r="M16" i="25" s="1"/>
  <c r="M46" i="7"/>
  <c r="M63" s="1"/>
  <c r="M36"/>
  <c r="Q46"/>
  <c r="Q63" s="1"/>
  <c r="Q36"/>
  <c r="R75"/>
  <c r="X16" i="25" s="1"/>
  <c r="R80" i="7"/>
  <c r="X21" i="25" s="1"/>
  <c r="R84" i="7"/>
  <c r="X25" i="25" s="1"/>
  <c r="R18" i="7"/>
  <c r="R43"/>
  <c r="R33"/>
  <c r="R38" s="1"/>
  <c r="O75"/>
  <c r="U16" i="25" s="1"/>
  <c r="O80" i="7"/>
  <c r="U21" i="25" s="1"/>
  <c r="O84" i="7"/>
  <c r="U25" i="25" s="1"/>
  <c r="T18" i="7"/>
  <c r="T43"/>
  <c r="O46"/>
  <c r="O63" s="1"/>
  <c r="O36"/>
  <c r="G46"/>
  <c r="G63" s="1"/>
  <c r="G36"/>
  <c r="L85"/>
  <c r="R26" i="25" s="1"/>
  <c r="L81" i="7"/>
  <c r="R22" i="25" s="1"/>
  <c r="L77" i="7"/>
  <c r="R18" i="25" s="1"/>
  <c r="E35" i="7"/>
  <c r="E45"/>
  <c r="E62" s="1"/>
  <c r="O18"/>
  <c r="O43"/>
  <c r="O33"/>
  <c r="O38" s="1"/>
  <c r="K18"/>
  <c r="K43"/>
  <c r="K33"/>
  <c r="K38" s="1"/>
  <c r="J75"/>
  <c r="P16" i="25" s="1"/>
  <c r="J80" i="7"/>
  <c r="P21" i="25" s="1"/>
  <c r="J84" i="7"/>
  <c r="P25" i="25" s="1"/>
  <c r="R81" i="7"/>
  <c r="X22" i="25" s="1"/>
  <c r="R77" i="7"/>
  <c r="X18" i="25" s="1"/>
  <c r="R85" i="7"/>
  <c r="X26" i="25" s="1"/>
  <c r="S18" i="7"/>
  <c r="S43"/>
  <c r="K77"/>
  <c r="Q18" i="25" s="1"/>
  <c r="K85" i="7"/>
  <c r="Q26" i="25" s="1"/>
  <c r="K81" i="7"/>
  <c r="Q22" i="25" s="1"/>
  <c r="M75" i="7"/>
  <c r="S16" i="25" s="1"/>
  <c r="M80" i="7"/>
  <c r="S21" i="25" s="1"/>
  <c r="M84" i="7"/>
  <c r="S25" i="25" s="1"/>
  <c r="J46" i="7"/>
  <c r="J63" s="1"/>
  <c r="J36"/>
  <c r="H75"/>
  <c r="N16" i="25" s="1"/>
  <c r="H84" i="7"/>
  <c r="N25" i="25" s="1"/>
  <c r="H80" i="7"/>
  <c r="N21" i="25" s="1"/>
  <c r="V18" i="7"/>
  <c r="V43"/>
  <c r="F80"/>
  <c r="L21" i="25" s="1"/>
  <c r="F84" i="7"/>
  <c r="L25" i="25" s="1"/>
  <c r="F75" i="7"/>
  <c r="L16" i="25" s="1"/>
  <c r="I46" i="7"/>
  <c r="I63" s="1"/>
  <c r="I36"/>
  <c r="M85"/>
  <c r="S26" i="25" s="1"/>
  <c r="M77" i="7"/>
  <c r="S18" i="25" s="1"/>
  <c r="M81" i="7"/>
  <c r="S22" i="25" s="1"/>
  <c r="N84" i="7"/>
  <c r="T25" i="25" s="1"/>
  <c r="N75" i="7"/>
  <c r="T16" i="25" s="1"/>
  <c r="N80" i="7"/>
  <c r="T21" i="25" s="1"/>
  <c r="L46" i="7"/>
  <c r="L63" s="1"/>
  <c r="L36"/>
  <c r="H77"/>
  <c r="N18" i="25" s="1"/>
  <c r="H81" i="7"/>
  <c r="N22" i="25" s="1"/>
  <c r="H85" i="7"/>
  <c r="N26" i="25" s="1"/>
  <c r="E18" i="7"/>
  <c r="E43"/>
  <c r="E33"/>
  <c r="E38" s="1"/>
  <c r="R24" i="6"/>
  <c r="R34" s="1"/>
  <c r="R145" s="1"/>
  <c r="U25"/>
  <c r="U35" s="1"/>
  <c r="U146" s="1"/>
  <c r="S26"/>
  <c r="S36" s="1"/>
  <c r="P24"/>
  <c r="P34" s="1"/>
  <c r="P145" s="1"/>
  <c r="J24"/>
  <c r="J34" s="1"/>
  <c r="V26"/>
  <c r="V36" s="1"/>
  <c r="V147" s="1"/>
  <c r="X24"/>
  <c r="X34" s="1"/>
  <c r="G18"/>
  <c r="G23"/>
  <c r="K26"/>
  <c r="K36" s="1"/>
  <c r="G25"/>
  <c r="G35" s="1"/>
  <c r="G146" s="1"/>
  <c r="U25" i="7" s="1"/>
  <c r="AA15" i="6"/>
  <c r="E25"/>
  <c r="G24"/>
  <c r="G34" s="1"/>
  <c r="G145" s="1"/>
  <c r="U24" i="7" s="1"/>
  <c r="T24" i="6"/>
  <c r="T34" s="1"/>
  <c r="T145" s="1"/>
  <c r="T26"/>
  <c r="T36" s="1"/>
  <c r="T147" s="1"/>
  <c r="V25"/>
  <c r="V35" s="1"/>
  <c r="V146" s="1"/>
  <c r="F18"/>
  <c r="F23"/>
  <c r="AA16"/>
  <c r="E26"/>
  <c r="R18"/>
  <c r="R23"/>
  <c r="N26"/>
  <c r="N36" s="1"/>
  <c r="L18"/>
  <c r="L23"/>
  <c r="N25"/>
  <c r="N35" s="1"/>
  <c r="N146" s="1"/>
  <c r="K25"/>
  <c r="K35" s="1"/>
  <c r="K146" s="1"/>
  <c r="H24"/>
  <c r="H34" s="1"/>
  <c r="H145" s="1"/>
  <c r="V24" i="7" s="1"/>
  <c r="I18" i="6"/>
  <c r="I23"/>
  <c r="W24"/>
  <c r="W34" s="1"/>
  <c r="W145" s="1"/>
  <c r="U26"/>
  <c r="U36" s="1"/>
  <c r="L24"/>
  <c r="L34" s="1"/>
  <c r="L145" s="1"/>
  <c r="T25"/>
  <c r="T35" s="1"/>
  <c r="Q25"/>
  <c r="Q35" s="1"/>
  <c r="Q146" s="1"/>
  <c r="J25"/>
  <c r="J35" s="1"/>
  <c r="H18"/>
  <c r="H23"/>
  <c r="U18"/>
  <c r="U23"/>
  <c r="M26"/>
  <c r="M36" s="1"/>
  <c r="M18"/>
  <c r="M23"/>
  <c r="F26"/>
  <c r="F36" s="1"/>
  <c r="F147" s="1"/>
  <c r="T26" i="7" s="1"/>
  <c r="K18" i="6"/>
  <c r="K23"/>
  <c r="W18"/>
  <c r="W23"/>
  <c r="AA14"/>
  <c r="E24"/>
  <c r="J26"/>
  <c r="J36" s="1"/>
  <c r="I24"/>
  <c r="I34" s="1"/>
  <c r="I145" s="1"/>
  <c r="W24" i="7" s="1"/>
  <c r="X25" i="6"/>
  <c r="X35" s="1"/>
  <c r="P25"/>
  <c r="P35" s="1"/>
  <c r="P146" s="1"/>
  <c r="S18"/>
  <c r="S23"/>
  <c r="S24"/>
  <c r="S34" s="1"/>
  <c r="S145" s="1"/>
  <c r="P18"/>
  <c r="P23"/>
  <c r="R25"/>
  <c r="R35" s="1"/>
  <c r="V18"/>
  <c r="V23"/>
  <c r="O26"/>
  <c r="O36" s="1"/>
  <c r="O147" s="1"/>
  <c r="J18"/>
  <c r="J23"/>
  <c r="T18"/>
  <c r="T23"/>
  <c r="P26"/>
  <c r="P36" s="1"/>
  <c r="P147" s="1"/>
  <c r="F25"/>
  <c r="F35" s="1"/>
  <c r="F146" s="1"/>
  <c r="T25" i="7" s="1"/>
  <c r="M25" i="6"/>
  <c r="M35" s="1"/>
  <c r="M146" s="1"/>
  <c r="N24"/>
  <c r="N34" s="1"/>
  <c r="O25"/>
  <c r="O35" s="1"/>
  <c r="O146" s="1"/>
  <c r="I25"/>
  <c r="I35" s="1"/>
  <c r="I146" s="1"/>
  <c r="W25" i="7" s="1"/>
  <c r="H26" i="6"/>
  <c r="H36" s="1"/>
  <c r="H147" s="1"/>
  <c r="V26" i="7" s="1"/>
  <c r="V24" i="6"/>
  <c r="V34" s="1"/>
  <c r="X18"/>
  <c r="X23"/>
  <c r="G26"/>
  <c r="G36" s="1"/>
  <c r="S25"/>
  <c r="S35" s="1"/>
  <c r="S146" s="1"/>
  <c r="K24"/>
  <c r="K34" s="1"/>
  <c r="M24"/>
  <c r="M34" s="1"/>
  <c r="M145" s="1"/>
  <c r="W25"/>
  <c r="W35" s="1"/>
  <c r="Q18"/>
  <c r="Q23"/>
  <c r="H25"/>
  <c r="H35" s="1"/>
  <c r="H146" s="1"/>
  <c r="V25" i="7" s="1"/>
  <c r="O24" i="6"/>
  <c r="O34" s="1"/>
  <c r="N18"/>
  <c r="N23"/>
  <c r="L25"/>
  <c r="L35" s="1"/>
  <c r="Q24"/>
  <c r="Q34" s="1"/>
  <c r="Q145" s="1"/>
  <c r="F24"/>
  <c r="F34" s="1"/>
  <c r="W26"/>
  <c r="W36" s="1"/>
  <c r="W147" s="1"/>
  <c r="U24"/>
  <c r="U34" s="1"/>
  <c r="Q26"/>
  <c r="Q36" s="1"/>
  <c r="Q147" s="1"/>
  <c r="X26"/>
  <c r="X36" s="1"/>
  <c r="I26"/>
  <c r="I36" s="1"/>
  <c r="I147" s="1"/>
  <c r="W26" i="7" s="1"/>
  <c r="L26" i="6"/>
  <c r="L36" s="1"/>
  <c r="O18"/>
  <c r="O23"/>
  <c r="R26"/>
  <c r="R36" s="1"/>
  <c r="R147" s="1"/>
  <c r="AA13"/>
  <c r="E18"/>
  <c r="E23"/>
  <c r="O60" i="7" l="1"/>
  <c r="O48"/>
  <c r="G76"/>
  <c r="M17" i="25" s="1"/>
  <c r="G79" i="7"/>
  <c r="M20" i="25" s="1"/>
  <c r="G83" i="7"/>
  <c r="M24" i="25" s="1"/>
  <c r="L83" i="7"/>
  <c r="R24" i="25" s="1"/>
  <c r="L76" i="7"/>
  <c r="R17" i="25" s="1"/>
  <c r="L79" i="7"/>
  <c r="R20" i="25" s="1"/>
  <c r="I76" i="7"/>
  <c r="O17" i="25" s="1"/>
  <c r="I83" i="7"/>
  <c r="O24" i="25" s="1"/>
  <c r="I79" i="7"/>
  <c r="O20" i="25" s="1"/>
  <c r="E80" i="7"/>
  <c r="K21" i="25" s="1"/>
  <c r="E75" i="7"/>
  <c r="K16" i="25" s="1"/>
  <c r="E84" i="7"/>
  <c r="K25" i="25" s="1"/>
  <c r="F60" i="7"/>
  <c r="F48"/>
  <c r="L60"/>
  <c r="L48"/>
  <c r="E85"/>
  <c r="K26" i="25" s="1"/>
  <c r="E77" i="7"/>
  <c r="K18" i="25" s="1"/>
  <c r="E81" i="7"/>
  <c r="K22" i="25" s="1"/>
  <c r="O83" i="7"/>
  <c r="U24" i="25" s="1"/>
  <c r="O76" i="7"/>
  <c r="U17" i="25" s="1"/>
  <c r="O79" i="7"/>
  <c r="U20" i="25" s="1"/>
  <c r="E76" i="7"/>
  <c r="K17" i="25" s="1"/>
  <c r="E79" i="7"/>
  <c r="K20" i="25" s="1"/>
  <c r="E83" i="7"/>
  <c r="K24" i="25" s="1"/>
  <c r="M60" i="7"/>
  <c r="M48"/>
  <c r="I48"/>
  <c r="I60"/>
  <c r="P84"/>
  <c r="V25" i="25" s="1"/>
  <c r="P80" i="7"/>
  <c r="V21" i="25" s="1"/>
  <c r="P75" i="7"/>
  <c r="V16" i="25" s="1"/>
  <c r="F79" i="7"/>
  <c r="L20" i="25" s="1"/>
  <c r="F76" i="7"/>
  <c r="L17" i="25" s="1"/>
  <c r="F83" i="7"/>
  <c r="L24" i="25" s="1"/>
  <c r="K76" i="7"/>
  <c r="Q17" i="25" s="1"/>
  <c r="K79" i="7"/>
  <c r="Q20" i="25" s="1"/>
  <c r="K83" i="7"/>
  <c r="Q24" i="25" s="1"/>
  <c r="Q84" i="7"/>
  <c r="W25" i="25" s="1"/>
  <c r="Q75" i="7"/>
  <c r="W16" i="25" s="1"/>
  <c r="Q80" i="7"/>
  <c r="W21" i="25" s="1"/>
  <c r="J38" i="7"/>
  <c r="P38"/>
  <c r="Q38"/>
  <c r="L38"/>
  <c r="P76"/>
  <c r="V17" i="25" s="1"/>
  <c r="P83" i="7"/>
  <c r="V24" i="25" s="1"/>
  <c r="P79" i="7"/>
  <c r="V20" i="25" s="1"/>
  <c r="Q76" i="7"/>
  <c r="W17" i="25" s="1"/>
  <c r="Q83" i="7"/>
  <c r="W24" i="25" s="1"/>
  <c r="Q79" i="7"/>
  <c r="W20" i="25" s="1"/>
  <c r="G60" i="7"/>
  <c r="G48"/>
  <c r="P74"/>
  <c r="P82"/>
  <c r="V23" i="25" s="1"/>
  <c r="P78" i="7"/>
  <c r="V19" i="25" s="1"/>
  <c r="P65" i="7"/>
  <c r="Q82"/>
  <c r="W23" i="25" s="1"/>
  <c r="Q74" i="7"/>
  <c r="Q78"/>
  <c r="W19" i="25" s="1"/>
  <c r="Q65" i="7"/>
  <c r="J79"/>
  <c r="P20" i="25" s="1"/>
  <c r="J76" i="7"/>
  <c r="P17" i="25" s="1"/>
  <c r="J83" i="7"/>
  <c r="P24" i="25" s="1"/>
  <c r="K60" i="7"/>
  <c r="K48"/>
  <c r="R60"/>
  <c r="R48"/>
  <c r="M83"/>
  <c r="S24" i="25" s="1"/>
  <c r="M79" i="7"/>
  <c r="S20" i="25" s="1"/>
  <c r="M76" i="7"/>
  <c r="S17" i="25" s="1"/>
  <c r="R83" i="7"/>
  <c r="X24" i="25" s="1"/>
  <c r="R76" i="7"/>
  <c r="X17" i="25" s="1"/>
  <c r="R79" i="7"/>
  <c r="X20" i="25" s="1"/>
  <c r="N60" i="7"/>
  <c r="N48"/>
  <c r="H60"/>
  <c r="H48"/>
  <c r="J60"/>
  <c r="J48"/>
  <c r="H76"/>
  <c r="N17" i="25" s="1"/>
  <c r="H83" i="7"/>
  <c r="N24" i="25" s="1"/>
  <c r="H79" i="7"/>
  <c r="N20" i="25" s="1"/>
  <c r="N76" i="7"/>
  <c r="T17" i="25" s="1"/>
  <c r="N83" i="7"/>
  <c r="T24" i="25" s="1"/>
  <c r="N79" i="7"/>
  <c r="T20" i="25" s="1"/>
  <c r="P48" i="7"/>
  <c r="Q48"/>
  <c r="M38"/>
  <c r="E60"/>
  <c r="E48"/>
  <c r="W53"/>
  <c r="W35"/>
  <c r="W45" s="1"/>
  <c r="T35"/>
  <c r="T45" s="1"/>
  <c r="T53"/>
  <c r="U34"/>
  <c r="U44" s="1"/>
  <c r="U52"/>
  <c r="W54"/>
  <c r="W63" s="1"/>
  <c r="W36"/>
  <c r="O50" i="6"/>
  <c r="U9" i="25" s="1"/>
  <c r="O54" i="6"/>
  <c r="U13" i="25" s="1"/>
  <c r="O45" i="6"/>
  <c r="U4" i="25" s="1"/>
  <c r="Q33" i="6"/>
  <c r="Q28"/>
  <c r="V50"/>
  <c r="AB9" i="25" s="1"/>
  <c r="V54" i="6"/>
  <c r="AB13" i="25" s="1"/>
  <c r="V45" i="6"/>
  <c r="AB4" i="25" s="1"/>
  <c r="N50" i="6"/>
  <c r="T9" i="25" s="1"/>
  <c r="N45" i="6"/>
  <c r="T4" i="25" s="1"/>
  <c r="N54" i="6"/>
  <c r="T13" i="25" s="1"/>
  <c r="W34" i="7"/>
  <c r="W44" s="1"/>
  <c r="W52"/>
  <c r="W33" i="6"/>
  <c r="W28"/>
  <c r="U35" i="7"/>
  <c r="U45" s="1"/>
  <c r="U53"/>
  <c r="X50" i="6"/>
  <c r="AD9" i="25" s="1"/>
  <c r="X54" i="6"/>
  <c r="AD13" i="25" s="1"/>
  <c r="X45" i="6"/>
  <c r="AD4" i="25" s="1"/>
  <c r="J54" i="6"/>
  <c r="P13" i="25" s="1"/>
  <c r="J45" i="6"/>
  <c r="P4" i="25" s="1"/>
  <c r="J50" i="6"/>
  <c r="P9" i="25" s="1"/>
  <c r="S53" i="6"/>
  <c r="Y12" i="25" s="1"/>
  <c r="S46" i="6"/>
  <c r="Y5" i="25" s="1"/>
  <c r="S49" i="6"/>
  <c r="Y8" i="25" s="1"/>
  <c r="L46" i="6"/>
  <c r="R5" i="25" s="1"/>
  <c r="L53" i="6"/>
  <c r="R12" i="25" s="1"/>
  <c r="L49" i="6"/>
  <c r="R8" i="25" s="1"/>
  <c r="X53" i="6"/>
  <c r="AD12" i="25" s="1"/>
  <c r="X46" i="6"/>
  <c r="AD5" i="25" s="1"/>
  <c r="X49" i="6"/>
  <c r="AD8" i="25" s="1"/>
  <c r="U54" i="6"/>
  <c r="AA13" i="25" s="1"/>
  <c r="U45" i="6"/>
  <c r="AA4" i="25" s="1"/>
  <c r="U50" i="6"/>
  <c r="AA9" i="25" s="1"/>
  <c r="F50" i="6"/>
  <c r="L9" i="25" s="1"/>
  <c r="F54" i="6"/>
  <c r="L13" i="25" s="1"/>
  <c r="F45" i="6"/>
  <c r="L4" i="25" s="1"/>
  <c r="L55" i="6"/>
  <c r="R14" i="25" s="1"/>
  <c r="L47" i="6"/>
  <c r="R6" i="25" s="1"/>
  <c r="L51" i="6"/>
  <c r="R10" i="25" s="1"/>
  <c r="W55" i="6"/>
  <c r="AC14" i="25" s="1"/>
  <c r="W47" i="6"/>
  <c r="AC6" i="25" s="1"/>
  <c r="W51" i="6"/>
  <c r="AC10" i="25" s="1"/>
  <c r="K50" i="6"/>
  <c r="Q9" i="25" s="1"/>
  <c r="K54" i="6"/>
  <c r="Q13" i="25" s="1"/>
  <c r="K45" i="6"/>
  <c r="Q4" i="25" s="1"/>
  <c r="G53" i="6"/>
  <c r="M12" i="25" s="1"/>
  <c r="G49" i="6"/>
  <c r="M8" i="25" s="1"/>
  <c r="G46" i="6"/>
  <c r="M5" i="25" s="1"/>
  <c r="J33" i="6"/>
  <c r="J28"/>
  <c r="R47"/>
  <c r="X6" i="25" s="1"/>
  <c r="R55" i="6"/>
  <c r="X14" i="25" s="1"/>
  <c r="R51" i="6"/>
  <c r="X10" i="25" s="1"/>
  <c r="X51" i="6"/>
  <c r="AD10" i="25" s="1"/>
  <c r="X47" i="6"/>
  <c r="AD6" i="25" s="1"/>
  <c r="X55" i="6"/>
  <c r="AD14" i="25" s="1"/>
  <c r="J49" i="6"/>
  <c r="P8" i="25" s="1"/>
  <c r="J53" i="6"/>
  <c r="P12" i="25" s="1"/>
  <c r="J46" i="6"/>
  <c r="P5" i="25" s="1"/>
  <c r="K33" i="6"/>
  <c r="K28"/>
  <c r="M49"/>
  <c r="S8" i="25" s="1"/>
  <c r="M53" i="6"/>
  <c r="S12" i="25" s="1"/>
  <c r="M46" i="6"/>
  <c r="S5" i="25" s="1"/>
  <c r="J55" i="6"/>
  <c r="P14" i="25" s="1"/>
  <c r="J47" i="6"/>
  <c r="P6" i="25" s="1"/>
  <c r="J51" i="6"/>
  <c r="P10" i="25" s="1"/>
  <c r="T51" i="6"/>
  <c r="Z10" i="25" s="1"/>
  <c r="T47" i="6"/>
  <c r="Z6" i="25" s="1"/>
  <c r="T55" i="6"/>
  <c r="Z14" i="25" s="1"/>
  <c r="U53" i="6"/>
  <c r="AA12" i="25" s="1"/>
  <c r="U49" i="6"/>
  <c r="AA8" i="25" s="1"/>
  <c r="U46" i="6"/>
  <c r="AA5" i="25" s="1"/>
  <c r="I33" i="6"/>
  <c r="I28"/>
  <c r="N53"/>
  <c r="T12" i="25" s="1"/>
  <c r="N46" i="6"/>
  <c r="T5" i="25" s="1"/>
  <c r="N49" i="6"/>
  <c r="T8" i="25" s="1"/>
  <c r="F33" i="6"/>
  <c r="F28"/>
  <c r="K49"/>
  <c r="Q8" i="25" s="1"/>
  <c r="K46" i="6"/>
  <c r="Q5" i="25" s="1"/>
  <c r="K53" i="6"/>
  <c r="Q12" i="25" s="1"/>
  <c r="R53" i="6"/>
  <c r="X12" i="25" s="1"/>
  <c r="R46" i="6"/>
  <c r="X5" i="25" s="1"/>
  <c r="R49" i="6"/>
  <c r="X8" i="25" s="1"/>
  <c r="H55" i="6"/>
  <c r="N14" i="25" s="1"/>
  <c r="H51" i="6"/>
  <c r="N10" i="25" s="1"/>
  <c r="H47" i="6"/>
  <c r="N6" i="25" s="1"/>
  <c r="H46" i="6"/>
  <c r="N5" i="25" s="1"/>
  <c r="H49" i="6"/>
  <c r="N8" i="25" s="1"/>
  <c r="H53" i="6"/>
  <c r="N12" i="25" s="1"/>
  <c r="O47" i="6"/>
  <c r="U6" i="25" s="1"/>
  <c r="O55" i="6"/>
  <c r="U14" i="25" s="1"/>
  <c r="O51" i="6"/>
  <c r="U10" i="25" s="1"/>
  <c r="M55" i="6"/>
  <c r="S14" i="25" s="1"/>
  <c r="M51" i="6"/>
  <c r="S10" i="25" s="1"/>
  <c r="M47" i="6"/>
  <c r="S6" i="25" s="1"/>
  <c r="P46" i="6"/>
  <c r="V5" i="25" s="1"/>
  <c r="P49" i="6"/>
  <c r="V8" i="25" s="1"/>
  <c r="P53" i="6"/>
  <c r="V12" i="25" s="1"/>
  <c r="O46" i="6"/>
  <c r="U5" i="25" s="1"/>
  <c r="O49" i="6"/>
  <c r="U8" i="25" s="1"/>
  <c r="O53" i="6"/>
  <c r="U12" i="25" s="1"/>
  <c r="S33" i="6"/>
  <c r="S28"/>
  <c r="F49"/>
  <c r="L8" i="25" s="1"/>
  <c r="F53" i="6"/>
  <c r="L12" i="25" s="1"/>
  <c r="F46" i="6"/>
  <c r="L5" i="25" s="1"/>
  <c r="H50" i="6"/>
  <c r="N9" i="25" s="1"/>
  <c r="H45" i="6"/>
  <c r="N4" i="25" s="1"/>
  <c r="H54" i="6"/>
  <c r="N13" i="25" s="1"/>
  <c r="N47" i="6"/>
  <c r="T6" i="25" s="1"/>
  <c r="N51" i="6"/>
  <c r="T10" i="25" s="1"/>
  <c r="N55" i="6"/>
  <c r="T14" i="25" s="1"/>
  <c r="V47" i="6"/>
  <c r="AB6" i="25" s="1"/>
  <c r="V55" i="6"/>
  <c r="AB14" i="25" s="1"/>
  <c r="V51" i="6"/>
  <c r="AB10" i="25" s="1"/>
  <c r="T54" i="6"/>
  <c r="Z13" i="25" s="1"/>
  <c r="T50" i="6"/>
  <c r="Z9" i="25" s="1"/>
  <c r="T45" i="6"/>
  <c r="Z4" i="25" s="1"/>
  <c r="E35" i="6"/>
  <c r="AA25"/>
  <c r="V46"/>
  <c r="AB5" i="25" s="1"/>
  <c r="V53" i="6"/>
  <c r="AB12" i="25" s="1"/>
  <c r="V49" i="6"/>
  <c r="AB8" i="25" s="1"/>
  <c r="P50" i="6"/>
  <c r="V9" i="25" s="1"/>
  <c r="P45" i="6"/>
  <c r="V4" i="25" s="1"/>
  <c r="P54" i="6"/>
  <c r="V13" i="25" s="1"/>
  <c r="U51" i="6"/>
  <c r="AA10" i="25" s="1"/>
  <c r="U55" i="6"/>
  <c r="AA14" i="25" s="1"/>
  <c r="U47" i="6"/>
  <c r="AA6" i="25" s="1"/>
  <c r="AA18" i="6"/>
  <c r="O145"/>
  <c r="V145"/>
  <c r="N145"/>
  <c r="X145"/>
  <c r="J145"/>
  <c r="X24" i="7" s="1"/>
  <c r="S147" i="6"/>
  <c r="L147"/>
  <c r="X147"/>
  <c r="U145"/>
  <c r="F145"/>
  <c r="T24" i="7" s="1"/>
  <c r="L146" i="6"/>
  <c r="W146"/>
  <c r="K145"/>
  <c r="G147"/>
  <c r="U26" i="7" s="1"/>
  <c r="R146" i="6"/>
  <c r="X146"/>
  <c r="J147"/>
  <c r="X26" i="7" s="1"/>
  <c r="M147" i="6"/>
  <c r="J146"/>
  <c r="X25" i="7" s="1"/>
  <c r="T146" i="6"/>
  <c r="U147"/>
  <c r="N147"/>
  <c r="K147"/>
  <c r="O33"/>
  <c r="O28"/>
  <c r="I47"/>
  <c r="O6" i="25" s="1"/>
  <c r="I55" i="6"/>
  <c r="O14" i="25" s="1"/>
  <c r="I51" i="6"/>
  <c r="O10" i="25" s="1"/>
  <c r="F51" i="6"/>
  <c r="L10" i="25" s="1"/>
  <c r="F47" i="6"/>
  <c r="L6" i="25" s="1"/>
  <c r="F55" i="6"/>
  <c r="L14" i="25" s="1"/>
  <c r="T33" i="6"/>
  <c r="T28"/>
  <c r="V33"/>
  <c r="V28"/>
  <c r="S50"/>
  <c r="Y9" i="25" s="1"/>
  <c r="S45" i="6"/>
  <c r="Y4" i="25" s="1"/>
  <c r="S54" i="6"/>
  <c r="Y13" i="25" s="1"/>
  <c r="M33" i="6"/>
  <c r="M28"/>
  <c r="H33"/>
  <c r="H28"/>
  <c r="K47"/>
  <c r="Q6" i="25" s="1"/>
  <c r="K55" i="6"/>
  <c r="Q14" i="25" s="1"/>
  <c r="K51" i="6"/>
  <c r="Q10" i="25" s="1"/>
  <c r="L33" i="6"/>
  <c r="L28"/>
  <c r="AA26"/>
  <c r="E36"/>
  <c r="T49"/>
  <c r="Z8" i="25" s="1"/>
  <c r="T46" i="6"/>
  <c r="Z5" i="25" s="1"/>
  <c r="T53" i="6"/>
  <c r="Z12" i="25" s="1"/>
  <c r="G50" i="6"/>
  <c r="M9" i="25" s="1"/>
  <c r="G54" i="6"/>
  <c r="M13" i="25" s="1"/>
  <c r="G45" i="6"/>
  <c r="M4" i="25" s="1"/>
  <c r="R45" i="6"/>
  <c r="X4" i="25" s="1"/>
  <c r="R50" i="6"/>
  <c r="X9" i="25" s="1"/>
  <c r="R54" i="6"/>
  <c r="X13" i="25" s="1"/>
  <c r="I53" i="6"/>
  <c r="O12" i="25" s="1"/>
  <c r="I49" i="6"/>
  <c r="O8" i="25" s="1"/>
  <c r="I46" i="6"/>
  <c r="O5" i="25" s="1"/>
  <c r="Q49" i="6"/>
  <c r="W8" i="25" s="1"/>
  <c r="Q46" i="6"/>
  <c r="W5" i="25" s="1"/>
  <c r="Q53" i="6"/>
  <c r="W12" i="25" s="1"/>
  <c r="W53" i="6"/>
  <c r="AC12" i="25" s="1"/>
  <c r="W46" i="6"/>
  <c r="AC5" i="25" s="1"/>
  <c r="W49" i="6"/>
  <c r="AC8" i="25" s="1"/>
  <c r="Q50" i="6"/>
  <c r="W9" i="25" s="1"/>
  <c r="Q54" i="6"/>
  <c r="W13" i="25" s="1"/>
  <c r="Q45" i="6"/>
  <c r="W4" i="25" s="1"/>
  <c r="N33" i="6"/>
  <c r="N28"/>
  <c r="V53" i="7"/>
  <c r="V35"/>
  <c r="V45" s="1"/>
  <c r="M50" i="6"/>
  <c r="S9" i="25" s="1"/>
  <c r="M54" i="6"/>
  <c r="S13" i="25" s="1"/>
  <c r="M45" i="6"/>
  <c r="S4" i="25" s="1"/>
  <c r="S55" i="6"/>
  <c r="Y14" i="25" s="1"/>
  <c r="S47" i="6"/>
  <c r="Y6" i="25" s="1"/>
  <c r="S51" i="6"/>
  <c r="Y10" i="25" s="1"/>
  <c r="X33" i="6"/>
  <c r="X28"/>
  <c r="V54" i="7"/>
  <c r="V63" s="1"/>
  <c r="V36"/>
  <c r="P33" i="6"/>
  <c r="P28"/>
  <c r="P55"/>
  <c r="V14" i="25" s="1"/>
  <c r="P47" i="6"/>
  <c r="V6" i="25" s="1"/>
  <c r="P51" i="6"/>
  <c r="V10" i="25" s="1"/>
  <c r="I45" i="6"/>
  <c r="O4" i="25" s="1"/>
  <c r="I54" i="6"/>
  <c r="O13" i="25" s="1"/>
  <c r="I50" i="6"/>
  <c r="O9" i="25" s="1"/>
  <c r="E34" i="6"/>
  <c r="AA24"/>
  <c r="T36" i="7"/>
  <c r="T54"/>
  <c r="T63" s="1"/>
  <c r="U33" i="6"/>
  <c r="U28"/>
  <c r="Q51"/>
  <c r="W10" i="25" s="1"/>
  <c r="Q47" i="6"/>
  <c r="W6" i="25" s="1"/>
  <c r="Q55" i="6"/>
  <c r="W14" i="25" s="1"/>
  <c r="L50" i="6"/>
  <c r="R9" i="25" s="1"/>
  <c r="L45" i="6"/>
  <c r="R4" i="25" s="1"/>
  <c r="L54" i="6"/>
  <c r="R13" i="25" s="1"/>
  <c r="W45" i="6"/>
  <c r="AC4" i="25" s="1"/>
  <c r="W50" i="6"/>
  <c r="AC9" i="25" s="1"/>
  <c r="W54" i="6"/>
  <c r="AC13" i="25" s="1"/>
  <c r="V34" i="7"/>
  <c r="V44" s="1"/>
  <c r="V52"/>
  <c r="R33" i="6"/>
  <c r="R28"/>
  <c r="G51"/>
  <c r="M10" i="25" s="1"/>
  <c r="G47" i="6"/>
  <c r="M6" i="25" s="1"/>
  <c r="G55" i="6"/>
  <c r="M14" i="25" s="1"/>
  <c r="G33" i="6"/>
  <c r="G28"/>
  <c r="E33"/>
  <c r="AA23"/>
  <c r="E28"/>
  <c r="G78" i="7" l="1"/>
  <c r="M19" i="25" s="1"/>
  <c r="G74" i="7"/>
  <c r="G82"/>
  <c r="M23" i="25" s="1"/>
  <c r="G65" i="7"/>
  <c r="J82"/>
  <c r="P23" i="25" s="1"/>
  <c r="J78" i="7"/>
  <c r="P19" i="25" s="1"/>
  <c r="J74" i="7"/>
  <c r="J65"/>
  <c r="N82"/>
  <c r="T23" i="25" s="1"/>
  <c r="N74" i="7"/>
  <c r="N78"/>
  <c r="T19" i="25" s="1"/>
  <c r="N65" i="7"/>
  <c r="R74"/>
  <c r="R82"/>
  <c r="X23" i="25" s="1"/>
  <c r="R78" i="7"/>
  <c r="X19" i="25" s="1"/>
  <c r="R65" i="7"/>
  <c r="W15" i="25"/>
  <c r="Q115" i="7"/>
  <c r="Q101"/>
  <c r="Q138" s="1"/>
  <c r="Q121"/>
  <c r="Q93"/>
  <c r="Q130" s="1"/>
  <c r="Q116"/>
  <c r="Q153" s="1"/>
  <c r="Q123"/>
  <c r="Q160" s="1"/>
  <c r="Q122"/>
  <c r="Q159" s="1"/>
  <c r="Q94"/>
  <c r="Q131" s="1"/>
  <c r="Q108"/>
  <c r="Q111"/>
  <c r="Q148" s="1"/>
  <c r="Q110"/>
  <c r="Q106"/>
  <c r="Q107"/>
  <c r="Q144" s="1"/>
  <c r="Q120"/>
  <c r="Q117"/>
  <c r="Q118"/>
  <c r="Q124"/>
  <c r="Q161" s="1"/>
  <c r="Q99"/>
  <c r="Q136" s="1"/>
  <c r="Q100"/>
  <c r="Q102"/>
  <c r="Q113"/>
  <c r="Q150" s="1"/>
  <c r="Q112"/>
  <c r="Q149" s="1"/>
  <c r="Q109"/>
  <c r="Q95"/>
  <c r="Q132" s="1"/>
  <c r="Q119"/>
  <c r="Q156" s="1"/>
  <c r="Q114"/>
  <c r="Q104"/>
  <c r="Q141" s="1"/>
  <c r="Q103"/>
  <c r="Q140" s="1"/>
  <c r="Q105"/>
  <c r="Q142" s="1"/>
  <c r="Q87"/>
  <c r="Q98"/>
  <c r="Q135" s="1"/>
  <c r="Q97"/>
  <c r="Q96"/>
  <c r="Q133" s="1"/>
  <c r="L78"/>
  <c r="R19" i="25" s="1"/>
  <c r="L65" i="7"/>
  <c r="L74"/>
  <c r="L82"/>
  <c r="R23" i="25" s="1"/>
  <c r="O82" i="7"/>
  <c r="U23" i="25" s="1"/>
  <c r="O74" i="7"/>
  <c r="O78"/>
  <c r="U19" i="25" s="1"/>
  <c r="O65" i="7"/>
  <c r="H78"/>
  <c r="N19" i="25" s="1"/>
  <c r="H82" i="7"/>
  <c r="N23" i="25" s="1"/>
  <c r="H74" i="7"/>
  <c r="H65"/>
  <c r="K65"/>
  <c r="K78"/>
  <c r="Q19" i="25" s="1"/>
  <c r="K74" i="7"/>
  <c r="K82"/>
  <c r="Q23" i="25" s="1"/>
  <c r="I74" i="7"/>
  <c r="I82"/>
  <c r="O23" i="25" s="1"/>
  <c r="I78" i="7"/>
  <c r="O19" i="25" s="1"/>
  <c r="I65" i="7"/>
  <c r="F74"/>
  <c r="F78"/>
  <c r="L19" i="25" s="1"/>
  <c r="F82" i="7"/>
  <c r="L23" i="25" s="1"/>
  <c r="F65" i="7"/>
  <c r="V15" i="25"/>
  <c r="P104" i="7"/>
  <c r="P141" s="1"/>
  <c r="P105"/>
  <c r="P118"/>
  <c r="P109"/>
  <c r="P99"/>
  <c r="P103"/>
  <c r="P110"/>
  <c r="P147" s="1"/>
  <c r="P111"/>
  <c r="P97"/>
  <c r="P134" s="1"/>
  <c r="P96"/>
  <c r="P98"/>
  <c r="P135" s="1"/>
  <c r="P100"/>
  <c r="P137" s="1"/>
  <c r="P120"/>
  <c r="P121"/>
  <c r="P117"/>
  <c r="P154" s="1"/>
  <c r="P108"/>
  <c r="P122"/>
  <c r="P159" s="1"/>
  <c r="P123"/>
  <c r="P106"/>
  <c r="P143" s="1"/>
  <c r="P102"/>
  <c r="P139" s="1"/>
  <c r="P87"/>
  <c r="P119"/>
  <c r="P95"/>
  <c r="P114"/>
  <c r="P101"/>
  <c r="P93"/>
  <c r="P130" s="1"/>
  <c r="P115"/>
  <c r="P152" s="1"/>
  <c r="P112"/>
  <c r="P149" s="1"/>
  <c r="P124"/>
  <c r="P161" s="1"/>
  <c r="P107"/>
  <c r="P94"/>
  <c r="P131" s="1"/>
  <c r="P113"/>
  <c r="P150" s="1"/>
  <c r="P116"/>
  <c r="M74"/>
  <c r="M78"/>
  <c r="S19" i="25" s="1"/>
  <c r="M82" i="7"/>
  <c r="S23" i="25" s="1"/>
  <c r="M65" i="7"/>
  <c r="E82"/>
  <c r="K23" i="25" s="1"/>
  <c r="E74" i="7"/>
  <c r="E78"/>
  <c r="K19" i="25" s="1"/>
  <c r="E65" i="7"/>
  <c r="V61"/>
  <c r="V80" s="1"/>
  <c r="AB21" i="25" s="1"/>
  <c r="T62" i="7"/>
  <c r="T85" s="1"/>
  <c r="Z26" i="25" s="1"/>
  <c r="AA28" i="6"/>
  <c r="T76" i="7"/>
  <c r="Z17" i="25" s="1"/>
  <c r="T79" i="7"/>
  <c r="Z20" i="25" s="1"/>
  <c r="T83" i="7"/>
  <c r="Z24" i="25" s="1"/>
  <c r="T44" i="6"/>
  <c r="T52"/>
  <c r="Z11" i="25" s="1"/>
  <c r="T48" i="6"/>
  <c r="Z7" i="25" s="1"/>
  <c r="T38" i="6"/>
  <c r="T144"/>
  <c r="T149" s="1"/>
  <c r="O48"/>
  <c r="U7" i="25" s="1"/>
  <c r="O44" i="6"/>
  <c r="O38"/>
  <c r="O52"/>
  <c r="U11" i="25" s="1"/>
  <c r="O144" i="6"/>
  <c r="O149" s="1"/>
  <c r="S48"/>
  <c r="Y7" i="25" s="1"/>
  <c r="S44" i="6"/>
  <c r="S52"/>
  <c r="Y11" i="25" s="1"/>
  <c r="S38" i="6"/>
  <c r="S144"/>
  <c r="S149" s="1"/>
  <c r="R52"/>
  <c r="X11" i="25" s="1"/>
  <c r="R44" i="6"/>
  <c r="R48"/>
  <c r="X7" i="25" s="1"/>
  <c r="R38" i="6"/>
  <c r="R144"/>
  <c r="R149" s="1"/>
  <c r="V48" i="7"/>
  <c r="V62"/>
  <c r="L44" i="6"/>
  <c r="L38"/>
  <c r="L52"/>
  <c r="R11" i="25" s="1"/>
  <c r="L48" i="6"/>
  <c r="R7" i="25" s="1"/>
  <c r="L144" i="6"/>
  <c r="L149" s="1"/>
  <c r="V38"/>
  <c r="V44"/>
  <c r="V48"/>
  <c r="AB7" i="25" s="1"/>
  <c r="V52" i="6"/>
  <c r="AB11" i="25" s="1"/>
  <c r="V144" i="6"/>
  <c r="V149" s="1"/>
  <c r="U36" i="7"/>
  <c r="U54"/>
  <c r="U63" s="1"/>
  <c r="T52"/>
  <c r="T34"/>
  <c r="T44" s="1"/>
  <c r="F44" i="6"/>
  <c r="F52"/>
  <c r="L11" i="25" s="1"/>
  <c r="F38" i="6"/>
  <c r="F48"/>
  <c r="L7" i="25" s="1"/>
  <c r="F144" i="6"/>
  <c r="U61" i="7"/>
  <c r="U48"/>
  <c r="G44" i="6"/>
  <c r="G52"/>
  <c r="M11" i="25" s="1"/>
  <c r="G38" i="6"/>
  <c r="G48"/>
  <c r="M7" i="25" s="1"/>
  <c r="G144" i="6"/>
  <c r="V79" i="7"/>
  <c r="AB20" i="25" s="1"/>
  <c r="V76" i="7"/>
  <c r="AB17" i="25" s="1"/>
  <c r="V83" i="7"/>
  <c r="AB24" i="25" s="1"/>
  <c r="N44" i="6"/>
  <c r="N38"/>
  <c r="N52"/>
  <c r="T11" i="25" s="1"/>
  <c r="N48" i="6"/>
  <c r="T7" i="25" s="1"/>
  <c r="N144" i="6"/>
  <c r="N149" s="1"/>
  <c r="M48"/>
  <c r="S7" i="25" s="1"/>
  <c r="M52" i="6"/>
  <c r="S11" i="25" s="1"/>
  <c r="M44" i="6"/>
  <c r="M38"/>
  <c r="M144"/>
  <c r="M149" s="1"/>
  <c r="X53" i="7"/>
  <c r="X35"/>
  <c r="K44" i="6"/>
  <c r="K52"/>
  <c r="Q11" i="25" s="1"/>
  <c r="K48" i="6"/>
  <c r="Q7" i="25" s="1"/>
  <c r="K38" i="6"/>
  <c r="K144"/>
  <c r="K149" s="1"/>
  <c r="W38"/>
  <c r="W44"/>
  <c r="W48"/>
  <c r="AC7" i="25" s="1"/>
  <c r="W52" i="6"/>
  <c r="AC11" i="25" s="1"/>
  <c r="W144" i="6"/>
  <c r="W149" s="1"/>
  <c r="W48" i="7"/>
  <c r="W62"/>
  <c r="J48" i="6"/>
  <c r="P7" i="25" s="1"/>
  <c r="J52" i="6"/>
  <c r="P11" i="25" s="1"/>
  <c r="J38" i="6"/>
  <c r="J44"/>
  <c r="J144"/>
  <c r="W76" i="7"/>
  <c r="AC17" i="25" s="1"/>
  <c r="W79" i="7"/>
  <c r="AC20" i="25" s="1"/>
  <c r="W83" i="7"/>
  <c r="AC24" i="25" s="1"/>
  <c r="T81" i="7"/>
  <c r="Z22" i="25" s="1"/>
  <c r="U48" i="6"/>
  <c r="AA7" i="25" s="1"/>
  <c r="U52" i="6"/>
  <c r="AA11" i="25" s="1"/>
  <c r="U38" i="6"/>
  <c r="U44"/>
  <c r="U144"/>
  <c r="U149" s="1"/>
  <c r="E45"/>
  <c r="E50"/>
  <c r="E54"/>
  <c r="AA34"/>
  <c r="E145"/>
  <c r="P44"/>
  <c r="P52"/>
  <c r="V11" i="25" s="1"/>
  <c r="P38" i="6"/>
  <c r="P48"/>
  <c r="V7" i="25" s="1"/>
  <c r="P144" i="6"/>
  <c r="P149" s="1"/>
  <c r="X38"/>
  <c r="X44"/>
  <c r="X48"/>
  <c r="AD7" i="25" s="1"/>
  <c r="X52" i="6"/>
  <c r="AD11" i="25" s="1"/>
  <c r="X144" i="6"/>
  <c r="X149" s="1"/>
  <c r="E49"/>
  <c r="AA36"/>
  <c r="E53"/>
  <c r="E46"/>
  <c r="E147"/>
  <c r="H52"/>
  <c r="N11" i="25" s="1"/>
  <c r="H38" i="6"/>
  <c r="H44"/>
  <c r="H48"/>
  <c r="N7" i="25" s="1"/>
  <c r="H144" i="6"/>
  <c r="X36" i="7"/>
  <c r="Z36" s="1"/>
  <c r="X54"/>
  <c r="X63" s="1"/>
  <c r="X52"/>
  <c r="X34"/>
  <c r="E47" i="6"/>
  <c r="E51"/>
  <c r="E55"/>
  <c r="AA35"/>
  <c r="E146"/>
  <c r="I44"/>
  <c r="I52"/>
  <c r="O11" i="25" s="1"/>
  <c r="I48" i="6"/>
  <c r="O7" i="25" s="1"/>
  <c r="I38" i="6"/>
  <c r="I144"/>
  <c r="Q48"/>
  <c r="W7" i="25" s="1"/>
  <c r="Q52" i="6"/>
  <c r="W11" i="25" s="1"/>
  <c r="Q38" i="6"/>
  <c r="Q44"/>
  <c r="Q144"/>
  <c r="Q149" s="1"/>
  <c r="U62" i="7"/>
  <c r="W61"/>
  <c r="E52" i="6"/>
  <c r="E44"/>
  <c r="E48"/>
  <c r="AA33"/>
  <c r="E38"/>
  <c r="E144"/>
  <c r="T15" i="25" l="1"/>
  <c r="N122" i="7"/>
  <c r="N103"/>
  <c r="N94"/>
  <c r="N113"/>
  <c r="N150" s="1"/>
  <c r="N114"/>
  <c r="N112"/>
  <c r="N97"/>
  <c r="N121"/>
  <c r="N158" s="1"/>
  <c r="N123"/>
  <c r="N160" s="1"/>
  <c r="N117"/>
  <c r="N99"/>
  <c r="N111"/>
  <c r="N148" s="1"/>
  <c r="N93"/>
  <c r="N130" s="1"/>
  <c r="N104"/>
  <c r="N141" s="1"/>
  <c r="N115"/>
  <c r="N101"/>
  <c r="N138" s="1"/>
  <c r="N110"/>
  <c r="N147" s="1"/>
  <c r="N102"/>
  <c r="N100"/>
  <c r="N137" s="1"/>
  <c r="N118"/>
  <c r="N155" s="1"/>
  <c r="N87"/>
  <c r="N98"/>
  <c r="N135" s="1"/>
  <c r="N124"/>
  <c r="N116"/>
  <c r="N153" s="1"/>
  <c r="N96"/>
  <c r="N133" s="1"/>
  <c r="N120"/>
  <c r="N95"/>
  <c r="N132" s="1"/>
  <c r="N108"/>
  <c r="N105"/>
  <c r="N142" s="1"/>
  <c r="N119"/>
  <c r="N109"/>
  <c r="N107"/>
  <c r="N144" s="1"/>
  <c r="N106"/>
  <c r="N143" s="1"/>
  <c r="G104"/>
  <c r="G116"/>
  <c r="G103"/>
  <c r="G114"/>
  <c r="G106"/>
  <c r="G123"/>
  <c r="G121"/>
  <c r="G158" s="1"/>
  <c r="G118"/>
  <c r="G100"/>
  <c r="M15" i="25"/>
  <c r="G87" i="7"/>
  <c r="G93"/>
  <c r="G130" s="1"/>
  <c r="G109"/>
  <c r="G94"/>
  <c r="G124"/>
  <c r="G161" s="1"/>
  <c r="G107"/>
  <c r="G144" s="1"/>
  <c r="G119"/>
  <c r="G95"/>
  <c r="G132" s="1"/>
  <c r="G102"/>
  <c r="G97"/>
  <c r="G134" s="1"/>
  <c r="G96"/>
  <c r="G133" s="1"/>
  <c r="G115"/>
  <c r="G113"/>
  <c r="G150" s="1"/>
  <c r="G98"/>
  <c r="G135" s="1"/>
  <c r="G111"/>
  <c r="G99"/>
  <c r="G101"/>
  <c r="G138" s="1"/>
  <c r="G110"/>
  <c r="G147" s="1"/>
  <c r="G120"/>
  <c r="G157" s="1"/>
  <c r="G112"/>
  <c r="G117"/>
  <c r="G105"/>
  <c r="G142" s="1"/>
  <c r="G108"/>
  <c r="G122"/>
  <c r="L15" i="25"/>
  <c r="F95" i="7"/>
  <c r="F113"/>
  <c r="F119"/>
  <c r="F112"/>
  <c r="F98"/>
  <c r="F124"/>
  <c r="F96"/>
  <c r="F104"/>
  <c r="F141" s="1"/>
  <c r="F116"/>
  <c r="F153" s="1"/>
  <c r="F103"/>
  <c r="F87"/>
  <c r="F102"/>
  <c r="F139" s="1"/>
  <c r="F100"/>
  <c r="F109"/>
  <c r="F146" s="1"/>
  <c r="F108"/>
  <c r="F122"/>
  <c r="F159" s="1"/>
  <c r="F101"/>
  <c r="F138" s="1"/>
  <c r="F106"/>
  <c r="F120"/>
  <c r="F157" s="1"/>
  <c r="F123"/>
  <c r="F160" s="1"/>
  <c r="F121"/>
  <c r="F158" s="1"/>
  <c r="F115"/>
  <c r="F152" s="1"/>
  <c r="F107"/>
  <c r="F110"/>
  <c r="F147" s="1"/>
  <c r="F117"/>
  <c r="F154" s="1"/>
  <c r="F93"/>
  <c r="F130" s="1"/>
  <c r="F94"/>
  <c r="F97"/>
  <c r="F134" s="1"/>
  <c r="F111"/>
  <c r="F118"/>
  <c r="F114"/>
  <c r="F151" s="1"/>
  <c r="F99"/>
  <c r="F136" s="1"/>
  <c r="F105"/>
  <c r="O15" i="25"/>
  <c r="I105" i="7"/>
  <c r="I97"/>
  <c r="I134" s="1"/>
  <c r="I99"/>
  <c r="I136" s="1"/>
  <c r="I121"/>
  <c r="I87"/>
  <c r="I94"/>
  <c r="I131" s="1"/>
  <c r="I107"/>
  <c r="I122"/>
  <c r="I159" s="1"/>
  <c r="I103"/>
  <c r="I101"/>
  <c r="I123"/>
  <c r="I160" s="1"/>
  <c r="I117"/>
  <c r="I111"/>
  <c r="I116"/>
  <c r="I153" s="1"/>
  <c r="I119"/>
  <c r="I109"/>
  <c r="I95"/>
  <c r="I110"/>
  <c r="I147" s="1"/>
  <c r="I108"/>
  <c r="I145" s="1"/>
  <c r="I120"/>
  <c r="I98"/>
  <c r="I112"/>
  <c r="I149" s="1"/>
  <c r="I93"/>
  <c r="I130" s="1"/>
  <c r="I124"/>
  <c r="I113"/>
  <c r="I114"/>
  <c r="I151" s="1"/>
  <c r="I118"/>
  <c r="I155" s="1"/>
  <c r="I106"/>
  <c r="I102"/>
  <c r="I100"/>
  <c r="I137" s="1"/>
  <c r="I115"/>
  <c r="I104"/>
  <c r="I141" s="1"/>
  <c r="I96"/>
  <c r="I133" s="1"/>
  <c r="S15" i="25"/>
  <c r="M101" i="7"/>
  <c r="M138" s="1"/>
  <c r="M116"/>
  <c r="M112"/>
  <c r="M97"/>
  <c r="M134" s="1"/>
  <c r="M110"/>
  <c r="M122"/>
  <c r="M159" s="1"/>
  <c r="M119"/>
  <c r="M114"/>
  <c r="M151" s="1"/>
  <c r="M95"/>
  <c r="M132" s="1"/>
  <c r="M106"/>
  <c r="M143" s="1"/>
  <c r="M100"/>
  <c r="M104"/>
  <c r="M141" s="1"/>
  <c r="M120"/>
  <c r="M157" s="1"/>
  <c r="M108"/>
  <c r="M94"/>
  <c r="M87"/>
  <c r="M118"/>
  <c r="M155" s="1"/>
  <c r="M103"/>
  <c r="M117"/>
  <c r="M99"/>
  <c r="M136" s="1"/>
  <c r="M124"/>
  <c r="M161" s="1"/>
  <c r="M123"/>
  <c r="M160" s="1"/>
  <c r="M121"/>
  <c r="M111"/>
  <c r="M148" s="1"/>
  <c r="M98"/>
  <c r="M96"/>
  <c r="M93"/>
  <c r="M130" s="1"/>
  <c r="M102"/>
  <c r="M139" s="1"/>
  <c r="M109"/>
  <c r="M146" s="1"/>
  <c r="M107"/>
  <c r="M144" s="1"/>
  <c r="M105"/>
  <c r="M115"/>
  <c r="M152" s="1"/>
  <c r="M113"/>
  <c r="M150" s="1"/>
  <c r="P145"/>
  <c r="P144"/>
  <c r="K104"/>
  <c r="K141" s="1"/>
  <c r="K116"/>
  <c r="K153" s="1"/>
  <c r="K108"/>
  <c r="K114"/>
  <c r="K97"/>
  <c r="K134" s="1"/>
  <c r="K113"/>
  <c r="Q15" i="25"/>
  <c r="K121" i="7"/>
  <c r="K117"/>
  <c r="K154" s="1"/>
  <c r="K118"/>
  <c r="K109"/>
  <c r="K146" s="1"/>
  <c r="K100"/>
  <c r="K119"/>
  <c r="K156" s="1"/>
  <c r="K102"/>
  <c r="K107"/>
  <c r="K87"/>
  <c r="K101"/>
  <c r="K95"/>
  <c r="K105"/>
  <c r="K99"/>
  <c r="K111"/>
  <c r="K120"/>
  <c r="K123"/>
  <c r="K96"/>
  <c r="K106"/>
  <c r="K143" s="1"/>
  <c r="K103"/>
  <c r="K140" s="1"/>
  <c r="K122"/>
  <c r="K159" s="1"/>
  <c r="K115"/>
  <c r="K152" s="1"/>
  <c r="K110"/>
  <c r="K147" s="1"/>
  <c r="K93"/>
  <c r="K130" s="1"/>
  <c r="K98"/>
  <c r="K112"/>
  <c r="K124"/>
  <c r="K161" s="1"/>
  <c r="K94"/>
  <c r="K131" s="1"/>
  <c r="H102"/>
  <c r="H107"/>
  <c r="H93"/>
  <c r="H130" s="1"/>
  <c r="H105"/>
  <c r="H109"/>
  <c r="H95"/>
  <c r="H97"/>
  <c r="H134" s="1"/>
  <c r="H99"/>
  <c r="H108"/>
  <c r="H145" s="1"/>
  <c r="H110"/>
  <c r="H115"/>
  <c r="H152" s="1"/>
  <c r="H98"/>
  <c r="H106"/>
  <c r="H123"/>
  <c r="H87"/>
  <c r="H124"/>
  <c r="H161" s="1"/>
  <c r="H118"/>
  <c r="H113"/>
  <c r="H100"/>
  <c r="H137" s="1"/>
  <c r="H122"/>
  <c r="H112"/>
  <c r="H149" s="1"/>
  <c r="H114"/>
  <c r="H151" s="1"/>
  <c r="H103"/>
  <c r="H140" s="1"/>
  <c r="H116"/>
  <c r="H119"/>
  <c r="H156" s="1"/>
  <c r="H96"/>
  <c r="H133" s="1"/>
  <c r="H121"/>
  <c r="H158" s="1"/>
  <c r="N15" i="25"/>
  <c r="H117" i="7"/>
  <c r="H111"/>
  <c r="H148" s="1"/>
  <c r="H101"/>
  <c r="H138" s="1"/>
  <c r="H104"/>
  <c r="H94"/>
  <c r="H120"/>
  <c r="L120"/>
  <c r="L157" s="1"/>
  <c r="L121"/>
  <c r="L116"/>
  <c r="L123"/>
  <c r="L117"/>
  <c r="L154" s="1"/>
  <c r="L100"/>
  <c r="L137" s="1"/>
  <c r="L113"/>
  <c r="L122"/>
  <c r="L93"/>
  <c r="L130" s="1"/>
  <c r="L108"/>
  <c r="L96"/>
  <c r="L102"/>
  <c r="L87"/>
  <c r="L106"/>
  <c r="L143" s="1"/>
  <c r="L105"/>
  <c r="L124"/>
  <c r="L161" s="1"/>
  <c r="L95"/>
  <c r="L132" s="1"/>
  <c r="L110"/>
  <c r="L147" s="1"/>
  <c r="L104"/>
  <c r="L141" s="1"/>
  <c r="L94"/>
  <c r="L97"/>
  <c r="L134" s="1"/>
  <c r="L111"/>
  <c r="L148" s="1"/>
  <c r="L114"/>
  <c r="L151" s="1"/>
  <c r="L109"/>
  <c r="L112"/>
  <c r="L149" s="1"/>
  <c r="L107"/>
  <c r="L144" s="1"/>
  <c r="L101"/>
  <c r="L119"/>
  <c r="L98"/>
  <c r="L135" s="1"/>
  <c r="R15" i="25"/>
  <c r="L99" i="7"/>
  <c r="L103"/>
  <c r="L140" s="1"/>
  <c r="L115"/>
  <c r="L152" s="1"/>
  <c r="L118"/>
  <c r="X15" i="25"/>
  <c r="R93" i="7"/>
  <c r="R130" s="1"/>
  <c r="R95"/>
  <c r="R104"/>
  <c r="R141" s="1"/>
  <c r="R124"/>
  <c r="R99"/>
  <c r="R102"/>
  <c r="R139" s="1"/>
  <c r="R105"/>
  <c r="R142" s="1"/>
  <c r="R97"/>
  <c r="R106"/>
  <c r="R100"/>
  <c r="R137" s="1"/>
  <c r="R111"/>
  <c r="R87"/>
  <c r="R109"/>
  <c r="R121"/>
  <c r="R158" s="1"/>
  <c r="R118"/>
  <c r="R155" s="1"/>
  <c r="R123"/>
  <c r="R115"/>
  <c r="R116"/>
  <c r="R153" s="1"/>
  <c r="R110"/>
  <c r="R147" s="1"/>
  <c r="R103"/>
  <c r="R119"/>
  <c r="R96"/>
  <c r="R133" s="1"/>
  <c r="R122"/>
  <c r="R117"/>
  <c r="R112"/>
  <c r="R113"/>
  <c r="R150" s="1"/>
  <c r="R94"/>
  <c r="R98"/>
  <c r="R135" s="1"/>
  <c r="R101"/>
  <c r="R107"/>
  <c r="R144" s="1"/>
  <c r="R114"/>
  <c r="R108"/>
  <c r="R120"/>
  <c r="R157" s="1"/>
  <c r="Q145"/>
  <c r="P146"/>
  <c r="P156"/>
  <c r="P160"/>
  <c r="P158"/>
  <c r="P133"/>
  <c r="P140"/>
  <c r="P142"/>
  <c r="Q134"/>
  <c r="Q139"/>
  <c r="Q155"/>
  <c r="Q143"/>
  <c r="Q163" s="1"/>
  <c r="Q152"/>
  <c r="Q151"/>
  <c r="J97"/>
  <c r="J134" s="1"/>
  <c r="J100"/>
  <c r="J137" s="1"/>
  <c r="J98"/>
  <c r="J113"/>
  <c r="J102"/>
  <c r="J93"/>
  <c r="J130" s="1"/>
  <c r="J117"/>
  <c r="J121"/>
  <c r="J94"/>
  <c r="J131" s="1"/>
  <c r="J104"/>
  <c r="J141" s="1"/>
  <c r="J110"/>
  <c r="J120"/>
  <c r="J115"/>
  <c r="J152" s="1"/>
  <c r="J109"/>
  <c r="J118"/>
  <c r="J155" s="1"/>
  <c r="J107"/>
  <c r="J101"/>
  <c r="J138" s="1"/>
  <c r="J96"/>
  <c r="J119"/>
  <c r="J156" s="1"/>
  <c r="J112"/>
  <c r="J106"/>
  <c r="J143" s="1"/>
  <c r="J116"/>
  <c r="J105"/>
  <c r="J114"/>
  <c r="J151" s="1"/>
  <c r="J111"/>
  <c r="J148" s="1"/>
  <c r="P15" i="25"/>
  <c r="J122" i="7"/>
  <c r="J159" s="1"/>
  <c r="J124"/>
  <c r="J87"/>
  <c r="J123"/>
  <c r="J160" s="1"/>
  <c r="J103"/>
  <c r="J99"/>
  <c r="J136" s="1"/>
  <c r="J95"/>
  <c r="J132" s="1"/>
  <c r="J108"/>
  <c r="J145" s="1"/>
  <c r="O106"/>
  <c r="U15" i="25"/>
  <c r="O100" i="7"/>
  <c r="O137" s="1"/>
  <c r="O120"/>
  <c r="O157" s="1"/>
  <c r="O87"/>
  <c r="O99"/>
  <c r="O115"/>
  <c r="O93"/>
  <c r="O130" s="1"/>
  <c r="O122"/>
  <c r="O101"/>
  <c r="O121"/>
  <c r="O158" s="1"/>
  <c r="O112"/>
  <c r="O149" s="1"/>
  <c r="O111"/>
  <c r="O97"/>
  <c r="O104"/>
  <c r="O141" s="1"/>
  <c r="O124"/>
  <c r="O102"/>
  <c r="O139" s="1"/>
  <c r="O109"/>
  <c r="O118"/>
  <c r="O107"/>
  <c r="O144" s="1"/>
  <c r="O116"/>
  <c r="O94"/>
  <c r="O98"/>
  <c r="O135" s="1"/>
  <c r="O114"/>
  <c r="O105"/>
  <c r="O108"/>
  <c r="O123"/>
  <c r="O160" s="1"/>
  <c r="O103"/>
  <c r="O140" s="1"/>
  <c r="O119"/>
  <c r="O113"/>
  <c r="O96"/>
  <c r="O133" s="1"/>
  <c r="O117"/>
  <c r="O154" s="1"/>
  <c r="O95"/>
  <c r="O132" s="1"/>
  <c r="O110"/>
  <c r="O147" s="1"/>
  <c r="P132"/>
  <c r="P163" s="1"/>
  <c r="P155"/>
  <c r="P151"/>
  <c r="P148"/>
  <c r="Q157"/>
  <c r="P153"/>
  <c r="P138"/>
  <c r="P157"/>
  <c r="P136"/>
  <c r="Q146"/>
  <c r="Q137"/>
  <c r="Q154"/>
  <c r="Q147"/>
  <c r="Q158"/>
  <c r="T77"/>
  <c r="Z18" i="25" s="1"/>
  <c r="K15"/>
  <c r="E104" i="7"/>
  <c r="E95"/>
  <c r="E102"/>
  <c r="E114"/>
  <c r="E121"/>
  <c r="E109"/>
  <c r="E103"/>
  <c r="E93"/>
  <c r="E130" s="1"/>
  <c r="E123"/>
  <c r="E113"/>
  <c r="E105"/>
  <c r="E110"/>
  <c r="E112"/>
  <c r="E108"/>
  <c r="E96"/>
  <c r="E97"/>
  <c r="E120"/>
  <c r="E94"/>
  <c r="E106"/>
  <c r="E143" s="1"/>
  <c r="E182" s="1"/>
  <c r="E122"/>
  <c r="E118"/>
  <c r="E101"/>
  <c r="E99"/>
  <c r="E116"/>
  <c r="E100"/>
  <c r="E87"/>
  <c r="E124"/>
  <c r="E107"/>
  <c r="E98"/>
  <c r="E119"/>
  <c r="E111"/>
  <c r="E117"/>
  <c r="E154" s="1"/>
  <c r="E193" s="1"/>
  <c r="E115"/>
  <c r="AA38" i="6"/>
  <c r="V84" i="7"/>
  <c r="AB25" i="25" s="1"/>
  <c r="V75" i="7"/>
  <c r="AB16" i="25" s="1"/>
  <c r="Q94" i="6"/>
  <c r="Q85"/>
  <c r="Q66"/>
  <c r="Q71"/>
  <c r="Q57"/>
  <c r="Q89"/>
  <c r="Q79"/>
  <c r="Q92"/>
  <c r="Q74"/>
  <c r="Q64"/>
  <c r="Q69"/>
  <c r="Q70"/>
  <c r="Q72"/>
  <c r="Q90"/>
  <c r="Q127" s="1"/>
  <c r="Q91"/>
  <c r="Q75"/>
  <c r="Q87"/>
  <c r="W3" i="25"/>
  <c r="Q84" i="6"/>
  <c r="Q68"/>
  <c r="Q78"/>
  <c r="Q86"/>
  <c r="Q123" s="1"/>
  <c r="Q93"/>
  <c r="Q73"/>
  <c r="Q67"/>
  <c r="Q83"/>
  <c r="Q82"/>
  <c r="Q77"/>
  <c r="Q81"/>
  <c r="Q80"/>
  <c r="Q65"/>
  <c r="Q63"/>
  <c r="Q100" s="1"/>
  <c r="Q76"/>
  <c r="Q88"/>
  <c r="I149"/>
  <c r="W23" i="7"/>
  <c r="I65" i="6"/>
  <c r="I76"/>
  <c r="I94"/>
  <c r="I72"/>
  <c r="I80"/>
  <c r="I92"/>
  <c r="I90"/>
  <c r="I87"/>
  <c r="O3" i="25"/>
  <c r="I81" i="6"/>
  <c r="I57"/>
  <c r="I77"/>
  <c r="I78"/>
  <c r="I79"/>
  <c r="I75"/>
  <c r="I70"/>
  <c r="I93"/>
  <c r="I130" s="1"/>
  <c r="I69"/>
  <c r="I91"/>
  <c r="I128" s="1"/>
  <c r="I84"/>
  <c r="I71"/>
  <c r="I64"/>
  <c r="I82"/>
  <c r="I89"/>
  <c r="I85"/>
  <c r="I73"/>
  <c r="I74"/>
  <c r="I88"/>
  <c r="I125" s="1"/>
  <c r="I66"/>
  <c r="I103" s="1"/>
  <c r="I83"/>
  <c r="I63"/>
  <c r="I100" s="1"/>
  <c r="I86"/>
  <c r="I67"/>
  <c r="I104" s="1"/>
  <c r="I68"/>
  <c r="Y51"/>
  <c r="AE10" i="25" s="1"/>
  <c r="K10"/>
  <c r="AA51" i="6"/>
  <c r="X83" i="7"/>
  <c r="AD24" i="25" s="1"/>
  <c r="X79" i="7"/>
  <c r="AD20" i="25" s="1"/>
  <c r="X76" i="7"/>
  <c r="AD17" i="25" s="1"/>
  <c r="H64" i="6"/>
  <c r="H84"/>
  <c r="H94"/>
  <c r="H82"/>
  <c r="H80"/>
  <c r="H81"/>
  <c r="H63"/>
  <c r="H100" s="1"/>
  <c r="H67"/>
  <c r="H73"/>
  <c r="H68"/>
  <c r="H85"/>
  <c r="N3" i="25"/>
  <c r="H86" i="6"/>
  <c r="H57"/>
  <c r="H90"/>
  <c r="H93"/>
  <c r="H71"/>
  <c r="H75"/>
  <c r="H91"/>
  <c r="H128" s="1"/>
  <c r="H79"/>
  <c r="H74"/>
  <c r="H111" s="1"/>
  <c r="H83"/>
  <c r="H89"/>
  <c r="H65"/>
  <c r="H72"/>
  <c r="H109" s="1"/>
  <c r="H87"/>
  <c r="H77"/>
  <c r="H78"/>
  <c r="H92"/>
  <c r="H69"/>
  <c r="H106" s="1"/>
  <c r="H76"/>
  <c r="H70"/>
  <c r="H66"/>
  <c r="H88"/>
  <c r="H125" s="1"/>
  <c r="Y46"/>
  <c r="AE5" i="25" s="1"/>
  <c r="AA46" i="6"/>
  <c r="K5" i="25"/>
  <c r="Y54" i="6"/>
  <c r="AE13" i="25" s="1"/>
  <c r="K13"/>
  <c r="AA54" i="6"/>
  <c r="U90"/>
  <c r="U76"/>
  <c r="AA3" i="25"/>
  <c r="U85" i="6"/>
  <c r="U78"/>
  <c r="U83"/>
  <c r="U63"/>
  <c r="U100" s="1"/>
  <c r="U57"/>
  <c r="U86"/>
  <c r="U69"/>
  <c r="U91"/>
  <c r="U75"/>
  <c r="U72"/>
  <c r="U94"/>
  <c r="U82"/>
  <c r="U66"/>
  <c r="U80"/>
  <c r="U68"/>
  <c r="U79"/>
  <c r="U92"/>
  <c r="U73"/>
  <c r="U110" s="1"/>
  <c r="U64"/>
  <c r="U93"/>
  <c r="U77"/>
  <c r="U81"/>
  <c r="U118" s="1"/>
  <c r="U84"/>
  <c r="U121" s="1"/>
  <c r="U70"/>
  <c r="U88"/>
  <c r="U89"/>
  <c r="U87"/>
  <c r="U71"/>
  <c r="U108" s="1"/>
  <c r="U65"/>
  <c r="U67"/>
  <c r="U74"/>
  <c r="T23" i="7"/>
  <c r="F149" i="6"/>
  <c r="F57"/>
  <c r="F72"/>
  <c r="F86"/>
  <c r="F69"/>
  <c r="F80"/>
  <c r="F82"/>
  <c r="F67"/>
  <c r="F84"/>
  <c r="F81"/>
  <c r="F118" s="1"/>
  <c r="F79"/>
  <c r="F83"/>
  <c r="F66"/>
  <c r="F64"/>
  <c r="F93"/>
  <c r="F71"/>
  <c r="F77"/>
  <c r="F94"/>
  <c r="F76"/>
  <c r="F78"/>
  <c r="F87"/>
  <c r="F68"/>
  <c r="F85"/>
  <c r="F92"/>
  <c r="F91"/>
  <c r="F89"/>
  <c r="F88"/>
  <c r="F63"/>
  <c r="F100" s="1"/>
  <c r="F90"/>
  <c r="L3" i="25"/>
  <c r="F70" i="6"/>
  <c r="F73"/>
  <c r="F75"/>
  <c r="F74"/>
  <c r="F65"/>
  <c r="V76"/>
  <c r="V92"/>
  <c r="V91"/>
  <c r="V64"/>
  <c r="V70"/>
  <c r="V65"/>
  <c r="V84"/>
  <c r="V66"/>
  <c r="V79"/>
  <c r="V68"/>
  <c r="V63"/>
  <c r="V100" s="1"/>
  <c r="V57"/>
  <c r="V94"/>
  <c r="V78"/>
  <c r="V83"/>
  <c r="V87"/>
  <c r="V74"/>
  <c r="V77"/>
  <c r="V69"/>
  <c r="V86"/>
  <c r="V82"/>
  <c r="V89"/>
  <c r="V81"/>
  <c r="V75"/>
  <c r="V72"/>
  <c r="V90"/>
  <c r="V127" s="1"/>
  <c r="V73"/>
  <c r="V88"/>
  <c r="V125" s="1"/>
  <c r="V71"/>
  <c r="V108" s="1"/>
  <c r="V93"/>
  <c r="V130" s="1"/>
  <c r="V67"/>
  <c r="V104" s="1"/>
  <c r="V80"/>
  <c r="AB3" i="25"/>
  <c r="V85" i="6"/>
  <c r="R83"/>
  <c r="R57"/>
  <c r="R82"/>
  <c r="R70"/>
  <c r="R74"/>
  <c r="R67"/>
  <c r="R78"/>
  <c r="R76"/>
  <c r="X3" i="25"/>
  <c r="R72" i="6"/>
  <c r="R85"/>
  <c r="R75"/>
  <c r="R89"/>
  <c r="R87"/>
  <c r="R79"/>
  <c r="R116" s="1"/>
  <c r="R63"/>
  <c r="R100" s="1"/>
  <c r="R77"/>
  <c r="R92"/>
  <c r="R65"/>
  <c r="R69"/>
  <c r="R66"/>
  <c r="R90"/>
  <c r="R86"/>
  <c r="R123" s="1"/>
  <c r="R81"/>
  <c r="R91"/>
  <c r="R94"/>
  <c r="R71"/>
  <c r="R80"/>
  <c r="R73"/>
  <c r="R110" s="1"/>
  <c r="R84"/>
  <c r="R68"/>
  <c r="R64"/>
  <c r="R101" s="1"/>
  <c r="R88"/>
  <c r="R125" s="1"/>
  <c r="R93"/>
  <c r="R130" s="1"/>
  <c r="T65"/>
  <c r="T67"/>
  <c r="T77"/>
  <c r="T81"/>
  <c r="T71"/>
  <c r="T73"/>
  <c r="T84"/>
  <c r="T78"/>
  <c r="T92"/>
  <c r="T91"/>
  <c r="T66"/>
  <c r="T72"/>
  <c r="T74"/>
  <c r="T64"/>
  <c r="T83"/>
  <c r="T76"/>
  <c r="T89"/>
  <c r="T82"/>
  <c r="T70"/>
  <c r="Z3" i="25"/>
  <c r="T94" i="6"/>
  <c r="T85"/>
  <c r="T79"/>
  <c r="T93"/>
  <c r="T63"/>
  <c r="T100" s="1"/>
  <c r="T57"/>
  <c r="T86"/>
  <c r="T90"/>
  <c r="T75"/>
  <c r="T112" s="1"/>
  <c r="T80"/>
  <c r="T87"/>
  <c r="T124" s="1"/>
  <c r="T69"/>
  <c r="T88"/>
  <c r="T68"/>
  <c r="T105" s="1"/>
  <c r="Y55"/>
  <c r="AE14" i="25" s="1"/>
  <c r="K14"/>
  <c r="AA55" i="6"/>
  <c r="AA147"/>
  <c r="S26" i="7"/>
  <c r="AA49" i="6"/>
  <c r="Y49"/>
  <c r="AE8" i="25" s="1"/>
  <c r="K8"/>
  <c r="AD3"/>
  <c r="X65" i="6"/>
  <c r="X69"/>
  <c r="X86"/>
  <c r="X63"/>
  <c r="X100" s="1"/>
  <c r="X57"/>
  <c r="X64"/>
  <c r="X83"/>
  <c r="X79"/>
  <c r="X90"/>
  <c r="X89"/>
  <c r="X66"/>
  <c r="X74"/>
  <c r="X81"/>
  <c r="X87"/>
  <c r="X94"/>
  <c r="X93"/>
  <c r="X71"/>
  <c r="X78"/>
  <c r="X70"/>
  <c r="X80"/>
  <c r="X117" s="1"/>
  <c r="X82"/>
  <c r="X119" s="1"/>
  <c r="X84"/>
  <c r="X77"/>
  <c r="X73"/>
  <c r="X91"/>
  <c r="X128" s="1"/>
  <c r="X85"/>
  <c r="X122" s="1"/>
  <c r="X88"/>
  <c r="X72"/>
  <c r="X109" s="1"/>
  <c r="X67"/>
  <c r="X68"/>
  <c r="X92"/>
  <c r="X75"/>
  <c r="X112" s="1"/>
  <c r="X76"/>
  <c r="J72"/>
  <c r="J71"/>
  <c r="J77"/>
  <c r="J87"/>
  <c r="J73"/>
  <c r="J110" s="1"/>
  <c r="J68"/>
  <c r="J92"/>
  <c r="J80"/>
  <c r="J86"/>
  <c r="J94"/>
  <c r="P3" i="25"/>
  <c r="J75" i="6"/>
  <c r="J83"/>
  <c r="J90"/>
  <c r="J85"/>
  <c r="J78"/>
  <c r="J65"/>
  <c r="J91"/>
  <c r="J128" s="1"/>
  <c r="J57"/>
  <c r="J79"/>
  <c r="J116" s="1"/>
  <c r="J67"/>
  <c r="J88"/>
  <c r="J82"/>
  <c r="J74"/>
  <c r="J63"/>
  <c r="J100" s="1"/>
  <c r="J76"/>
  <c r="J64"/>
  <c r="J66"/>
  <c r="J93"/>
  <c r="J89"/>
  <c r="J126" s="1"/>
  <c r="J70"/>
  <c r="J84"/>
  <c r="J81"/>
  <c r="J69"/>
  <c r="J106" s="1"/>
  <c r="W69"/>
  <c r="W80"/>
  <c r="W86"/>
  <c r="W81"/>
  <c r="W71"/>
  <c r="W78"/>
  <c r="W85"/>
  <c r="W68"/>
  <c r="W87"/>
  <c r="W90"/>
  <c r="W83"/>
  <c r="W77"/>
  <c r="W94"/>
  <c r="W64"/>
  <c r="W73"/>
  <c r="W76"/>
  <c r="W66"/>
  <c r="W65"/>
  <c r="W102" s="1"/>
  <c r="W79"/>
  <c r="W89"/>
  <c r="W84"/>
  <c r="AC3" i="25"/>
  <c r="W72" i="6"/>
  <c r="W63"/>
  <c r="W100" s="1"/>
  <c r="W82"/>
  <c r="W93"/>
  <c r="W75"/>
  <c r="W88"/>
  <c r="W92"/>
  <c r="W67"/>
  <c r="W74"/>
  <c r="W111" s="1"/>
  <c r="W57"/>
  <c r="W70"/>
  <c r="W107" s="1"/>
  <c r="W91"/>
  <c r="W128" s="1"/>
  <c r="U75" i="7"/>
  <c r="AA16" i="25" s="1"/>
  <c r="U80" i="7"/>
  <c r="AA21" i="25" s="1"/>
  <c r="U84" i="7"/>
  <c r="AA25" i="25" s="1"/>
  <c r="U76" i="7"/>
  <c r="AA17" i="25" s="1"/>
  <c r="U79" i="7"/>
  <c r="AA20" i="25" s="1"/>
  <c r="U83" i="7"/>
  <c r="AA24" i="25" s="1"/>
  <c r="V77" i="7"/>
  <c r="AB18" i="25" s="1"/>
  <c r="V85" i="7"/>
  <c r="AB26" i="25" s="1"/>
  <c r="V81" i="7"/>
  <c r="AB22" i="25" s="1"/>
  <c r="U77" i="7"/>
  <c r="AA18" i="25" s="1"/>
  <c r="U81" i="7"/>
  <c r="AA22" i="25" s="1"/>
  <c r="U85" i="7"/>
  <c r="AA26" i="25" s="1"/>
  <c r="X44" i="7"/>
  <c r="Z34"/>
  <c r="V23"/>
  <c r="H149" i="6"/>
  <c r="S24" i="7"/>
  <c r="AA145" i="6"/>
  <c r="Y45"/>
  <c r="AE4" i="25" s="1"/>
  <c r="K4"/>
  <c r="AA45" i="6"/>
  <c r="X23" i="7"/>
  <c r="J149" i="6"/>
  <c r="W85" i="7"/>
  <c r="AC26" i="25" s="1"/>
  <c r="W77" i="7"/>
  <c r="AC18" i="25" s="1"/>
  <c r="W81" i="7"/>
  <c r="AC22" i="25" s="1"/>
  <c r="X45" i="7"/>
  <c r="X62" s="1"/>
  <c r="Z35"/>
  <c r="M69" i="6"/>
  <c r="M68"/>
  <c r="M64"/>
  <c r="M83"/>
  <c r="M91"/>
  <c r="M67"/>
  <c r="M80"/>
  <c r="M74"/>
  <c r="M85"/>
  <c r="M86"/>
  <c r="M73"/>
  <c r="M57"/>
  <c r="M93"/>
  <c r="M77"/>
  <c r="M84"/>
  <c r="M87"/>
  <c r="M89"/>
  <c r="M65"/>
  <c r="M75"/>
  <c r="M90"/>
  <c r="M78"/>
  <c r="M63"/>
  <c r="M100" s="1"/>
  <c r="M92"/>
  <c r="M79"/>
  <c r="M71"/>
  <c r="M76"/>
  <c r="M82"/>
  <c r="M66"/>
  <c r="M70"/>
  <c r="M107" s="1"/>
  <c r="M81"/>
  <c r="M94"/>
  <c r="M88"/>
  <c r="M125" s="1"/>
  <c r="M72"/>
  <c r="M109" s="1"/>
  <c r="S3" i="25"/>
  <c r="L64" i="6"/>
  <c r="L80"/>
  <c r="L71"/>
  <c r="L72"/>
  <c r="L88"/>
  <c r="L86"/>
  <c r="L81"/>
  <c r="L77"/>
  <c r="L78"/>
  <c r="L70"/>
  <c r="L74"/>
  <c r="L67"/>
  <c r="L85"/>
  <c r="L94"/>
  <c r="L84"/>
  <c r="L76"/>
  <c r="L93"/>
  <c r="R3" i="25"/>
  <c r="L91" i="6"/>
  <c r="L90"/>
  <c r="L57"/>
  <c r="L73"/>
  <c r="L79"/>
  <c r="L87"/>
  <c r="L69"/>
  <c r="L82"/>
  <c r="L63"/>
  <c r="L100" s="1"/>
  <c r="L65"/>
  <c r="L92"/>
  <c r="L83"/>
  <c r="L120" s="1"/>
  <c r="L75"/>
  <c r="L112" s="1"/>
  <c r="L66"/>
  <c r="L103" s="1"/>
  <c r="L68"/>
  <c r="L89"/>
  <c r="O91"/>
  <c r="O77"/>
  <c r="O73"/>
  <c r="O92"/>
  <c r="O69"/>
  <c r="O93"/>
  <c r="O83"/>
  <c r="O74"/>
  <c r="O82"/>
  <c r="O86"/>
  <c r="O67"/>
  <c r="O84"/>
  <c r="O78"/>
  <c r="O81"/>
  <c r="O88"/>
  <c r="O70"/>
  <c r="O66"/>
  <c r="O75"/>
  <c r="O90"/>
  <c r="O89"/>
  <c r="O85"/>
  <c r="O68"/>
  <c r="O80"/>
  <c r="O71"/>
  <c r="O108" s="1"/>
  <c r="O72"/>
  <c r="O94"/>
  <c r="O131" s="1"/>
  <c r="U3" i="25"/>
  <c r="O63" i="6"/>
  <c r="O100" s="1"/>
  <c r="O57"/>
  <c r="O87"/>
  <c r="O124" s="1"/>
  <c r="O64"/>
  <c r="O79"/>
  <c r="O65"/>
  <c r="O76"/>
  <c r="O113" s="1"/>
  <c r="W84" i="7"/>
  <c r="AC25" i="25" s="1"/>
  <c r="W80" i="7"/>
  <c r="AC21" i="25" s="1"/>
  <c r="W75" i="7"/>
  <c r="AC16" i="25" s="1"/>
  <c r="S25" i="7"/>
  <c r="AA146" i="6"/>
  <c r="K6" i="25"/>
  <c r="Y47" i="6"/>
  <c r="AE6" i="25" s="1"/>
  <c r="AA47" i="6"/>
  <c r="AA53"/>
  <c r="K12" i="25"/>
  <c r="Y53" i="6"/>
  <c r="AE12" i="25" s="1"/>
  <c r="P88" i="6"/>
  <c r="P67"/>
  <c r="P69"/>
  <c r="P71"/>
  <c r="P83"/>
  <c r="P73"/>
  <c r="P93"/>
  <c r="P91"/>
  <c r="P77"/>
  <c r="P89"/>
  <c r="P80"/>
  <c r="P87"/>
  <c r="P66"/>
  <c r="P68"/>
  <c r="P105" s="1"/>
  <c r="P78"/>
  <c r="P79"/>
  <c r="P82"/>
  <c r="P81"/>
  <c r="P86"/>
  <c r="P72"/>
  <c r="P109" s="1"/>
  <c r="V3" i="25"/>
  <c r="P65" i="6"/>
  <c r="P76"/>
  <c r="P92"/>
  <c r="P129" s="1"/>
  <c r="P90"/>
  <c r="P57"/>
  <c r="P85"/>
  <c r="P75"/>
  <c r="P74"/>
  <c r="P94"/>
  <c r="P131" s="1"/>
  <c r="P64"/>
  <c r="P63"/>
  <c r="P100" s="1"/>
  <c r="P84"/>
  <c r="P121" s="1"/>
  <c r="P70"/>
  <c r="P107" s="1"/>
  <c r="K9" i="25"/>
  <c r="AA50" i="6"/>
  <c r="Y50"/>
  <c r="AE9" i="25" s="1"/>
  <c r="K71" i="6"/>
  <c r="K63"/>
  <c r="K100" s="1"/>
  <c r="K57"/>
  <c r="K83"/>
  <c r="K89"/>
  <c r="K76"/>
  <c r="K84"/>
  <c r="K64"/>
  <c r="K74"/>
  <c r="K66"/>
  <c r="K88"/>
  <c r="K72"/>
  <c r="K73"/>
  <c r="K70"/>
  <c r="K79"/>
  <c r="K90"/>
  <c r="K86"/>
  <c r="K91"/>
  <c r="K77"/>
  <c r="K68"/>
  <c r="K80"/>
  <c r="K69"/>
  <c r="K85"/>
  <c r="K122" s="1"/>
  <c r="K65"/>
  <c r="K102" s="1"/>
  <c r="K67"/>
  <c r="Q3" i="25"/>
  <c r="K93" i="6"/>
  <c r="K75"/>
  <c r="K82"/>
  <c r="K92"/>
  <c r="K129" s="1"/>
  <c r="K78"/>
  <c r="K115" s="1"/>
  <c r="K81"/>
  <c r="K87"/>
  <c r="K124" s="1"/>
  <c r="K94"/>
  <c r="N94"/>
  <c r="N63"/>
  <c r="N100" s="1"/>
  <c r="N90"/>
  <c r="N74"/>
  <c r="N68"/>
  <c r="N65"/>
  <c r="N77"/>
  <c r="N78"/>
  <c r="N89"/>
  <c r="N57"/>
  <c r="N67"/>
  <c r="N84"/>
  <c r="N85"/>
  <c r="N75"/>
  <c r="N88"/>
  <c r="N93"/>
  <c r="N79"/>
  <c r="N64"/>
  <c r="N101" s="1"/>
  <c r="N73"/>
  <c r="N70"/>
  <c r="N80"/>
  <c r="N117" s="1"/>
  <c r="N86"/>
  <c r="N92"/>
  <c r="N76"/>
  <c r="N81"/>
  <c r="N118" s="1"/>
  <c r="N66"/>
  <c r="N103" s="1"/>
  <c r="N83"/>
  <c r="N82"/>
  <c r="T3" i="25"/>
  <c r="N87" i="6"/>
  <c r="N124" s="1"/>
  <c r="N72"/>
  <c r="N91"/>
  <c r="N69"/>
  <c r="N106" s="1"/>
  <c r="N71"/>
  <c r="G149"/>
  <c r="U23" i="7"/>
  <c r="G72" i="6"/>
  <c r="G80"/>
  <c r="G65"/>
  <c r="G63"/>
  <c r="G100" s="1"/>
  <c r="G76"/>
  <c r="G92"/>
  <c r="G75"/>
  <c r="G89"/>
  <c r="G91"/>
  <c r="G88"/>
  <c r="M3" i="25"/>
  <c r="G94" i="6"/>
  <c r="G66"/>
  <c r="G69"/>
  <c r="G68"/>
  <c r="G82"/>
  <c r="G70"/>
  <c r="G93"/>
  <c r="G130" s="1"/>
  <c r="G84"/>
  <c r="G83"/>
  <c r="G120" s="1"/>
  <c r="G71"/>
  <c r="G108" s="1"/>
  <c r="G64"/>
  <c r="G77"/>
  <c r="G67"/>
  <c r="G73"/>
  <c r="G110" s="1"/>
  <c r="G74"/>
  <c r="G79"/>
  <c r="G87"/>
  <c r="G86"/>
  <c r="G81"/>
  <c r="G118" s="1"/>
  <c r="G90"/>
  <c r="G127" s="1"/>
  <c r="G85"/>
  <c r="G57"/>
  <c r="G78"/>
  <c r="T61" i="7"/>
  <c r="T48"/>
  <c r="S84" i="6"/>
  <c r="S63"/>
  <c r="S100" s="1"/>
  <c r="S90"/>
  <c r="S66"/>
  <c r="S68"/>
  <c r="S93"/>
  <c r="S69"/>
  <c r="S72"/>
  <c r="S80"/>
  <c r="S81"/>
  <c r="S65"/>
  <c r="S91"/>
  <c r="S87"/>
  <c r="S83"/>
  <c r="S92"/>
  <c r="S76"/>
  <c r="S67"/>
  <c r="S77"/>
  <c r="S70"/>
  <c r="S107" s="1"/>
  <c r="S75"/>
  <c r="S74"/>
  <c r="S73"/>
  <c r="S94"/>
  <c r="S82"/>
  <c r="S64"/>
  <c r="S79"/>
  <c r="S86"/>
  <c r="S71"/>
  <c r="S85"/>
  <c r="S122" s="1"/>
  <c r="S89"/>
  <c r="Y3" i="25"/>
  <c r="S88" i="6"/>
  <c r="S57"/>
  <c r="S78"/>
  <c r="S115" s="1"/>
  <c r="K11" i="25"/>
  <c r="AA52" i="6"/>
  <c r="Y52"/>
  <c r="AE11" i="25" s="1"/>
  <c r="AA144" i="6"/>
  <c r="S23" i="7"/>
  <c r="E149" i="6"/>
  <c r="K3" i="25"/>
  <c r="AA44" i="6"/>
  <c r="Y44"/>
  <c r="E79"/>
  <c r="E86"/>
  <c r="E76"/>
  <c r="E63"/>
  <c r="E100" s="1"/>
  <c r="E84"/>
  <c r="E67"/>
  <c r="E74"/>
  <c r="E81"/>
  <c r="E78"/>
  <c r="E93"/>
  <c r="E68"/>
  <c r="E80"/>
  <c r="E94"/>
  <c r="E82"/>
  <c r="E65"/>
  <c r="E87"/>
  <c r="E85"/>
  <c r="E122" s="1"/>
  <c r="E64"/>
  <c r="E83"/>
  <c r="E72"/>
  <c r="E77"/>
  <c r="E88"/>
  <c r="E57"/>
  <c r="E73"/>
  <c r="E110" s="1"/>
  <c r="E70"/>
  <c r="E92"/>
  <c r="E75"/>
  <c r="E112" s="1"/>
  <c r="E66"/>
  <c r="E69"/>
  <c r="E71"/>
  <c r="E91"/>
  <c r="E90"/>
  <c r="E89"/>
  <c r="AA48"/>
  <c r="K7" i="25"/>
  <c r="Y48" i="6"/>
  <c r="AE7" i="25" s="1"/>
  <c r="R132" i="7" l="1"/>
  <c r="R131"/>
  <c r="K158"/>
  <c r="K157"/>
  <c r="K133"/>
  <c r="K132"/>
  <c r="I157"/>
  <c r="I156"/>
  <c r="F149"/>
  <c r="F148"/>
  <c r="I144"/>
  <c r="I143"/>
  <c r="F156"/>
  <c r="F155"/>
  <c r="G146"/>
  <c r="G145"/>
  <c r="G149"/>
  <c r="G148"/>
  <c r="K148"/>
  <c r="G139"/>
  <c r="J153"/>
  <c r="J146"/>
  <c r="R151"/>
  <c r="R148"/>
  <c r="L145"/>
  <c r="H153"/>
  <c r="H159"/>
  <c r="H135"/>
  <c r="H142"/>
  <c r="K155"/>
  <c r="M135"/>
  <c r="M147"/>
  <c r="I152"/>
  <c r="F142"/>
  <c r="F137"/>
  <c r="F135"/>
  <c r="G151"/>
  <c r="N151"/>
  <c r="N159"/>
  <c r="E161"/>
  <c r="E200" s="1"/>
  <c r="F200" s="1"/>
  <c r="G200" s="1"/>
  <c r="H200" s="1"/>
  <c r="I200" s="1"/>
  <c r="J200" s="1"/>
  <c r="K200" s="1"/>
  <c r="L200" s="1"/>
  <c r="M200" s="1"/>
  <c r="N200" s="1"/>
  <c r="O200" s="1"/>
  <c r="P200" s="1"/>
  <c r="Q200" s="1"/>
  <c r="E136"/>
  <c r="E175" s="1"/>
  <c r="F175" s="1"/>
  <c r="G175" s="1"/>
  <c r="E133"/>
  <c r="E172" s="1"/>
  <c r="E142"/>
  <c r="E181" s="1"/>
  <c r="F181" s="1"/>
  <c r="G181" s="1"/>
  <c r="H181" s="1"/>
  <c r="I181" s="1"/>
  <c r="J181" s="1"/>
  <c r="K181" s="1"/>
  <c r="L181" s="1"/>
  <c r="O142"/>
  <c r="O153"/>
  <c r="O148"/>
  <c r="O159"/>
  <c r="O143"/>
  <c r="J140"/>
  <c r="J142"/>
  <c r="J147"/>
  <c r="J163" s="1"/>
  <c r="J154"/>
  <c r="J135"/>
  <c r="R145"/>
  <c r="R154"/>
  <c r="R140"/>
  <c r="R160"/>
  <c r="R134"/>
  <c r="R161"/>
  <c r="L136"/>
  <c r="L138"/>
  <c r="L142"/>
  <c r="L133"/>
  <c r="L150"/>
  <c r="L153"/>
  <c r="H131"/>
  <c r="H163" s="1"/>
  <c r="H154"/>
  <c r="H155"/>
  <c r="H143"/>
  <c r="H146"/>
  <c r="H139"/>
  <c r="K135"/>
  <c r="K160"/>
  <c r="K142"/>
  <c r="K144"/>
  <c r="K145"/>
  <c r="M133"/>
  <c r="M140"/>
  <c r="M145"/>
  <c r="M153"/>
  <c r="I161"/>
  <c r="I146"/>
  <c r="I154"/>
  <c r="I158"/>
  <c r="F143"/>
  <c r="F182" s="1"/>
  <c r="G182" s="1"/>
  <c r="H182" s="1"/>
  <c r="I182" s="1"/>
  <c r="J182" s="1"/>
  <c r="K182" s="1"/>
  <c r="L182" s="1"/>
  <c r="M182" s="1"/>
  <c r="N182" s="1"/>
  <c r="O182" s="1"/>
  <c r="P182" s="1"/>
  <c r="Q182" s="1"/>
  <c r="R182" s="1"/>
  <c r="F140"/>
  <c r="F161"/>
  <c r="F150"/>
  <c r="G156"/>
  <c r="G137"/>
  <c r="G143"/>
  <c r="G141"/>
  <c r="N156"/>
  <c r="N157"/>
  <c r="N139"/>
  <c r="N154"/>
  <c r="N149"/>
  <c r="N140"/>
  <c r="O156"/>
  <c r="O155"/>
  <c r="K139"/>
  <c r="K138"/>
  <c r="K163" s="1"/>
  <c r="G155"/>
  <c r="G154"/>
  <c r="O152"/>
  <c r="O151"/>
  <c r="K150"/>
  <c r="K149"/>
  <c r="F132"/>
  <c r="F131"/>
  <c r="F163" s="1"/>
  <c r="J139"/>
  <c r="I138"/>
  <c r="G140"/>
  <c r="N145"/>
  <c r="O161"/>
  <c r="J133"/>
  <c r="R159"/>
  <c r="L155"/>
  <c r="L158"/>
  <c r="H141"/>
  <c r="H136"/>
  <c r="F193"/>
  <c r="G193" s="1"/>
  <c r="E153"/>
  <c r="E192" s="1"/>
  <c r="F192" s="1"/>
  <c r="E159"/>
  <c r="E198" s="1"/>
  <c r="F198" s="1"/>
  <c r="G198" s="1"/>
  <c r="O150"/>
  <c r="O145"/>
  <c r="O131"/>
  <c r="O146"/>
  <c r="O134"/>
  <c r="O163" s="1"/>
  <c r="O138"/>
  <c r="O136"/>
  <c r="J161"/>
  <c r="J149"/>
  <c r="J144"/>
  <c r="J157"/>
  <c r="J158"/>
  <c r="J150"/>
  <c r="R138"/>
  <c r="R149"/>
  <c r="R156"/>
  <c r="R152"/>
  <c r="R146"/>
  <c r="R143"/>
  <c r="R136"/>
  <c r="R163"/>
  <c r="L156"/>
  <c r="L146"/>
  <c r="L131"/>
  <c r="L163" s="1"/>
  <c r="L139"/>
  <c r="L159"/>
  <c r="L160"/>
  <c r="H157"/>
  <c r="H150"/>
  <c r="H160"/>
  <c r="H147"/>
  <c r="H132"/>
  <c r="H144"/>
  <c r="K136"/>
  <c r="K137"/>
  <c r="K151"/>
  <c r="M142"/>
  <c r="M158"/>
  <c r="M154"/>
  <c r="M131"/>
  <c r="M163" s="1"/>
  <c r="M137"/>
  <c r="M156"/>
  <c r="M149"/>
  <c r="I139"/>
  <c r="I163" s="1"/>
  <c r="I150"/>
  <c r="I135"/>
  <c r="I132"/>
  <c r="I148"/>
  <c r="I140"/>
  <c r="I142"/>
  <c r="F144"/>
  <c r="F145"/>
  <c r="F133"/>
  <c r="G159"/>
  <c r="G136"/>
  <c r="G152"/>
  <c r="G131"/>
  <c r="G160"/>
  <c r="G153"/>
  <c r="N146"/>
  <c r="N161"/>
  <c r="N152"/>
  <c r="N136"/>
  <c r="N134"/>
  <c r="N131"/>
  <c r="N163" s="1"/>
  <c r="E144"/>
  <c r="E183" s="1"/>
  <c r="E134"/>
  <c r="E173" s="1"/>
  <c r="F173" s="1"/>
  <c r="G173" s="1"/>
  <c r="H173" s="1"/>
  <c r="I173" s="1"/>
  <c r="J173" s="1"/>
  <c r="K173" s="1"/>
  <c r="L173" s="1"/>
  <c r="M173" s="1"/>
  <c r="E148"/>
  <c r="E187" s="1"/>
  <c r="F187" s="1"/>
  <c r="G187" s="1"/>
  <c r="H187" s="1"/>
  <c r="I187" s="1"/>
  <c r="J187" s="1"/>
  <c r="K187" s="1"/>
  <c r="L187" s="1"/>
  <c r="M187" s="1"/>
  <c r="N187" s="1"/>
  <c r="O187" s="1"/>
  <c r="P187" s="1"/>
  <c r="Q187" s="1"/>
  <c r="R187" s="1"/>
  <c r="E140"/>
  <c r="E179" s="1"/>
  <c r="E169"/>
  <c r="E152"/>
  <c r="E191" s="1"/>
  <c r="F191" s="1"/>
  <c r="E151"/>
  <c r="E190" s="1"/>
  <c r="F190" s="1"/>
  <c r="G190" s="1"/>
  <c r="H190" s="1"/>
  <c r="I190" s="1"/>
  <c r="J190" s="1"/>
  <c r="K190" s="1"/>
  <c r="L190" s="1"/>
  <c r="M190" s="1"/>
  <c r="N190" s="1"/>
  <c r="O190" s="1"/>
  <c r="P190" s="1"/>
  <c r="Q190" s="1"/>
  <c r="R190" s="1"/>
  <c r="E135"/>
  <c r="E174" s="1"/>
  <c r="F174" s="1"/>
  <c r="G174" s="1"/>
  <c r="H174" s="1"/>
  <c r="I174" s="1"/>
  <c r="J174" s="1"/>
  <c r="K174" s="1"/>
  <c r="L174" s="1"/>
  <c r="M174" s="1"/>
  <c r="N174" s="1"/>
  <c r="O174" s="1"/>
  <c r="P174" s="1"/>
  <c r="Q174" s="1"/>
  <c r="R174" s="1"/>
  <c r="E137"/>
  <c r="E176" s="1"/>
  <c r="F176" s="1"/>
  <c r="E155"/>
  <c r="E194" s="1"/>
  <c r="E157"/>
  <c r="E196" s="1"/>
  <c r="F196" s="1"/>
  <c r="G196" s="1"/>
  <c r="H196" s="1"/>
  <c r="I196" s="1"/>
  <c r="J196" s="1"/>
  <c r="K196" s="1"/>
  <c r="L196" s="1"/>
  <c r="M196" s="1"/>
  <c r="N196" s="1"/>
  <c r="O196" s="1"/>
  <c r="P196" s="1"/>
  <c r="Q196" s="1"/>
  <c r="R196" s="1"/>
  <c r="E149"/>
  <c r="E188" s="1"/>
  <c r="E160"/>
  <c r="E199" s="1"/>
  <c r="F199" s="1"/>
  <c r="G199" s="1"/>
  <c r="E158"/>
  <c r="E197" s="1"/>
  <c r="F197" s="1"/>
  <c r="G197" s="1"/>
  <c r="H197" s="1"/>
  <c r="E141"/>
  <c r="E180" s="1"/>
  <c r="F180" s="1"/>
  <c r="G180" s="1"/>
  <c r="H180" s="1"/>
  <c r="I180" s="1"/>
  <c r="J180" s="1"/>
  <c r="K180" s="1"/>
  <c r="L180" s="1"/>
  <c r="M180" s="1"/>
  <c r="N180" s="1"/>
  <c r="O180" s="1"/>
  <c r="P180" s="1"/>
  <c r="Q180" s="1"/>
  <c r="R180" s="1"/>
  <c r="E139"/>
  <c r="E178" s="1"/>
  <c r="F178" s="1"/>
  <c r="E138"/>
  <c r="E177" s="1"/>
  <c r="F177" s="1"/>
  <c r="G177" s="1"/>
  <c r="H177" s="1"/>
  <c r="I177" s="1"/>
  <c r="J177" s="1"/>
  <c r="E147"/>
  <c r="E186" s="1"/>
  <c r="F186" s="1"/>
  <c r="G186" s="1"/>
  <c r="H186" s="1"/>
  <c r="I186" s="1"/>
  <c r="E146"/>
  <c r="E185" s="1"/>
  <c r="F185" s="1"/>
  <c r="G185" s="1"/>
  <c r="H185" s="1"/>
  <c r="I185" s="1"/>
  <c r="J185" s="1"/>
  <c r="K185" s="1"/>
  <c r="L185" s="1"/>
  <c r="M185" s="1"/>
  <c r="N185" s="1"/>
  <c r="O185" s="1"/>
  <c r="P185" s="1"/>
  <c r="Q185" s="1"/>
  <c r="R185" s="1"/>
  <c r="E156"/>
  <c r="E195" s="1"/>
  <c r="E131"/>
  <c r="E170" s="1"/>
  <c r="E145"/>
  <c r="E184" s="1"/>
  <c r="E150"/>
  <c r="E189" s="1"/>
  <c r="F189" s="1"/>
  <c r="G189" s="1"/>
  <c r="H189" s="1"/>
  <c r="I189" s="1"/>
  <c r="J189" s="1"/>
  <c r="K189" s="1"/>
  <c r="L189" s="1"/>
  <c r="M189" s="1"/>
  <c r="N189" s="1"/>
  <c r="O189" s="1"/>
  <c r="P189" s="1"/>
  <c r="Q189" s="1"/>
  <c r="R189" s="1"/>
  <c r="E132"/>
  <c r="E171" s="1"/>
  <c r="F171" s="1"/>
  <c r="G171" s="1"/>
  <c r="H171" s="1"/>
  <c r="I171" s="1"/>
  <c r="J171" s="1"/>
  <c r="K171" s="1"/>
  <c r="L171" s="1"/>
  <c r="M171" s="1"/>
  <c r="N171" s="1"/>
  <c r="O171" s="1"/>
  <c r="P171" s="1"/>
  <c r="Q171" s="1"/>
  <c r="G111" i="6"/>
  <c r="O123"/>
  <c r="L113"/>
  <c r="W113"/>
  <c r="J131"/>
  <c r="X107"/>
  <c r="X123"/>
  <c r="T101"/>
  <c r="R117"/>
  <c r="R106"/>
  <c r="E126"/>
  <c r="E106"/>
  <c r="E114"/>
  <c r="E131"/>
  <c r="E121"/>
  <c r="S125"/>
  <c r="S119"/>
  <c r="S112"/>
  <c r="G124"/>
  <c r="G104"/>
  <c r="G119"/>
  <c r="G131"/>
  <c r="G126"/>
  <c r="N119"/>
  <c r="N113"/>
  <c r="N107"/>
  <c r="K131"/>
  <c r="K106"/>
  <c r="K128"/>
  <c r="K103"/>
  <c r="K113"/>
  <c r="P101"/>
  <c r="P122"/>
  <c r="P113"/>
  <c r="P115"/>
  <c r="P117"/>
  <c r="P130"/>
  <c r="O116"/>
  <c r="O107"/>
  <c r="O129"/>
  <c r="L119"/>
  <c r="L110"/>
  <c r="L117"/>
  <c r="M103"/>
  <c r="M116"/>
  <c r="M127"/>
  <c r="M124"/>
  <c r="W101"/>
  <c r="W127"/>
  <c r="W115"/>
  <c r="W117"/>
  <c r="J121"/>
  <c r="J103"/>
  <c r="J111"/>
  <c r="J124"/>
  <c r="X104"/>
  <c r="X108"/>
  <c r="X127"/>
  <c r="X102"/>
  <c r="T106"/>
  <c r="T127"/>
  <c r="T130"/>
  <c r="T113"/>
  <c r="T109"/>
  <c r="T118"/>
  <c r="R124"/>
  <c r="R109"/>
  <c r="V117"/>
  <c r="V112"/>
  <c r="V123"/>
  <c r="V103"/>
  <c r="F107"/>
  <c r="F125"/>
  <c r="F122"/>
  <c r="F113"/>
  <c r="F130"/>
  <c r="F116"/>
  <c r="F109"/>
  <c r="U101"/>
  <c r="U131"/>
  <c r="U120"/>
  <c r="U113"/>
  <c r="H120"/>
  <c r="H105"/>
  <c r="I120"/>
  <c r="I110"/>
  <c r="I101"/>
  <c r="I129"/>
  <c r="I113"/>
  <c r="Q117"/>
  <c r="Q120"/>
  <c r="Q101"/>
  <c r="Q122"/>
  <c r="E105"/>
  <c r="S118"/>
  <c r="G129"/>
  <c r="N123"/>
  <c r="P125"/>
  <c r="L109"/>
  <c r="M123"/>
  <c r="J105"/>
  <c r="X125"/>
  <c r="V114"/>
  <c r="F124"/>
  <c r="F121"/>
  <c r="U129"/>
  <c r="H115"/>
  <c r="Q107"/>
  <c r="Q129"/>
  <c r="E103"/>
  <c r="E109"/>
  <c r="E124"/>
  <c r="S123"/>
  <c r="S131"/>
  <c r="S129"/>
  <c r="S102"/>
  <c r="S133" s="1"/>
  <c r="S106"/>
  <c r="S127"/>
  <c r="G116"/>
  <c r="G114"/>
  <c r="G121"/>
  <c r="G105"/>
  <c r="G112"/>
  <c r="G102"/>
  <c r="N109"/>
  <c r="N120"/>
  <c r="N129"/>
  <c r="N125"/>
  <c r="N104"/>
  <c r="N114"/>
  <c r="N127"/>
  <c r="K119"/>
  <c r="K104"/>
  <c r="K117"/>
  <c r="K123"/>
  <c r="K110"/>
  <c r="K126"/>
  <c r="K108"/>
  <c r="P102"/>
  <c r="P118"/>
  <c r="P126"/>
  <c r="P110"/>
  <c r="P104"/>
  <c r="O101"/>
  <c r="O117"/>
  <c r="O127"/>
  <c r="O125"/>
  <c r="O104"/>
  <c r="O120"/>
  <c r="O110"/>
  <c r="L105"/>
  <c r="L129"/>
  <c r="L122"/>
  <c r="L115"/>
  <c r="L125"/>
  <c r="L101"/>
  <c r="M131"/>
  <c r="M119"/>
  <c r="M129"/>
  <c r="M112"/>
  <c r="M121"/>
  <c r="M110"/>
  <c r="M117"/>
  <c r="M101"/>
  <c r="W129"/>
  <c r="W119"/>
  <c r="W121"/>
  <c r="W103"/>
  <c r="W131"/>
  <c r="W124"/>
  <c r="W106"/>
  <c r="J107"/>
  <c r="J101"/>
  <c r="J119"/>
  <c r="J122"/>
  <c r="J129"/>
  <c r="J114"/>
  <c r="X130"/>
  <c r="X116"/>
  <c r="T123"/>
  <c r="T116"/>
  <c r="T107"/>
  <c r="T120"/>
  <c r="T103"/>
  <c r="T114"/>
  <c r="R128"/>
  <c r="R103"/>
  <c r="R114"/>
  <c r="R120"/>
  <c r="V110"/>
  <c r="V118"/>
  <c r="V106"/>
  <c r="V120"/>
  <c r="V128"/>
  <c r="F111"/>
  <c r="F126"/>
  <c r="F105"/>
  <c r="F131"/>
  <c r="F101"/>
  <c r="F117"/>
  <c r="U104"/>
  <c r="U126"/>
  <c r="U117"/>
  <c r="U109"/>
  <c r="U123"/>
  <c r="U115"/>
  <c r="H103"/>
  <c r="H129"/>
  <c r="H108"/>
  <c r="H123"/>
  <c r="H117"/>
  <c r="H101"/>
  <c r="I122"/>
  <c r="I108"/>
  <c r="I115"/>
  <c r="I117"/>
  <c r="I102"/>
  <c r="Q113"/>
  <c r="Q118"/>
  <c r="Q104"/>
  <c r="Q115"/>
  <c r="Q124"/>
  <c r="Q109"/>
  <c r="Q111"/>
  <c r="Q131"/>
  <c r="Z54" i="7"/>
  <c r="S36"/>
  <c r="S54"/>
  <c r="S63" s="1"/>
  <c r="U28"/>
  <c r="U33"/>
  <c r="U38" s="1"/>
  <c r="U51"/>
  <c r="Z52"/>
  <c r="S52"/>
  <c r="S34"/>
  <c r="S44" s="1"/>
  <c r="X61"/>
  <c r="X48"/>
  <c r="T33"/>
  <c r="T38" s="1"/>
  <c r="T51"/>
  <c r="T28"/>
  <c r="N110" i="6"/>
  <c r="K111"/>
  <c r="L106"/>
  <c r="W108"/>
  <c r="X110"/>
  <c r="T121"/>
  <c r="R126"/>
  <c r="V121"/>
  <c r="U127"/>
  <c r="H110"/>
  <c r="S128"/>
  <c r="S103"/>
  <c r="N130"/>
  <c r="N115"/>
  <c r="P123"/>
  <c r="P106"/>
  <c r="O126"/>
  <c r="O121"/>
  <c r="L131"/>
  <c r="L107"/>
  <c r="M120"/>
  <c r="W130"/>
  <c r="J115"/>
  <c r="J117"/>
  <c r="X113"/>
  <c r="X118"/>
  <c r="R121"/>
  <c r="R127"/>
  <c r="R104"/>
  <c r="F102"/>
  <c r="U111"/>
  <c r="U106"/>
  <c r="H124"/>
  <c r="H112"/>
  <c r="H118"/>
  <c r="I106"/>
  <c r="I118"/>
  <c r="Q126"/>
  <c r="E129"/>
  <c r="S101"/>
  <c r="S111"/>
  <c r="S104"/>
  <c r="S124"/>
  <c r="S117"/>
  <c r="S105"/>
  <c r="S121"/>
  <c r="G123"/>
  <c r="G107"/>
  <c r="G103"/>
  <c r="G128"/>
  <c r="G113"/>
  <c r="G109"/>
  <c r="N116"/>
  <c r="N122"/>
  <c r="N126"/>
  <c r="N105"/>
  <c r="N131"/>
  <c r="K130"/>
  <c r="K114"/>
  <c r="K116"/>
  <c r="K125"/>
  <c r="K121"/>
  <c r="P112"/>
  <c r="P116"/>
  <c r="P124"/>
  <c r="P128"/>
  <c r="P108"/>
  <c r="O102"/>
  <c r="O109"/>
  <c r="O122"/>
  <c r="O103"/>
  <c r="O115"/>
  <c r="O119"/>
  <c r="O106"/>
  <c r="O128"/>
  <c r="L116"/>
  <c r="L128"/>
  <c r="L121"/>
  <c r="L111"/>
  <c r="L118"/>
  <c r="L108"/>
  <c r="M108"/>
  <c r="M115"/>
  <c r="M126"/>
  <c r="M130"/>
  <c r="M122"/>
  <c r="M128"/>
  <c r="M106"/>
  <c r="W112"/>
  <c r="W109"/>
  <c r="W116"/>
  <c r="W110"/>
  <c r="W120"/>
  <c r="W122"/>
  <c r="W123"/>
  <c r="J118"/>
  <c r="J130"/>
  <c r="J104"/>
  <c r="J102"/>
  <c r="J120"/>
  <c r="J123"/>
  <c r="J109"/>
  <c r="X105"/>
  <c r="X121"/>
  <c r="X115"/>
  <c r="X124"/>
  <c r="X126"/>
  <c r="X101"/>
  <c r="X106"/>
  <c r="T125"/>
  <c r="T131"/>
  <c r="T126"/>
  <c r="T111"/>
  <c r="T129"/>
  <c r="T108"/>
  <c r="T102"/>
  <c r="R105"/>
  <c r="R108"/>
  <c r="R102"/>
  <c r="R122"/>
  <c r="R115"/>
  <c r="R119"/>
  <c r="V109"/>
  <c r="V119"/>
  <c r="V111"/>
  <c r="V131"/>
  <c r="V116"/>
  <c r="V107"/>
  <c r="V113"/>
  <c r="F110"/>
  <c r="F129"/>
  <c r="F115"/>
  <c r="F108"/>
  <c r="F120"/>
  <c r="F104"/>
  <c r="F123"/>
  <c r="U107"/>
  <c r="U130"/>
  <c r="U116"/>
  <c r="U119"/>
  <c r="U128"/>
  <c r="H113"/>
  <c r="H114"/>
  <c r="H126"/>
  <c r="H127"/>
  <c r="H122"/>
  <c r="H131"/>
  <c r="I111"/>
  <c r="I119"/>
  <c r="I112"/>
  <c r="I127"/>
  <c r="I131"/>
  <c r="Q102"/>
  <c r="Q119"/>
  <c r="Q130"/>
  <c r="Q121"/>
  <c r="Q128"/>
  <c r="Q106"/>
  <c r="Q116"/>
  <c r="Q103"/>
  <c r="T75" i="7"/>
  <c r="Z16" i="25" s="1"/>
  <c r="T84" i="7"/>
  <c r="Z25" i="25" s="1"/>
  <c r="T80" i="7"/>
  <c r="Z21" i="25" s="1"/>
  <c r="X81" i="7"/>
  <c r="AD22" i="25" s="1"/>
  <c r="X85" i="7"/>
  <c r="AD26" i="25" s="1"/>
  <c r="X77" i="7"/>
  <c r="AD18" i="25" s="1"/>
  <c r="V28" i="7"/>
  <c r="V51"/>
  <c r="V33"/>
  <c r="V38" s="1"/>
  <c r="Z53"/>
  <c r="S53"/>
  <c r="S35"/>
  <c r="S45" s="1"/>
  <c r="X33"/>
  <c r="X28"/>
  <c r="X51"/>
  <c r="W33"/>
  <c r="W38" s="1"/>
  <c r="W28"/>
  <c r="W51"/>
  <c r="L130" i="6"/>
  <c r="X111"/>
  <c r="R111"/>
  <c r="AA149"/>
  <c r="S108"/>
  <c r="S113"/>
  <c r="S109"/>
  <c r="G122"/>
  <c r="N128"/>
  <c r="N121"/>
  <c r="N111"/>
  <c r="K107"/>
  <c r="O111"/>
  <c r="L126"/>
  <c r="L123"/>
  <c r="M111"/>
  <c r="W104"/>
  <c r="J112"/>
  <c r="T115"/>
  <c r="R131"/>
  <c r="R129"/>
  <c r="V124"/>
  <c r="V101"/>
  <c r="F119"/>
  <c r="U124"/>
  <c r="U105"/>
  <c r="H121"/>
  <c r="I105"/>
  <c r="I116"/>
  <c r="Q125"/>
  <c r="AA57"/>
  <c r="S126"/>
  <c r="S116"/>
  <c r="S110"/>
  <c r="S114"/>
  <c r="S120"/>
  <c r="S130"/>
  <c r="G115"/>
  <c r="G101"/>
  <c r="G106"/>
  <c r="G125"/>
  <c r="G117"/>
  <c r="N108"/>
  <c r="N112"/>
  <c r="N102"/>
  <c r="K118"/>
  <c r="K112"/>
  <c r="K105"/>
  <c r="K127"/>
  <c r="K109"/>
  <c r="K101"/>
  <c r="K120"/>
  <c r="P111"/>
  <c r="P127"/>
  <c r="P119"/>
  <c r="P103"/>
  <c r="P114"/>
  <c r="P120"/>
  <c r="O105"/>
  <c r="O112"/>
  <c r="O118"/>
  <c r="O130"/>
  <c r="O114"/>
  <c r="L102"/>
  <c r="L124"/>
  <c r="L127"/>
  <c r="L104"/>
  <c r="L114"/>
  <c r="M118"/>
  <c r="M113"/>
  <c r="M102"/>
  <c r="M114"/>
  <c r="M104"/>
  <c r="M105"/>
  <c r="W125"/>
  <c r="W126"/>
  <c r="W114"/>
  <c r="W105"/>
  <c r="W118"/>
  <c r="J113"/>
  <c r="J125"/>
  <c r="J127"/>
  <c r="J108"/>
  <c r="X129"/>
  <c r="X114"/>
  <c r="X131"/>
  <c r="X103"/>
  <c r="X120"/>
  <c r="T117"/>
  <c r="T122"/>
  <c r="T119"/>
  <c r="T128"/>
  <c r="T110"/>
  <c r="T104"/>
  <c r="R118"/>
  <c r="R112"/>
  <c r="R113"/>
  <c r="R107"/>
  <c r="V122"/>
  <c r="V126"/>
  <c r="V115"/>
  <c r="V105"/>
  <c r="V102"/>
  <c r="V129"/>
  <c r="F112"/>
  <c r="F127"/>
  <c r="F128"/>
  <c r="F114"/>
  <c r="F103"/>
  <c r="F106"/>
  <c r="U102"/>
  <c r="U125"/>
  <c r="U114"/>
  <c r="U103"/>
  <c r="U112"/>
  <c r="U122"/>
  <c r="H107"/>
  <c r="H102"/>
  <c r="H116"/>
  <c r="H130"/>
  <c r="H104"/>
  <c r="H119"/>
  <c r="I123"/>
  <c r="I126"/>
  <c r="I121"/>
  <c r="I107"/>
  <c r="I114"/>
  <c r="I124"/>
  <c r="I109"/>
  <c r="Q114"/>
  <c r="Q110"/>
  <c r="Q105"/>
  <c r="Q112"/>
  <c r="Q108"/>
  <c r="AE3" i="25"/>
  <c r="Y77" i="6"/>
  <c r="Y69"/>
  <c r="Y92"/>
  <c r="Y75"/>
  <c r="Y57"/>
  <c r="C10" s="1"/>
  <c r="Y73"/>
  <c r="Y67"/>
  <c r="Y76"/>
  <c r="Y113" s="1"/>
  <c r="Y66"/>
  <c r="Y85"/>
  <c r="Y93"/>
  <c r="Y130" s="1"/>
  <c r="Y83"/>
  <c r="Y68"/>
  <c r="Y84"/>
  <c r="Y79"/>
  <c r="Y65"/>
  <c r="Y74"/>
  <c r="Y88"/>
  <c r="Y71"/>
  <c r="Y70"/>
  <c r="Y64"/>
  <c r="Y91"/>
  <c r="Y78"/>
  <c r="Y63"/>
  <c r="Y100" s="1"/>
  <c r="Y90"/>
  <c r="Y72"/>
  <c r="Y80"/>
  <c r="Y117" s="1"/>
  <c r="Y81"/>
  <c r="Y87"/>
  <c r="Y82"/>
  <c r="Y94"/>
  <c r="Y131" s="1"/>
  <c r="Y89"/>
  <c r="Y86"/>
  <c r="S51" i="7"/>
  <c r="Z51"/>
  <c r="S33"/>
  <c r="S28"/>
  <c r="E127" i="6"/>
  <c r="E117"/>
  <c r="E118"/>
  <c r="E107"/>
  <c r="E115"/>
  <c r="E116"/>
  <c r="E108"/>
  <c r="E125"/>
  <c r="E101"/>
  <c r="E119"/>
  <c r="E130"/>
  <c r="E104"/>
  <c r="E123"/>
  <c r="E128"/>
  <c r="E120"/>
  <c r="E102"/>
  <c r="E111"/>
  <c r="E113"/>
  <c r="B57"/>
  <c r="M181" i="7" l="1"/>
  <c r="N181" s="1"/>
  <c r="O181" s="1"/>
  <c r="P181" s="1"/>
  <c r="Q181" s="1"/>
  <c r="R181" s="1"/>
  <c r="R171"/>
  <c r="I133" i="6"/>
  <c r="F133"/>
  <c r="N133"/>
  <c r="F170" i="7"/>
  <c r="G170" s="1"/>
  <c r="H170" s="1"/>
  <c r="I170" s="1"/>
  <c r="J170" s="1"/>
  <c r="K170" s="1"/>
  <c r="L170" s="1"/>
  <c r="M170" s="1"/>
  <c r="N170" s="1"/>
  <c r="O170" s="1"/>
  <c r="P170" s="1"/>
  <c r="Q170" s="1"/>
  <c r="R170" s="1"/>
  <c r="K177"/>
  <c r="L177" s="1"/>
  <c r="M177" s="1"/>
  <c r="N177" s="1"/>
  <c r="O177" s="1"/>
  <c r="P177" s="1"/>
  <c r="Q177" s="1"/>
  <c r="R177" s="1"/>
  <c r="H199"/>
  <c r="I199" s="1"/>
  <c r="J199" s="1"/>
  <c r="K199" s="1"/>
  <c r="L199" s="1"/>
  <c r="M199" s="1"/>
  <c r="N199" s="1"/>
  <c r="O199" s="1"/>
  <c r="P199" s="1"/>
  <c r="Q199" s="1"/>
  <c r="R199" s="1"/>
  <c r="G176"/>
  <c r="H176" s="1"/>
  <c r="I176" s="1"/>
  <c r="J176" s="1"/>
  <c r="K176" s="1"/>
  <c r="L176" s="1"/>
  <c r="M176" s="1"/>
  <c r="N176" s="1"/>
  <c r="O176" s="1"/>
  <c r="P176" s="1"/>
  <c r="Q176" s="1"/>
  <c r="R176" s="1"/>
  <c r="F183"/>
  <c r="G183" s="1"/>
  <c r="H183" s="1"/>
  <c r="I183" s="1"/>
  <c r="J183" s="1"/>
  <c r="K183" s="1"/>
  <c r="L183" s="1"/>
  <c r="M183" s="1"/>
  <c r="N183" s="1"/>
  <c r="O183" s="1"/>
  <c r="P183" s="1"/>
  <c r="Q183" s="1"/>
  <c r="R183" s="1"/>
  <c r="G192"/>
  <c r="H192" s="1"/>
  <c r="I192" s="1"/>
  <c r="J192" s="1"/>
  <c r="K192" s="1"/>
  <c r="L192" s="1"/>
  <c r="M192" s="1"/>
  <c r="N192" s="1"/>
  <c r="O192" s="1"/>
  <c r="P192" s="1"/>
  <c r="Q192" s="1"/>
  <c r="R192" s="1"/>
  <c r="R200"/>
  <c r="F195"/>
  <c r="G195" s="1"/>
  <c r="H195" s="1"/>
  <c r="I195" s="1"/>
  <c r="J195" s="1"/>
  <c r="K195" s="1"/>
  <c r="L195" s="1"/>
  <c r="M195" s="1"/>
  <c r="N195" s="1"/>
  <c r="O195" s="1"/>
  <c r="P195" s="1"/>
  <c r="Q195" s="1"/>
  <c r="R195" s="1"/>
  <c r="G178"/>
  <c r="H178" s="1"/>
  <c r="I178" s="1"/>
  <c r="J178" s="1"/>
  <c r="K178" s="1"/>
  <c r="L178" s="1"/>
  <c r="M178" s="1"/>
  <c r="N178" s="1"/>
  <c r="O178" s="1"/>
  <c r="P178" s="1"/>
  <c r="Q178" s="1"/>
  <c r="R178" s="1"/>
  <c r="F188"/>
  <c r="G188" s="1"/>
  <c r="H188" s="1"/>
  <c r="I188" s="1"/>
  <c r="J188" s="1"/>
  <c r="K188" s="1"/>
  <c r="L188" s="1"/>
  <c r="M188" s="1"/>
  <c r="N188" s="1"/>
  <c r="O188" s="1"/>
  <c r="P188" s="1"/>
  <c r="Q188" s="1"/>
  <c r="R188" s="1"/>
  <c r="F179"/>
  <c r="G179" s="1"/>
  <c r="H179" s="1"/>
  <c r="I179" s="1"/>
  <c r="J179" s="1"/>
  <c r="K179" s="1"/>
  <c r="L179" s="1"/>
  <c r="M179" s="1"/>
  <c r="N179" s="1"/>
  <c r="O179" s="1"/>
  <c r="P179" s="1"/>
  <c r="Q179" s="1"/>
  <c r="R179" s="1"/>
  <c r="H193"/>
  <c r="I193" s="1"/>
  <c r="J193" s="1"/>
  <c r="K193" s="1"/>
  <c r="L193" s="1"/>
  <c r="M193" s="1"/>
  <c r="N193" s="1"/>
  <c r="O193" s="1"/>
  <c r="P193" s="1"/>
  <c r="Q193" s="1"/>
  <c r="R193" s="1"/>
  <c r="H175"/>
  <c r="I175" s="1"/>
  <c r="J175" s="1"/>
  <c r="K175" s="1"/>
  <c r="L175" s="1"/>
  <c r="M175" s="1"/>
  <c r="N175" s="1"/>
  <c r="O175" s="1"/>
  <c r="P175" s="1"/>
  <c r="Q175" s="1"/>
  <c r="R175" s="1"/>
  <c r="F184"/>
  <c r="G184" s="1"/>
  <c r="H184" s="1"/>
  <c r="I184" s="1"/>
  <c r="J184" s="1"/>
  <c r="K184" s="1"/>
  <c r="L184" s="1"/>
  <c r="M184" s="1"/>
  <c r="N184" s="1"/>
  <c r="O184" s="1"/>
  <c r="P184" s="1"/>
  <c r="Q184" s="1"/>
  <c r="R184" s="1"/>
  <c r="J186"/>
  <c r="K186" s="1"/>
  <c r="L186" s="1"/>
  <c r="M186" s="1"/>
  <c r="N186" s="1"/>
  <c r="O186" s="1"/>
  <c r="P186" s="1"/>
  <c r="Q186" s="1"/>
  <c r="R186" s="1"/>
  <c r="I197"/>
  <c r="J197" s="1"/>
  <c r="K197" s="1"/>
  <c r="L197" s="1"/>
  <c r="M197" s="1"/>
  <c r="N197" s="1"/>
  <c r="O197" s="1"/>
  <c r="P197" s="1"/>
  <c r="Q197" s="1"/>
  <c r="R197" s="1"/>
  <c r="F194"/>
  <c r="G194" s="1"/>
  <c r="H194" s="1"/>
  <c r="I194" s="1"/>
  <c r="J194" s="1"/>
  <c r="K194" s="1"/>
  <c r="L194" s="1"/>
  <c r="M194" s="1"/>
  <c r="N194" s="1"/>
  <c r="O194" s="1"/>
  <c r="P194" s="1"/>
  <c r="Q194" s="1"/>
  <c r="R194" s="1"/>
  <c r="G191"/>
  <c r="H191" s="1"/>
  <c r="I191" s="1"/>
  <c r="J191" s="1"/>
  <c r="K191" s="1"/>
  <c r="L191" s="1"/>
  <c r="M191" s="1"/>
  <c r="N191" s="1"/>
  <c r="O191" s="1"/>
  <c r="P191" s="1"/>
  <c r="Q191" s="1"/>
  <c r="R191" s="1"/>
  <c r="N173"/>
  <c r="O173" s="1"/>
  <c r="P173" s="1"/>
  <c r="Q173" s="1"/>
  <c r="R173" s="1"/>
  <c r="H198"/>
  <c r="I198" s="1"/>
  <c r="J198" s="1"/>
  <c r="K198" s="1"/>
  <c r="L198" s="1"/>
  <c r="M198" s="1"/>
  <c r="N198" s="1"/>
  <c r="O198" s="1"/>
  <c r="P198" s="1"/>
  <c r="Q198" s="1"/>
  <c r="R198" s="1"/>
  <c r="F172"/>
  <c r="G172" s="1"/>
  <c r="H172" s="1"/>
  <c r="I172" s="1"/>
  <c r="J172" s="1"/>
  <c r="K172" s="1"/>
  <c r="L172" s="1"/>
  <c r="M172" s="1"/>
  <c r="N172" s="1"/>
  <c r="O172" s="1"/>
  <c r="P172" s="1"/>
  <c r="Q172" s="1"/>
  <c r="R172" s="1"/>
  <c r="G163"/>
  <c r="E163"/>
  <c r="E164" s="1"/>
  <c r="F164" s="1"/>
  <c r="Y108" i="6"/>
  <c r="F169" i="7"/>
  <c r="E202"/>
  <c r="U133" i="6"/>
  <c r="T133"/>
  <c r="H133"/>
  <c r="S38" i="7"/>
  <c r="X133" i="6"/>
  <c r="W133"/>
  <c r="V133"/>
  <c r="J133"/>
  <c r="M133"/>
  <c r="O133"/>
  <c r="G133"/>
  <c r="Y123"/>
  <c r="Y127"/>
  <c r="Y101"/>
  <c r="Y111"/>
  <c r="Y105"/>
  <c r="Y103"/>
  <c r="Y114"/>
  <c r="Q133"/>
  <c r="L133"/>
  <c r="P133"/>
  <c r="K133"/>
  <c r="R133"/>
  <c r="X60" i="7"/>
  <c r="X56"/>
  <c r="T56"/>
  <c r="T60"/>
  <c r="S61"/>
  <c r="S48"/>
  <c r="Z48" s="1"/>
  <c r="Y83"/>
  <c r="AE24" i="25" s="1"/>
  <c r="Y76" i="7"/>
  <c r="AE17" i="25" s="1"/>
  <c r="Y79" i="7"/>
  <c r="AE20" i="25" s="1"/>
  <c r="V56" i="7"/>
  <c r="V60"/>
  <c r="X84"/>
  <c r="AD25" i="25" s="1"/>
  <c r="X80" i="7"/>
  <c r="AD21" i="25" s="1"/>
  <c r="X75" i="7"/>
  <c r="AD16" i="25" s="1"/>
  <c r="U56" i="7"/>
  <c r="U60"/>
  <c r="Y119" i="6"/>
  <c r="Y109"/>
  <c r="Y121"/>
  <c r="S62" i="7"/>
  <c r="Z33"/>
  <c r="Z38" s="1"/>
  <c r="X38"/>
  <c r="Y75"/>
  <c r="AE16" i="25" s="1"/>
  <c r="Y80" i="7"/>
  <c r="AE21" i="25" s="1"/>
  <c r="Y84" i="7"/>
  <c r="AE25" i="25" s="1"/>
  <c r="S83" i="7"/>
  <c r="S79"/>
  <c r="S76"/>
  <c r="W56"/>
  <c r="W60"/>
  <c r="Y81"/>
  <c r="AE22" i="25" s="1"/>
  <c r="Y85" i="7"/>
  <c r="AE26" i="25" s="1"/>
  <c r="Y77" i="7"/>
  <c r="AE18" i="25" s="1"/>
  <c r="E133" i="6"/>
  <c r="E134" s="1"/>
  <c r="F134" s="1"/>
  <c r="Y128"/>
  <c r="Y110"/>
  <c r="Y126"/>
  <c r="Y118"/>
  <c r="Y107"/>
  <c r="Y102"/>
  <c r="Y120"/>
  <c r="Y112"/>
  <c r="S60" i="7"/>
  <c r="S56"/>
  <c r="Y82"/>
  <c r="AE23" i="25" s="1"/>
  <c r="Y78" i="7"/>
  <c r="AE19" i="25" s="1"/>
  <c r="Y74" i="7"/>
  <c r="Y124" i="6"/>
  <c r="Y125"/>
  <c r="Y122"/>
  <c r="Y106"/>
  <c r="Y115"/>
  <c r="Y116"/>
  <c r="Y104"/>
  <c r="Y129"/>
  <c r="G164" i="7" l="1"/>
  <c r="H164" s="1"/>
  <c r="I164" s="1"/>
  <c r="J164" s="1"/>
  <c r="K164" s="1"/>
  <c r="L164" s="1"/>
  <c r="M164" s="1"/>
  <c r="N164" s="1"/>
  <c r="O164" s="1"/>
  <c r="P164" s="1"/>
  <c r="Q164" s="1"/>
  <c r="R164" s="1"/>
  <c r="G134" i="6"/>
  <c r="H134" s="1"/>
  <c r="I134" s="1"/>
  <c r="J134" s="1"/>
  <c r="K134" s="1"/>
  <c r="L134" s="1"/>
  <c r="M134" s="1"/>
  <c r="N134" s="1"/>
  <c r="O134" s="1"/>
  <c r="P134" s="1"/>
  <c r="Q134" s="1"/>
  <c r="R134" s="1"/>
  <c r="S134" s="1"/>
  <c r="T134" s="1"/>
  <c r="U134" s="1"/>
  <c r="V134" s="1"/>
  <c r="W134" s="1"/>
  <c r="X134" s="1"/>
  <c r="G169" i="7"/>
  <c r="F202"/>
  <c r="X82"/>
  <c r="AD23" i="25" s="1"/>
  <c r="X74" i="7"/>
  <c r="X78"/>
  <c r="AD19" i="25" s="1"/>
  <c r="X65" i="7"/>
  <c r="W74"/>
  <c r="W78"/>
  <c r="AC19" i="25" s="1"/>
  <c r="W82" i="7"/>
  <c r="AC23" i="25" s="1"/>
  <c r="W65" i="7"/>
  <c r="Y24" i="25"/>
  <c r="AA83" i="7"/>
  <c r="Y133" i="6"/>
  <c r="S75" i="7"/>
  <c r="S84"/>
  <c r="S80"/>
  <c r="Y20" i="25"/>
  <c r="AA79" i="7"/>
  <c r="V74"/>
  <c r="V78"/>
  <c r="AB19" i="25" s="1"/>
  <c r="V82" i="7"/>
  <c r="AB23" i="25" s="1"/>
  <c r="V65" i="7"/>
  <c r="AA76"/>
  <c r="Y17" i="25"/>
  <c r="S81" i="7"/>
  <c r="S77"/>
  <c r="S85"/>
  <c r="U82"/>
  <c r="AA23" i="25" s="1"/>
  <c r="U74" i="7"/>
  <c r="U65"/>
  <c r="U78"/>
  <c r="AA19" i="25" s="1"/>
  <c r="T78" i="7"/>
  <c r="Z19" i="25" s="1"/>
  <c r="T65" i="7"/>
  <c r="T82"/>
  <c r="Z23" i="25" s="1"/>
  <c r="T74" i="7"/>
  <c r="Z56"/>
  <c r="AE15" i="25"/>
  <c r="Y100" i="7"/>
  <c r="Y113"/>
  <c r="Y106"/>
  <c r="Y107"/>
  <c r="Y95"/>
  <c r="Y120"/>
  <c r="Y99"/>
  <c r="Y121"/>
  <c r="Y111"/>
  <c r="Y109"/>
  <c r="Y117"/>
  <c r="Y96"/>
  <c r="Y103"/>
  <c r="Y108"/>
  <c r="Y123"/>
  <c r="Y114"/>
  <c r="Y102"/>
  <c r="Y93"/>
  <c r="Y130" s="1"/>
  <c r="Y105"/>
  <c r="Y101"/>
  <c r="Y119"/>
  <c r="Y98"/>
  <c r="Y94"/>
  <c r="Y112"/>
  <c r="Y87"/>
  <c r="Y97"/>
  <c r="Y110"/>
  <c r="Y118"/>
  <c r="Y122"/>
  <c r="Y116"/>
  <c r="Y124"/>
  <c r="Y161" s="1"/>
  <c r="Y200" s="1"/>
  <c r="Y115"/>
  <c r="Y152" s="1"/>
  <c r="Y191" s="1"/>
  <c r="Y104"/>
  <c r="Y141" s="1"/>
  <c r="Y180" s="1"/>
  <c r="S74"/>
  <c r="S78"/>
  <c r="S82"/>
  <c r="S65"/>
  <c r="Y149" l="1"/>
  <c r="Y188" s="1"/>
  <c r="Y138"/>
  <c r="Y177" s="1"/>
  <c r="Y133"/>
  <c r="Y172" s="1"/>
  <c r="G202"/>
  <c r="H169"/>
  <c r="Y155"/>
  <c r="Y194" s="1"/>
  <c r="Y144"/>
  <c r="Y183" s="1"/>
  <c r="T94"/>
  <c r="Z15" i="25"/>
  <c r="T111" i="7"/>
  <c r="T93"/>
  <c r="T130" s="1"/>
  <c r="T124"/>
  <c r="T114"/>
  <c r="T117"/>
  <c r="T95"/>
  <c r="T106"/>
  <c r="T96"/>
  <c r="T98"/>
  <c r="T112"/>
  <c r="T108"/>
  <c r="T120"/>
  <c r="T101"/>
  <c r="T122"/>
  <c r="T99"/>
  <c r="T119"/>
  <c r="T115"/>
  <c r="T109"/>
  <c r="T113"/>
  <c r="T102"/>
  <c r="T105"/>
  <c r="T100"/>
  <c r="T121"/>
  <c r="T103"/>
  <c r="T140" s="1"/>
  <c r="T104"/>
  <c r="T116"/>
  <c r="T87"/>
  <c r="T118"/>
  <c r="T97"/>
  <c r="T107"/>
  <c r="T123"/>
  <c r="T110"/>
  <c r="Y26" i="25"/>
  <c r="AA85" i="7"/>
  <c r="V124"/>
  <c r="V123"/>
  <c r="V122"/>
  <c r="V98"/>
  <c r="V101"/>
  <c r="V116"/>
  <c r="V111"/>
  <c r="V104"/>
  <c r="V112"/>
  <c r="V115"/>
  <c r="V118"/>
  <c r="V120"/>
  <c r="V109"/>
  <c r="V110"/>
  <c r="V119"/>
  <c r="V102"/>
  <c r="V94"/>
  <c r="V121"/>
  <c r="V117"/>
  <c r="V93"/>
  <c r="V130" s="1"/>
  <c r="V105"/>
  <c r="V108"/>
  <c r="V96"/>
  <c r="V99"/>
  <c r="V136" s="1"/>
  <c r="V113"/>
  <c r="V150" s="1"/>
  <c r="V100"/>
  <c r="V107"/>
  <c r="V114"/>
  <c r="V95"/>
  <c r="V132" s="1"/>
  <c r="AB15" i="25"/>
  <c r="V87" i="7"/>
  <c r="V103"/>
  <c r="V140" s="1"/>
  <c r="V97"/>
  <c r="V106"/>
  <c r="Y25" i="25"/>
  <c r="AA84" i="7"/>
  <c r="W111"/>
  <c r="W98"/>
  <c r="W102"/>
  <c r="W107"/>
  <c r="W114"/>
  <c r="AC15" i="25"/>
  <c r="W123" i="7"/>
  <c r="W124"/>
  <c r="W117"/>
  <c r="W108"/>
  <c r="W87"/>
  <c r="W103"/>
  <c r="W93"/>
  <c r="W130" s="1"/>
  <c r="W106"/>
  <c r="W120"/>
  <c r="W100"/>
  <c r="W110"/>
  <c r="W119"/>
  <c r="W121"/>
  <c r="W158" s="1"/>
  <c r="W109"/>
  <c r="W115"/>
  <c r="W152" s="1"/>
  <c r="W105"/>
  <c r="W99"/>
  <c r="W116"/>
  <c r="W112"/>
  <c r="W149" s="1"/>
  <c r="W95"/>
  <c r="W94"/>
  <c r="W104"/>
  <c r="W141" s="1"/>
  <c r="W122"/>
  <c r="W101"/>
  <c r="W113"/>
  <c r="W118"/>
  <c r="W97"/>
  <c r="W96"/>
  <c r="W133" s="1"/>
  <c r="Y21" i="25"/>
  <c r="AA80" i="7"/>
  <c r="X116"/>
  <c r="X101"/>
  <c r="X120"/>
  <c r="X106"/>
  <c r="X98"/>
  <c r="X104"/>
  <c r="X93"/>
  <c r="X130" s="1"/>
  <c r="X118"/>
  <c r="X102"/>
  <c r="X117"/>
  <c r="X97"/>
  <c r="X99"/>
  <c r="X115"/>
  <c r="X111"/>
  <c r="X114"/>
  <c r="X105"/>
  <c r="X109"/>
  <c r="X107"/>
  <c r="X119"/>
  <c r="X156" s="1"/>
  <c r="X87"/>
  <c r="X123"/>
  <c r="X94"/>
  <c r="X103"/>
  <c r="X100"/>
  <c r="X137" s="1"/>
  <c r="X110"/>
  <c r="X147" s="1"/>
  <c r="X112"/>
  <c r="X149" s="1"/>
  <c r="X96"/>
  <c r="X113"/>
  <c r="X121"/>
  <c r="AD15" i="25"/>
  <c r="X108" i="7"/>
  <c r="X124"/>
  <c r="X122"/>
  <c r="X159" s="1"/>
  <c r="X95"/>
  <c r="X132" s="1"/>
  <c r="Y147"/>
  <c r="Y186" s="1"/>
  <c r="Y131"/>
  <c r="Y170" s="1"/>
  <c r="U102"/>
  <c r="U114"/>
  <c r="U87"/>
  <c r="U121"/>
  <c r="U115"/>
  <c r="U109"/>
  <c r="U110"/>
  <c r="U104"/>
  <c r="AA15" i="25"/>
  <c r="U101" i="7"/>
  <c r="U95"/>
  <c r="U103"/>
  <c r="U100"/>
  <c r="U98"/>
  <c r="U112"/>
  <c r="U119"/>
  <c r="U111"/>
  <c r="U117"/>
  <c r="U106"/>
  <c r="U108"/>
  <c r="U123"/>
  <c r="U120"/>
  <c r="U94"/>
  <c r="U99"/>
  <c r="U105"/>
  <c r="U107"/>
  <c r="U118"/>
  <c r="U116"/>
  <c r="U96"/>
  <c r="U113"/>
  <c r="U93"/>
  <c r="U130" s="1"/>
  <c r="U97"/>
  <c r="U124"/>
  <c r="U122"/>
  <c r="Y22" i="25"/>
  <c r="AA81" i="7"/>
  <c r="Y151"/>
  <c r="Y190" s="1"/>
  <c r="Y158"/>
  <c r="Y197" s="1"/>
  <c r="Y18" i="25"/>
  <c r="AA77" i="7"/>
  <c r="Y16" i="25"/>
  <c r="AA75" i="7"/>
  <c r="Y148"/>
  <c r="Y187" s="1"/>
  <c r="Y132"/>
  <c r="Y171" s="1"/>
  <c r="Y137"/>
  <c r="Y176" s="1"/>
  <c r="Y23" i="25"/>
  <c r="AA82" i="7"/>
  <c r="Y15" i="25"/>
  <c r="AA74" i="7"/>
  <c r="S114"/>
  <c r="S124"/>
  <c r="S107"/>
  <c r="S99"/>
  <c r="S112"/>
  <c r="S100"/>
  <c r="S98"/>
  <c r="S120"/>
  <c r="S104"/>
  <c r="S123"/>
  <c r="S106"/>
  <c r="S111"/>
  <c r="S87"/>
  <c r="S117"/>
  <c r="S96"/>
  <c r="S94"/>
  <c r="S97"/>
  <c r="S101"/>
  <c r="S138" s="1"/>
  <c r="S177" s="1"/>
  <c r="S105"/>
  <c r="S113"/>
  <c r="S119"/>
  <c r="S95"/>
  <c r="S93"/>
  <c r="S130" s="1"/>
  <c r="S121"/>
  <c r="S158" s="1"/>
  <c r="S197" s="1"/>
  <c r="S116"/>
  <c r="S103"/>
  <c r="S115"/>
  <c r="S102"/>
  <c r="S122"/>
  <c r="S110"/>
  <c r="S108"/>
  <c r="S145" s="1"/>
  <c r="S184" s="1"/>
  <c r="S118"/>
  <c r="S109"/>
  <c r="Y169"/>
  <c r="Y159"/>
  <c r="Y198" s="1"/>
  <c r="Y139"/>
  <c r="Y178" s="1"/>
  <c r="Y153"/>
  <c r="Y192" s="1"/>
  <c r="Y134"/>
  <c r="Y173" s="1"/>
  <c r="Y135"/>
  <c r="Y174" s="1"/>
  <c r="Y145"/>
  <c r="Y184" s="1"/>
  <c r="Y146"/>
  <c r="Y185" s="1"/>
  <c r="Y157"/>
  <c r="Y196" s="1"/>
  <c r="Y150"/>
  <c r="Y189" s="1"/>
  <c r="Y19" i="25"/>
  <c r="AA78" i="7"/>
  <c r="Y156"/>
  <c r="Y195" s="1"/>
  <c r="Y140"/>
  <c r="Y179" s="1"/>
  <c r="Y142"/>
  <c r="Y181" s="1"/>
  <c r="Y160"/>
  <c r="Y199" s="1"/>
  <c r="Y154"/>
  <c r="Y193" s="1"/>
  <c r="Y136"/>
  <c r="Y175" s="1"/>
  <c r="Y143"/>
  <c r="Y182" s="1"/>
  <c r="T197" l="1"/>
  <c r="U197" s="1"/>
  <c r="U160"/>
  <c r="U152"/>
  <c r="U139"/>
  <c r="X139"/>
  <c r="W134"/>
  <c r="V161"/>
  <c r="T158"/>
  <c r="H202"/>
  <c r="I169"/>
  <c r="U161"/>
  <c r="S140"/>
  <c r="S179" s="1"/>
  <c r="T179" s="1"/>
  <c r="S132"/>
  <c r="S171" s="1"/>
  <c r="S137"/>
  <c r="S176" s="1"/>
  <c r="U155"/>
  <c r="U143"/>
  <c r="U149"/>
  <c r="U147"/>
  <c r="X145"/>
  <c r="X133"/>
  <c r="X140"/>
  <c r="X151"/>
  <c r="W150"/>
  <c r="W131"/>
  <c r="W136"/>
  <c r="W157"/>
  <c r="W160"/>
  <c r="W139"/>
  <c r="V144"/>
  <c r="V133"/>
  <c r="V154"/>
  <c r="V148"/>
  <c r="V159"/>
  <c r="T134"/>
  <c r="T141"/>
  <c r="T152"/>
  <c r="T138"/>
  <c r="T177" s="1"/>
  <c r="T154"/>
  <c r="T148"/>
  <c r="U136"/>
  <c r="U145"/>
  <c r="U158"/>
  <c r="X150"/>
  <c r="X142"/>
  <c r="X155"/>
  <c r="W155"/>
  <c r="W146"/>
  <c r="W144"/>
  <c r="V139"/>
  <c r="T144"/>
  <c r="T137"/>
  <c r="T146"/>
  <c r="T132"/>
  <c r="U142"/>
  <c r="U137"/>
  <c r="W147"/>
  <c r="V142"/>
  <c r="V131"/>
  <c r="V146"/>
  <c r="V138"/>
  <c r="T160"/>
  <c r="T150"/>
  <c r="T131"/>
  <c r="X157"/>
  <c r="U133"/>
  <c r="U148"/>
  <c r="X158"/>
  <c r="X160"/>
  <c r="X146"/>
  <c r="X152"/>
  <c r="X135"/>
  <c r="X153"/>
  <c r="W159"/>
  <c r="W154"/>
  <c r="W151"/>
  <c r="W148"/>
  <c r="V134"/>
  <c r="V149"/>
  <c r="T136"/>
  <c r="T145"/>
  <c r="T184" s="1"/>
  <c r="U184" s="1"/>
  <c r="T143"/>
  <c r="T161"/>
  <c r="X134"/>
  <c r="V156"/>
  <c r="T142"/>
  <c r="T135"/>
  <c r="S146"/>
  <c r="S185" s="1"/>
  <c r="S153"/>
  <c r="S192" s="1"/>
  <c r="S156"/>
  <c r="S195" s="1"/>
  <c r="S134"/>
  <c r="S173" s="1"/>
  <c r="S149"/>
  <c r="S188" s="1"/>
  <c r="U159"/>
  <c r="U150"/>
  <c r="U144"/>
  <c r="U157"/>
  <c r="U154"/>
  <c r="U135"/>
  <c r="U138"/>
  <c r="U146"/>
  <c r="U151"/>
  <c r="X131"/>
  <c r="X144"/>
  <c r="X148"/>
  <c r="X154"/>
  <c r="X141"/>
  <c r="X138"/>
  <c r="W138"/>
  <c r="W132"/>
  <c r="W142"/>
  <c r="W156"/>
  <c r="W143"/>
  <c r="W145"/>
  <c r="W135"/>
  <c r="V143"/>
  <c r="V137"/>
  <c r="V145"/>
  <c r="V158"/>
  <c r="V147"/>
  <c r="V152"/>
  <c r="V153"/>
  <c r="V160"/>
  <c r="T147"/>
  <c r="T155"/>
  <c r="T139"/>
  <c r="T156"/>
  <c r="T157"/>
  <c r="T133"/>
  <c r="T151"/>
  <c r="U131"/>
  <c r="U132"/>
  <c r="V155"/>
  <c r="U134"/>
  <c r="U153"/>
  <c r="U156"/>
  <c r="U140"/>
  <c r="U141"/>
  <c r="X161"/>
  <c r="X136"/>
  <c r="X143"/>
  <c r="W153"/>
  <c r="W137"/>
  <c r="W140"/>
  <c r="W161"/>
  <c r="V151"/>
  <c r="V157"/>
  <c r="V141"/>
  <c r="V135"/>
  <c r="T153"/>
  <c r="T159"/>
  <c r="T149"/>
  <c r="S160"/>
  <c r="S199" s="1"/>
  <c r="S159"/>
  <c r="S198" s="1"/>
  <c r="AA87"/>
  <c r="C10"/>
  <c r="S142"/>
  <c r="S181" s="1"/>
  <c r="S141"/>
  <c r="S180" s="1"/>
  <c r="Y202"/>
  <c r="Y163"/>
  <c r="S152"/>
  <c r="S191" s="1"/>
  <c r="S133"/>
  <c r="S172" s="1"/>
  <c r="S143"/>
  <c r="S182" s="1"/>
  <c r="S135"/>
  <c r="S174" s="1"/>
  <c r="S144"/>
  <c r="S183" s="1"/>
  <c r="T183" s="1"/>
  <c r="U183" s="1"/>
  <c r="V183" s="1"/>
  <c r="S151"/>
  <c r="S190" s="1"/>
  <c r="S150"/>
  <c r="S189" s="1"/>
  <c r="S147"/>
  <c r="S186" s="1"/>
  <c r="S154"/>
  <c r="S193" s="1"/>
  <c r="T193" s="1"/>
  <c r="U193" s="1"/>
  <c r="V193" s="1"/>
  <c r="W193" s="1"/>
  <c r="X193" s="1"/>
  <c r="S161"/>
  <c r="S200" s="1"/>
  <c r="T200" s="1"/>
  <c r="U200" s="1"/>
  <c r="V200" s="1"/>
  <c r="S155"/>
  <c r="S194" s="1"/>
  <c r="S139"/>
  <c r="S178" s="1"/>
  <c r="S131"/>
  <c r="S170" s="1"/>
  <c r="S148"/>
  <c r="S187" s="1"/>
  <c r="S157"/>
  <c r="S196" s="1"/>
  <c r="S136"/>
  <c r="S175" s="1"/>
  <c r="T175" s="1"/>
  <c r="B87"/>
  <c r="T178" l="1"/>
  <c r="U178" s="1"/>
  <c r="V178" s="1"/>
  <c r="W178" s="1"/>
  <c r="X178" s="1"/>
  <c r="T170"/>
  <c r="U170" s="1"/>
  <c r="V170" s="1"/>
  <c r="W170" s="1"/>
  <c r="X170" s="1"/>
  <c r="W183"/>
  <c r="X183" s="1"/>
  <c r="T191"/>
  <c r="U191" s="1"/>
  <c r="V191" s="1"/>
  <c r="W191" s="1"/>
  <c r="X191" s="1"/>
  <c r="T171"/>
  <c r="U171" s="1"/>
  <c r="V171" s="1"/>
  <c r="W171" s="1"/>
  <c r="X171" s="1"/>
  <c r="T190"/>
  <c r="U190" s="1"/>
  <c r="V190" s="1"/>
  <c r="W190" s="1"/>
  <c r="X190" s="1"/>
  <c r="V197"/>
  <c r="W197" s="1"/>
  <c r="X197" s="1"/>
  <c r="T173"/>
  <c r="U173" s="1"/>
  <c r="V173" s="1"/>
  <c r="W173" s="1"/>
  <c r="X173" s="1"/>
  <c r="J169"/>
  <c r="I202"/>
  <c r="U177"/>
  <c r="V177" s="1"/>
  <c r="W177" s="1"/>
  <c r="X177" s="1"/>
  <c r="T189"/>
  <c r="U189" s="1"/>
  <c r="V189" s="1"/>
  <c r="W189" s="1"/>
  <c r="X189" s="1"/>
  <c r="T199"/>
  <c r="U199" s="1"/>
  <c r="V199" s="1"/>
  <c r="W199" s="1"/>
  <c r="X199" s="1"/>
  <c r="U179"/>
  <c r="V179" s="1"/>
  <c r="W179" s="1"/>
  <c r="X179" s="1"/>
  <c r="T185"/>
  <c r="T187"/>
  <c r="U187" s="1"/>
  <c r="V187" s="1"/>
  <c r="W187" s="1"/>
  <c r="X187" s="1"/>
  <c r="U175"/>
  <c r="V175" s="1"/>
  <c r="W175" s="1"/>
  <c r="X175" s="1"/>
  <c r="T180"/>
  <c r="U180" s="1"/>
  <c r="V180" s="1"/>
  <c r="W180" s="1"/>
  <c r="X180" s="1"/>
  <c r="V184"/>
  <c r="W184" s="1"/>
  <c r="X184" s="1"/>
  <c r="T176"/>
  <c r="U176" s="1"/>
  <c r="V176" s="1"/>
  <c r="W176" s="1"/>
  <c r="X176" s="1"/>
  <c r="T172"/>
  <c r="U172" s="1"/>
  <c r="V172" s="1"/>
  <c r="W172" s="1"/>
  <c r="X172" s="1"/>
  <c r="V163"/>
  <c r="T194"/>
  <c r="U194" s="1"/>
  <c r="X163"/>
  <c r="T198"/>
  <c r="U198" s="1"/>
  <c r="V198" s="1"/>
  <c r="W198" s="1"/>
  <c r="X198" s="1"/>
  <c r="U163"/>
  <c r="W163"/>
  <c r="T163"/>
  <c r="W200"/>
  <c r="X200" s="1"/>
  <c r="T188"/>
  <c r="U188" s="1"/>
  <c r="V188" s="1"/>
  <c r="W188" s="1"/>
  <c r="X188" s="1"/>
  <c r="U185"/>
  <c r="V185" s="1"/>
  <c r="W185" s="1"/>
  <c r="X185" s="1"/>
  <c r="T196"/>
  <c r="U196" s="1"/>
  <c r="V196" s="1"/>
  <c r="W196" s="1"/>
  <c r="X196" s="1"/>
  <c r="V194"/>
  <c r="W194" s="1"/>
  <c r="X194" s="1"/>
  <c r="T182"/>
  <c r="U182" s="1"/>
  <c r="V182" s="1"/>
  <c r="W182" s="1"/>
  <c r="X182" s="1"/>
  <c r="T181"/>
  <c r="U181" s="1"/>
  <c r="V181" s="1"/>
  <c r="W181" s="1"/>
  <c r="X181" s="1"/>
  <c r="T192"/>
  <c r="U192" s="1"/>
  <c r="V192" s="1"/>
  <c r="W192" s="1"/>
  <c r="X192" s="1"/>
  <c r="T186"/>
  <c r="U186" s="1"/>
  <c r="V186" s="1"/>
  <c r="W186" s="1"/>
  <c r="X186" s="1"/>
  <c r="T174"/>
  <c r="U174" s="1"/>
  <c r="V174" s="1"/>
  <c r="W174" s="1"/>
  <c r="X174" s="1"/>
  <c r="T195"/>
  <c r="U195" s="1"/>
  <c r="V195" s="1"/>
  <c r="W195" s="1"/>
  <c r="X195" s="1"/>
  <c r="S163"/>
  <c r="S164" s="1"/>
  <c r="T164" s="1"/>
  <c r="U164" s="1"/>
  <c r="V164" s="1"/>
  <c r="W164" s="1"/>
  <c r="X164" s="1"/>
  <c r="J202" l="1"/>
  <c r="K169"/>
  <c r="L169" l="1"/>
  <c r="K202"/>
  <c r="L202" l="1"/>
  <c r="M169"/>
  <c r="N169" l="1"/>
  <c r="M202"/>
  <c r="O169" l="1"/>
  <c r="N202"/>
  <c r="O202" l="1"/>
  <c r="P169"/>
  <c r="Q169" l="1"/>
  <c r="P202"/>
  <c r="Q202" l="1"/>
  <c r="R169"/>
  <c r="R202" l="1"/>
  <c r="S169"/>
  <c r="S202" l="1"/>
  <c r="T169"/>
  <c r="U169" l="1"/>
  <c r="T202"/>
  <c r="V169" l="1"/>
  <c r="U202"/>
  <c r="W169" l="1"/>
  <c r="V202"/>
  <c r="W202" l="1"/>
  <c r="X169"/>
  <c r="X202" s="1"/>
</calcChain>
</file>

<file path=xl/comments1.xml><?xml version="1.0" encoding="utf-8"?>
<comments xmlns="http://schemas.openxmlformats.org/spreadsheetml/2006/main">
  <authors>
    <author>Tina Jayaweera</author>
  </authors>
  <commentList>
    <comment ref="E24" authorId="0">
      <text>
        <r>
          <rPr>
            <b/>
            <sz val="9"/>
            <color indexed="81"/>
            <rFont val="Tahoma"/>
            <family val="2"/>
          </rPr>
          <t>Tina Jayaweera:</t>
        </r>
        <r>
          <rPr>
            <sz val="9"/>
            <color indexed="81"/>
            <rFont val="Tahoma"/>
            <family val="2"/>
          </rPr>
          <t xml:space="preserve">
unit washers + common area washers</t>
        </r>
      </text>
    </comment>
    <comment ref="E25" authorId="0">
      <text>
        <r>
          <rPr>
            <b/>
            <sz val="9"/>
            <color indexed="81"/>
            <rFont val="Tahoma"/>
            <family val="2"/>
          </rPr>
          <t>Tina Jayaweera:</t>
        </r>
        <r>
          <rPr>
            <sz val="9"/>
            <color indexed="81"/>
            <rFont val="Tahoma"/>
            <family val="2"/>
          </rPr>
          <t xml:space="preserve">
unit washers + common area washers</t>
        </r>
      </text>
    </comment>
  </commentList>
</comments>
</file>

<file path=xl/comments10.xml><?xml version="1.0" encoding="utf-8"?>
<comments xmlns="http://schemas.openxmlformats.org/spreadsheetml/2006/main">
  <authors>
    <author xml:space="preserve"> </author>
  </authors>
  <commentList>
    <comment ref="BI1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BO1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BA1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B1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BC1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BD17" authorId="0">
      <text>
        <r>
          <rPr>
            <b/>
            <sz val="8"/>
            <color indexed="81"/>
            <rFont val="Tahoma"/>
            <family val="2"/>
          </rPr>
          <t xml:space="preserve"> :ProCost</t>
        </r>
        <r>
          <rPr>
            <sz val="8"/>
            <color indexed="81"/>
            <rFont val="Tahoma"/>
            <family val="2"/>
          </rPr>
          <t xml:space="preserve">
Physical life of the measure in years.  Must be &gt;=1.</t>
        </r>
      </text>
    </comment>
    <comment ref="BE1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BF1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BG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1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BI1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BJ1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BK1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BL1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BM1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BN1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BO17" authorId="0">
      <text>
        <r>
          <rPr>
            <b/>
            <sz val="8"/>
            <color indexed="81"/>
            <rFont val="Tahoma"/>
            <family val="2"/>
          </rPr>
          <t xml:space="preserve"> :</t>
        </r>
        <r>
          <rPr>
            <sz val="8"/>
            <color indexed="81"/>
            <rFont val="Tahoma"/>
            <family val="2"/>
          </rPr>
          <t xml:space="preserve">
Annual gas savings, or increases, in therms.</t>
        </r>
      </text>
    </comment>
    <comment ref="BP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11.xml><?xml version="1.0" encoding="utf-8"?>
<comments xmlns="http://schemas.openxmlformats.org/spreadsheetml/2006/main">
  <authors>
    <author xml:space="preserve"> </author>
  </authors>
  <commentList>
    <comment ref="BI1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BO1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BA1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B1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BC1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BD17" authorId="0">
      <text>
        <r>
          <rPr>
            <b/>
            <sz val="8"/>
            <color indexed="81"/>
            <rFont val="Tahoma"/>
            <family val="2"/>
          </rPr>
          <t xml:space="preserve"> :ProCost</t>
        </r>
        <r>
          <rPr>
            <sz val="8"/>
            <color indexed="81"/>
            <rFont val="Tahoma"/>
            <family val="2"/>
          </rPr>
          <t xml:space="preserve">
Physical life of the measure in years.  Must be &gt;=1.</t>
        </r>
      </text>
    </comment>
    <comment ref="BE1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BF1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BG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1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BI1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BJ1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BK1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BL1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BM1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BN1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BO17" authorId="0">
      <text>
        <r>
          <rPr>
            <b/>
            <sz val="8"/>
            <color indexed="81"/>
            <rFont val="Tahoma"/>
            <family val="2"/>
          </rPr>
          <t xml:space="preserve"> :</t>
        </r>
        <r>
          <rPr>
            <sz val="8"/>
            <color indexed="81"/>
            <rFont val="Tahoma"/>
            <family val="2"/>
          </rPr>
          <t xml:space="preserve">
Annual gas savings, or increases, in therms.</t>
        </r>
      </text>
    </comment>
    <comment ref="BP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12.xml><?xml version="1.0" encoding="utf-8"?>
<comments xmlns="http://schemas.openxmlformats.org/spreadsheetml/2006/main">
  <authors>
    <author xml:space="preserve"> </author>
  </authors>
  <commentList>
    <comment ref="BI1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BO1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BA1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B1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BC1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BD17" authorId="0">
      <text>
        <r>
          <rPr>
            <b/>
            <sz val="8"/>
            <color indexed="81"/>
            <rFont val="Tahoma"/>
            <family val="2"/>
          </rPr>
          <t xml:space="preserve"> :ProCost</t>
        </r>
        <r>
          <rPr>
            <sz val="8"/>
            <color indexed="81"/>
            <rFont val="Tahoma"/>
            <family val="2"/>
          </rPr>
          <t xml:space="preserve">
Physical life of the measure in years.  Must be &gt;=1.</t>
        </r>
      </text>
    </comment>
    <comment ref="BE1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BF1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BG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1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BI1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BJ1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BK1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BL1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BM1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BN1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BO17" authorId="0">
      <text>
        <r>
          <rPr>
            <b/>
            <sz val="8"/>
            <color indexed="81"/>
            <rFont val="Tahoma"/>
            <family val="2"/>
          </rPr>
          <t xml:space="preserve"> :</t>
        </r>
        <r>
          <rPr>
            <sz val="8"/>
            <color indexed="81"/>
            <rFont val="Tahoma"/>
            <family val="2"/>
          </rPr>
          <t xml:space="preserve">
Annual gas savings, or increases, in therms.</t>
        </r>
      </text>
    </comment>
    <comment ref="BP1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2.xml><?xml version="1.0" encoding="utf-8"?>
<comments xmlns="http://schemas.openxmlformats.org/spreadsheetml/2006/main">
  <authors>
    <author>Tina Jayaweera</author>
  </authors>
  <commentList>
    <comment ref="E44" authorId="0">
      <text>
        <r>
          <rPr>
            <b/>
            <sz val="9"/>
            <color indexed="81"/>
            <rFont val="Tahoma"/>
            <family val="2"/>
          </rPr>
          <t>Tina Jayaweera:</t>
        </r>
        <r>
          <rPr>
            <sz val="9"/>
            <color indexed="81"/>
            <rFont val="Tahoma"/>
            <family val="2"/>
          </rPr>
          <t xml:space="preserve">
unit washers + common area washers</t>
        </r>
      </text>
    </comment>
    <comment ref="E45" authorId="0">
      <text>
        <r>
          <rPr>
            <b/>
            <sz val="9"/>
            <color indexed="81"/>
            <rFont val="Tahoma"/>
            <family val="2"/>
          </rPr>
          <t>Tina Jayaweera:</t>
        </r>
        <r>
          <rPr>
            <sz val="9"/>
            <color indexed="81"/>
            <rFont val="Tahoma"/>
            <family val="2"/>
          </rPr>
          <t xml:space="preserve">
unit washers + common area washers</t>
        </r>
      </text>
    </comment>
    <comment ref="E52" authorId="0">
      <text>
        <r>
          <rPr>
            <b/>
            <sz val="9"/>
            <color indexed="81"/>
            <rFont val="Tahoma"/>
            <family val="2"/>
          </rPr>
          <t>Tina Jayaweera:</t>
        </r>
        <r>
          <rPr>
            <sz val="9"/>
            <color indexed="81"/>
            <rFont val="Tahoma"/>
            <family val="2"/>
          </rPr>
          <t xml:space="preserve">
unit washers + common area washers</t>
        </r>
      </text>
    </comment>
    <comment ref="E53" authorId="0">
      <text>
        <r>
          <rPr>
            <b/>
            <sz val="9"/>
            <color indexed="81"/>
            <rFont val="Tahoma"/>
            <family val="2"/>
          </rPr>
          <t>Tina Jayaweera:</t>
        </r>
        <r>
          <rPr>
            <sz val="9"/>
            <color indexed="81"/>
            <rFont val="Tahoma"/>
            <family val="2"/>
          </rPr>
          <t xml:space="preserve">
unit washers + common area washers</t>
        </r>
      </text>
    </comment>
  </commentList>
</comments>
</file>

<file path=xl/comments3.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G8" authorId="1">
      <text>
        <r>
          <rPr>
            <b/>
            <sz val="9"/>
            <color indexed="81"/>
            <rFont val="Tahoma"/>
            <family val="2"/>
          </rPr>
          <t>Tina Jayaweera:</t>
        </r>
        <r>
          <rPr>
            <sz val="9"/>
            <color indexed="81"/>
            <rFont val="Tahoma"/>
            <family val="2"/>
          </rPr>
          <t xml:space="preserve">
Using same shape as wastewater SC workbook</t>
        </r>
      </text>
    </comment>
    <comment ref="BH71"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71"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71"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71"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12"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12"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12"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12"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4.xml><?xml version="1.0" encoding="utf-8"?>
<comments xmlns="http://schemas.openxmlformats.org/spreadsheetml/2006/main">
  <authors>
    <author xml:space="preserve"> </author>
  </authors>
  <commentList>
    <comment ref="K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C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5" authorId="0">
      <text>
        <r>
          <rPr>
            <b/>
            <sz val="8"/>
            <color indexed="81"/>
            <rFont val="Tahoma"/>
            <family val="2"/>
          </rPr>
          <t xml:space="preserve"> :ProCost</t>
        </r>
        <r>
          <rPr>
            <sz val="8"/>
            <color indexed="81"/>
            <rFont val="Tahoma"/>
            <family val="2"/>
          </rPr>
          <t xml:space="preserve">
Physical life of the measure in years.  Must be &gt;=1.</t>
        </r>
      </text>
    </comment>
    <comment ref="G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I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J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5" authorId="0">
      <text>
        <r>
          <rPr>
            <b/>
            <sz val="8"/>
            <color indexed="81"/>
            <rFont val="Tahoma"/>
            <family val="2"/>
          </rPr>
          <t xml:space="preserve"> :</t>
        </r>
        <r>
          <rPr>
            <sz val="8"/>
            <color indexed="81"/>
            <rFont val="Tahoma"/>
            <family val="2"/>
          </rPr>
          <t xml:space="preserve">
Annual gas savings, or increases, in therms.</t>
        </r>
      </text>
    </comment>
    <comment ref="R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5.xml><?xml version="1.0" encoding="utf-8"?>
<comments xmlns="http://schemas.openxmlformats.org/spreadsheetml/2006/main">
  <authors>
    <author xml:space="preserve"> </author>
  </authors>
  <commentList>
    <comment ref="K5"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5"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C6"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6"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6"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6" authorId="0">
      <text>
        <r>
          <rPr>
            <b/>
            <sz val="8"/>
            <color indexed="81"/>
            <rFont val="Tahoma"/>
            <family val="2"/>
          </rPr>
          <t xml:space="preserve"> :ProCost</t>
        </r>
        <r>
          <rPr>
            <sz val="8"/>
            <color indexed="81"/>
            <rFont val="Tahoma"/>
            <family val="2"/>
          </rPr>
          <t xml:space="preserve">
Physical life of the measure in years.  Must be &gt;=1.</t>
        </r>
      </text>
    </comment>
    <comment ref="G6"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6"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I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J6"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6"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6"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6"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6"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6"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6"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6" authorId="0">
      <text>
        <r>
          <rPr>
            <b/>
            <sz val="8"/>
            <color indexed="81"/>
            <rFont val="Tahoma"/>
            <family val="2"/>
          </rPr>
          <t xml:space="preserve"> :</t>
        </r>
        <r>
          <rPr>
            <sz val="8"/>
            <color indexed="81"/>
            <rFont val="Tahoma"/>
            <family val="2"/>
          </rPr>
          <t xml:space="preserve">
Annual gas savings, or increases, in therms.</t>
        </r>
      </text>
    </comment>
    <comment ref="R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K37"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37"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C38"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38"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38"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38" authorId="0">
      <text>
        <r>
          <rPr>
            <b/>
            <sz val="8"/>
            <color indexed="81"/>
            <rFont val="Tahoma"/>
            <family val="2"/>
          </rPr>
          <t xml:space="preserve"> :ProCost</t>
        </r>
        <r>
          <rPr>
            <sz val="8"/>
            <color indexed="81"/>
            <rFont val="Tahoma"/>
            <family val="2"/>
          </rPr>
          <t xml:space="preserve">
Physical life of the measure in years.  Must be &gt;=1.</t>
        </r>
      </text>
    </comment>
    <comment ref="G38"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38"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I3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J38"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38"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38"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38"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38"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38"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38"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38" authorId="0">
      <text>
        <r>
          <rPr>
            <b/>
            <sz val="8"/>
            <color indexed="81"/>
            <rFont val="Tahoma"/>
            <family val="2"/>
          </rPr>
          <t xml:space="preserve"> :</t>
        </r>
        <r>
          <rPr>
            <sz val="8"/>
            <color indexed="81"/>
            <rFont val="Tahoma"/>
            <family val="2"/>
          </rPr>
          <t xml:space="preserve">
Annual gas savings, or increases, in therms.</t>
        </r>
      </text>
    </comment>
    <comment ref="R3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6.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7.xml><?xml version="1.0" encoding="utf-8"?>
<comments xmlns="http://schemas.openxmlformats.org/spreadsheetml/2006/main">
  <authors>
    <author>Christian</author>
  </authors>
  <commentList>
    <comment ref="B4" authorId="0">
      <text>
        <r>
          <rPr>
            <b/>
            <sz val="9"/>
            <color indexed="81"/>
            <rFont val="Tahoma"/>
            <family val="2"/>
          </rPr>
          <t>Christian:</t>
        </r>
        <r>
          <rPr>
            <sz val="9"/>
            <color indexed="81"/>
            <rFont val="Tahoma"/>
            <family val="2"/>
          </rPr>
          <t xml:space="preserve">
Minimum Modified Energy Factor (MEF)</t>
        </r>
      </text>
    </comment>
    <comment ref="C4" authorId="0">
      <text>
        <r>
          <rPr>
            <b/>
            <sz val="9"/>
            <color indexed="81"/>
            <rFont val="Tahoma"/>
            <family val="2"/>
          </rPr>
          <t>Christian:</t>
        </r>
        <r>
          <rPr>
            <sz val="9"/>
            <color indexed="81"/>
            <rFont val="Tahoma"/>
            <family val="2"/>
          </rPr>
          <t xml:space="preserve">
Maximum Water Factor (WF)</t>
        </r>
      </text>
    </comment>
    <comment ref="B18" authorId="0">
      <text>
        <r>
          <rPr>
            <b/>
            <sz val="9"/>
            <color indexed="81"/>
            <rFont val="Tahoma"/>
            <family val="2"/>
          </rPr>
          <t>Christian:</t>
        </r>
        <r>
          <rPr>
            <sz val="9"/>
            <color indexed="81"/>
            <rFont val="Tahoma"/>
            <family val="2"/>
          </rPr>
          <t xml:space="preserve">
Minimum Integrated Modified Energy Factor (IMEF)</t>
        </r>
      </text>
    </comment>
    <comment ref="C18" authorId="0">
      <text>
        <r>
          <rPr>
            <b/>
            <sz val="9"/>
            <color indexed="81"/>
            <rFont val="Tahoma"/>
            <family val="2"/>
          </rPr>
          <t>Christian:</t>
        </r>
        <r>
          <rPr>
            <sz val="9"/>
            <color indexed="81"/>
            <rFont val="Tahoma"/>
            <family val="2"/>
          </rPr>
          <t xml:space="preserve">
Maximum Integrated Water Factor (IWF)</t>
        </r>
      </text>
    </comment>
    <comment ref="B37" authorId="0">
      <text>
        <r>
          <rPr>
            <b/>
            <sz val="9"/>
            <color indexed="81"/>
            <rFont val="Tahoma"/>
            <family val="2"/>
          </rPr>
          <t>Christian:</t>
        </r>
        <r>
          <rPr>
            <sz val="9"/>
            <color indexed="81"/>
            <rFont val="Tahoma"/>
            <family val="2"/>
          </rPr>
          <t xml:space="preserve">
Minimum Integrated Modified Energy Factor (IMEF)</t>
        </r>
      </text>
    </comment>
    <comment ref="C37" authorId="0">
      <text>
        <r>
          <rPr>
            <b/>
            <sz val="9"/>
            <color indexed="81"/>
            <rFont val="Tahoma"/>
            <family val="2"/>
          </rPr>
          <t>Christian:</t>
        </r>
        <r>
          <rPr>
            <sz val="9"/>
            <color indexed="81"/>
            <rFont val="Tahoma"/>
            <family val="2"/>
          </rPr>
          <t xml:space="preserve">
Maximum Integrated Water Factor (IWF)</t>
        </r>
      </text>
    </comment>
  </commentList>
</comments>
</file>

<file path=xl/comments8.xml><?xml version="1.0" encoding="utf-8"?>
<comments xmlns="http://schemas.openxmlformats.org/spreadsheetml/2006/main">
  <authors>
    <author>Christian</author>
  </authors>
  <commentList>
    <comment ref="AV1" authorId="0">
      <text>
        <r>
          <rPr>
            <b/>
            <sz val="9"/>
            <color indexed="81"/>
            <rFont val="Tahoma"/>
            <family val="2"/>
          </rPr>
          <t>Christian:</t>
        </r>
        <r>
          <rPr>
            <sz val="9"/>
            <color indexed="81"/>
            <rFont val="Tahoma"/>
            <family val="2"/>
          </rPr>
          <t xml:space="preserve">
March 2015 fed standard</t>
        </r>
      </text>
    </comment>
    <comment ref="AW1" authorId="0">
      <text>
        <r>
          <rPr>
            <b/>
            <sz val="9"/>
            <color indexed="81"/>
            <rFont val="Tahoma"/>
            <family val="2"/>
          </rPr>
          <t>Christian:</t>
        </r>
        <r>
          <rPr>
            <sz val="9"/>
            <color indexed="81"/>
            <rFont val="Tahoma"/>
            <family val="2"/>
          </rPr>
          <t xml:space="preserve">
March 2015 fed standard</t>
        </r>
      </text>
    </comment>
    <comment ref="AX1" authorId="0">
      <text>
        <r>
          <rPr>
            <b/>
            <sz val="9"/>
            <color indexed="81"/>
            <rFont val="Tahoma"/>
            <family val="2"/>
          </rPr>
          <t>Christian:</t>
        </r>
        <r>
          <rPr>
            <sz val="9"/>
            <color indexed="81"/>
            <rFont val="Tahoma"/>
            <family val="2"/>
          </rPr>
          <t xml:space="preserve">
March 2015 fed standard</t>
        </r>
      </text>
    </comment>
    <comment ref="AY1" authorId="0">
      <text>
        <r>
          <rPr>
            <b/>
            <sz val="9"/>
            <color indexed="81"/>
            <rFont val="Tahoma"/>
            <family val="2"/>
          </rPr>
          <t>Christian:</t>
        </r>
        <r>
          <rPr>
            <sz val="9"/>
            <color indexed="81"/>
            <rFont val="Tahoma"/>
            <family val="2"/>
          </rPr>
          <t xml:space="preserve">
ENERGY STAR v7.0</t>
        </r>
      </text>
    </comment>
    <comment ref="AZ1" authorId="0">
      <text>
        <r>
          <rPr>
            <b/>
            <sz val="9"/>
            <color indexed="81"/>
            <rFont val="Tahoma"/>
            <family val="2"/>
          </rPr>
          <t>Christian:</t>
        </r>
        <r>
          <rPr>
            <sz val="9"/>
            <color indexed="81"/>
            <rFont val="Tahoma"/>
            <family val="2"/>
          </rPr>
          <t xml:space="preserve">
ENERGY STAR v7.0</t>
        </r>
      </text>
    </comment>
    <comment ref="BA1" authorId="0">
      <text>
        <r>
          <rPr>
            <b/>
            <sz val="9"/>
            <color indexed="81"/>
            <rFont val="Tahoma"/>
            <family val="2"/>
          </rPr>
          <t>Christian:</t>
        </r>
        <r>
          <rPr>
            <sz val="9"/>
            <color indexed="81"/>
            <rFont val="Tahoma"/>
            <family val="2"/>
          </rPr>
          <t xml:space="preserve">
ENERGY STAR v7.0</t>
        </r>
      </text>
    </comment>
    <comment ref="BB1" authorId="0">
      <text>
        <r>
          <rPr>
            <b/>
            <sz val="9"/>
            <color indexed="81"/>
            <rFont val="Tahoma"/>
            <family val="2"/>
          </rPr>
          <t>Christian:</t>
        </r>
        <r>
          <rPr>
            <sz val="9"/>
            <color indexed="81"/>
            <rFont val="Tahoma"/>
            <family val="2"/>
          </rPr>
          <t xml:space="preserve">
ENERGY STAR v7.0</t>
        </r>
      </text>
    </comment>
    <comment ref="BC1" authorId="0">
      <text>
        <r>
          <rPr>
            <b/>
            <sz val="9"/>
            <color indexed="81"/>
            <rFont val="Tahoma"/>
            <family val="2"/>
          </rPr>
          <t>Christian:</t>
        </r>
        <r>
          <rPr>
            <sz val="9"/>
            <color indexed="81"/>
            <rFont val="Tahoma"/>
            <family val="2"/>
          </rPr>
          <t xml:space="preserve">
ENERGY STAR v7.0</t>
        </r>
      </text>
    </comment>
    <comment ref="BD1" authorId="0">
      <text>
        <r>
          <rPr>
            <b/>
            <sz val="9"/>
            <color indexed="81"/>
            <rFont val="Tahoma"/>
            <family val="2"/>
          </rPr>
          <t>Christian:</t>
        </r>
        <r>
          <rPr>
            <sz val="9"/>
            <color indexed="81"/>
            <rFont val="Tahoma"/>
            <family val="2"/>
          </rPr>
          <t xml:space="preserve">
ENERGY STAR v7.0</t>
        </r>
      </text>
    </comment>
    <comment ref="BE1" authorId="0">
      <text>
        <r>
          <rPr>
            <b/>
            <sz val="9"/>
            <color indexed="81"/>
            <rFont val="Tahoma"/>
            <family val="2"/>
          </rPr>
          <t>Christian:</t>
        </r>
        <r>
          <rPr>
            <sz val="9"/>
            <color indexed="81"/>
            <rFont val="Tahoma"/>
            <family val="2"/>
          </rPr>
          <t xml:space="preserve">
March 2015 CEE Tiers</t>
        </r>
      </text>
    </comment>
    <comment ref="BF1" authorId="0">
      <text>
        <r>
          <rPr>
            <b/>
            <sz val="9"/>
            <color indexed="81"/>
            <rFont val="Tahoma"/>
            <family val="2"/>
          </rPr>
          <t>Christian:</t>
        </r>
        <r>
          <rPr>
            <sz val="9"/>
            <color indexed="81"/>
            <rFont val="Tahoma"/>
            <family val="2"/>
          </rPr>
          <t xml:space="preserve">
March 2015 CEE Tiers</t>
        </r>
      </text>
    </comment>
    <comment ref="BG1" authorId="0">
      <text>
        <r>
          <rPr>
            <b/>
            <sz val="9"/>
            <color indexed="81"/>
            <rFont val="Tahoma"/>
            <family val="2"/>
          </rPr>
          <t>Christian:</t>
        </r>
        <r>
          <rPr>
            <sz val="9"/>
            <color indexed="81"/>
            <rFont val="Tahoma"/>
            <family val="2"/>
          </rPr>
          <t xml:space="preserve">
March 2015 CEE Tiers</t>
        </r>
      </text>
    </comment>
    <comment ref="V40" authorId="0">
      <text>
        <r>
          <rPr>
            <b/>
            <sz val="9"/>
            <color indexed="81"/>
            <rFont val="Tahoma"/>
            <family val="2"/>
          </rPr>
          <t>Christian:</t>
        </r>
        <r>
          <rPr>
            <sz val="9"/>
            <color indexed="81"/>
            <rFont val="Tahoma"/>
            <family val="2"/>
          </rPr>
          <t xml:space="preserve">
Removed; clearly a data entry error</t>
        </r>
      </text>
    </comment>
    <comment ref="X40" authorId="0">
      <text>
        <r>
          <rPr>
            <b/>
            <sz val="9"/>
            <color indexed="81"/>
            <rFont val="Tahoma"/>
            <family val="2"/>
          </rPr>
          <t>Christian:</t>
        </r>
        <r>
          <rPr>
            <sz val="9"/>
            <color indexed="81"/>
            <rFont val="Tahoma"/>
            <family val="2"/>
          </rPr>
          <t xml:space="preserve">
Removed; clearly a user entry error</t>
        </r>
      </text>
    </comment>
    <comment ref="U62" authorId="0">
      <text>
        <r>
          <rPr>
            <b/>
            <sz val="9"/>
            <color indexed="81"/>
            <rFont val="Tahoma"/>
            <family val="2"/>
          </rPr>
          <t>Christian:</t>
        </r>
        <r>
          <rPr>
            <sz val="9"/>
            <color indexed="81"/>
            <rFont val="Tahoma"/>
            <family val="2"/>
          </rPr>
          <t xml:space="preserve">
Removed; clearly a data entry error</t>
        </r>
      </text>
    </comment>
    <comment ref="U63" authorId="0">
      <text>
        <r>
          <rPr>
            <b/>
            <sz val="9"/>
            <color indexed="81"/>
            <rFont val="Tahoma"/>
            <family val="2"/>
          </rPr>
          <t>Christian:</t>
        </r>
        <r>
          <rPr>
            <sz val="9"/>
            <color indexed="81"/>
            <rFont val="Tahoma"/>
            <family val="2"/>
          </rPr>
          <t xml:space="preserve">
Removed; clearly a data entry error</t>
        </r>
      </text>
    </comment>
    <comment ref="U66" authorId="0">
      <text>
        <r>
          <rPr>
            <b/>
            <sz val="9"/>
            <color indexed="81"/>
            <rFont val="Tahoma"/>
            <family val="2"/>
          </rPr>
          <t>Christian:</t>
        </r>
        <r>
          <rPr>
            <sz val="9"/>
            <color indexed="81"/>
            <rFont val="Tahoma"/>
            <family val="2"/>
          </rPr>
          <t xml:space="preserve">
Removed; clearly a data entry error</t>
        </r>
      </text>
    </comment>
    <comment ref="U67" authorId="0">
      <text>
        <r>
          <rPr>
            <b/>
            <sz val="9"/>
            <color indexed="81"/>
            <rFont val="Tahoma"/>
            <family val="2"/>
          </rPr>
          <t>Christian:</t>
        </r>
        <r>
          <rPr>
            <sz val="9"/>
            <color indexed="81"/>
            <rFont val="Tahoma"/>
            <family val="2"/>
          </rPr>
          <t xml:space="preserve">
Removed; clearly a data entry error</t>
        </r>
      </text>
    </comment>
    <comment ref="U68" authorId="0">
      <text>
        <r>
          <rPr>
            <b/>
            <sz val="9"/>
            <color indexed="81"/>
            <rFont val="Tahoma"/>
            <family val="2"/>
          </rPr>
          <t>Christian:</t>
        </r>
        <r>
          <rPr>
            <sz val="9"/>
            <color indexed="81"/>
            <rFont val="Tahoma"/>
            <family val="2"/>
          </rPr>
          <t xml:space="preserve">
Removed; clearly a data entry error</t>
        </r>
      </text>
    </comment>
    <comment ref="U69" authorId="0">
      <text>
        <r>
          <rPr>
            <b/>
            <sz val="9"/>
            <color indexed="81"/>
            <rFont val="Tahoma"/>
            <family val="2"/>
          </rPr>
          <t>Christian:</t>
        </r>
        <r>
          <rPr>
            <sz val="9"/>
            <color indexed="81"/>
            <rFont val="Tahoma"/>
            <family val="2"/>
          </rPr>
          <t xml:space="preserve">
Removed; clearly a data entry error</t>
        </r>
      </text>
    </comment>
    <comment ref="U70" authorId="0">
      <text>
        <r>
          <rPr>
            <b/>
            <sz val="9"/>
            <color indexed="81"/>
            <rFont val="Tahoma"/>
            <family val="2"/>
          </rPr>
          <t>Christian:</t>
        </r>
        <r>
          <rPr>
            <sz val="9"/>
            <color indexed="81"/>
            <rFont val="Tahoma"/>
            <family val="2"/>
          </rPr>
          <t xml:space="preserve">
Removed; clearly a data entry error</t>
        </r>
      </text>
    </comment>
    <comment ref="U72" authorId="0">
      <text>
        <r>
          <rPr>
            <b/>
            <sz val="9"/>
            <color indexed="81"/>
            <rFont val="Tahoma"/>
            <family val="2"/>
          </rPr>
          <t>Christian:</t>
        </r>
        <r>
          <rPr>
            <sz val="9"/>
            <color indexed="81"/>
            <rFont val="Tahoma"/>
            <family val="2"/>
          </rPr>
          <t xml:space="preserve">
Removed; clearly a data entry error</t>
        </r>
      </text>
    </comment>
    <comment ref="U73" authorId="0">
      <text>
        <r>
          <rPr>
            <b/>
            <sz val="9"/>
            <color indexed="81"/>
            <rFont val="Tahoma"/>
            <family val="2"/>
          </rPr>
          <t>Christian:</t>
        </r>
        <r>
          <rPr>
            <sz val="9"/>
            <color indexed="81"/>
            <rFont val="Tahoma"/>
            <family val="2"/>
          </rPr>
          <t xml:space="preserve">
Removed; clearly a data entry error</t>
        </r>
      </text>
    </comment>
    <comment ref="U74" authorId="0">
      <text>
        <r>
          <rPr>
            <b/>
            <sz val="9"/>
            <color indexed="81"/>
            <rFont val="Tahoma"/>
            <family val="2"/>
          </rPr>
          <t>Christian:</t>
        </r>
        <r>
          <rPr>
            <sz val="9"/>
            <color indexed="81"/>
            <rFont val="Tahoma"/>
            <family val="2"/>
          </rPr>
          <t xml:space="preserve">
Removed; clearly a data entry error</t>
        </r>
      </text>
    </comment>
    <comment ref="U77" authorId="0">
      <text>
        <r>
          <rPr>
            <b/>
            <sz val="9"/>
            <color indexed="81"/>
            <rFont val="Tahoma"/>
            <family val="2"/>
          </rPr>
          <t>Christian:</t>
        </r>
        <r>
          <rPr>
            <sz val="9"/>
            <color indexed="81"/>
            <rFont val="Tahoma"/>
            <family val="2"/>
          </rPr>
          <t xml:space="preserve">
Removed; clearly a data entry error</t>
        </r>
      </text>
    </comment>
    <comment ref="U78" authorId="0">
      <text>
        <r>
          <rPr>
            <b/>
            <sz val="9"/>
            <color indexed="81"/>
            <rFont val="Tahoma"/>
            <family val="2"/>
          </rPr>
          <t>Christian:</t>
        </r>
        <r>
          <rPr>
            <sz val="9"/>
            <color indexed="81"/>
            <rFont val="Tahoma"/>
            <family val="2"/>
          </rPr>
          <t xml:space="preserve">
Removed; clearly a data entry error</t>
        </r>
      </text>
    </comment>
    <comment ref="U79" authorId="0">
      <text>
        <r>
          <rPr>
            <b/>
            <sz val="9"/>
            <color indexed="81"/>
            <rFont val="Tahoma"/>
            <family val="2"/>
          </rPr>
          <t>Christian:</t>
        </r>
        <r>
          <rPr>
            <sz val="9"/>
            <color indexed="81"/>
            <rFont val="Tahoma"/>
            <family val="2"/>
          </rPr>
          <t xml:space="preserve">
Removed; clearly a data entry error</t>
        </r>
      </text>
    </comment>
    <comment ref="U80" authorId="0">
      <text>
        <r>
          <rPr>
            <b/>
            <sz val="9"/>
            <color indexed="81"/>
            <rFont val="Tahoma"/>
            <family val="2"/>
          </rPr>
          <t>Christian:</t>
        </r>
        <r>
          <rPr>
            <sz val="9"/>
            <color indexed="81"/>
            <rFont val="Tahoma"/>
            <family val="2"/>
          </rPr>
          <t xml:space="preserve">
Removed; clearly a data entry error</t>
        </r>
      </text>
    </comment>
    <comment ref="U81" authorId="0">
      <text>
        <r>
          <rPr>
            <b/>
            <sz val="9"/>
            <color indexed="81"/>
            <rFont val="Tahoma"/>
            <family val="2"/>
          </rPr>
          <t>Christian:</t>
        </r>
        <r>
          <rPr>
            <sz val="9"/>
            <color indexed="81"/>
            <rFont val="Tahoma"/>
            <family val="2"/>
          </rPr>
          <t xml:space="preserve">
Removed; clearly a data entry error</t>
        </r>
      </text>
    </comment>
    <comment ref="U82" authorId="0">
      <text>
        <r>
          <rPr>
            <b/>
            <sz val="9"/>
            <color indexed="81"/>
            <rFont val="Tahoma"/>
            <family val="2"/>
          </rPr>
          <t>Christian:</t>
        </r>
        <r>
          <rPr>
            <sz val="9"/>
            <color indexed="81"/>
            <rFont val="Tahoma"/>
            <family val="2"/>
          </rPr>
          <t xml:space="preserve">
Removed; clearly a data entry error</t>
        </r>
      </text>
    </comment>
    <comment ref="U83" authorId="0">
      <text>
        <r>
          <rPr>
            <b/>
            <sz val="9"/>
            <color indexed="81"/>
            <rFont val="Tahoma"/>
            <family val="2"/>
          </rPr>
          <t>Christian:</t>
        </r>
        <r>
          <rPr>
            <sz val="9"/>
            <color indexed="81"/>
            <rFont val="Tahoma"/>
            <family val="2"/>
          </rPr>
          <t xml:space="preserve">
Removed; clearly a data entry error</t>
        </r>
      </text>
    </comment>
    <comment ref="V84" authorId="0">
      <text>
        <r>
          <rPr>
            <b/>
            <sz val="9"/>
            <color indexed="81"/>
            <rFont val="Tahoma"/>
            <family val="2"/>
          </rPr>
          <t>Christian:</t>
        </r>
        <r>
          <rPr>
            <sz val="9"/>
            <color indexed="81"/>
            <rFont val="Tahoma"/>
            <family val="2"/>
          </rPr>
          <t xml:space="preserve">
Removed; clearly a user entry error</t>
        </r>
      </text>
    </comment>
    <comment ref="X84" authorId="0">
      <text>
        <r>
          <rPr>
            <b/>
            <sz val="9"/>
            <color indexed="81"/>
            <rFont val="Tahoma"/>
            <family val="2"/>
          </rPr>
          <t>Christian:</t>
        </r>
        <r>
          <rPr>
            <sz val="9"/>
            <color indexed="81"/>
            <rFont val="Tahoma"/>
            <family val="2"/>
          </rPr>
          <t xml:space="preserve">
Removed; clearly a user entry error</t>
        </r>
      </text>
    </comment>
    <comment ref="V115" authorId="0">
      <text>
        <r>
          <rPr>
            <b/>
            <sz val="9"/>
            <color indexed="81"/>
            <rFont val="Tahoma"/>
            <family val="2"/>
          </rPr>
          <t>Christian:</t>
        </r>
        <r>
          <rPr>
            <sz val="9"/>
            <color indexed="81"/>
            <rFont val="Tahoma"/>
            <family val="2"/>
          </rPr>
          <t xml:space="preserve">
Removed; clearly a user entry error</t>
        </r>
      </text>
    </comment>
    <comment ref="X115" authorId="0">
      <text>
        <r>
          <rPr>
            <b/>
            <sz val="9"/>
            <color indexed="81"/>
            <rFont val="Tahoma"/>
            <family val="2"/>
          </rPr>
          <t>Christian:</t>
        </r>
        <r>
          <rPr>
            <sz val="9"/>
            <color indexed="81"/>
            <rFont val="Tahoma"/>
            <family val="2"/>
          </rPr>
          <t xml:space="preserve">
Removed; clearly a user entry error</t>
        </r>
      </text>
    </comment>
  </commentList>
</comments>
</file>

<file path=xl/comments9.xml><?xml version="1.0" encoding="utf-8"?>
<comments xmlns="http://schemas.openxmlformats.org/spreadsheetml/2006/main">
  <authors>
    <author>Christian</author>
  </authors>
  <commentList>
    <comment ref="T1" authorId="0">
      <text>
        <r>
          <rPr>
            <b/>
            <sz val="9"/>
            <color indexed="81"/>
            <rFont val="Tahoma"/>
            <family val="2"/>
          </rPr>
          <t>Christian:</t>
        </r>
        <r>
          <rPr>
            <sz val="9"/>
            <color indexed="81"/>
            <rFont val="Tahoma"/>
            <family val="2"/>
          </rPr>
          <t xml:space="preserve">
March 2015 fed standard</t>
        </r>
      </text>
    </comment>
    <comment ref="U1" authorId="0">
      <text>
        <r>
          <rPr>
            <b/>
            <sz val="9"/>
            <color indexed="81"/>
            <rFont val="Tahoma"/>
            <family val="2"/>
          </rPr>
          <t>Christian:</t>
        </r>
        <r>
          <rPr>
            <sz val="9"/>
            <color indexed="81"/>
            <rFont val="Tahoma"/>
            <family val="2"/>
          </rPr>
          <t xml:space="preserve">
March 2015 fed standard</t>
        </r>
      </text>
    </comment>
    <comment ref="V1" authorId="0">
      <text>
        <r>
          <rPr>
            <b/>
            <sz val="9"/>
            <color indexed="81"/>
            <rFont val="Tahoma"/>
            <family val="2"/>
          </rPr>
          <t>Christian:</t>
        </r>
        <r>
          <rPr>
            <sz val="9"/>
            <color indexed="81"/>
            <rFont val="Tahoma"/>
            <family val="2"/>
          </rPr>
          <t xml:space="preserve">
March 2015 fed standard</t>
        </r>
      </text>
    </comment>
    <comment ref="W1" authorId="0">
      <text>
        <r>
          <rPr>
            <b/>
            <sz val="9"/>
            <color indexed="81"/>
            <rFont val="Tahoma"/>
            <family val="2"/>
          </rPr>
          <t>Christian:</t>
        </r>
        <r>
          <rPr>
            <sz val="9"/>
            <color indexed="81"/>
            <rFont val="Tahoma"/>
            <family val="2"/>
          </rPr>
          <t xml:space="preserve">
ENERGY STAR v7.0</t>
        </r>
      </text>
    </comment>
    <comment ref="X1" authorId="0">
      <text>
        <r>
          <rPr>
            <b/>
            <sz val="9"/>
            <color indexed="81"/>
            <rFont val="Tahoma"/>
            <family val="2"/>
          </rPr>
          <t>Christian:</t>
        </r>
        <r>
          <rPr>
            <sz val="9"/>
            <color indexed="81"/>
            <rFont val="Tahoma"/>
            <family val="2"/>
          </rPr>
          <t xml:space="preserve">
ENERGY STAR v7.0</t>
        </r>
      </text>
    </comment>
    <comment ref="Z1" authorId="0">
      <text>
        <r>
          <rPr>
            <b/>
            <sz val="9"/>
            <color indexed="81"/>
            <rFont val="Tahoma"/>
            <family val="2"/>
          </rPr>
          <t>Christian:</t>
        </r>
        <r>
          <rPr>
            <sz val="9"/>
            <color indexed="81"/>
            <rFont val="Tahoma"/>
            <family val="2"/>
          </rPr>
          <t xml:space="preserve">
ENERGY STAR v7.0</t>
        </r>
      </text>
    </comment>
    <comment ref="AA1" authorId="0">
      <text>
        <r>
          <rPr>
            <b/>
            <sz val="9"/>
            <color indexed="81"/>
            <rFont val="Tahoma"/>
            <family val="2"/>
          </rPr>
          <t>Christian:</t>
        </r>
        <r>
          <rPr>
            <sz val="9"/>
            <color indexed="81"/>
            <rFont val="Tahoma"/>
            <family val="2"/>
          </rPr>
          <t xml:space="preserve">
ENERGY STAR v7.0</t>
        </r>
      </text>
    </comment>
    <comment ref="AB1" authorId="0">
      <text>
        <r>
          <rPr>
            <b/>
            <sz val="9"/>
            <color indexed="81"/>
            <rFont val="Tahoma"/>
            <family val="2"/>
          </rPr>
          <t>Christian:</t>
        </r>
        <r>
          <rPr>
            <sz val="9"/>
            <color indexed="81"/>
            <rFont val="Tahoma"/>
            <family val="2"/>
          </rPr>
          <t xml:space="preserve">
ENERGY STAR v7.0</t>
        </r>
      </text>
    </comment>
    <comment ref="AC1" authorId="0">
      <text>
        <r>
          <rPr>
            <b/>
            <sz val="9"/>
            <color indexed="81"/>
            <rFont val="Tahoma"/>
            <family val="2"/>
          </rPr>
          <t>Christian:</t>
        </r>
        <r>
          <rPr>
            <sz val="9"/>
            <color indexed="81"/>
            <rFont val="Tahoma"/>
            <family val="2"/>
          </rPr>
          <t xml:space="preserve">
March 2015 CEE Tiers</t>
        </r>
      </text>
    </comment>
    <comment ref="AD1" authorId="0">
      <text>
        <r>
          <rPr>
            <b/>
            <sz val="9"/>
            <color indexed="81"/>
            <rFont val="Tahoma"/>
            <family val="2"/>
          </rPr>
          <t>Christian:</t>
        </r>
        <r>
          <rPr>
            <sz val="9"/>
            <color indexed="81"/>
            <rFont val="Tahoma"/>
            <family val="2"/>
          </rPr>
          <t xml:space="preserve">
March 2015 CEE Tiers</t>
        </r>
      </text>
    </comment>
    <comment ref="AE1" authorId="0">
      <text>
        <r>
          <rPr>
            <b/>
            <sz val="9"/>
            <color indexed="81"/>
            <rFont val="Tahoma"/>
            <family val="2"/>
          </rPr>
          <t>Christian:</t>
        </r>
        <r>
          <rPr>
            <sz val="9"/>
            <color indexed="81"/>
            <rFont val="Tahoma"/>
            <family val="2"/>
          </rPr>
          <t xml:space="preserve">
March 2015 CEE Tiers</t>
        </r>
      </text>
    </comment>
  </commentList>
</comments>
</file>

<file path=xl/sharedStrings.xml><?xml version="1.0" encoding="utf-8"?>
<sst xmlns="http://schemas.openxmlformats.org/spreadsheetml/2006/main" count="10981" uniqueCount="1655">
  <si>
    <t>Data Set Name</t>
  </si>
  <si>
    <t>Measure Index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</si>
  <si>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</si>
  <si>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</si>
  <si>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</si>
  <si>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</si>
  <si>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</si>
  <si>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</si>
  <si>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</si>
  <si>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</si>
  <si>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</si>
  <si>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</si>
  <si>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</si>
  <si>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</si>
  <si>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</si>
  <si>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</si>
  <si>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</si>
  <si>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</si>
  <si>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</si>
  <si>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</si>
  <si>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</si>
  <si>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Category</t>
  </si>
  <si>
    <t>Measure</t>
  </si>
  <si>
    <t>TRC B/C Ratio</t>
  </si>
  <si>
    <t>TRC Net Levelized Cost (Net of All Benefits) in mills/kWh</t>
  </si>
  <si>
    <t>Washer Savings</t>
  </si>
  <si>
    <t>Dryer Savings</t>
  </si>
  <si>
    <t>Waste Water Energy</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</si>
  <si>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</si>
  <si>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</si>
  <si>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</si>
  <si>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</si>
  <si>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</si>
  <si>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</si>
  <si>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</si>
  <si>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Net Electric &amp; Gas System CO2 Avoided (Lifetime Tons)</t>
  </si>
  <si>
    <t>Jan</t>
  </si>
  <si>
    <t>Feb</t>
  </si>
  <si>
    <t>Mar</t>
  </si>
  <si>
    <t>Apr</t>
  </si>
  <si>
    <t>May</t>
  </si>
  <si>
    <t>Jun</t>
  </si>
  <si>
    <t>Jul</t>
  </si>
  <si>
    <t>Aug</t>
  </si>
  <si>
    <t>Sep</t>
  </si>
  <si>
    <t>Oct</t>
  </si>
  <si>
    <t>Nov</t>
  </si>
  <si>
    <t>Dec</t>
  </si>
  <si>
    <t>Shaped Savings Results; By Category and sorted by TRC BC ratio</t>
  </si>
  <si>
    <t>Busbar Savings</t>
  </si>
  <si>
    <t>Concatenate</t>
  </si>
  <si>
    <t>Make savings incremental</t>
  </si>
  <si>
    <t>Segment</t>
  </si>
  <si>
    <t>Vintage</t>
  </si>
  <si>
    <t>Single Family</t>
  </si>
  <si>
    <t>Multifamily - Low Rise</t>
  </si>
  <si>
    <t>Multifamily - High Rise</t>
  </si>
  <si>
    <t>Manufactured</t>
  </si>
  <si>
    <t>Measure  Index</t>
  </si>
  <si>
    <t>Methodology</t>
  </si>
  <si>
    <t>New Homes only.  Also use this to calculate New Homes not addressed due to acheivability, and send that to the NR/Retrofit pool.</t>
  </si>
  <si>
    <t>New</t>
  </si>
  <si>
    <t>Measure Bundle</t>
  </si>
  <si>
    <t>Report Year</t>
  </si>
  <si>
    <t># homes</t>
  </si>
  <si>
    <t>REG_TOTAL_STOCK_# HOMES</t>
  </si>
  <si>
    <t>Total Regional Stock</t>
  </si>
  <si>
    <t>Applicability</t>
  </si>
  <si>
    <t>Achievability =&gt;</t>
  </si>
  <si>
    <t>SUPPLY CURVE SAVINGS BY BUNDLE</t>
  </si>
  <si>
    <t>kWh per home</t>
  </si>
  <si>
    <t>lvlcost</t>
  </si>
  <si>
    <t>segment</t>
  </si>
  <si>
    <t>measure</t>
  </si>
  <si>
    <t>RECOMBINE MEASURE BUNDLES INTO SUPPLY CURVE CUMULATIVE</t>
  </si>
  <si>
    <t>Block 1: &lt;= 0 mills/kWh</t>
  </si>
  <si>
    <t>&gt;=-9999</t>
  </si>
  <si>
    <t>&lt;=0</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</si>
  <si>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</si>
  <si>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</si>
  <si>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</si>
  <si>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</si>
  <si>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</si>
  <si>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</si>
  <si>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</si>
  <si>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</si>
  <si>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</si>
  <si>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</si>
  <si>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</si>
  <si>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</si>
  <si>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</si>
  <si>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</si>
  <si>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</si>
  <si>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</si>
  <si>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</si>
  <si>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</si>
  <si>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</si>
  <si>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</si>
  <si>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</si>
  <si>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</si>
  <si>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</si>
  <si>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</si>
  <si>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</si>
  <si>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</si>
  <si>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</si>
  <si>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</si>
  <si>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</si>
  <si>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</si>
  <si>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</si>
  <si>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</si>
  <si>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</si>
  <si>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</si>
  <si>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</si>
  <si>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</si>
  <si>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</si>
  <si>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</si>
  <si>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</si>
  <si>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</si>
  <si>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</si>
  <si>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</si>
  <si>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</si>
  <si>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</si>
  <si>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</si>
  <si>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</si>
  <si>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</si>
  <si>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</si>
  <si>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</si>
  <si>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</si>
  <si>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</si>
  <si>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</si>
  <si>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</si>
  <si>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</si>
  <si>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</si>
  <si>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</si>
  <si>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</si>
  <si>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</si>
  <si>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</si>
  <si>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&gt;200</t>
  </si>
  <si>
    <t>&lt;=9999</t>
  </si>
  <si>
    <t>RECOMBINE MEASURE BUNDLES INTO SUPPLY CURVE INCREMENTAL</t>
  </si>
  <si>
    <t>SC_New</t>
  </si>
  <si>
    <t>Total per Year</t>
  </si>
  <si>
    <t>Total Cumulative</t>
  </si>
  <si>
    <t>CALCULATE # HOMES NOT ADDRESSED BY MEASURE AND ADD TO NR/RETROFIT POOL</t>
  </si>
  <si>
    <t># HOMES RESIDUAL &amp; AVAILABLE TO NR/RETROFIT POOL</t>
  </si>
  <si>
    <t>APPLICABLE NEW STOCK MINUS TREATED</t>
  </si>
  <si>
    <t>Homes</t>
  </si>
  <si>
    <t>Total Residual to NR/Retro Pool</t>
  </si>
  <si>
    <t>NR</t>
  </si>
  <si>
    <t># Homes FOR EXISTING STOCK</t>
  </si>
  <si>
    <t># Homes NOT TREATED FROM NEW STOCK AND THUS AVAILABLE FOR NR POOL FROM SC-NEW</t>
  </si>
  <si>
    <t>New Stock into NR/Retro Pool</t>
  </si>
  <si>
    <t>EXISTING STOCK AVAILABLE TO NR/RETROFIT POOL</t>
  </si>
  <si>
    <t>MAX</t>
  </si>
  <si>
    <t>Turnover Rate</t>
  </si>
  <si>
    <t>Saturation</t>
  </si>
  <si>
    <t>Clothes Washer</t>
  </si>
  <si>
    <t>ResWASH</t>
  </si>
  <si>
    <t>ResDHW</t>
  </si>
  <si>
    <t>ResDRY</t>
  </si>
  <si>
    <t>FLAT</t>
  </si>
  <si>
    <t>Multifamily</t>
  </si>
  <si>
    <t>Apply Segments for Multifamily (High vs Low Rise)</t>
  </si>
  <si>
    <t>APPLY MEASURE APPLICABILITY, SATURATION TURNOVER RATE FOR MAX ANNUAL # UNITS</t>
  </si>
  <si>
    <t>INCREMENTAL ACHIEVABILITY</t>
  </si>
  <si>
    <t>ONLY INCLUDE AFTER ONE EUL</t>
  </si>
  <si>
    <t>General Assumptions</t>
  </si>
  <si>
    <t>Value</t>
  </si>
  <si>
    <t>Source</t>
  </si>
  <si>
    <t xml:space="preserve">Clothes washer loads per year </t>
  </si>
  <si>
    <r>
      <t xml:space="preserve">Based on 4.92 average loads per week reported.  NEEA (2012).  </t>
    </r>
    <r>
      <rPr>
        <i/>
        <sz val="11"/>
        <color theme="1"/>
        <rFont val="Calibri"/>
        <family val="2"/>
        <scheme val="minor"/>
      </rPr>
      <t>Residential Building Stock Assessment: Single-Family Characteristics and Energy Use</t>
    </r>
    <r>
      <rPr>
        <sz val="11"/>
        <color theme="1"/>
        <rFont val="Calibri"/>
        <family val="2"/>
        <scheme val="minor"/>
      </rPr>
      <t>.</t>
    </r>
  </si>
  <si>
    <t>Measure life (years)</t>
  </si>
  <si>
    <t>"For clothes washers, lifetimes range from 12 to 16 years, with an average of 14.1 years." DOE Res Clothes Washer TSD: Life-Cycle Costs and Payback Period. http://www1.eere.energy.gov/buildings/appliance_standards/residential/clwash_0900_r.html</t>
  </si>
  <si>
    <t>Detergent Cost ($/load)</t>
  </si>
  <si>
    <t>Fuel Shares</t>
  </si>
  <si>
    <t>Fuel type</t>
  </si>
  <si>
    <t>% of DHW Fuel as Electricity</t>
  </si>
  <si>
    <t>Electric DHW</t>
  </si>
  <si>
    <t>Gas DHW</t>
  </si>
  <si>
    <t>Any DHW</t>
  </si>
  <si>
    <r>
      <t xml:space="preserve">Taken directly from RBSA. NEEA (2012).  </t>
    </r>
    <r>
      <rPr>
        <i/>
        <sz val="11"/>
        <rFont val="Calibri"/>
        <family val="2"/>
        <scheme val="minor"/>
      </rPr>
      <t>Residential Building Stock Assessment: Single-Family Characteristics and Energy Use</t>
    </r>
    <r>
      <rPr>
        <sz val="11"/>
        <rFont val="Calibri"/>
        <family val="2"/>
        <scheme val="minor"/>
      </rPr>
      <t>.</t>
    </r>
  </si>
  <si>
    <t>% of Dryer Fuel as Electricity</t>
  </si>
  <si>
    <t>Electric Dryer</t>
  </si>
  <si>
    <t>Gas Dryer</t>
  </si>
  <si>
    <t>note that this is slightly incorrect: some of the energy used by the dryer is for the machine rotation, not the heating</t>
  </si>
  <si>
    <t>Any Dryer</t>
  </si>
  <si>
    <t xml:space="preserve">Water &amp; Waste Water  </t>
  </si>
  <si>
    <t>Wastewater Embedded Energy</t>
  </si>
  <si>
    <t>kWh/1000 gal</t>
  </si>
  <si>
    <t>Water + Wastewater Rate, Net of Embedded Energy</t>
  </si>
  <si>
    <t>$/1000 gal</t>
  </si>
  <si>
    <t>Constants</t>
  </si>
  <si>
    <t>specific heat of water - Btu/lb degF</t>
  </si>
  <si>
    <t>kWh/Btu</t>
  </si>
  <si>
    <t>gallons water / lb</t>
  </si>
  <si>
    <t>specific heat of water - kWh/gallon degF</t>
  </si>
  <si>
    <t>Converting Nominal Currency to $2006 Real Currency</t>
  </si>
  <si>
    <t>Year</t>
  </si>
  <si>
    <t xml:space="preserve">Multiplier to convert </t>
  </si>
  <si>
    <t>to base year dollars</t>
  </si>
  <si>
    <t xml:space="preserve"> </t>
  </si>
  <si>
    <t>EE Tiers</t>
  </si>
  <si>
    <t>Name</t>
  </si>
  <si>
    <t>Tier Label</t>
  </si>
  <si>
    <t>Energy Star</t>
  </si>
  <si>
    <t>CEE Tier 1</t>
  </si>
  <si>
    <t>CEE Tier 2</t>
  </si>
  <si>
    <t>CEE Tier 3</t>
  </si>
  <si>
    <t>Water Heating Use Input Assumptions</t>
  </si>
  <si>
    <t>Cp specific heat of water in Btu/(Lbs deg F):</t>
  </si>
  <si>
    <t>Mass of water (Lbs/gallon):</t>
  </si>
  <si>
    <t>Btu to kWh conversion:</t>
  </si>
  <si>
    <t>Delta T, residential water heater (degree F):</t>
  </si>
  <si>
    <t>Assumption in Northwest Council 6th Plan Conservation Supply Curve Files (2009). EStarWasher_DryerSingleFamily_FY09v1_1 (1).xlsm</t>
  </si>
  <si>
    <t>Electric Water Heater Recovery Efficiency (%):</t>
  </si>
  <si>
    <t>(DOE Test Procedure, Title 10 CFR 430 - Energy Conservation Program for Consumer Products Appendix E to Subpart B - Uniform Test Procedure for Measuring the Energy Conservation of Water Heaters, effective June 10, 1998)</t>
  </si>
  <si>
    <t>Gas Water Heater Recovery Efficiency</t>
  </si>
  <si>
    <r>
      <t xml:space="preserve">DOE Res Clothes Washer TSD: </t>
    </r>
    <r>
      <rPr>
        <i/>
        <sz val="11"/>
        <color theme="1"/>
        <rFont val="Calibri"/>
        <family val="2"/>
        <scheme val="minor"/>
      </rPr>
      <t>Energy and Water Use Determination</t>
    </r>
    <r>
      <rPr>
        <sz val="11"/>
        <color theme="1"/>
        <rFont val="Calibri"/>
        <family val="2"/>
        <scheme val="minor"/>
      </rPr>
      <t>. http://www1.eere.energy.gov/buildings/appliance_standards/standards_test_procedures.html</t>
    </r>
  </si>
  <si>
    <t>GasDryerFactor</t>
  </si>
  <si>
    <t>COLUMN LETTER LOOKUP</t>
  </si>
  <si>
    <t>Column Number</t>
  </si>
  <si>
    <t>Column Letter</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</si>
  <si>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</si>
  <si>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</si>
  <si>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</si>
  <si>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</si>
  <si>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</si>
  <si>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</si>
  <si>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</si>
  <si>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</si>
  <si>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</si>
  <si>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</si>
  <si>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</si>
  <si>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</si>
  <si>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</si>
  <si>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</si>
  <si>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</si>
  <si>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</si>
  <si>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</si>
  <si>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</si>
  <si>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</si>
  <si>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</si>
  <si>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</si>
  <si>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</si>
  <si>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</si>
  <si>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</si>
  <si>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</si>
  <si>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</si>
  <si>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</si>
  <si>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</si>
  <si>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</si>
  <si>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</si>
  <si>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</si>
  <si>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</si>
  <si>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</si>
  <si>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</si>
  <si>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</si>
  <si>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</si>
  <si>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</si>
  <si>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</si>
  <si>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</si>
  <si>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</si>
  <si>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</si>
  <si>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</si>
  <si>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</si>
  <si>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</si>
  <si>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</si>
  <si>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</si>
  <si>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</si>
  <si>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</si>
  <si>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</si>
  <si>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</si>
  <si>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</si>
  <si>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</si>
  <si>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</si>
  <si>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</si>
  <si>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</si>
  <si>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</si>
  <si>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</si>
  <si>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</si>
  <si>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</si>
  <si>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</si>
  <si>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</si>
  <si>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</si>
  <si>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</si>
  <si>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</si>
  <si>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</si>
  <si>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</si>
  <si>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</si>
  <si>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</si>
  <si>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</si>
  <si>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</si>
  <si>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</si>
  <si>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</si>
  <si>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</si>
  <si>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</si>
  <si>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</si>
  <si>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</si>
  <si>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</si>
  <si>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</si>
  <si>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</si>
  <si>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</si>
  <si>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</si>
  <si>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</si>
  <si>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</si>
  <si>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</si>
  <si>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</si>
  <si>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</si>
  <si>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</si>
  <si>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</si>
  <si>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</si>
  <si>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</si>
  <si>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</si>
  <si>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</si>
  <si>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</si>
  <si>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</si>
  <si>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</si>
  <si>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</si>
  <si>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</si>
  <si>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</si>
  <si>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</si>
  <si>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</si>
  <si>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</si>
  <si>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</si>
  <si>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</si>
  <si>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</si>
  <si>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Market Share by MEF</t>
  </si>
  <si>
    <t>Based on 2013 retail sales data, collected by D&amp;R International, and provided by BPA on 8/11/2014. (See table at right.)</t>
  </si>
  <si>
    <t>MEF&lt;1.72</t>
  </si>
  <si>
    <t>1.72&lt;=MEF&lt;2.00</t>
  </si>
  <si>
    <t>MEF&gt;=2.00</t>
  </si>
  <si>
    <t>ID</t>
  </si>
  <si>
    <t>MT</t>
  </si>
  <si>
    <t>OR</t>
  </si>
  <si>
    <t>WA</t>
  </si>
  <si>
    <t>Region</t>
  </si>
  <si>
    <t>data column</t>
  </si>
  <si>
    <t>data range</t>
  </si>
  <si>
    <t>count</t>
  </si>
  <si>
    <t>avg kWh/yr</t>
  </si>
  <si>
    <t>avg gallons/yr</t>
  </si>
  <si>
    <t>avg capacity (ft3)</t>
  </si>
  <si>
    <t>remaining percent moisture</t>
  </si>
  <si>
    <t>kWh/yr, adjusted to baseline capacity</t>
  </si>
  <si>
    <t>gallons/year, adjusted to baseline capacity</t>
  </si>
  <si>
    <t>Criteria</t>
  </si>
  <si>
    <t>YES</t>
  </si>
  <si>
    <t>This is a truncated version of the CEC Appliance Database for clothes washers; duplicate records have been removed.</t>
  </si>
  <si>
    <t>Criteria Column</t>
  </si>
  <si>
    <t>Only "unique" records.  "Unique" is defined as having the same Manufacturer name and performance specifications, but not necessarily the same Brand Name and/or Model Number.</t>
  </si>
  <si>
    <t>Range</t>
  </si>
  <si>
    <t>First Row</t>
  </si>
  <si>
    <t>Last Row</t>
  </si>
  <si>
    <t>COMPUTED DATA</t>
  </si>
  <si>
    <t>GROUP MEMBERSHIP</t>
  </si>
  <si>
    <t>Column1</t>
  </si>
  <si>
    <t>Manufacturer Name</t>
  </si>
  <si>
    <t>Brand Name</t>
  </si>
  <si>
    <t>Model Number</t>
  </si>
  <si>
    <t>Washer Type</t>
  </si>
  <si>
    <t>Washer Controls</t>
  </si>
  <si>
    <t>Washer Axis</t>
  </si>
  <si>
    <t>Suds Saving (T/F)</t>
  </si>
  <si>
    <t>Combination Unit Type</t>
  </si>
  <si>
    <t>Washer Use</t>
  </si>
  <si>
    <t>Unheated Rinse Water Option (T/F)</t>
  </si>
  <si>
    <t>Compartment Capacity Cu Ft</t>
  </si>
  <si>
    <t>Power Consumption</t>
  </si>
  <si>
    <t>Water Consumption</t>
  </si>
  <si>
    <t>Water Factor</t>
  </si>
  <si>
    <t>Energy Factor</t>
  </si>
  <si>
    <t>Remaining Moisture %</t>
  </si>
  <si>
    <t>Modified Energy Factor</t>
  </si>
  <si>
    <t>Add Date</t>
  </si>
  <si>
    <t>add year</t>
  </si>
  <si>
    <t>Energy (kWh /cycle)</t>
  </si>
  <si>
    <t>Energy (kWh /year)</t>
  </si>
  <si>
    <t>Water (gallons /cycle)</t>
  </si>
  <si>
    <t>Water (gallons /year)</t>
  </si>
  <si>
    <t>kWh /year normalized to baseline volume</t>
  </si>
  <si>
    <t>gallons /year, normalized to baseline tub volume</t>
  </si>
  <si>
    <t>Type</t>
  </si>
  <si>
    <t>Alliance Laundry Systems</t>
  </si>
  <si>
    <t>Huebsch</t>
  </si>
  <si>
    <t>FTZ90**N</t>
  </si>
  <si>
    <t>Front-Loading</t>
  </si>
  <si>
    <t>Automatic</t>
  </si>
  <si>
    <t>Horizontal</t>
  </si>
  <si>
    <t>No</t>
  </si>
  <si>
    <t>Residential</t>
  </si>
  <si>
    <t>FTZA0***</t>
  </si>
  <si>
    <t>LWZ02**</t>
  </si>
  <si>
    <t>Top-Loading</t>
  </si>
  <si>
    <t>Vertical</t>
  </si>
  <si>
    <t>IPSO-USA</t>
  </si>
  <si>
    <t>BFN5***********</t>
  </si>
  <si>
    <t>Speed Queen</t>
  </si>
  <si>
    <t>AFNA0**********</t>
  </si>
  <si>
    <t>AWS48**</t>
  </si>
  <si>
    <t>AWS53**</t>
  </si>
  <si>
    <t>LTS95**N</t>
  </si>
  <si>
    <t>LWN311PP111TW01</t>
  </si>
  <si>
    <t>LWNB11*********</t>
  </si>
  <si>
    <t>LWS04**</t>
  </si>
  <si>
    <t>LWS05**</t>
  </si>
  <si>
    <t>ALS</t>
  </si>
  <si>
    <t>AFB50RSP111TW01</t>
  </si>
  <si>
    <t>AFN50FSP111TW01</t>
  </si>
  <si>
    <t>AWN412SP111TW01</t>
  </si>
  <si>
    <t>Avanti</t>
  </si>
  <si>
    <t>W511</t>
  </si>
  <si>
    <t>W711</t>
  </si>
  <si>
    <t>W757-1</t>
  </si>
  <si>
    <t>W798SS-1</t>
  </si>
  <si>
    <t>BSH Home Appliances</t>
  </si>
  <si>
    <t>Bosch</t>
  </si>
  <si>
    <t>WAS20160UC</t>
  </si>
  <si>
    <t>Semi-Automatic</t>
  </si>
  <si>
    <t>WAS24460UC</t>
  </si>
  <si>
    <t>WFL2060UC</t>
  </si>
  <si>
    <t>WFL2090UC</t>
  </si>
  <si>
    <t>WFMC1001UC</t>
  </si>
  <si>
    <t>WFMC2201UC</t>
  </si>
  <si>
    <t>WFMC3301UC</t>
  </si>
  <si>
    <t>WFMC5301UC</t>
  </si>
  <si>
    <t>WFMC6401UC</t>
  </si>
  <si>
    <t>WFMC8401UC</t>
  </si>
  <si>
    <t>WFR2460UC</t>
  </si>
  <si>
    <t>WFVC3300UC</t>
  </si>
  <si>
    <t>WFVC4400UC</t>
  </si>
  <si>
    <t>Daewoo Electronics</t>
  </si>
  <si>
    <t>Asko</t>
  </si>
  <si>
    <t>WL6511</t>
  </si>
  <si>
    <t>Other</t>
  </si>
  <si>
    <t>WL6511 XXLW</t>
  </si>
  <si>
    <t>WL6511 XXLWRH</t>
  </si>
  <si>
    <t>WL6532 XXLW</t>
  </si>
  <si>
    <t>Daewoo</t>
  </si>
  <si>
    <t>CWD-WD10**</t>
  </si>
  <si>
    <t>CWD-WD12**</t>
  </si>
  <si>
    <t>D-WD1031AHX-C</t>
  </si>
  <si>
    <t>D-WD1131AHX-C</t>
  </si>
  <si>
    <t>D-WD1234AHX</t>
  </si>
  <si>
    <t>D-WD1252</t>
  </si>
  <si>
    <t>DWD-VD10#*</t>
  </si>
  <si>
    <t>DWF-260AXAP</t>
  </si>
  <si>
    <t>DWF-262AXAP</t>
  </si>
  <si>
    <t>Danby</t>
  </si>
  <si>
    <t>DWM17WDB</t>
  </si>
  <si>
    <t>Electrolux Home Products</t>
  </si>
  <si>
    <t>Crosley</t>
  </si>
  <si>
    <t>CFW4700*****</t>
  </si>
  <si>
    <t>CFW7700*****</t>
  </si>
  <si>
    <t>EIFLS60J**</t>
  </si>
  <si>
    <t>EWFLS70J**</t>
  </si>
  <si>
    <t>Frigidaire</t>
  </si>
  <si>
    <t>FAFW3801L**</t>
  </si>
  <si>
    <t>FFFS5115**</t>
  </si>
  <si>
    <t>FFTW1001**</t>
  </si>
  <si>
    <t>Kenmore</t>
  </si>
  <si>
    <t>417.4110*</t>
  </si>
  <si>
    <t>Electrolux Major Appliances</t>
  </si>
  <si>
    <t>EIFLS55***</t>
  </si>
  <si>
    <t>EIFLW50***</t>
  </si>
  <si>
    <t>FAFS4073**</t>
  </si>
  <si>
    <t>FAFS4174**</t>
  </si>
  <si>
    <t>FAFW3001**</t>
  </si>
  <si>
    <t>FAFW3921**</t>
  </si>
  <si>
    <t>FAHE1011**</t>
  </si>
  <si>
    <t>Fagor Electrodomesticos / FAGOR</t>
  </si>
  <si>
    <t>FA-5812 *</t>
  </si>
  <si>
    <t>Fisher &amp; Paykel</t>
  </si>
  <si>
    <t>GWL15</t>
  </si>
  <si>
    <t>IWL16</t>
  </si>
  <si>
    <t>WA37T26***</t>
  </si>
  <si>
    <t>WL26CW2</t>
  </si>
  <si>
    <t>WL37T26***</t>
  </si>
  <si>
    <t>WL37TD</t>
  </si>
  <si>
    <t>WL4227**</t>
  </si>
  <si>
    <t>General Electric</t>
  </si>
  <si>
    <t>GCWN2800D</t>
  </si>
  <si>
    <t>GCWN4950D*</t>
  </si>
  <si>
    <t>GCWP1800D*</t>
  </si>
  <si>
    <t>GFWR4800F***</t>
  </si>
  <si>
    <t>GHWN4250D*</t>
  </si>
  <si>
    <t>GHWN8350D**</t>
  </si>
  <si>
    <t>GTWN7450D**</t>
  </si>
  <si>
    <t>GTWP2000F</t>
  </si>
  <si>
    <t>GTWS8650D**</t>
  </si>
  <si>
    <t>Hotpoint</t>
  </si>
  <si>
    <t>LG Electronics, Inc.</t>
  </si>
  <si>
    <t>Elite</t>
  </si>
  <si>
    <t>4002#90#</t>
  </si>
  <si>
    <t>4051#90#</t>
  </si>
  <si>
    <t>4102#90#</t>
  </si>
  <si>
    <t>PTWN805#M#**</t>
  </si>
  <si>
    <t>WPGT9150H***</t>
  </si>
  <si>
    <t>WPGT9350C***</t>
  </si>
  <si>
    <t>WPGT9360F***</t>
  </si>
  <si>
    <t>2900#00#</t>
  </si>
  <si>
    <t>3141#31#</t>
  </si>
  <si>
    <t>3151#21#</t>
  </si>
  <si>
    <t>4027#90#</t>
  </si>
  <si>
    <t>4027*90*</t>
  </si>
  <si>
    <t>4031*90*</t>
  </si>
  <si>
    <t>4107#21#</t>
  </si>
  <si>
    <t>4117#21#</t>
  </si>
  <si>
    <t>4137#21#</t>
  </si>
  <si>
    <t>4147#21#</t>
  </si>
  <si>
    <t>4153#21#</t>
  </si>
  <si>
    <t>4154#21#</t>
  </si>
  <si>
    <t>4157#21#</t>
  </si>
  <si>
    <t>4172#00#</t>
  </si>
  <si>
    <t>4884*80*</t>
  </si>
  <si>
    <t>GCW1069**</t>
  </si>
  <si>
    <t>WM0001H***</t>
  </si>
  <si>
    <t>WM0532H*</t>
  </si>
  <si>
    <t>WM064#H*</t>
  </si>
  <si>
    <t>WM0742H**</t>
  </si>
  <si>
    <t>WM133#H*</t>
  </si>
  <si>
    <t>WM1355H*</t>
  </si>
  <si>
    <t>WM1811C*</t>
  </si>
  <si>
    <t>WM2000C*</t>
  </si>
  <si>
    <t>WM2010C*</t>
  </si>
  <si>
    <t>WM2016C*</t>
  </si>
  <si>
    <t>WM2020C*</t>
  </si>
  <si>
    <t>WM204#C*</t>
  </si>
  <si>
    <t>WM2050C*</t>
  </si>
  <si>
    <t>WM207#C*</t>
  </si>
  <si>
    <t>WM2101H*</t>
  </si>
  <si>
    <t>WM2140C**</t>
  </si>
  <si>
    <t>WM2233H*</t>
  </si>
  <si>
    <t>WM2240C*</t>
  </si>
  <si>
    <t>WM2277H*</t>
  </si>
  <si>
    <t>WM2301H*</t>
  </si>
  <si>
    <t>WM2350H**</t>
  </si>
  <si>
    <t>WM2355C*</t>
  </si>
  <si>
    <t>WM2411H*</t>
  </si>
  <si>
    <t>WM244#H*</t>
  </si>
  <si>
    <t>WM2455H*</t>
  </si>
  <si>
    <t>WM248#H***</t>
  </si>
  <si>
    <t>WM249#H**</t>
  </si>
  <si>
    <t>WM2601H*</t>
  </si>
  <si>
    <t>WM268#H***</t>
  </si>
  <si>
    <t>WM2801H***</t>
  </si>
  <si>
    <t>WM2901H***</t>
  </si>
  <si>
    <t>WM3001H***</t>
  </si>
  <si>
    <t>WM3360H***</t>
  </si>
  <si>
    <t>WM398#H***</t>
  </si>
  <si>
    <t>WM3987H**</t>
  </si>
  <si>
    <t>WT1101C*</t>
  </si>
  <si>
    <t>WT1201C*</t>
  </si>
  <si>
    <t>WT4801C*</t>
  </si>
  <si>
    <t>WT4870C*</t>
  </si>
  <si>
    <t>WT6001H*</t>
  </si>
  <si>
    <t>Malber USA</t>
  </si>
  <si>
    <t>P31</t>
  </si>
  <si>
    <t>Maytag</t>
  </si>
  <si>
    <t>Amana</t>
  </si>
  <si>
    <t>NAH6800</t>
  </si>
  <si>
    <t>NAV8805</t>
  </si>
  <si>
    <t>CAH4205</t>
  </si>
  <si>
    <t>MAH5500BW*</t>
  </si>
  <si>
    <t>MAH6500AW*</t>
  </si>
  <si>
    <t>SAV4655EW*</t>
  </si>
  <si>
    <t>Miele Appliances, Inc.</t>
  </si>
  <si>
    <t>Miele</t>
  </si>
  <si>
    <t>PW6065</t>
  </si>
  <si>
    <t>W1113</t>
  </si>
  <si>
    <t>W1203</t>
  </si>
  <si>
    <t>W1903</t>
  </si>
  <si>
    <t>W1918</t>
  </si>
  <si>
    <t>W1930</t>
  </si>
  <si>
    <t>W3033</t>
  </si>
  <si>
    <t>W3039</t>
  </si>
  <si>
    <t>W480*</t>
  </si>
  <si>
    <t>Samsung Electronics Co., Ltd.</t>
  </si>
  <si>
    <t>NFW7200TW</t>
  </si>
  <si>
    <t>GSL*1500J0WW</t>
  </si>
  <si>
    <t>WCVH4800****</t>
  </si>
  <si>
    <t>WSLP1100H</t>
  </si>
  <si>
    <t>402.4903*01*</t>
  </si>
  <si>
    <t>592-2921*</t>
  </si>
  <si>
    <t>592-4900*</t>
  </si>
  <si>
    <t>592-4904*</t>
  </si>
  <si>
    <t>592-49042</t>
  </si>
  <si>
    <t>592-4905*</t>
  </si>
  <si>
    <t>592-4906*</t>
  </si>
  <si>
    <t>592-4919*</t>
  </si>
  <si>
    <t>592-4931*</t>
  </si>
  <si>
    <t>592-4933*</t>
  </si>
  <si>
    <t>592-4936*</t>
  </si>
  <si>
    <t>592-4939*</t>
  </si>
  <si>
    <t>MAH2400***</t>
  </si>
  <si>
    <t>MAH6700</t>
  </si>
  <si>
    <t>MAH8700</t>
  </si>
  <si>
    <t>MAH9700</t>
  </si>
  <si>
    <t>Samsung</t>
  </si>
  <si>
    <t>WA400P*HD**</t>
  </si>
  <si>
    <t>WA476D*HA**</t>
  </si>
  <si>
    <t>WA484D*HA**</t>
  </si>
  <si>
    <t>WA5451***</t>
  </si>
  <si>
    <t>WF-J1254</t>
  </si>
  <si>
    <t>WF203***</t>
  </si>
  <si>
    <t>WF206***</t>
  </si>
  <si>
    <t>WF209***</t>
  </si>
  <si>
    <t>WF218***</t>
  </si>
  <si>
    <t>WF219***</t>
  </si>
  <si>
    <t>WF231***</t>
  </si>
  <si>
    <t>WF306BHW</t>
  </si>
  <si>
    <t>WF326LAS</t>
  </si>
  <si>
    <t>WF328***</t>
  </si>
  <si>
    <t>WF330***</t>
  </si>
  <si>
    <t>WF337***</t>
  </si>
  <si>
    <t>WF338***</t>
  </si>
  <si>
    <t>WF361B*BE**</t>
  </si>
  <si>
    <t>WF364B*BG**</t>
  </si>
  <si>
    <t>WF393B*PA**</t>
  </si>
  <si>
    <t>WF398A*PA**</t>
  </si>
  <si>
    <t>WF407***</t>
  </si>
  <si>
    <t>WF409***</t>
  </si>
  <si>
    <t>WF448***</t>
  </si>
  <si>
    <t>WF461***</t>
  </si>
  <si>
    <t>WF501***</t>
  </si>
  <si>
    <t>WF520***</t>
  </si>
  <si>
    <t>Whirlpool</t>
  </si>
  <si>
    <t>Admiral</t>
  </si>
  <si>
    <t>ATW4475V**</t>
  </si>
  <si>
    <t>NFW5700B*+</t>
  </si>
  <si>
    <t>NFW7300W*+</t>
  </si>
  <si>
    <t>NFW7400V*+</t>
  </si>
  <si>
    <t>NFW7500V*+</t>
  </si>
  <si>
    <t>NFW7600X*+</t>
  </si>
  <si>
    <t>NTW4500V**</t>
  </si>
  <si>
    <t>NTW4500X*</t>
  </si>
  <si>
    <t>NTW4600V**</t>
  </si>
  <si>
    <t>NTW4601X*</t>
  </si>
  <si>
    <t>NTW4750B*+</t>
  </si>
  <si>
    <t>NTW4800V**</t>
  </si>
  <si>
    <t>NTW5200T**</t>
  </si>
  <si>
    <t>NTW5400T**</t>
  </si>
  <si>
    <t>NTW5500T**</t>
  </si>
  <si>
    <t>NTW5700T**</t>
  </si>
  <si>
    <t>NTW5800T**</t>
  </si>
  <si>
    <t>Anderson Moulds</t>
  </si>
  <si>
    <t>ATW4300T**</t>
  </si>
  <si>
    <t>ATW4470T**</t>
  </si>
  <si>
    <t>ATW4471T**</t>
  </si>
  <si>
    <t>CAWB522S**</t>
  </si>
  <si>
    <t>CAWS14234V*+</t>
  </si>
  <si>
    <t>CAWS954S**</t>
  </si>
  <si>
    <t>Estate</t>
  </si>
  <si>
    <t>ETW4100S**</t>
  </si>
  <si>
    <t>ETW4100V*+</t>
  </si>
  <si>
    <t>ETW4200S**</t>
  </si>
  <si>
    <t>ETW4300S**</t>
  </si>
  <si>
    <t>ETW4400S**</t>
  </si>
  <si>
    <t>ETW4400V**</t>
  </si>
  <si>
    <t>ETW4400W*+</t>
  </si>
  <si>
    <t>Inglis</t>
  </si>
  <si>
    <t>IV45000**</t>
  </si>
  <si>
    <t>IV4500X*+</t>
  </si>
  <si>
    <t>110.1710****</t>
  </si>
  <si>
    <t>110.1781****</t>
  </si>
  <si>
    <t>110.1811****</t>
  </si>
  <si>
    <t>110.2703****</t>
  </si>
  <si>
    <t>110.2706****</t>
  </si>
  <si>
    <t>110.2711****</t>
  </si>
  <si>
    <t>110.2722****</t>
  </si>
  <si>
    <t>110.2727****</t>
  </si>
  <si>
    <t>110.2732****</t>
  </si>
  <si>
    <t>110.2742****</t>
  </si>
  <si>
    <t>110.2749****</t>
  </si>
  <si>
    <t>110.2752****</t>
  </si>
  <si>
    <t>110.2767****</t>
  </si>
  <si>
    <t>110.2771****</t>
  </si>
  <si>
    <t>110.2772****</t>
  </si>
  <si>
    <t>110.2803****</t>
  </si>
  <si>
    <t>110.2806****</t>
  </si>
  <si>
    <t>110.2808****</t>
  </si>
  <si>
    <t>110.2852****</t>
  </si>
  <si>
    <t>110.2942****</t>
  </si>
  <si>
    <t>110.4650****</t>
  </si>
  <si>
    <t>110.4674****</t>
  </si>
  <si>
    <t>110.4708****</t>
  </si>
  <si>
    <t>110.4756****</t>
  </si>
  <si>
    <t>110.4770****</t>
  </si>
  <si>
    <t>110.4785****</t>
  </si>
  <si>
    <t>110.8075****</t>
  </si>
  <si>
    <t>110.8784****</t>
  </si>
  <si>
    <t>2002*01+</t>
  </si>
  <si>
    <t>2052*90+</t>
  </si>
  <si>
    <t>2110*01+</t>
  </si>
  <si>
    <t>2120*01+</t>
  </si>
  <si>
    <t>2125*10+</t>
  </si>
  <si>
    <t>2130*</t>
  </si>
  <si>
    <t>2210*31+</t>
  </si>
  <si>
    <t>2712*31+</t>
  </si>
  <si>
    <t>2810*10+</t>
  </si>
  <si>
    <t>2952****</t>
  </si>
  <si>
    <t>2962****</t>
  </si>
  <si>
    <t>2972****</t>
  </si>
  <si>
    <t>2982****</t>
  </si>
  <si>
    <t>4674*80+</t>
  </si>
  <si>
    <t>4778*70+</t>
  </si>
  <si>
    <t>Kitchen Aid</t>
  </si>
  <si>
    <t>KHWS02R**</t>
  </si>
  <si>
    <t>CAW12444X*+</t>
  </si>
  <si>
    <t>MAH22PDAWW**</t>
  </si>
  <si>
    <t>MAH22PDBWW*+</t>
  </si>
  <si>
    <t>MET3800X*+</t>
  </si>
  <si>
    <t>MFW9600S**</t>
  </si>
  <si>
    <t>MFW9700S**</t>
  </si>
  <si>
    <t>MFW9700T**</t>
  </si>
  <si>
    <t>MHN31PRAW*+</t>
  </si>
  <si>
    <t>MHW6000X*</t>
  </si>
  <si>
    <t>MHW7000X*</t>
  </si>
  <si>
    <t>MHWE200X*+</t>
  </si>
  <si>
    <t>MHWE201Y*+</t>
  </si>
  <si>
    <t>MHWE250X*+</t>
  </si>
  <si>
    <t>MHWE300V**</t>
  </si>
  <si>
    <t>MHWE300W*+</t>
  </si>
  <si>
    <t>MHWE400W*+</t>
  </si>
  <si>
    <t>MHWE550W*+</t>
  </si>
  <si>
    <t>MHWE900V*+</t>
  </si>
  <si>
    <t>MHWE950W*+</t>
  </si>
  <si>
    <t>MHWZ400T**</t>
  </si>
  <si>
    <t>MHWZ600T**</t>
  </si>
  <si>
    <t>MTW5570T**</t>
  </si>
  <si>
    <t>MTW5600T**</t>
  </si>
  <si>
    <t>MTW5700T**</t>
  </si>
  <si>
    <t>MTW5800T**</t>
  </si>
  <si>
    <t>MTW6300T**</t>
  </si>
  <si>
    <t>MTW6500T**</t>
  </si>
  <si>
    <t>MVWB300W*+</t>
  </si>
  <si>
    <t>MVWB450W#**</t>
  </si>
  <si>
    <t>MVWB455Y*+</t>
  </si>
  <si>
    <t>MVWB800V**</t>
  </si>
  <si>
    <t>MVWB850W#**</t>
  </si>
  <si>
    <t>MVWC300V**</t>
  </si>
  <si>
    <t>MVWC300X*+</t>
  </si>
  <si>
    <t>MVWC400VW1</t>
  </si>
  <si>
    <t>MVWC500V**</t>
  </si>
  <si>
    <t>MVWC5ESX**</t>
  </si>
  <si>
    <t>MVWC6ESW*+</t>
  </si>
  <si>
    <t>MVWC7ESW*+</t>
  </si>
  <si>
    <t>Roper</t>
  </si>
  <si>
    <t>RTW4300S**</t>
  </si>
  <si>
    <t>RTW4440V**</t>
  </si>
  <si>
    <t>1CWTW5300V*+</t>
  </si>
  <si>
    <t>CAM2742T**</t>
  </si>
  <si>
    <t>CAM2742T*+</t>
  </si>
  <si>
    <t>CAM2752R**</t>
  </si>
  <si>
    <t>CHW9900SQ**</t>
  </si>
  <si>
    <t>CHW9900V*+</t>
  </si>
  <si>
    <t>CHW9900W*</t>
  </si>
  <si>
    <t>GCAM2792M**</t>
  </si>
  <si>
    <t>GHW9150P**</t>
  </si>
  <si>
    <t>GHW9300P**</t>
  </si>
  <si>
    <t>GVW9959K**</t>
  </si>
  <si>
    <t>LSW9700P**</t>
  </si>
  <si>
    <t>WFC7500V*+</t>
  </si>
  <si>
    <t>WFL98HEB*+</t>
  </si>
  <si>
    <t>WFW8200T**</t>
  </si>
  <si>
    <t>WFW8300S**</t>
  </si>
  <si>
    <t>WFW8400T**</t>
  </si>
  <si>
    <t>WFW8410S**</t>
  </si>
  <si>
    <t>WFW8500S**</t>
  </si>
  <si>
    <t>WFW88HEA*+</t>
  </si>
  <si>
    <t>WFW9150W*+</t>
  </si>
  <si>
    <t>WFW9200S**</t>
  </si>
  <si>
    <t>WFW9300V**</t>
  </si>
  <si>
    <t>WFW9400S**</t>
  </si>
  <si>
    <t>WFW9451X*</t>
  </si>
  <si>
    <t>WFW94HEA*+</t>
  </si>
  <si>
    <t>WFW94HEX*+</t>
  </si>
  <si>
    <t>WFW9500T**</t>
  </si>
  <si>
    <t>WFW9550W*+</t>
  </si>
  <si>
    <t>WFW9700V**</t>
  </si>
  <si>
    <t>WFW97HEX*+</t>
  </si>
  <si>
    <t>WTW4800X*+</t>
  </si>
  <si>
    <t>WTW5000V**</t>
  </si>
  <si>
    <t>WTW5200V**</t>
  </si>
  <si>
    <t>WTW5300V**</t>
  </si>
  <si>
    <t>WTW5300V*+</t>
  </si>
  <si>
    <t>WTW5310S**</t>
  </si>
  <si>
    <t>WTW5310V*+</t>
  </si>
  <si>
    <t>WTW5320S**</t>
  </si>
  <si>
    <t>WTW5500S**</t>
  </si>
  <si>
    <t>WTW5500X*+</t>
  </si>
  <si>
    <t>WTW5505S**</t>
  </si>
  <si>
    <t>WTW5505V**</t>
  </si>
  <si>
    <t>WTW5510V*+</t>
  </si>
  <si>
    <t>WTW5520S**</t>
  </si>
  <si>
    <t>WTW5530S**</t>
  </si>
  <si>
    <t>WTW5550S**</t>
  </si>
  <si>
    <t>WTW5550X*+</t>
  </si>
  <si>
    <t>WTW5600V*+</t>
  </si>
  <si>
    <t>WTW5600X*+</t>
  </si>
  <si>
    <t>WTW5640X*+</t>
  </si>
  <si>
    <t>WTW5700S**</t>
  </si>
  <si>
    <t>WTW5700X*+</t>
  </si>
  <si>
    <t>WTW57ESV**</t>
  </si>
  <si>
    <t>WTW5800S**</t>
  </si>
  <si>
    <t>WTW5820S**</t>
  </si>
  <si>
    <t>WTW6200V**</t>
  </si>
  <si>
    <t>WTW6400S**</t>
  </si>
  <si>
    <t>WTW6500V*+</t>
  </si>
  <si>
    <t>WTW7300X*+</t>
  </si>
  <si>
    <t>WTW7320Y*+</t>
  </si>
  <si>
    <t>WTW7600X*+</t>
  </si>
  <si>
    <t>WTW7990X*+</t>
  </si>
  <si>
    <t>WTW8200Y*+</t>
  </si>
  <si>
    <t>Wuxi Little Swan General Appliance Co., Ltd.</t>
  </si>
  <si>
    <t>GFWH1200D***</t>
  </si>
  <si>
    <t>GFWH1400D***</t>
  </si>
  <si>
    <t>GFWH2400L***</t>
  </si>
  <si>
    <t>GFWN1000L**</t>
  </si>
  <si>
    <t>GFWN1100D***</t>
  </si>
  <si>
    <t>GFWN1100L***</t>
  </si>
  <si>
    <t>WBVH5300K**</t>
  </si>
  <si>
    <t>WCVH6800J***</t>
  </si>
  <si>
    <t>PFWS4600L***</t>
  </si>
  <si>
    <t>WPDH8800J**</t>
  </si>
  <si>
    <t>MEF</t>
  </si>
  <si>
    <t>WF</t>
  </si>
  <si>
    <t>xxx</t>
  </si>
  <si>
    <r>
      <t>Retail Cost ($</t>
    </r>
    <r>
      <rPr>
        <b/>
        <sz val="11"/>
        <rFont val="Calibri"/>
        <family val="2"/>
        <scheme val="minor"/>
      </rPr>
      <t>2006</t>
    </r>
    <r>
      <rPr>
        <b/>
        <sz val="11"/>
        <color theme="1"/>
        <rFont val="Calibri"/>
        <family val="2"/>
        <scheme val="minor"/>
      </rPr>
      <t>)</t>
    </r>
  </si>
  <si>
    <t>Incremental Cost ($2006)</t>
  </si>
  <si>
    <t>RAW DATA</t>
  </si>
  <si>
    <t>CALCULATED DATA</t>
  </si>
  <si>
    <t>DATA FOR REGRESSION MODEL</t>
  </si>
  <si>
    <t>BRANDNAME</t>
  </si>
  <si>
    <t>MODELNUMB</t>
  </si>
  <si>
    <t>COST</t>
  </si>
  <si>
    <t>TUBVOLUME</t>
  </si>
  <si>
    <t>ENERGY (kWh)</t>
  </si>
  <si>
    <t>ANNUAL WATER</t>
  </si>
  <si>
    <t>YEAR</t>
  </si>
  <si>
    <t>Cost ($2006)</t>
  </si>
  <si>
    <t>Cost Normalized to Baseline Tub Volume</t>
  </si>
  <si>
    <t>Cost</t>
  </si>
  <si>
    <t>Estimate</t>
  </si>
  <si>
    <t>REGRESSION MODEL</t>
  </si>
  <si>
    <t>Electrolux</t>
  </si>
  <si>
    <t>EIFLS60JIW</t>
  </si>
  <si>
    <t>NA</t>
  </si>
  <si>
    <t>Cost Model: Cost = Const + B1*WF + B2*MEF + B3*TubVolume</t>
  </si>
  <si>
    <t>EIFLS55IIW</t>
  </si>
  <si>
    <t>note that FY10 analysis forced intercept to zero</t>
  </si>
  <si>
    <t>Frigidaire Affinity</t>
  </si>
  <si>
    <t>FAFW3801LW</t>
  </si>
  <si>
    <t>GE</t>
  </si>
  <si>
    <t>GFWH2400LWW</t>
  </si>
  <si>
    <t>Results of LINEST function</t>
  </si>
  <si>
    <t>WCVH4800KWW</t>
  </si>
  <si>
    <t>tub volume</t>
  </si>
  <si>
    <t>const</t>
  </si>
  <si>
    <t>GFWH1400DWW</t>
  </si>
  <si>
    <t>estimate</t>
  </si>
  <si>
    <t>GFWS3500LWW</t>
  </si>
  <si>
    <t>st. error</t>
  </si>
  <si>
    <t>GFWS1500DWW</t>
  </si>
  <si>
    <t>R2</t>
  </si>
  <si>
    <t>GFWH1200DWW</t>
  </si>
  <si>
    <t>GTWN4250DWS</t>
  </si>
  <si>
    <t>GHWN4250DWW</t>
  </si>
  <si>
    <t>GTWN5550DWW</t>
  </si>
  <si>
    <t>GTWN5250DWW</t>
  </si>
  <si>
    <t xml:space="preserve">GE Profile </t>
  </si>
  <si>
    <t>PFWS4600LWW</t>
  </si>
  <si>
    <t>Haier Energy Star</t>
  </si>
  <si>
    <t>GWT460AW</t>
  </si>
  <si>
    <t>LG Electronics</t>
  </si>
  <si>
    <t>WM3470HWA</t>
  </si>
  <si>
    <t>WM2655HVA</t>
  </si>
  <si>
    <t>WM8000HWA</t>
  </si>
  <si>
    <t>WM1355HW</t>
  </si>
  <si>
    <t>WM2250CW</t>
  </si>
  <si>
    <t>WM3470HVA</t>
  </si>
  <si>
    <t>WM2650HRA</t>
  </si>
  <si>
    <t>WM2650HWA</t>
  </si>
  <si>
    <t>WM3070HRA</t>
  </si>
  <si>
    <t>WM3070HWA</t>
  </si>
  <si>
    <t>WT5170HW</t>
  </si>
  <si>
    <t>WT4801CW</t>
  </si>
  <si>
    <t>WT5070CW</t>
  </si>
  <si>
    <t>WT5170HV</t>
  </si>
  <si>
    <t>Maytag Bravos</t>
  </si>
  <si>
    <t>MVWB850YW</t>
  </si>
  <si>
    <t>MVWX700XW</t>
  </si>
  <si>
    <t>MVWB950YW</t>
  </si>
  <si>
    <t>MVWX500XW</t>
  </si>
  <si>
    <t>MVWB750YW</t>
  </si>
  <si>
    <t>MVWX5SPAW</t>
  </si>
  <si>
    <t>Maytag Centennial</t>
  </si>
  <si>
    <t>MVWC300XW</t>
  </si>
  <si>
    <t>MVWC400XW</t>
  </si>
  <si>
    <t>MVWC350AW</t>
  </si>
  <si>
    <t>Maytag Maxima</t>
  </si>
  <si>
    <t>MHW6000XG</t>
  </si>
  <si>
    <t>MHW7000XW</t>
  </si>
  <si>
    <t>MHW9000YG</t>
  </si>
  <si>
    <t>Maytag Performance Series</t>
  </si>
  <si>
    <t>MHWE251YG</t>
  </si>
  <si>
    <t>MHWE201YW</t>
  </si>
  <si>
    <t>MHWE301YW</t>
  </si>
  <si>
    <t>MHWE950WW</t>
  </si>
  <si>
    <t xml:space="preserve">Whirlpool   </t>
  </si>
  <si>
    <t>WFC7500VW</t>
  </si>
  <si>
    <t>WTW4880AW</t>
  </si>
  <si>
    <t>WTW4950XW</t>
  </si>
  <si>
    <t>Whirlpool Cabrio</t>
  </si>
  <si>
    <t>WTW5500XW</t>
  </si>
  <si>
    <t>WTW5700AC</t>
  </si>
  <si>
    <t>WTW8800YW</t>
  </si>
  <si>
    <t>WTW8600YW</t>
  </si>
  <si>
    <t>WTW5600XW</t>
  </si>
  <si>
    <t xml:space="preserve">Whirlpool Cabrio Platinum  </t>
  </si>
  <si>
    <t>WTW8200YW</t>
  </si>
  <si>
    <t>Whirlpool Duet</t>
  </si>
  <si>
    <t>WFW9550WL</t>
  </si>
  <si>
    <t>WFW94HEXW</t>
  </si>
  <si>
    <t>WFW9351YW</t>
  </si>
  <si>
    <t>WFW97HEXW</t>
  </si>
  <si>
    <t>WFW95HEXL</t>
  </si>
  <si>
    <t>WFW9151YW</t>
  </si>
  <si>
    <t>WFW94HEAW</t>
  </si>
  <si>
    <t>WFW9550WW</t>
  </si>
  <si>
    <t>ATW4475XQ</t>
  </si>
  <si>
    <t>GTWP1800DWW</t>
  </si>
  <si>
    <t>GHWP1000MWW</t>
  </si>
  <si>
    <t>WSLS1500JWW</t>
  </si>
  <si>
    <t>HTWP1200DWW</t>
  </si>
  <si>
    <t>HSWP1000MWW</t>
  </si>
  <si>
    <t>WTW4800XQ</t>
  </si>
  <si>
    <t>GE Adora</t>
  </si>
  <si>
    <t>GHWN5250DWS</t>
  </si>
  <si>
    <t>GE Profile Harmony</t>
  </si>
  <si>
    <t>PTWN8055MMS</t>
  </si>
  <si>
    <t>WSLP1500JWW</t>
  </si>
  <si>
    <t>GCWP1805DCC</t>
  </si>
  <si>
    <t>Kenmore Elite</t>
  </si>
  <si>
    <t>WF210ANW</t>
  </si>
  <si>
    <t>WF405ATPASU</t>
  </si>
  <si>
    <t>MHW6000XW</t>
  </si>
  <si>
    <t>MHW6000XR</t>
  </si>
  <si>
    <t>EIFLS55IMB</t>
  </si>
  <si>
    <t>WF511ABR</t>
  </si>
  <si>
    <t>WF511ABW</t>
  </si>
  <si>
    <t>WFW95HEXW</t>
  </si>
  <si>
    <t>EWFLS70JSS</t>
  </si>
  <si>
    <t>WM8000HVA</t>
  </si>
  <si>
    <t>MHW7000XG</t>
  </si>
  <si>
    <t>WF405ATPAWR</t>
  </si>
  <si>
    <t>WF365BTBGWR</t>
  </si>
  <si>
    <t>EIFLS60LSS</t>
  </si>
  <si>
    <t>WF435ATGJRA</t>
  </si>
  <si>
    <t>EWFLS70JIW</t>
  </si>
  <si>
    <t>WFW94HEXR</t>
  </si>
  <si>
    <t>WF393BTPAWR</t>
  </si>
  <si>
    <t> 21102</t>
  </si>
  <si>
    <t>HSWP1000MWW,026-24162-000</t>
  </si>
  <si>
    <t>GTWN2800DWW</t>
  </si>
  <si>
    <t>WTW5700XW</t>
  </si>
  <si>
    <t>WA456DRHDWR</t>
  </si>
  <si>
    <t>GE Profile</t>
  </si>
  <si>
    <t>PTWN8050MWW</t>
  </si>
  <si>
    <t>WA456DRHDSU</t>
  </si>
  <si>
    <t>WA484DSHAWR</t>
  </si>
  <si>
    <t>WA400PJHDWR</t>
  </si>
  <si>
    <t>MVWX700XL</t>
  </si>
  <si>
    <t>WA422PRHDWR</t>
  </si>
  <si>
    <t>GTWP1805DCC</t>
  </si>
  <si>
    <t>MVWB950YG</t>
  </si>
  <si>
    <t>WTW8800YC</t>
  </si>
  <si>
    <t xml:space="preserve">Electrolux </t>
  </si>
  <si>
    <t>EIFLS60LT</t>
  </si>
  <si>
    <t>EIFLW50LIW</t>
  </si>
  <si>
    <t>Electrolux Steam</t>
  </si>
  <si>
    <t>FAFS4073NA</t>
  </si>
  <si>
    <t xml:space="preserve">Frigidaire Affinity </t>
  </si>
  <si>
    <t>FAFS4073NR</t>
  </si>
  <si>
    <t>FAFS4174NR</t>
  </si>
  <si>
    <t>FAFS4174NA</t>
  </si>
  <si>
    <t>FAFS4073NW</t>
  </si>
  <si>
    <t>FAFS4174NW</t>
  </si>
  <si>
    <t>FAFW3921NW</t>
  </si>
  <si>
    <t xml:space="preserve">Maytag Maxima </t>
  </si>
  <si>
    <t>MHW7000XR</t>
  </si>
  <si>
    <t>MHW9000YW</t>
  </si>
  <si>
    <t>Maytag Performance</t>
  </si>
  <si>
    <t>WF350ANP</t>
  </si>
  <si>
    <t>WF457ARGSGR</t>
  </si>
  <si>
    <t xml:space="preserve">Samsung </t>
  </si>
  <si>
    <t>WF350ANR</t>
  </si>
  <si>
    <t>WF350ANW</t>
  </si>
  <si>
    <t>WF457ARGSWR</t>
  </si>
  <si>
    <t>WFW9640XW</t>
  </si>
  <si>
    <t>WFW94HEXL</t>
  </si>
  <si>
    <t>WA42T26GW1</t>
  </si>
  <si>
    <t>WL42T26CW1</t>
  </si>
  <si>
    <t>GLWN5250DWW</t>
  </si>
  <si>
    <t>GLWN5550DWW</t>
  </si>
  <si>
    <t>Haier</t>
  </si>
  <si>
    <t>Maytag Bravos X</t>
  </si>
  <si>
    <t>Maytag Bravos XL</t>
  </si>
  <si>
    <t>WA5451ANW</t>
  </si>
  <si>
    <t xml:space="preserve">Whirlpool </t>
  </si>
  <si>
    <t>WTW4850XQ</t>
  </si>
  <si>
    <t>WTW5640XW</t>
  </si>
  <si>
    <t>WTW8240YW</t>
  </si>
  <si>
    <t>All cost data was collected online between 8/16/2012 and 8/30/2012, with the locations for each retail website set for Portland, Oregon.  These are all stand alone (ie. non-dryer combined) clothes washers available on the retail stores' websites. 
MEF and WF specs for Energy Star-qualified machines are from www.energystar.com or the CEC database.  MEF and WF specs for non-Energy Star-qualified machines are from the CEC database.  For some machines, MEF and WF values could not be found (denoted as "NA").</t>
  </si>
  <si>
    <t>Manufacturer</t>
  </si>
  <si>
    <t>Model #</t>
  </si>
  <si>
    <t>Price</t>
  </si>
  <si>
    <t>Tub Volume (cu. Ft.)</t>
  </si>
  <si>
    <t>Configuration</t>
  </si>
  <si>
    <t>Energy Star Compliant?</t>
  </si>
  <si>
    <t>Annual Water Use</t>
  </si>
  <si>
    <t>Cost Source</t>
  </si>
  <si>
    <t>MEF / WF Source</t>
  </si>
  <si>
    <t>Consider? (ie. is a valid MEF and WF present?)</t>
  </si>
  <si>
    <t>Front Load</t>
  </si>
  <si>
    <t>Yes</t>
  </si>
  <si>
    <t>Home Depot (Portland, Oregon), online at www.homedepot.com</t>
  </si>
  <si>
    <t>Top Load</t>
  </si>
  <si>
    <t>CEC Database</t>
  </si>
  <si>
    <t>ATW4675YQ</t>
  </si>
  <si>
    <t>HLP21N</t>
  </si>
  <si>
    <t>HLP23E</t>
  </si>
  <si>
    <t>RWT350AW</t>
  </si>
  <si>
    <t>MVWC200XW</t>
  </si>
  <si>
    <t>Front load</t>
  </si>
  <si>
    <t>Sears (Portland, Oregon), online at www.sears.com</t>
  </si>
  <si>
    <t>www.sears.com</t>
  </si>
  <si>
    <t>Lowes (Portland, Oregon), online at www.lowes.com</t>
  </si>
  <si>
    <t>WAE20060UC</t>
  </si>
  <si>
    <t>MHWC7500YW</t>
  </si>
  <si>
    <t>GLWN2800DWS</t>
  </si>
  <si>
    <t>Maytag White</t>
  </si>
  <si>
    <t>MVWX700AG</t>
  </si>
  <si>
    <t>MVWB850YG</t>
  </si>
  <si>
    <t xml:space="preserve">Roper </t>
  </si>
  <si>
    <t>RTW4640YQ</t>
  </si>
  <si>
    <t>RTW4740YQ</t>
  </si>
  <si>
    <t>All Retail Washers (with a valid MEF and WF)</t>
  </si>
  <si>
    <t>Count</t>
  </si>
  <si>
    <t>Avg. MEF</t>
  </si>
  <si>
    <t>Avg. WF</t>
  </si>
  <si>
    <t>Avg. Tub Volume</t>
  </si>
  <si>
    <t>Min. MEF</t>
  </si>
  <si>
    <t>Max. MEF</t>
  </si>
  <si>
    <t>Min. WF</t>
  </si>
  <si>
    <t>Max. WF</t>
  </si>
  <si>
    <t>Energy Star Washers</t>
  </si>
  <si>
    <t>Average Price</t>
  </si>
  <si>
    <t>Average Price (2006 $)</t>
  </si>
  <si>
    <t>Non-Energy Star Washers</t>
  </si>
  <si>
    <t>Baseline</t>
  </si>
  <si>
    <t>Measure Cases</t>
  </si>
  <si>
    <t>Tub Volume (cubic feet)</t>
  </si>
  <si>
    <t>% Moisture Remaining</t>
  </si>
  <si>
    <t>Detergent Cost (2006$/year)</t>
  </si>
  <si>
    <t>ENERGY DISAGGREGATION</t>
  </si>
  <si>
    <t>dryer energy (kWh/load)</t>
  </si>
  <si>
    <t>dryer energy (kWh/year)</t>
  </si>
  <si>
    <t>machine energy (kWh/load)</t>
  </si>
  <si>
    <t>machine energy (kWh/year)</t>
  </si>
  <si>
    <t>hot water fraction</t>
  </si>
  <si>
    <t>hot water gallons/year</t>
  </si>
  <si>
    <t>hot water kWh</t>
  </si>
  <si>
    <t>total energy</t>
  </si>
  <si>
    <t>% energy to machine</t>
  </si>
  <si>
    <t>% energy to dryer</t>
  </si>
  <si>
    <t>% energy to hot water</t>
  </si>
  <si>
    <t>FOR ELECTRIC FUEL</t>
  </si>
  <si>
    <t>kWh machine</t>
  </si>
  <si>
    <t>kWh dryer</t>
  </si>
  <si>
    <t>kWh hot water</t>
  </si>
  <si>
    <t>FOR GAS FUEL</t>
  </si>
  <si>
    <t>therms machine</t>
  </si>
  <si>
    <t>therms dryer</t>
  </si>
  <si>
    <t>therms hot water</t>
  </si>
  <si>
    <t>Number of Baseline Cases</t>
  </si>
  <si>
    <t>Baseline Case ID</t>
  </si>
  <si>
    <t>Baseline Case</t>
  </si>
  <si>
    <t>Measure Case ID</t>
  </si>
  <si>
    <t>Measure Case</t>
  </si>
  <si>
    <t>Fuel Case ID</t>
  </si>
  <si>
    <t>Fuel Case</t>
  </si>
  <si>
    <t>DHW</t>
  </si>
  <si>
    <t>Dryer</t>
  </si>
  <si>
    <t>Electric DHW, Electric Dryer</t>
  </si>
  <si>
    <t>Number of Fuel Cases</t>
  </si>
  <si>
    <t>Electric DHW, Gas Dryer</t>
  </si>
  <si>
    <t>Gas DHW, Electric Dryer</t>
  </si>
  <si>
    <t>Gas DHW, Gas Dryer</t>
  </si>
  <si>
    <t>Any DHW, Any Dryer</t>
  </si>
  <si>
    <t>BASELINE</t>
  </si>
  <si>
    <t>MEASURE</t>
  </si>
  <si>
    <t>DIFFERENCE</t>
  </si>
  <si>
    <t>Savings</t>
  </si>
  <si>
    <t>Run #</t>
  </si>
  <si>
    <t>Baseline #</t>
  </si>
  <si>
    <t>Measure x Fuel</t>
  </si>
  <si>
    <t>Fuel</t>
  </si>
  <si>
    <t>DHW Fuel</t>
  </si>
  <si>
    <t>Dryer Fuel</t>
  </si>
  <si>
    <t>% Electric DHW</t>
  </si>
  <si>
    <t>% Electric Dryer</t>
  </si>
  <si>
    <t>gallons/year</t>
  </si>
  <si>
    <t>cost $2006</t>
  </si>
  <si>
    <t>Detergent Cost $2006</t>
  </si>
  <si>
    <t>Incremental Cost</t>
  </si>
  <si>
    <t>kWh/year</t>
  </si>
  <si>
    <t>therms/year</t>
  </si>
  <si>
    <t>gallons</t>
  </si>
  <si>
    <t>B/C Ratio</t>
  </si>
  <si>
    <t>kWh/year, including waste water</t>
  </si>
  <si>
    <t>Detergent ($2006)</t>
  </si>
  <si>
    <t>Level</t>
  </si>
  <si>
    <t>IWF</t>
  </si>
  <si>
    <t>Machine</t>
  </si>
  <si>
    <t>Hot</t>
  </si>
  <si>
    <t>RMC</t>
  </si>
  <si>
    <t>Reference</t>
  </si>
  <si>
    <t>URL</t>
  </si>
  <si>
    <t>Federal Standard</t>
  </si>
  <si>
    <t>Federal - January 2011</t>
  </si>
  <si>
    <t>Energy Independence and Security Act 2007</t>
  </si>
  <si>
    <t>http://frwebgate.access.gpo.gov/cgi-bin/getdoc.cgi?dbname=110_cong_bills&amp;docid=f:h6enr.txt.pdf</t>
  </si>
  <si>
    <t>http://www.energystar.gov/index.cfm?c=clotheswash.pr_crit_clothes_washers</t>
  </si>
  <si>
    <r>
      <t>Consortium for Energy Efficiency (CEE) Specifications, as of January</t>
    </r>
    <r>
      <rPr>
        <b/>
        <sz val="10"/>
        <color theme="9"/>
        <rFont val="Arial"/>
        <family val="2"/>
      </rPr>
      <t xml:space="preserve"> </t>
    </r>
    <r>
      <rPr>
        <b/>
        <sz val="10"/>
        <rFont val="Arial"/>
        <family val="2"/>
      </rPr>
      <t>2011</t>
    </r>
  </si>
  <si>
    <t>CEE website</t>
  </si>
  <si>
    <t>http://www.cee1.org/resid/seha/rwsh/reswash_specs.pdf</t>
  </si>
  <si>
    <r>
      <t xml:space="preserve">Based on 4.43 average loads per week reported.  NEEA (2012).  </t>
    </r>
    <r>
      <rPr>
        <i/>
        <sz val="11"/>
        <color theme="1"/>
        <rFont val="Calibri"/>
        <family val="2"/>
        <scheme val="minor"/>
      </rPr>
      <t>Residential Building Stock Assessment: Multifamily Characteristics and Energy Use</t>
    </r>
    <r>
      <rPr>
        <sz val="11"/>
        <color theme="1"/>
        <rFont val="Calibri"/>
        <family val="2"/>
        <scheme val="minor"/>
      </rPr>
      <t>. For In-Unit Only</t>
    </r>
  </si>
  <si>
    <r>
      <t xml:space="preserve">Based on 4.47 average loads per week reported.  NEEA (2012).  </t>
    </r>
    <r>
      <rPr>
        <i/>
        <sz val="11"/>
        <color theme="1"/>
        <rFont val="Calibri"/>
        <family val="2"/>
        <scheme val="minor"/>
      </rPr>
      <t>Residential Building Stock Assessment: Manufactured Home Characteristics and Energy Use</t>
    </r>
    <r>
      <rPr>
        <sz val="11"/>
        <color theme="1"/>
        <rFont val="Calibri"/>
        <family val="2"/>
        <scheme val="minor"/>
      </rPr>
      <t>.</t>
    </r>
  </si>
  <si>
    <t>Item</t>
  </si>
  <si>
    <t>Methods &amp; Sources</t>
  </si>
  <si>
    <t>Note</t>
  </si>
  <si>
    <t>Measures Described</t>
  </si>
  <si>
    <t>Energy Savings Calculation Basis</t>
  </si>
  <si>
    <t>DOE NIA</t>
  </si>
  <si>
    <t>Applicable Stock</t>
  </si>
  <si>
    <t>Baseline Saturation</t>
  </si>
  <si>
    <t>Savings are relative to market average, so baseline = 0</t>
  </si>
  <si>
    <t>Permutations</t>
  </si>
  <si>
    <t>Costs</t>
  </si>
  <si>
    <t>Measure Life</t>
  </si>
  <si>
    <t>Savings Shape</t>
  </si>
  <si>
    <t>Achievable Ramp Rate</t>
  </si>
  <si>
    <t>Measure:</t>
  </si>
  <si>
    <t>7P Updates</t>
  </si>
  <si>
    <t>Baseline HVAC Loads</t>
  </si>
  <si>
    <t>RBSA on CW saturation, electric WH saturation</t>
  </si>
  <si>
    <t>Washer, Dryer, and NEBs all included</t>
  </si>
  <si>
    <t>NEBs include wastewater energy savings</t>
  </si>
  <si>
    <t>Retro or LO</t>
  </si>
  <si>
    <t>Early Retrofit Parameters</t>
  </si>
  <si>
    <t>R or L</t>
  </si>
  <si>
    <t>Savings 2
(kWh)</t>
  </si>
  <si>
    <t>Remaining
Life (yrs)</t>
  </si>
  <si>
    <t>Salvage Value ($)</t>
  </si>
  <si>
    <t>aMW</t>
  </si>
  <si>
    <t>High efficiency clothes washer, based on DOE standards work (NIA), ENERGY STAR/CEE levels. New std effective March 2015, potential based on 2018 std</t>
  </si>
  <si>
    <t>Existing</t>
  </si>
  <si>
    <t>Block 22: 200-210 mills/kWh</t>
  </si>
  <si>
    <t>Block 23: 210-220 mills/kWh</t>
  </si>
  <si>
    <t>Block 24: 220-230 mills/kWh</t>
  </si>
  <si>
    <t>Block 25: 230-240 mills/kWh</t>
  </si>
  <si>
    <t>Block 26: 240-250 mills/kWh</t>
  </si>
  <si>
    <t>Block 27: 250-260 mills/kWh</t>
  </si>
  <si>
    <t>Block 28: 260-270 mills/kWh</t>
  </si>
  <si>
    <t>Block 29: 270-280 mills/kWh</t>
  </si>
  <si>
    <t>Block 30: 280-290 mills/kWh</t>
  </si>
  <si>
    <t>Block 31: 290-300 mills/kWh</t>
  </si>
  <si>
    <t>Block 32: &gt; 300 mills/kWh</t>
  </si>
  <si>
    <t>&lt;=210</t>
  </si>
  <si>
    <t>&gt;210</t>
  </si>
  <si>
    <t>&lt;=220</t>
  </si>
  <si>
    <t>&gt;220</t>
  </si>
  <si>
    <t>&lt;=230</t>
  </si>
  <si>
    <t>&gt;230</t>
  </si>
  <si>
    <t>&lt;=240</t>
  </si>
  <si>
    <t>&gt;240</t>
  </si>
  <si>
    <t>&lt;=250</t>
  </si>
  <si>
    <t>&gt;250</t>
  </si>
  <si>
    <t>&lt;=260</t>
  </si>
  <si>
    <t>&gt;260</t>
  </si>
  <si>
    <t>&lt;=270</t>
  </si>
  <si>
    <t>&gt;270</t>
  </si>
  <si>
    <t>&lt;=280</t>
  </si>
  <si>
    <t>&gt;280</t>
  </si>
  <si>
    <t>&lt;=290</t>
  </si>
  <si>
    <t>&gt;290</t>
  </si>
  <si>
    <t>&lt;=300</t>
  </si>
  <si>
    <t>&gt;300</t>
  </si>
  <si>
    <t>Cumulative</t>
  </si>
  <si>
    <t>Block 2: 0-10 mills/kWh</t>
  </si>
  <si>
    <t>Table 20. Average Number of Common Area Clothes Washers per Unit by Building Size</t>
  </si>
  <si>
    <t>Building Size</t>
  </si>
  <si>
    <t>Clothes Washers Per Unit</t>
  </si>
  <si>
    <t>Mean</t>
  </si>
  <si>
    <t>EB</t>
  </si>
  <si>
    <t>n</t>
  </si>
  <si>
    <t>Low-Rise (1–3)</t>
  </si>
  <si>
    <t>Mid-Rise (4–6)</t>
  </si>
  <si>
    <t>High-Rise (7+)</t>
  </si>
  <si>
    <t>Total</t>
  </si>
  <si>
    <t>including common area washers</t>
  </si>
  <si>
    <t>='[7P Forecasts D2.xlsx]Res Forecast (Base Case)'!$D$5</t>
  </si>
  <si>
    <t>Ramp Rate</t>
  </si>
  <si>
    <t>Resource Type</t>
  </si>
  <si>
    <t>Measure Category</t>
  </si>
  <si>
    <t>Sector</t>
  </si>
  <si>
    <t>End Use</t>
  </si>
  <si>
    <t>kW per unit</t>
  </si>
  <si>
    <t>kWh per unit</t>
  </si>
  <si>
    <t>TRC Net Levelized Cost (Net of All Benefits)</t>
  </si>
  <si>
    <t>Savings Allocation by Category and Month for Segments 1</t>
  </si>
  <si>
    <t>Savings Allocation by Category and Month for Segments 2</t>
  </si>
  <si>
    <t>Wholesale KW</t>
  </si>
  <si>
    <t>End Use:</t>
  </si>
  <si>
    <t>Federal Standard and ENERGY STAR / CEE Specifications, Effective March 7, 2015 to January 1, 2018</t>
  </si>
  <si>
    <t>IMEF</t>
  </si>
  <si>
    <t>Top-Loading, Standard (1.6 cu ft or greater capacity)</t>
  </si>
  <si>
    <t>DOE Building Technologies Office</t>
  </si>
  <si>
    <t>http://www1.eere.energy.gov/buildings/appliance_standards/product.aspx/productid/39</t>
  </si>
  <si>
    <t>Front-Loading, Standard (1.6 cu ft or greater capacity)</t>
  </si>
  <si>
    <t>""</t>
  </si>
  <si>
    <t>Top-Loading, Compact (less than 1.6 cu ft capacity)</t>
  </si>
  <si>
    <t>Front-Loading, Compact (less than 1.6 cu ft capacity)</t>
  </si>
  <si>
    <t>ENERGY STAR Criteria (v7.0)</t>
  </si>
  <si>
    <t>Top-Loading, Standard (greater than 2.5 cu ft)</t>
  </si>
  <si>
    <t>ENERGY STAR website</t>
  </si>
  <si>
    <t>http://www.energystar.gov/products/certified-products/detail/7604/partners</t>
  </si>
  <si>
    <t>Front-Loading, Standard (greater than 2.5 cu ft)</t>
  </si>
  <si>
    <t>Compact (2.5 cu ft or less)</t>
  </si>
  <si>
    <t>Consortium for Energy Efficiency (CEE) Specifications</t>
  </si>
  <si>
    <t>Tier 1</t>
  </si>
  <si>
    <t>December 2014 CEE board decision</t>
  </si>
  <si>
    <t>Not yet listed on CEE website</t>
  </si>
  <si>
    <t>Tier 2</t>
  </si>
  <si>
    <t>Tier 3</t>
  </si>
  <si>
    <t>Percentage of Dryer Loads per Washer Load</t>
  </si>
  <si>
    <t>Taken directly from 2012 Residential Building Stock Assessment.</t>
  </si>
  <si>
    <t>Energy Star clothes washer penetration, BPA sales data estimate</t>
  </si>
  <si>
    <t>Energy Star clothes washer penetration, CEC database estimate</t>
  </si>
  <si>
    <t>Average tub volume (cubic feet)</t>
  </si>
  <si>
    <t>Calculated value based on the existing stock of clothes washers in the latest CEC database and Energy Star clothes washer saturation.</t>
  </si>
  <si>
    <t>From RTF Standard Information Workbook (SIW) v2.0. See workbook at http://rtf.nwcouncil.org/measures/support/files/Default.asp.</t>
  </si>
  <si>
    <t>Water costs and energy savings values below from RTF Standard Information Workbook (SIW) v2.0. See workbook at http://rtf.nwcouncil.org/measures/support/files/Default.asp. For derivations of these values, please reference the SIW.</t>
  </si>
  <si>
    <t>min IMEF</t>
  </si>
  <si>
    <t>max IMEF</t>
  </si>
  <si>
    <t>min IWF</t>
  </si>
  <si>
    <t>max IWF</t>
  </si>
  <si>
    <t>All Models Meeting Fed Standard - Top-Load</t>
  </si>
  <si>
    <t>All Models Meeting Fed Standard - Front-Load</t>
  </si>
  <si>
    <t>All Models Below ENERGY STAR - Top-Load</t>
  </si>
  <si>
    <t>All Models Below ENERGY STAR - Front-Load</t>
  </si>
  <si>
    <t>ENERGY STAR - Top-Load</t>
  </si>
  <si>
    <t>ENERGY STAR - Front-Load</t>
  </si>
  <si>
    <t>Energy Star Top 10% - Top-Load</t>
  </si>
  <si>
    <t>Energy Star Top 10% - Front-Load</t>
  </si>
  <si>
    <t>All Retail Models Meeting Fed Standard - Top-Load</t>
  </si>
  <si>
    <t>All Retail Models Meeting Fed Standard - Front-Load</t>
  </si>
  <si>
    <t>For IMEF and IWF</t>
  </si>
  <si>
    <t>All Models Meeting Fed Standard (Top- or Front-Load)</t>
  </si>
  <si>
    <t>All Models Below ENERGY STAR (Top- or Front-Load)</t>
  </si>
  <si>
    <t>Any ENERGY STAR (Top- or Front-Load)</t>
  </si>
  <si>
    <t>Current Practice Baseline Using 31% ENERGY STAR Penetration</t>
  </si>
  <si>
    <t>Current Practice Baseline Using 54% ENERGY STAR Penetration</t>
  </si>
  <si>
    <t>min. IMEF</t>
  </si>
  <si>
    <t>Depends</t>
  </si>
  <si>
    <t>max. IMEF</t>
  </si>
  <si>
    <t>min. IWF</t>
  </si>
  <si>
    <t>avg IMEF</t>
  </si>
  <si>
    <t>avg IWF</t>
  </si>
  <si>
    <t>Config</t>
  </si>
  <si>
    <t>min</t>
  </si>
  <si>
    <t>max</t>
  </si>
  <si>
    <r>
      <t xml:space="preserve">Computed Using </t>
    </r>
    <r>
      <rPr>
        <b/>
        <u/>
        <sz val="11"/>
        <color theme="1"/>
        <rFont val="Calibri"/>
        <family val="2"/>
        <scheme val="minor"/>
      </rPr>
      <t>IMEF and IWF</t>
    </r>
  </si>
  <si>
    <r>
      <t xml:space="preserve">Computed Using </t>
    </r>
    <r>
      <rPr>
        <b/>
        <u/>
        <sz val="11"/>
        <color theme="1"/>
        <rFont val="Calibri"/>
        <family val="2"/>
        <scheme val="minor"/>
      </rPr>
      <t>MEF and WF</t>
    </r>
  </si>
  <si>
    <t>Int Modified Energy Factor</t>
  </si>
  <si>
    <t>Int Modified Energy Factor STD</t>
  </si>
  <si>
    <t>Int Water Factor</t>
  </si>
  <si>
    <t>Int Water Factor STD</t>
  </si>
  <si>
    <t>Calculated IMEF</t>
  </si>
  <si>
    <t>Calculated IWF</t>
  </si>
  <si>
    <t xml:space="preserve">IMEF </t>
  </si>
  <si>
    <t>Consider (i.e. meets Federal Standard?</t>
  </si>
  <si>
    <t>[BLANK]</t>
  </si>
  <si>
    <t>Federal Standard Compliant IMEF, Top-Load</t>
  </si>
  <si>
    <t>Federal Standard Compliant IMEF, Front-Load</t>
  </si>
  <si>
    <t>Federal Standard Compliant IWF, Top-Load</t>
  </si>
  <si>
    <t>Federal Standard Compliant IWF, Front-Load</t>
  </si>
  <si>
    <t>AWN402PP111****</t>
  </si>
  <si>
    <t>LWNA11SP112****</t>
  </si>
  <si>
    <t>TLW09W</t>
  </si>
  <si>
    <t>TLW16W</t>
  </si>
  <si>
    <t>TLW21PS</t>
  </si>
  <si>
    <t>TLW30W</t>
  </si>
  <si>
    <t>WAP24200UC</t>
  </si>
  <si>
    <t>DWF-260AXAP**</t>
  </si>
  <si>
    <t>DWF-262AXAP**</t>
  </si>
  <si>
    <t>CFW4701**</t>
  </si>
  <si>
    <t>CFW7400**</t>
  </si>
  <si>
    <t>EIFLS20***</t>
  </si>
  <si>
    <t>FAHE4045**</t>
  </si>
  <si>
    <t>FFFW4000**</t>
  </si>
  <si>
    <t>417.4112**</t>
  </si>
  <si>
    <t>FAHE4044**</t>
  </si>
  <si>
    <t>WA4127G*</t>
  </si>
  <si>
    <t>GFWR2700H***</t>
  </si>
  <si>
    <t>GFWS2600F***</t>
  </si>
  <si>
    <t>GHWS8350H***</t>
  </si>
  <si>
    <t>GTWN7450H***</t>
  </si>
  <si>
    <t>3140####</t>
  </si>
  <si>
    <t>4116####</t>
  </si>
  <si>
    <t>4118#31#</t>
  </si>
  <si>
    <t>4138#41#</t>
  </si>
  <si>
    <t>4148####</t>
  </si>
  <si>
    <t>4158####</t>
  </si>
  <si>
    <t>LG</t>
  </si>
  <si>
    <t>TCW2013***</t>
  </si>
  <si>
    <t>WM1377H*</t>
  </si>
  <si>
    <t>WT1801H*A</t>
  </si>
  <si>
    <t>MAT14CSAW*+</t>
  </si>
  <si>
    <t>MHP30PRAW*+</t>
  </si>
  <si>
    <t>MHW8000A*+</t>
  </si>
  <si>
    <t>MHWC7500Y*+</t>
  </si>
  <si>
    <t>MVWB750Y*+</t>
  </si>
  <si>
    <t>MVWB850Y*+</t>
  </si>
  <si>
    <t>MVWX5SPA*+</t>
  </si>
  <si>
    <t>MVWX600B*+</t>
  </si>
  <si>
    <t>W3038</t>
  </si>
  <si>
    <t>592-2923*</t>
  </si>
  <si>
    <t>592-4941*</t>
  </si>
  <si>
    <t>592-4944*</t>
  </si>
  <si>
    <t>WA48H74**A*</t>
  </si>
  <si>
    <t>WA56H90**A*</t>
  </si>
  <si>
    <t>WF42H50**A*</t>
  </si>
  <si>
    <t>WF56H91**A*</t>
  </si>
  <si>
    <t>ATW4675Y*+</t>
  </si>
  <si>
    <t>NFW5800D*+</t>
  </si>
  <si>
    <t>NTW4750Y*+</t>
  </si>
  <si>
    <t>MVW18CSB*+</t>
  </si>
  <si>
    <t>CET8000A*+</t>
  </si>
  <si>
    <t>CHW9050A*+</t>
  </si>
  <si>
    <t>WFW9640X*+</t>
  </si>
  <si>
    <r>
      <t>Retail Cost, Normalized to Baseline Volume ($</t>
    </r>
    <r>
      <rPr>
        <b/>
        <sz val="11"/>
        <rFont val="Calibri"/>
        <family val="2"/>
        <scheme val="minor"/>
      </rPr>
      <t>2006</t>
    </r>
    <r>
      <rPr>
        <b/>
        <sz val="11"/>
        <color theme="1"/>
        <rFont val="Calibri"/>
        <family val="2"/>
        <scheme val="minor"/>
      </rPr>
      <t>)</t>
    </r>
  </si>
  <si>
    <t>CEC</t>
  </si>
  <si>
    <t>BPA Sales</t>
  </si>
  <si>
    <r>
      <rPr>
        <u/>
        <sz val="10"/>
        <rFont val="Arial"/>
        <family val="2"/>
      </rPr>
      <t>Note:</t>
    </r>
    <r>
      <rPr>
        <sz val="10"/>
        <rFont val="Arial"/>
        <family val="2"/>
      </rPr>
      <t xml:space="preserve"> Annual Water Use assumes 257 annual loads per year based on 4.92 average loads per week reported for the PNW.  NEEA (2012).   Residential Building Stock Assessment: Single-Family Characteristics and Energy Use. http://neea.org/resource-center/regional-data-resources/residential-building-stock-assessment</t>
    </r>
  </si>
  <si>
    <t>Number of Measure Cases</t>
  </si>
  <si>
    <t>Federal Standard and ENERGY STAR / CEE Specifications (Effective January 2011 to March 6, 2015)</t>
  </si>
  <si>
    <t>ENERGY STAR Criteria</t>
  </si>
  <si>
    <t>ENERGY STAR - January 2011</t>
  </si>
  <si>
    <t>Note: These standards and efficiency certifications currently apply to both front- and top-loading washers.</t>
  </si>
  <si>
    <r>
      <t xml:space="preserve">Taken directly from RBSA. NEEA (2012).  </t>
    </r>
    <r>
      <rPr>
        <i/>
        <sz val="11"/>
        <rFont val="Calibri"/>
        <family val="2"/>
        <scheme val="minor"/>
      </rPr>
      <t>Residential Building Stock Assessment: Manufactured Home Characteristics and Energy Use.</t>
    </r>
  </si>
  <si>
    <r>
      <t xml:space="preserve">Taken directly from RBSA. NEEA (2012).  </t>
    </r>
    <r>
      <rPr>
        <i/>
        <sz val="11"/>
        <rFont val="Calibri"/>
        <family val="2"/>
        <scheme val="minor"/>
      </rPr>
      <t>Residential Building Stock Assessment: Multifamily Characteristics and Energy Use. For In-Unit Only</t>
    </r>
  </si>
  <si>
    <t>GDP Deflator</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</si>
  <si>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</si>
  <si>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</si>
  <si>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</si>
  <si>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</si>
  <si>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</si>
  <si>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</si>
  <si>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</si>
  <si>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</si>
  <si>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</si>
  <si>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</si>
  <si>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</si>
  <si>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</si>
  <si>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</si>
  <si>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\\nas2\Q\SeventhPlan\Conservation Analysis\Global EE Inputs\MC Files\MC_AND_LOADSHAPE_v3.0_24segment-7P-D9 - NewSegValues.xlsx</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</si>
  <si>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</si>
  <si>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</si>
  <si>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</si>
  <si>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</si>
  <si>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</si>
  <si>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</si>
  <si>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</si>
  <si>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</si>
  <si>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</si>
  <si>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</si>
  <si>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</si>
  <si>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</si>
  <si>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</si>
  <si>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</si>
  <si>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</si>
  <si>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</si>
  <si>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</si>
  <si>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</si>
  <si>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</si>
  <si>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</si>
  <si>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</si>
  <si>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</si>
  <si>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</si>
  <si>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</si>
  <si>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</si>
  <si>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</si>
  <si>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</si>
  <si>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</si>
  <si>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</si>
  <si>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</si>
  <si>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</si>
  <si>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</si>
  <si>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</si>
  <si>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</si>
  <si>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</si>
  <si>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</si>
  <si>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</si>
  <si>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</si>
  <si>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</si>
  <si>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</si>
  <si>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</si>
  <si>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</si>
  <si>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</si>
  <si>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</si>
  <si>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</si>
  <si>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</si>
  <si>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</si>
  <si>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</si>
  <si>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</si>
  <si>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</si>
  <si>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</si>
  <si>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</si>
  <si>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</si>
  <si>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</si>
  <si>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</si>
  <si>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</si>
  <si>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</si>
  <si>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</si>
  <si>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</si>
  <si>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</si>
  <si>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</si>
  <si>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</si>
  <si>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</si>
  <si>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</si>
  <si>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</si>
  <si>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</si>
  <si>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</si>
  <si>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</si>
  <si>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</si>
  <si>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</si>
  <si>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</si>
  <si>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</si>
  <si>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</si>
  <si>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</si>
  <si>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</si>
  <si>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</si>
  <si>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</si>
  <si>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</si>
  <si>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</si>
  <si>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</si>
  <si>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</si>
  <si>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</si>
  <si>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</si>
  <si>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</si>
  <si>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</si>
  <si>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</si>
  <si>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</si>
  <si>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</si>
  <si>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</si>
  <si>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</si>
  <si>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</si>
  <si>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</si>
  <si>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</si>
  <si>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</si>
  <si>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</si>
  <si>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</si>
  <si>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</si>
  <si>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</si>
  <si>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</si>
  <si>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</si>
  <si>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</si>
  <si>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</si>
  <si>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</si>
  <si>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</si>
  <si>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</si>
  <si>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</si>
  <si>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</si>
  <si>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</si>
  <si>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</si>
  <si>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</si>
  <si>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</si>
  <si>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</si>
  <si>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</si>
  <si>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</si>
  <si>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</si>
  <si>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</si>
  <si>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</si>
  <si>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</si>
  <si>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</si>
  <si>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</si>
  <si>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</si>
  <si>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</si>
  <si>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</si>
  <si>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</si>
  <si>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</si>
  <si>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</si>
  <si>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</si>
  <si>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</si>
  <si>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</si>
  <si>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</si>
  <si>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</si>
  <si>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</si>
  <si>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</si>
  <si>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</si>
  <si>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</si>
  <si>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</si>
  <si>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</si>
  <si>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</si>
  <si>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</si>
  <si>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</si>
  <si>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</si>
  <si>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</si>
  <si>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</si>
  <si>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</si>
  <si>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</si>
  <si>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</si>
  <si>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</si>
  <si>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</si>
  <si>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</si>
  <si>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</si>
  <si>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</si>
  <si>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</si>
  <si>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</si>
  <si>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</si>
  <si>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</si>
  <si>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R-All-WH-Cwash-All-All-R</t>
  </si>
  <si>
    <t>(na)</t>
  </si>
  <si>
    <t>R-All-WH-ERWH-All-All-R</t>
  </si>
  <si>
    <t>R-All-Plug-Dryer-All-All-R</t>
  </si>
  <si>
    <t>C-W-Ref-Vent-All-All-C</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</si>
  <si>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</si>
  <si>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</si>
  <si>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</si>
  <si>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</si>
  <si>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</si>
  <si>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</si>
  <si>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</si>
  <si>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</si>
  <si>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</si>
  <si>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</si>
  <si>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2: &lt;= 10 mills/kWh</t>
  </si>
  <si>
    <t>Block 22: &gt; 200 mills/kWh</t>
  </si>
  <si>
    <t>new standard and eff tiers</t>
  </si>
  <si>
    <t>Federal Standard and ENERGY STAR / CEE Specifications, Post January 1, 2018</t>
  </si>
  <si>
    <t>another standard comes into effect 2018, though only impacts top loaders. CEE Tiers based on front loaders, so no change in savings</t>
  </si>
  <si>
    <t>Only consider CEE Tiers to allow for incremental savings and avoid double counting, no change from 2018 std</t>
  </si>
  <si>
    <t>Water Heating</t>
  </si>
  <si>
    <t>Water Using Devices</t>
  </si>
  <si>
    <t>Clothes Washers</t>
  </si>
  <si>
    <t>savingsYear</t>
  </si>
  <si>
    <t>BPA Sector</t>
  </si>
  <si>
    <t>BPA EndUse</t>
  </si>
  <si>
    <t>BPA Category</t>
  </si>
  <si>
    <t>BPA TAP</t>
  </si>
  <si>
    <t>SumOfkWhBusbar</t>
  </si>
  <si>
    <t>SumOfaMWBusbar</t>
  </si>
  <si>
    <t>12Med</t>
  </si>
  <si>
    <t>New standard effective 2015 will result in lower per unit savings, but robust program</t>
  </si>
  <si>
    <t>unknown</t>
  </si>
  <si>
    <t>unknown, but likely won't change since CEE tiers based on front loaders and standard for those don't change in 2018</t>
  </si>
  <si>
    <t>Number of unique ENERGY STAR clothes washers in the CEC database divided by the total number of unique clothes washers meeting or exceeding the 2015 federal standard. Although new standard in 2018 will like change this %, as data are unknown, assume same % meet</t>
  </si>
  <si>
    <t>Using current market penetration of above standard, although with 2018 standard, this will likely change, can't predict % penetration</t>
  </si>
  <si>
    <t>The following two tables were pulled from the DOE Technical Support Document "EERE-2008-STD-0019-0043"</t>
  </si>
  <si>
    <t>Top Loading Clothes Washer    (energy and water use per washer cycle)</t>
  </si>
  <si>
    <t>Standby</t>
  </si>
  <si>
    <t>Container</t>
  </si>
  <si>
    <t>kWh</t>
  </si>
  <si>
    <t>Water</t>
  </si>
  <si>
    <t>% Energy for</t>
  </si>
  <si>
    <t>Fill</t>
  </si>
  <si>
    <t>Efficiency Level</t>
  </si>
  <si>
    <t>power</t>
  </si>
  <si>
    <t>Volume</t>
  </si>
  <si>
    <t>per Cycle</t>
  </si>
  <si>
    <t>Energy</t>
  </si>
  <si>
    <t>Energy*</t>
  </si>
  <si>
    <t>Heating</t>
  </si>
  <si>
    <t>Water Use</t>
  </si>
  <si>
    <t>Control</t>
  </si>
  <si>
    <t>watt</t>
  </si>
  <si>
    <r>
      <t>ft</t>
    </r>
    <r>
      <rPr>
        <i/>
        <vertAlign val="superscript"/>
        <sz val="8"/>
        <rFont val="Arial"/>
        <family val="2"/>
      </rPr>
      <t>3</t>
    </r>
    <r>
      <rPr>
        <i/>
        <sz val="8"/>
        <rFont val="Arial"/>
        <family val="2"/>
      </rPr>
      <t>/kWh/cyc</t>
    </r>
  </si>
  <si>
    <t>gal / cu.ft</t>
  </si>
  <si>
    <t>cu.ft.</t>
  </si>
  <si>
    <t>%</t>
  </si>
  <si>
    <t>(Elec) kWh</t>
  </si>
  <si>
    <t>gal</t>
  </si>
  <si>
    <t>Top-Loading EL0</t>
  </si>
  <si>
    <t>Manual</t>
  </si>
  <si>
    <t>Top-Loading EL1</t>
  </si>
  <si>
    <t>slope</t>
  </si>
  <si>
    <t>Top-Loading EL2</t>
  </si>
  <si>
    <t>Adaptive</t>
  </si>
  <si>
    <t>int</t>
  </si>
  <si>
    <t>Top-Loading EL3</t>
  </si>
  <si>
    <t>Top-Loading EL4</t>
  </si>
  <si>
    <t>Top-Loading EL5</t>
  </si>
  <si>
    <t>Top-Loading EL6</t>
  </si>
  <si>
    <t>Top-Loading EL7</t>
  </si>
  <si>
    <t>Top-Loading EL8</t>
  </si>
  <si>
    <t>Front Loading Commercial Clothes Washer    (energy and water use per washer cycle)</t>
  </si>
  <si>
    <t>cu.ft./kWh/cyc</t>
  </si>
  <si>
    <t>Front-Loading EL0</t>
  </si>
  <si>
    <t>Front-Loading EL1</t>
  </si>
  <si>
    <t>Front-Loading EL2</t>
  </si>
  <si>
    <t>Front-Loading EL3</t>
  </si>
  <si>
    <t>Front-Loading EL4</t>
  </si>
  <si>
    <t>Front-Loading EL5</t>
  </si>
  <si>
    <t>Front-Loading EL6</t>
  </si>
  <si>
    <t>Front-Loading EL7</t>
  </si>
  <si>
    <t>Front-Loading EL8</t>
  </si>
  <si>
    <t>The folllowing table pulled from Chapter 5: Engineering Analysis of the DOE Technical Support Document for residential clothes washers (http://www.regulations.gov/#!documentDetail;D=EERE-2008-BT-STD-0019-0047).</t>
  </si>
  <si>
    <t>Residential Clothes Washers Direct Final Rule Technical Support Documents: Chapter 7. Energy and Water Use Determination</t>
  </si>
  <si>
    <t>Accessed July 17, 2012</t>
  </si>
  <si>
    <t>U.S. Department of Energy</t>
  </si>
  <si>
    <t>Assistant Secretary Office of Energy Efficiency and Renewable Energy Building Technologies Program Appliances and Commercial Equipment Standards Washington, DC 20585</t>
  </si>
  <si>
    <t>http://www1.eere.energy.gov/buildings/appliance_standards/standards_test_procedures.html</t>
  </si>
  <si>
    <t>Residential Clothes Washers</t>
  </si>
  <si>
    <t>Energy Use (kWh/cycle)</t>
  </si>
  <si>
    <t>Water Use (gal/cycle)</t>
  </si>
  <si>
    <t>Norm</t>
  </si>
  <si>
    <t>Style</t>
  </si>
  <si>
    <t>RMC*</t>
  </si>
  <si>
    <t>Water Heat</t>
  </si>
  <si>
    <t>Tub Volume</t>
  </si>
  <si>
    <t>Dryer kWh/cycle</t>
  </si>
  <si>
    <t>CEC Baseline AVG</t>
  </si>
  <si>
    <t>Dryer Energy (kWh/cycle) vs. Remaining Moisture Content (RMC)</t>
  </si>
  <si>
    <t>Constant</t>
  </si>
  <si>
    <t xml:space="preserve">Methodology:  For the Natural Replacement case.  Start with 2015 Stock decayed over time for demolition and retirement.  Add the New stock not addressed by the New Building Programs, though these don't need turnover since the annual availability is already the portion of units that are available in that year.  Then apply natural turnover rate based on measure life. The rate is the annual fraction of the stock that is replaced in any year.  Also apply the achievable penetration rate by year and the measure applicability factor.  Achievable penetration includes program ramp up.  The applicability factor represents the portion of the available stock that the measure applies to which is 100percent minus the baseline fraction that is doing the measure absent program.  The product is the annual available # of homes.  Number of homes times savings per home for aMW potential available by year for each type.  Turnover Rate, Achievable Penetration Rate and Applicability Factor are looked up from ResMaster.  Savings available for the retrofit measure apply only to the non-NR residual # of homes at the 20th year.  </t>
  </si>
  <si>
    <t>RTF workbook: ResClothesWashersSF_v4.5 PROPOSED</t>
  </si>
  <si>
    <t>Remove 31% option and only include "any" option, only include CEE Tiers</t>
  </si>
  <si>
    <t>Single Family CEE Tier 3 Clothes Washer - Any DHW, Any Dryer - 54% ENERGY STAR Baseline</t>
  </si>
  <si>
    <t>Multifamily - Low Rise CEE Tier 3 Clothes Washer - Any DHW, Any Dryer - 54% ENERGY STAR Baseline</t>
  </si>
  <si>
    <t>Manufactured CEE Tier 3 Clothes Washer - Any DHW, Any Dryer - 54% ENERGY STAR Baseline</t>
  </si>
  <si>
    <t>Multifamily - High Rise CEE Tier 3 Clothes Washer - Any DHW, Any Dryer - 54% ENERGY STAR Baseline</t>
  </si>
  <si>
    <t>Single Family CEE Tier 2 Clothes Washer - Any DHW, Any Dryer - 54% ENERGY STAR Baseline</t>
  </si>
  <si>
    <t>Manufactured CEE Tier 2 Clothes Washer - Any DHW, Any Dryer - 54% ENERGY STAR Baseline</t>
  </si>
  <si>
    <t>Multifamily - Low Rise CEE Tier 2 Clothes Washer - Any DHW, Any Dryer - 54% ENERGY STAR Baseline</t>
  </si>
  <si>
    <t>Multifamily - High Rise CEE Tier 2 Clothes Washer - Any DHW, Any Dryer - 54% ENERGY STAR Baseline</t>
  </si>
  <si>
    <t>Single Family CEE Tier 1 Clothes Washer - Any DHW, Any Dryer - 54% ENERGY STAR Baseline</t>
  </si>
  <si>
    <t>Manufactured CEE Tier 1 Clothes Washer - Any DHW, Any Dryer - 54% ENERGY STAR Baseline</t>
  </si>
  <si>
    <t>Multifamily - Low Rise CEE Tier 1 Clothes Washer - Any DHW, Any Dryer - 54% ENERGY STAR Baseline</t>
  </si>
  <si>
    <t>Multifamily - High Rise CEE Tier 1 Clothes Washer - Any DHW, Any Dryer - 54% ENERGY STAR Baseline</t>
  </si>
  <si>
    <t>Changing to 2012$</t>
  </si>
  <si>
    <t>Updated to 7P analysis</t>
  </si>
  <si>
    <t>Friday, 6 March , 2015 at 1:54 PM</t>
  </si>
  <si>
    <t>Total Max Potential (aMW)</t>
  </si>
  <si>
    <t>Baseline has been adjusted for new fed standard in 2015, so accomplishments are not removed from potential</t>
  </si>
</sst>
</file>

<file path=xl/styles.xml><?xml version="1.0" encoding="utf-8"?>
<styleSheet xmlns="http://schemas.openxmlformats.org/spreadsheetml/2006/main">
  <numFmts count="2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_(&quot;$&quot;* #,##0_);_(&quot;$&quot;* \(#,##0\);_(&quot;$&quot;* &quot;-&quot;??_);_(@_)"/>
    <numFmt numFmtId="169" formatCode="m/d/\ h:mm"/>
    <numFmt numFmtId="170" formatCode="&quot;$&quot;#,##0.00"/>
    <numFmt numFmtId="171" formatCode="&quot;$&quot;#,##0.000"/>
    <numFmt numFmtId="172" formatCode="0.000"/>
    <numFmt numFmtId="173" formatCode="_(* #,##0_);_(* \(#,##0\);_(* &quot;-&quot;??_);_(@_)"/>
    <numFmt numFmtId="174" formatCode="0.0%"/>
    <numFmt numFmtId="175" formatCode="_(* #,##0.0_);_(* \(#,##0.0\);_(* &quot;-&quot;??_);_(@_)"/>
    <numFmt numFmtId="176" formatCode="&quot;$&quot;#,##0"/>
    <numFmt numFmtId="177" formatCode="_(* #,##0.0000_);_(* \(#,##0.0000\);_(* &quot;-&quot;??_);_(@_)"/>
    <numFmt numFmtId="178" formatCode="mmm\-yyyy"/>
    <numFmt numFmtId="179" formatCode="_(* #,##0.0_);_(* \(#,##0.0\);_(* &quot;-&quot;?_);_(@_)"/>
    <numFmt numFmtId="180" formatCode="0.0;[Red]\-0.0"/>
    <numFmt numFmtId="181" formatCode="\ "/>
    <numFmt numFmtId="182" formatCode="0.00000"/>
  </numFmts>
  <fonts count="97">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2"/>
      <name val="Arial"/>
      <family val="2"/>
    </font>
    <font>
      <b/>
      <i/>
      <sz val="10"/>
      <name val="Arial"/>
      <family val="2"/>
    </font>
    <font>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sz val="10"/>
      <color indexed="9"/>
      <name val="Arial"/>
      <family val="2"/>
    </font>
    <font>
      <b/>
      <sz val="8"/>
      <color indexed="81"/>
      <name val="Tahoma"/>
      <family val="2"/>
    </font>
    <font>
      <sz val="8"/>
      <color indexed="81"/>
      <name val="Tahoma"/>
      <family val="2"/>
    </font>
    <font>
      <sz val="12"/>
      <name val="Times New Roman"/>
      <family val="1"/>
    </font>
    <font>
      <b/>
      <sz val="12"/>
      <name val="Times New Roman"/>
      <family val="1"/>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b/>
      <sz val="11"/>
      <color theme="1"/>
      <name val="Calibri"/>
      <family val="2"/>
      <scheme val="minor"/>
    </font>
    <font>
      <sz val="11"/>
      <name val="Calibri"/>
      <family val="2"/>
      <scheme val="minor"/>
    </font>
    <font>
      <b/>
      <i/>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11"/>
      <name val="Calibri"/>
      <family val="2"/>
      <scheme val="minor"/>
    </font>
    <font>
      <b/>
      <sz val="9"/>
      <color indexed="81"/>
      <name val="Tahoma"/>
      <family val="2"/>
    </font>
    <font>
      <sz val="9"/>
      <color indexed="81"/>
      <name val="Tahoma"/>
      <family val="2"/>
    </font>
    <font>
      <sz val="10"/>
      <name val="Calibri"/>
      <family val="2"/>
      <scheme val="minor"/>
    </font>
    <font>
      <u/>
      <sz val="10"/>
      <name val="Arial"/>
      <family val="2"/>
    </font>
    <font>
      <i/>
      <sz val="10"/>
      <name val="Arial"/>
      <family val="2"/>
    </font>
    <font>
      <b/>
      <u/>
      <sz val="10"/>
      <name val="Arial"/>
      <family val="2"/>
    </font>
    <font>
      <b/>
      <i/>
      <sz val="10"/>
      <color theme="4" tint="-0.249977111117893"/>
      <name val="Arial"/>
      <family val="2"/>
    </font>
    <font>
      <b/>
      <sz val="10"/>
      <color theme="9"/>
      <name val="Arial"/>
      <family val="2"/>
    </font>
    <font>
      <sz val="10"/>
      <color rgb="FF333333"/>
      <name val="Verdana"/>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4"/>
      <color theme="1"/>
      <name val="Calibri"/>
      <family val="2"/>
      <scheme val="minor"/>
    </font>
    <font>
      <b/>
      <sz val="9"/>
      <color theme="1"/>
      <name val="Arial"/>
      <family val="2"/>
    </font>
    <font>
      <b/>
      <sz val="13"/>
      <color theme="3"/>
      <name val="Arial"/>
      <family val="2"/>
    </font>
    <font>
      <sz val="11"/>
      <name val="Calibri"/>
      <family val="2"/>
    </font>
    <font>
      <sz val="9"/>
      <color theme="1"/>
      <name val="Arial"/>
      <family val="2"/>
    </font>
    <font>
      <sz val="10"/>
      <name val="Verdana"/>
      <family val="2"/>
    </font>
    <font>
      <b/>
      <sz val="10"/>
      <color theme="0"/>
      <name val="Arial"/>
      <family val="2"/>
    </font>
    <font>
      <sz val="10"/>
      <color theme="0"/>
      <name val="Arial"/>
      <family val="2"/>
    </font>
    <font>
      <sz val="10"/>
      <color theme="0"/>
      <name val="Verdana"/>
      <family val="2"/>
    </font>
    <font>
      <b/>
      <sz val="11"/>
      <color theme="0"/>
      <name val="Calibri"/>
      <family val="2"/>
      <scheme val="minor"/>
    </font>
    <font>
      <b/>
      <u/>
      <sz val="11"/>
      <color theme="1"/>
      <name val="Calibri"/>
      <family val="2"/>
      <scheme val="minor"/>
    </font>
    <font>
      <sz val="11"/>
      <color theme="0" tint="-0.499984740745262"/>
      <name val="Calibri"/>
      <family val="2"/>
      <scheme val="minor"/>
    </font>
    <font>
      <b/>
      <sz val="11"/>
      <color theme="0" tint="-0.499984740745262"/>
      <name val="Calibri"/>
      <family val="2"/>
      <scheme val="minor"/>
    </font>
    <font>
      <sz val="10"/>
      <color theme="0" tint="-0.499984740745262"/>
      <name val="Arial"/>
      <family val="2"/>
    </font>
    <font>
      <sz val="10"/>
      <color indexed="10"/>
      <name val="Arial"/>
      <family val="2"/>
    </font>
    <font>
      <sz val="10"/>
      <color theme="1"/>
      <name val="Calibri"/>
      <family val="2"/>
      <scheme val="minor"/>
    </font>
    <font>
      <b/>
      <sz val="10"/>
      <color theme="0"/>
      <name val="Calibri"/>
      <family val="2"/>
      <scheme val="minor"/>
    </font>
    <font>
      <b/>
      <sz val="8"/>
      <color indexed="9"/>
      <name val="Arial"/>
      <family val="2"/>
    </font>
    <font>
      <sz val="8"/>
      <name val="Arial"/>
      <family val="2"/>
    </font>
    <font>
      <b/>
      <sz val="8"/>
      <name val="Arial"/>
      <family val="2"/>
    </font>
    <font>
      <i/>
      <sz val="8"/>
      <name val="Arial"/>
      <family val="2"/>
    </font>
    <font>
      <i/>
      <vertAlign val="superscript"/>
      <sz val="8"/>
      <name val="Arial"/>
      <family val="2"/>
    </font>
    <font>
      <sz val="8"/>
      <color rgb="FFFF0000"/>
      <name val="Arial"/>
      <family val="2"/>
    </font>
    <font>
      <sz val="8"/>
      <color rgb="FFFFFFFF"/>
      <name val="Arial"/>
      <family val="2"/>
    </font>
    <font>
      <b/>
      <sz val="10"/>
      <name val="Palatino Linotype"/>
      <family val="1"/>
    </font>
    <font>
      <sz val="10"/>
      <name val="Palatino Linotype"/>
      <family val="1"/>
    </font>
  </fonts>
  <fills count="102">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indexed="57"/>
        <bgColor indexed="64"/>
      </patternFill>
    </fill>
    <fill>
      <patternFill patternType="solid">
        <fgColor indexed="47"/>
        <bgColor indexed="64"/>
      </patternFill>
    </fill>
    <fill>
      <patternFill patternType="solid">
        <fgColor indexed="44"/>
        <bgColor indexed="64"/>
      </patternFill>
    </fill>
    <fill>
      <patternFill patternType="solid">
        <fgColor rgb="FFFFFF00"/>
        <bgColor indexed="64"/>
      </patternFill>
    </fill>
    <fill>
      <patternFill patternType="solid">
        <fgColor indexed="43"/>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FFFF99"/>
        <bgColor indexed="64"/>
      </patternFill>
    </fill>
    <fill>
      <patternFill patternType="solid">
        <fgColor theme="6" tint="0.79998168889431442"/>
        <bgColor indexed="64"/>
      </patternFill>
    </fill>
    <fill>
      <patternFill patternType="solid">
        <fgColor indexed="3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indexed="11"/>
        <bgColor indexed="64"/>
      </patternFill>
    </fill>
    <fill>
      <patternFill patternType="solid">
        <fgColor theme="6" tint="0.59999389629810485"/>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3"/>
        <bgColor indexed="64"/>
      </patternFill>
    </fill>
    <fill>
      <patternFill patternType="solid">
        <fgColor theme="3" tint="0.39997558519241921"/>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6795556505021"/>
        <bgColor indexed="64"/>
      </patternFill>
    </fill>
    <fill>
      <patternFill patternType="solid">
        <fgColor theme="1" tint="0.34998626667073579"/>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499984740745262"/>
        <bgColor indexed="64"/>
      </patternFill>
    </fill>
    <fill>
      <patternFill patternType="solid">
        <fgColor indexed="60"/>
        <bgColor indexed="64"/>
      </patternFill>
    </fill>
    <fill>
      <patternFill patternType="solid">
        <fgColor indexed="31"/>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indexed="9"/>
        <bgColor indexed="64"/>
      </patternFill>
    </fill>
    <fill>
      <patternFill patternType="solid">
        <fgColor theme="9" tint="0.59999389629810485"/>
        <bgColor indexed="64"/>
      </patternFill>
    </fill>
    <fill>
      <patternFill patternType="solid">
        <fgColor theme="0"/>
        <bgColor indexed="64"/>
      </patternFill>
    </fill>
  </fills>
  <borders count="110">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n">
        <color indexed="64"/>
      </left>
      <right style="thick">
        <color indexed="64"/>
      </right>
      <top style="thin">
        <color indexed="64"/>
      </top>
      <bottom/>
      <diagonal/>
    </border>
    <border>
      <left style="thick">
        <color indexed="64"/>
      </left>
      <right style="thick">
        <color indexed="64"/>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bottom style="medium">
        <color indexed="64"/>
      </bottom>
      <diagonal/>
    </border>
  </borders>
  <cellStyleXfs count="8157">
    <xf numFmtId="0" fontId="0" fillId="0" borderId="0">
      <alignment readingOrder="1"/>
    </xf>
    <xf numFmtId="44" fontId="7" fillId="0" borderId="0" applyFont="0" applyFill="0" applyBorder="0" applyAlignment="0" applyProtection="0"/>
    <xf numFmtId="0" fontId="5" fillId="0" borderId="0"/>
    <xf numFmtId="0" fontId="7" fillId="0" borderId="0"/>
    <xf numFmtId="0" fontId="7" fillId="0" borderId="0"/>
    <xf numFmtId="0" fontId="7" fillId="11" borderId="0" applyNumberFormat="0" applyAlignment="0">
      <alignment horizontal="right"/>
    </xf>
    <xf numFmtId="0" fontId="7" fillId="10" borderId="0" applyNumberFormat="0" applyAlignment="0"/>
    <xf numFmtId="169" fontId="17" fillId="0" borderId="0"/>
    <xf numFmtId="0" fontId="18" fillId="0" borderId="0">
      <alignment horizontal="center" wrapText="1"/>
    </xf>
    <xf numFmtId="9" fontId="7" fillId="0" borderId="0" applyFont="0" applyFill="0" applyBorder="0" applyAlignment="0" applyProtection="0"/>
    <xf numFmtId="0" fontId="19" fillId="0" borderId="0"/>
    <xf numFmtId="0" fontId="19" fillId="0" borderId="0"/>
    <xf numFmtId="0" fontId="4" fillId="0" borderId="0"/>
    <xf numFmtId="0" fontId="4" fillId="0" borderId="0"/>
    <xf numFmtId="0" fontId="7" fillId="0" borderId="0">
      <alignment readingOrder="1"/>
    </xf>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18"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1" fillId="25"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4" fillId="31" borderId="0" applyNumberFormat="0" applyBorder="0" applyAlignment="0" applyProtection="0"/>
    <xf numFmtId="0" fontId="21"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4" fillId="34" borderId="0" applyNumberFormat="0" applyBorder="0" applyAlignment="0" applyProtection="0"/>
    <xf numFmtId="0" fontId="21"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4" fillId="37" borderId="0" applyNumberFormat="0" applyBorder="0" applyAlignment="0" applyProtection="0"/>
    <xf numFmtId="0" fontId="21"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4" fillId="40" borderId="0" applyNumberFormat="0" applyBorder="0" applyAlignment="0" applyProtection="0"/>
    <xf numFmtId="0" fontId="21" fillId="26" borderId="0" applyNumberFormat="0" applyBorder="0" applyAlignment="0" applyProtection="0"/>
    <xf numFmtId="0" fontId="12" fillId="41" borderId="0" applyNumberFormat="0" applyBorder="0" applyAlignment="0" applyProtection="0"/>
    <xf numFmtId="0" fontId="12" fillId="30" borderId="0" applyNumberFormat="0" applyBorder="0" applyAlignment="0" applyProtection="0"/>
    <xf numFmtId="0" fontId="14" fillId="42" borderId="0" applyNumberFormat="0" applyBorder="0" applyAlignment="0" applyProtection="0"/>
    <xf numFmtId="0" fontId="21" fillId="27"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4" fillId="45" borderId="0" applyNumberFormat="0" applyBorder="0" applyAlignment="0" applyProtection="0"/>
    <xf numFmtId="0" fontId="21" fillId="46" borderId="0" applyNumberFormat="0" applyBorder="0" applyAlignment="0" applyProtection="0"/>
    <xf numFmtId="0" fontId="22" fillId="16" borderId="0" applyNumberFormat="0" applyBorder="0" applyAlignment="0" applyProtection="0"/>
    <xf numFmtId="0" fontId="23" fillId="47" borderId="11" applyNumberFormat="0" applyAlignment="0" applyProtection="0"/>
    <xf numFmtId="0" fontId="24" fillId="48" borderId="12" applyNumberFormat="0" applyAlignment="0" applyProtection="0"/>
    <xf numFmtId="41"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7" fillId="11" borderId="0" applyNumberFormat="0" applyAlignment="0">
      <alignment horizontal="right"/>
    </xf>
    <xf numFmtId="0" fontId="7" fillId="11" borderId="0" applyNumberFormat="0" applyAlignment="0">
      <alignment horizontal="right"/>
    </xf>
    <xf numFmtId="0" fontId="7" fillId="11" borderId="0" applyNumberFormat="0" applyAlignment="0">
      <alignment horizontal="right"/>
    </xf>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7" fillId="0" borderId="0" applyNumberFormat="0" applyFill="0" applyBorder="0" applyAlignment="0" applyProtection="0"/>
    <xf numFmtId="0" fontId="28" fillId="17" borderId="0" applyNumberFormat="0" applyBorder="0" applyAlignment="0" applyProtection="0"/>
    <xf numFmtId="0" fontId="29" fillId="0" borderId="13" applyNumberFormat="0" applyFill="0" applyAlignment="0" applyProtection="0"/>
    <xf numFmtId="0" fontId="9" fillId="52" borderId="14">
      <alignment horizontal="left"/>
    </xf>
    <xf numFmtId="0" fontId="30" fillId="0" borderId="15" applyNumberFormat="0" applyFill="0" applyAlignment="0" applyProtection="0"/>
    <xf numFmtId="0" fontId="31" fillId="0" borderId="16"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20" borderId="11" applyNumberFormat="0" applyAlignment="0" applyProtection="0"/>
    <xf numFmtId="0" fontId="39" fillId="0" borderId="17" applyNumberFormat="0" applyFill="0" applyAlignment="0" applyProtection="0"/>
    <xf numFmtId="0" fontId="40" fillId="53" borderId="0" applyNumberFormat="0" applyBorder="0" applyAlignment="0" applyProtection="0"/>
    <xf numFmtId="0" fontId="20" fillId="0" borderId="0"/>
    <xf numFmtId="0" fontId="7" fillId="0" borderId="0"/>
    <xf numFmtId="0" fontId="20" fillId="0" borderId="0"/>
    <xf numFmtId="0" fontId="20" fillId="0" borderId="0"/>
    <xf numFmtId="0" fontId="7" fillId="0" borderId="0"/>
    <xf numFmtId="0" fontId="7"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19" fillId="0" borderId="0"/>
    <xf numFmtId="0" fontId="19" fillId="0" borderId="0"/>
    <xf numFmtId="0" fontId="7" fillId="0" borderId="0">
      <alignment readingOrder="1"/>
    </xf>
    <xf numFmtId="0" fontId="19"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20" fillId="0" borderId="0"/>
    <xf numFmtId="0" fontId="20" fillId="0" borderId="0"/>
    <xf numFmtId="0" fontId="19" fillId="0" borderId="0"/>
    <xf numFmtId="0" fontId="19" fillId="0" borderId="0"/>
    <xf numFmtId="0" fontId="19" fillId="0" borderId="0"/>
    <xf numFmtId="0" fontId="19" fillId="0" borderId="0"/>
    <xf numFmtId="0" fontId="7" fillId="0" borderId="0">
      <alignment readingOrder="1"/>
    </xf>
    <xf numFmtId="0" fontId="7" fillId="0" borderId="0">
      <alignment readingOrder="1"/>
    </xf>
    <xf numFmtId="0" fontId="7" fillId="0" borderId="0">
      <alignment readingOrder="1"/>
    </xf>
    <xf numFmtId="0" fontId="19" fillId="0" borderId="0"/>
    <xf numFmtId="0" fontId="19" fillId="0" borderId="0"/>
    <xf numFmtId="0" fontId="20" fillId="0" borderId="0"/>
    <xf numFmtId="0" fontId="7" fillId="0" borderId="0">
      <alignment readingOrder="1"/>
    </xf>
    <xf numFmtId="0" fontId="19" fillId="0" borderId="0"/>
    <xf numFmtId="0" fontId="7"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xf numFmtId="0" fontId="7" fillId="0" borderId="0"/>
    <xf numFmtId="0" fontId="20" fillId="0" borderId="0"/>
    <xf numFmtId="0" fontId="19" fillId="0" borderId="0"/>
    <xf numFmtId="0" fontId="20" fillId="0" borderId="0"/>
    <xf numFmtId="0" fontId="19" fillId="0" borderId="0"/>
    <xf numFmtId="0" fontId="7" fillId="0" borderId="0" applyNumberFormat="0" applyFill="0" applyBorder="0" applyAlignment="0" applyProtection="0"/>
    <xf numFmtId="0" fontId="19" fillId="0" borderId="0"/>
    <xf numFmtId="0" fontId="19" fillId="0" borderId="0"/>
    <xf numFmtId="0" fontId="25" fillId="0" borderId="0"/>
    <xf numFmtId="0" fontId="19" fillId="0" borderId="0"/>
    <xf numFmtId="0" fontId="19" fillId="0" borderId="0"/>
    <xf numFmtId="0" fontId="7" fillId="0" borderId="0">
      <alignment readingOrder="1"/>
    </xf>
    <xf numFmtId="0" fontId="19" fillId="0" borderId="0"/>
    <xf numFmtId="0" fontId="19"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7" fillId="0" borderId="0">
      <alignment readingOrder="1"/>
    </xf>
    <xf numFmtId="0" fontId="7" fillId="0" borderId="0">
      <alignment readingOrder="1"/>
    </xf>
    <xf numFmtId="0" fontId="20" fillId="54" borderId="18" applyNumberFormat="0" applyFont="0" applyAlignment="0" applyProtection="0"/>
    <xf numFmtId="0" fontId="20" fillId="54" borderId="18" applyNumberFormat="0" applyFont="0" applyAlignment="0" applyProtection="0"/>
    <xf numFmtId="0" fontId="42" fillId="47" borderId="19" applyNumberFormat="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3" fillId="0" borderId="0" applyNumberFormat="0" applyFill="0" applyBorder="0" applyAlignment="0" applyProtection="0"/>
    <xf numFmtId="0" fontId="44" fillId="0" borderId="0"/>
    <xf numFmtId="0" fontId="45" fillId="0" borderId="0"/>
    <xf numFmtId="0" fontId="43" fillId="0" borderId="0" applyNumberFormat="0" applyFill="0" applyBorder="0" applyAlignment="0" applyProtection="0"/>
    <xf numFmtId="0" fontId="46" fillId="0" borderId="20" applyNumberFormat="0" applyFill="0" applyAlignment="0" applyProtection="0"/>
    <xf numFmtId="0" fontId="47"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3" fillId="0" borderId="0"/>
    <xf numFmtId="0" fontId="3" fillId="0" borderId="0"/>
    <xf numFmtId="0" fontId="7" fillId="0" borderId="0"/>
    <xf numFmtId="0" fontId="35" fillId="0" borderId="0" applyNumberFormat="0" applyFill="0" applyBorder="0" applyAlignment="0" applyProtection="0">
      <alignment readingOrder="1"/>
    </xf>
    <xf numFmtId="0" fontId="7" fillId="0" borderId="0">
      <alignment readingOrder="1"/>
    </xf>
    <xf numFmtId="0" fontId="20" fillId="70" borderId="0" applyNumberFormat="0" applyBorder="0" applyAlignment="0" applyProtection="0"/>
    <xf numFmtId="0" fontId="64" fillId="71" borderId="0" applyNumberFormat="0" applyBorder="0" applyAlignment="0" applyProtection="0"/>
    <xf numFmtId="0" fontId="64" fillId="20" borderId="0" applyNumberFormat="0" applyBorder="0" applyAlignment="0" applyProtection="0"/>
    <xf numFmtId="0" fontId="20" fillId="16" borderId="0" applyNumberFormat="0" applyBorder="0" applyAlignment="0" applyProtection="0"/>
    <xf numFmtId="0" fontId="64" fillId="54" borderId="0" applyNumberFormat="0" applyBorder="0" applyAlignment="0" applyProtection="0"/>
    <xf numFmtId="0" fontId="20" fillId="70" borderId="0" applyNumberFormat="0" applyBorder="0" applyAlignment="0" applyProtection="0"/>
    <xf numFmtId="0" fontId="64" fillId="71"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20" fillId="47" borderId="0" applyNumberFormat="0" applyBorder="0" applyAlignment="0" applyProtection="0"/>
    <xf numFmtId="0" fontId="64" fillId="47" borderId="0" applyNumberFormat="0" applyBorder="0" applyAlignment="0" applyProtection="0"/>
    <xf numFmtId="0" fontId="20" fillId="16" borderId="0" applyNumberFormat="0" applyBorder="0" applyAlignment="0" applyProtection="0"/>
    <xf numFmtId="0" fontId="64" fillId="22" borderId="0" applyNumberFormat="0" applyBorder="0" applyAlignment="0" applyProtection="0"/>
    <xf numFmtId="0" fontId="20" fillId="16" borderId="0" applyNumberFormat="0" applyBorder="0" applyAlignment="0" applyProtection="0"/>
    <xf numFmtId="0" fontId="64" fillId="53" borderId="0" applyNumberFormat="0" applyBorder="0" applyAlignment="0" applyProtection="0"/>
    <xf numFmtId="0" fontId="20" fillId="47" borderId="0" applyNumberFormat="0" applyBorder="0" applyAlignment="0" applyProtection="0"/>
    <xf numFmtId="0" fontId="64" fillId="47" borderId="0" applyNumberFormat="0" applyBorder="0" applyAlignment="0" applyProtection="0"/>
    <xf numFmtId="0" fontId="64" fillId="21" borderId="0" applyNumberFormat="0" applyBorder="0" applyAlignment="0" applyProtection="0"/>
    <xf numFmtId="0" fontId="20" fillId="20" borderId="0" applyNumberFormat="0" applyBorder="0" applyAlignment="0" applyProtection="0"/>
    <xf numFmtId="0" fontId="64" fillId="20"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5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27"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38"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27" borderId="0" applyNumberFormat="0" applyBorder="0" applyAlignment="0" applyProtection="0"/>
    <xf numFmtId="0" fontId="21" fillId="46" borderId="0" applyNumberFormat="0" applyBorder="0" applyAlignment="0" applyProtection="0"/>
    <xf numFmtId="0" fontId="22" fillId="18" borderId="0" applyNumberFormat="0" applyBorder="0" applyAlignment="0" applyProtection="0"/>
    <xf numFmtId="0" fontId="22" fillId="16" borderId="0" applyNumberFormat="0" applyBorder="0" applyAlignment="0" applyProtection="0"/>
    <xf numFmtId="0" fontId="23" fillId="70" borderId="11" applyNumberFormat="0" applyAlignment="0" applyProtection="0"/>
    <xf numFmtId="0" fontId="23" fillId="70" borderId="11" applyNumberFormat="0" applyAlignment="0" applyProtection="0"/>
    <xf numFmtId="0" fontId="24" fillId="48" borderId="1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11" borderId="0" applyNumberFormat="0" applyAlignment="0">
      <alignment horizontal="right"/>
    </xf>
    <xf numFmtId="0" fontId="7" fillId="11" borderId="0" applyNumberFormat="0" applyAlignment="0">
      <alignment horizontal="right"/>
    </xf>
    <xf numFmtId="0" fontId="27" fillId="0" borderId="0" applyNumberFormat="0" applyFill="0" applyBorder="0" applyAlignment="0" applyProtection="0"/>
    <xf numFmtId="0" fontId="28" fillId="17" borderId="0" applyNumberFormat="0" applyBorder="0" applyAlignment="0" applyProtection="0"/>
    <xf numFmtId="0" fontId="65" fillId="0" borderId="68" applyNumberFormat="0" applyFill="0" applyAlignment="0" applyProtection="0"/>
    <xf numFmtId="0" fontId="65" fillId="0" borderId="68" applyNumberFormat="0" applyFill="0" applyAlignment="0" applyProtection="0"/>
    <xf numFmtId="0" fontId="66" fillId="0" borderId="69" applyNumberFormat="0" applyFill="0" applyAlignment="0" applyProtection="0"/>
    <xf numFmtId="0" fontId="66" fillId="0" borderId="69"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8" fillId="20" borderId="11" applyNumberFormat="0" applyAlignment="0" applyProtection="0"/>
    <xf numFmtId="0" fontId="39" fillId="0" borderId="17" applyNumberFormat="0" applyFill="0" applyAlignment="0" applyProtection="0"/>
    <xf numFmtId="0" fontId="40" fillId="53" borderId="0" applyNumberFormat="0" applyBorder="0" applyAlignment="0" applyProtection="0"/>
    <xf numFmtId="0" fontId="19" fillId="0" borderId="0"/>
    <xf numFmtId="0" fontId="7" fillId="0" borderId="0"/>
    <xf numFmtId="0" fontId="7" fillId="0" borderId="0"/>
    <xf numFmtId="0" fontId="7" fillId="0" borderId="0">
      <alignment readingOrder="1"/>
    </xf>
    <xf numFmtId="0" fontId="67" fillId="0" borderId="0"/>
    <xf numFmtId="0" fontId="68" fillId="0" borderId="0"/>
    <xf numFmtId="0" fontId="68" fillId="0" borderId="0"/>
    <xf numFmtId="0" fontId="68" fillId="0" borderId="0"/>
    <xf numFmtId="0" fontId="7" fillId="0" borderId="0"/>
    <xf numFmtId="0" fontId="7" fillId="0" borderId="0"/>
    <xf numFmtId="0" fontId="7" fillId="0" borderId="0"/>
    <xf numFmtId="0" fontId="68" fillId="0" borderId="0"/>
    <xf numFmtId="0" fontId="68" fillId="0" borderId="0"/>
    <xf numFmtId="0" fontId="68" fillId="0" borderId="0"/>
    <xf numFmtId="0" fontId="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9" fillId="0" borderId="0"/>
    <xf numFmtId="0" fontId="19" fillId="0" borderId="0"/>
    <xf numFmtId="0" fontId="1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 fillId="0" borderId="0"/>
    <xf numFmtId="0" fontId="19" fillId="0" borderId="0"/>
    <xf numFmtId="0" fontId="19" fillId="0" borderId="0"/>
    <xf numFmtId="0" fontId="7" fillId="0" borderId="0"/>
    <xf numFmtId="0" fontId="19" fillId="0" borderId="0"/>
    <xf numFmtId="0" fontId="7" fillId="0" borderId="0">
      <alignment readingOrder="1"/>
    </xf>
    <xf numFmtId="0" fontId="7" fillId="54" borderId="18" applyNumberFormat="0" applyFont="0" applyAlignment="0" applyProtection="0"/>
    <xf numFmtId="0" fontId="42" fillId="70" borderId="19" applyNumberFormat="0" applyAlignment="0" applyProtection="0"/>
    <xf numFmtId="0" fontId="42" fillId="70" borderId="19"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8" fontId="7" fillId="0" borderId="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xf numFmtId="0" fontId="46" fillId="0" borderId="70" applyNumberFormat="0" applyFill="0" applyAlignment="0" applyProtection="0"/>
    <xf numFmtId="0" fontId="42" fillId="0" borderId="70" applyNumberFormat="0" applyFill="0" applyAlignment="0" applyProtection="0"/>
    <xf numFmtId="0" fontId="47" fillId="0" borderId="0" applyNumberFormat="0" applyFill="0" applyBorder="0" applyAlignment="0" applyProtection="0"/>
    <xf numFmtId="0" fontId="70" fillId="0" borderId="0">
      <alignment vertical="center"/>
    </xf>
    <xf numFmtId="0" fontId="19" fillId="76" borderId="0" applyNumberFormat="0" applyBorder="0" applyAlignment="0" applyProtection="0"/>
    <xf numFmtId="0" fontId="19" fillId="76" borderId="0" applyNumberFormat="0" applyBorder="0" applyAlignment="0" applyProtection="0"/>
    <xf numFmtId="0" fontId="19" fillId="76" borderId="0" applyNumberFormat="0" applyBorder="0" applyAlignment="0" applyProtection="0"/>
    <xf numFmtId="0" fontId="19" fillId="76"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80" borderId="0" applyNumberFormat="0" applyBorder="0" applyAlignment="0" applyProtection="0"/>
    <xf numFmtId="0" fontId="19" fillId="80" borderId="0" applyNumberFormat="0" applyBorder="0" applyAlignment="0" applyProtection="0"/>
    <xf numFmtId="0" fontId="19" fillId="80" borderId="0" applyNumberFormat="0" applyBorder="0" applyAlignment="0" applyProtection="0"/>
    <xf numFmtId="0" fontId="19" fillId="80"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4" borderId="0" applyNumberFormat="0" applyBorder="0" applyAlignment="0" applyProtection="0"/>
    <xf numFmtId="0" fontId="19" fillId="86" borderId="0" applyNumberFormat="0" applyBorder="0" applyAlignment="0" applyProtection="0"/>
    <xf numFmtId="0" fontId="19" fillId="86" borderId="0" applyNumberFormat="0" applyBorder="0" applyAlignment="0" applyProtection="0"/>
    <xf numFmtId="0" fontId="19" fillId="86" borderId="0" applyNumberFormat="0" applyBorder="0" applyAlignment="0" applyProtection="0"/>
    <xf numFmtId="0" fontId="19" fillId="86" borderId="0" applyNumberFormat="0" applyBorder="0" applyAlignment="0" applyProtection="0"/>
    <xf numFmtId="0" fontId="19" fillId="86"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9" borderId="0" applyNumberFormat="0" applyBorder="0" applyAlignment="0" applyProtection="0"/>
    <xf numFmtId="0" fontId="19" fillId="79" borderId="0" applyNumberFormat="0" applyBorder="0" applyAlignment="0" applyProtection="0"/>
    <xf numFmtId="0" fontId="19" fillId="79" borderId="0" applyNumberFormat="0" applyBorder="0" applyAlignment="0" applyProtection="0"/>
    <xf numFmtId="0" fontId="19" fillId="79" borderId="0" applyNumberFormat="0" applyBorder="0" applyAlignment="0" applyProtection="0"/>
    <xf numFmtId="0" fontId="19" fillId="81" borderId="0" applyNumberFormat="0" applyBorder="0" applyAlignment="0" applyProtection="0"/>
    <xf numFmtId="0" fontId="19" fillId="81" borderId="0" applyNumberFormat="0" applyBorder="0" applyAlignment="0" applyProtection="0"/>
    <xf numFmtId="0" fontId="19" fillId="81" borderId="0" applyNumberFormat="0" applyBorder="0" applyAlignment="0" applyProtection="0"/>
    <xf numFmtId="0" fontId="19" fillId="8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9" fillId="85" borderId="0" applyNumberFormat="0" applyBorder="0" applyAlignment="0" applyProtection="0"/>
    <xf numFmtId="0" fontId="19" fillId="85" borderId="0" applyNumberFormat="0" applyBorder="0" applyAlignment="0" applyProtection="0"/>
    <xf numFmtId="0" fontId="19" fillId="85" borderId="0" applyNumberFormat="0" applyBorder="0" applyAlignment="0" applyProtection="0"/>
    <xf numFmtId="0" fontId="19" fillId="85" borderId="0" applyNumberFormat="0" applyBorder="0" applyAlignment="0" applyProtection="0"/>
    <xf numFmtId="0" fontId="19" fillId="85" borderId="0" applyNumberFormat="0" applyBorder="0" applyAlignment="0" applyProtection="0"/>
    <xf numFmtId="0" fontId="19" fillId="87" borderId="0" applyNumberFormat="0" applyBorder="0" applyAlignment="0" applyProtection="0"/>
    <xf numFmtId="0" fontId="19" fillId="87" borderId="0" applyNumberFormat="0" applyBorder="0" applyAlignment="0" applyProtection="0"/>
    <xf numFmtId="0" fontId="19" fillId="87" borderId="0" applyNumberFormat="0" applyBorder="0" applyAlignment="0" applyProtection="0"/>
    <xf numFmtId="0" fontId="19" fillId="87" borderId="0" applyNumberFormat="0" applyBorder="0" applyAlignment="0" applyProtection="0"/>
    <xf numFmtId="0" fontId="67" fillId="88" borderId="91"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11" borderId="0" applyNumberFormat="0" applyAlignment="0">
      <alignment horizontal="right"/>
    </xf>
    <xf numFmtId="0" fontId="7" fillId="11" borderId="0" applyNumberFormat="0" applyAlignment="0">
      <alignment horizontal="right"/>
    </xf>
    <xf numFmtId="0" fontId="7" fillId="11" borderId="0" applyNumberFormat="0" applyAlignment="0">
      <alignment horizontal="right"/>
    </xf>
    <xf numFmtId="0" fontId="7" fillId="10" borderId="0" applyNumberFormat="0" applyAlignment="0"/>
    <xf numFmtId="0" fontId="7" fillId="10" borderId="0" applyNumberFormat="0" applyAlignment="0"/>
    <xf numFmtId="0" fontId="7" fillId="10" borderId="0" applyNumberFormat="0" applyAlignment="0"/>
    <xf numFmtId="0" fontId="7" fillId="10" borderId="0" applyNumberFormat="0" applyAlignment="0"/>
    <xf numFmtId="0" fontId="7" fillId="10" borderId="0" applyNumberFormat="0" applyAlignment="0"/>
    <xf numFmtId="0" fontId="9" fillId="52" borderId="14">
      <alignment horizontal="left"/>
    </xf>
    <xf numFmtId="0" fontId="73" fillId="0" borderId="90" applyNumberFormat="0" applyFill="0" applyAlignment="0" applyProtection="0"/>
    <xf numFmtId="0" fontId="32" fillId="0" borderId="0" applyNumberFormat="0" applyFill="0" applyBorder="0" applyAlignment="0" applyProtection="0">
      <alignment vertical="top"/>
      <protection locked="0"/>
    </xf>
    <xf numFmtId="0" fontId="7" fillId="0" borderId="0"/>
    <xf numFmtId="0" fontId="7" fillId="0" borderId="0"/>
    <xf numFmtId="0" fontId="20" fillId="0" borderId="0"/>
    <xf numFmtId="0" fontId="7" fillId="0" borderId="0"/>
    <xf numFmtId="0" fontId="20" fillId="0" borderId="0"/>
    <xf numFmtId="0" fontId="20" fillId="0" borderId="0"/>
    <xf numFmtId="0" fontId="7" fillId="0" borderId="0"/>
    <xf numFmtId="0" fontId="19" fillId="0" borderId="0"/>
    <xf numFmtId="0" fontId="19" fillId="0" borderId="0"/>
    <xf numFmtId="0" fontId="7" fillId="0" borderId="0"/>
    <xf numFmtId="0" fontId="7" fillId="0" borderId="0">
      <alignment readingOrder="1"/>
    </xf>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readingOrder="1"/>
    </xf>
    <xf numFmtId="0" fontId="19" fillId="0" borderId="0"/>
    <xf numFmtId="0" fontId="19" fillId="0" borderId="0"/>
    <xf numFmtId="0" fontId="19" fillId="0" borderId="0"/>
    <xf numFmtId="0" fontId="7" fillId="0" borderId="0">
      <alignment readingOrder="1"/>
    </xf>
    <xf numFmtId="0" fontId="7" fillId="0" borderId="0">
      <alignment readingOrder="1"/>
    </xf>
    <xf numFmtId="0" fontId="19" fillId="0" borderId="0"/>
    <xf numFmtId="0" fontId="74" fillId="0" borderId="0"/>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readingOrder="1"/>
    </xf>
    <xf numFmtId="0" fontId="7" fillId="0" borderId="0">
      <alignment readingOrder="1"/>
    </xf>
    <xf numFmtId="0" fontId="7" fillId="0" borderId="0">
      <alignment readingOrder="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20" fillId="0" borderId="0"/>
    <xf numFmtId="0" fontId="19" fillId="0" borderId="0"/>
    <xf numFmtId="0" fontId="7" fillId="0" borderId="0">
      <alignment readingOrder="1"/>
    </xf>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alignment readingOrder="1"/>
    </xf>
    <xf numFmtId="0" fontId="19" fillId="0" borderId="0"/>
    <xf numFmtId="0" fontId="19" fillId="0" borderId="0"/>
    <xf numFmtId="0" fontId="7" fillId="0" borderId="0"/>
    <xf numFmtId="0" fontId="7" fillId="0" borderId="0"/>
    <xf numFmtId="0" fontId="19" fillId="0" borderId="0"/>
    <xf numFmtId="0" fontId="19" fillId="0" borderId="0"/>
    <xf numFmtId="0" fontId="7" fillId="0" borderId="0"/>
    <xf numFmtId="0" fontId="7" fillId="0" borderId="0"/>
    <xf numFmtId="0" fontId="19" fillId="0" borderId="0"/>
    <xf numFmtId="0" fontId="19" fillId="0" borderId="0"/>
    <xf numFmtId="0" fontId="7" fillId="0" borderId="0"/>
    <xf numFmtId="0" fontId="7" fillId="0" borderId="0"/>
    <xf numFmtId="0" fontId="19" fillId="0" borderId="0"/>
    <xf numFmtId="0" fontId="19"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41" fillId="0" borderId="0"/>
    <xf numFmtId="0"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41" fillId="0" borderId="0"/>
    <xf numFmtId="0" fontId="7" fillId="0" borderId="0">
      <alignment readingOrder="1"/>
    </xf>
    <xf numFmtId="0" fontId="7" fillId="0" borderId="0">
      <alignment readingOrder="1"/>
    </xf>
    <xf numFmtId="0" fontId="19" fillId="75" borderId="92" applyNumberFormat="0" applyFont="0" applyAlignment="0" applyProtection="0"/>
    <xf numFmtId="0" fontId="19" fillId="75" borderId="92" applyNumberFormat="0" applyFont="0" applyAlignment="0" applyProtection="0"/>
    <xf numFmtId="0" fontId="19" fillId="75" borderId="92" applyNumberFormat="0" applyFont="0" applyAlignment="0" applyProtection="0"/>
    <xf numFmtId="0" fontId="19" fillId="75" borderId="92" applyNumberFormat="0" applyFont="0" applyAlignment="0" applyProtection="0"/>
    <xf numFmtId="0" fontId="19" fillId="75" borderId="92" applyNumberFormat="0" applyFont="0" applyAlignment="0" applyProtection="0"/>
    <xf numFmtId="0" fontId="19" fillId="75" borderId="92" applyNumberFormat="0" applyFont="0" applyAlignment="0" applyProtection="0"/>
    <xf numFmtId="0" fontId="76" fillId="53" borderId="18" applyNumberFormat="0" applyFont="0" applyAlignment="0" applyProtection="0"/>
    <xf numFmtId="0" fontId="76" fillId="53" borderId="18" applyNumberFormat="0" applyFont="0" applyAlignment="0" applyProtection="0"/>
    <xf numFmtId="0" fontId="76" fillId="5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0" fontId="7" fillId="0" borderId="0"/>
  </cellStyleXfs>
  <cellXfs count="930">
    <xf numFmtId="0" fontId="0" fillId="0" borderId="0" xfId="0"/>
    <xf numFmtId="0" fontId="6" fillId="0" borderId="0" xfId="2" applyFont="1"/>
    <xf numFmtId="0" fontId="8" fillId="0" borderId="0" xfId="3" applyFont="1"/>
    <xf numFmtId="0" fontId="7" fillId="0" borderId="0" xfId="2" applyFont="1"/>
    <xf numFmtId="5" fontId="7" fillId="0" borderId="0" xfId="2" applyNumberFormat="1" applyFont="1"/>
    <xf numFmtId="164" fontId="7" fillId="0" borderId="0" xfId="2" applyNumberFormat="1" applyFont="1"/>
    <xf numFmtId="164" fontId="8" fillId="0" borderId="0" xfId="2" applyNumberFormat="1" applyFont="1"/>
    <xf numFmtId="0" fontId="7" fillId="0" borderId="0" xfId="2" applyFont="1" applyFill="1"/>
    <xf numFmtId="165" fontId="7" fillId="0" borderId="0" xfId="2" applyNumberFormat="1" applyFont="1"/>
    <xf numFmtId="0" fontId="0" fillId="0" borderId="0" xfId="0">
      <alignment readingOrder="1"/>
    </xf>
    <xf numFmtId="0" fontId="6" fillId="0" borderId="0" xfId="2" applyFont="1" applyAlignment="1">
      <alignment horizontal="left"/>
    </xf>
    <xf numFmtId="166" fontId="0" fillId="0" borderId="0" xfId="0" applyNumberFormat="1" applyAlignment="1">
      <alignment horizontal="center" readingOrder="1"/>
    </xf>
    <xf numFmtId="167" fontId="0" fillId="0" borderId="0" xfId="0" applyNumberFormat="1" applyAlignment="1">
      <alignment horizontal="center" readingOrder="1"/>
    </xf>
    <xf numFmtId="0" fontId="7" fillId="0" borderId="0" xfId="2" applyFont="1" applyAlignment="1">
      <alignment horizontal="center"/>
    </xf>
    <xf numFmtId="0" fontId="9" fillId="2" borderId="1" xfId="2" applyFont="1" applyFill="1" applyBorder="1" applyAlignment="1">
      <alignment horizontal="centerContinuous"/>
    </xf>
    <xf numFmtId="0" fontId="10" fillId="2" borderId="1" xfId="2" applyFont="1" applyFill="1" applyBorder="1" applyAlignment="1">
      <alignment horizontal="centerContinuous"/>
    </xf>
    <xf numFmtId="0" fontId="10" fillId="2" borderId="2" xfId="2" applyFont="1" applyFill="1" applyBorder="1" applyAlignment="1">
      <alignment horizontal="centerContinuous"/>
    </xf>
    <xf numFmtId="0" fontId="11" fillId="2" borderId="3" xfId="2" applyFont="1" applyFill="1" applyBorder="1" applyAlignment="1">
      <alignment horizontal="centerContinuous"/>
    </xf>
    <xf numFmtId="0" fontId="9" fillId="0" borderId="0" xfId="2" applyFont="1" applyFill="1" applyBorder="1" applyAlignment="1">
      <alignment horizontal="centerContinuous"/>
    </xf>
    <xf numFmtId="0" fontId="10" fillId="0" borderId="0" xfId="2" applyFont="1" applyFill="1" applyBorder="1" applyAlignment="1">
      <alignment horizontal="centerContinuous"/>
    </xf>
    <xf numFmtId="0" fontId="11" fillId="0" borderId="0" xfId="2" applyFont="1" applyFill="1" applyBorder="1" applyAlignment="1">
      <alignment horizontal="centerContinuous"/>
    </xf>
    <xf numFmtId="0" fontId="12" fillId="0" borderId="0" xfId="2" applyFont="1" applyFill="1" applyBorder="1" applyAlignment="1">
      <alignment horizontal="centerContinuous"/>
    </xf>
    <xf numFmtId="0" fontId="7" fillId="0" borderId="0" xfId="2" applyFont="1" applyFill="1" applyBorder="1"/>
    <xf numFmtId="0" fontId="12" fillId="5" borderId="5" xfId="2" applyFont="1" applyFill="1" applyBorder="1" applyAlignment="1">
      <alignment horizontal="center" wrapText="1"/>
    </xf>
    <xf numFmtId="0" fontId="12" fillId="5" borderId="5" xfId="0" applyFont="1" applyFill="1" applyBorder="1" applyAlignment="1">
      <alignment horizontal="center" wrapText="1"/>
    </xf>
    <xf numFmtId="0" fontId="12" fillId="0" borderId="0" xfId="2" applyFont="1" applyFill="1" applyBorder="1" applyAlignment="1">
      <alignment horizontal="center" wrapText="1"/>
    </xf>
    <xf numFmtId="0" fontId="7" fillId="6" borderId="0" xfId="4" applyFont="1" applyFill="1" applyBorder="1" applyAlignment="1">
      <alignment wrapText="1"/>
    </xf>
    <xf numFmtId="1" fontId="7" fillId="6" borderId="0" xfId="4" applyNumberFormat="1" applyFont="1" applyFill="1" applyBorder="1" applyAlignment="1">
      <alignment wrapText="1"/>
    </xf>
    <xf numFmtId="0" fontId="0" fillId="0" borderId="0" xfId="0" applyFill="1" applyBorder="1">
      <alignment readingOrder="1"/>
    </xf>
    <xf numFmtId="164" fontId="11" fillId="0" borderId="0" xfId="0" applyNumberFormat="1" applyFont="1" applyFill="1" applyBorder="1">
      <alignment readingOrder="1"/>
    </xf>
    <xf numFmtId="2" fontId="0" fillId="0" borderId="0" xfId="0" applyNumberFormat="1" applyFill="1" applyBorder="1">
      <alignment readingOrder="1"/>
    </xf>
    <xf numFmtId="0" fontId="14" fillId="0" borderId="0" xfId="0" applyFont="1" applyFill="1" applyBorder="1" applyAlignment="1">
      <alignment horizontal="center" wrapText="1" readingOrder="1"/>
    </xf>
    <xf numFmtId="0" fontId="7" fillId="7" borderId="0" xfId="4" applyFont="1" applyFill="1" applyBorder="1" applyAlignment="1">
      <alignment wrapText="1"/>
    </xf>
    <xf numFmtId="0" fontId="7" fillId="8" borderId="0" xfId="4" applyFont="1" applyFill="1" applyBorder="1" applyAlignment="1">
      <alignment wrapText="1"/>
    </xf>
    <xf numFmtId="0" fontId="14" fillId="9" borderId="6" xfId="0" applyFont="1" applyFill="1" applyBorder="1" applyAlignment="1">
      <alignment horizontal="left" readingOrder="1"/>
    </xf>
    <xf numFmtId="0" fontId="14" fillId="9" borderId="7" xfId="0" applyFont="1" applyFill="1" applyBorder="1" applyAlignment="1">
      <alignment horizontal="center" wrapText="1" readingOrder="1"/>
    </xf>
    <xf numFmtId="164" fontId="0" fillId="0" borderId="0" xfId="0" applyNumberFormat="1">
      <alignment readingOrder="1"/>
    </xf>
    <xf numFmtId="0" fontId="12" fillId="10" borderId="5" xfId="0" applyFont="1" applyFill="1" applyBorder="1" applyAlignment="1">
      <alignment horizontal="center" wrapText="1" readingOrder="1"/>
    </xf>
    <xf numFmtId="0" fontId="12" fillId="10" borderId="7" xfId="0" applyFont="1" applyFill="1" applyBorder="1" applyAlignment="1">
      <alignment horizontal="center" wrapText="1" readingOrder="1"/>
    </xf>
    <xf numFmtId="164" fontId="12" fillId="10" borderId="7" xfId="0" applyNumberFormat="1" applyFont="1" applyFill="1" applyBorder="1" applyAlignment="1">
      <alignment horizontal="center" wrapText="1" readingOrder="1"/>
    </xf>
    <xf numFmtId="164" fontId="11" fillId="0" borderId="0" xfId="0" applyNumberFormat="1" applyFont="1">
      <alignment readingOrder="1"/>
    </xf>
    <xf numFmtId="164" fontId="12" fillId="11" borderId="8" xfId="0" applyNumberFormat="1" applyFont="1" applyFill="1" applyBorder="1" applyAlignment="1">
      <alignment horizontal="centerContinuous" wrapText="1" readingOrder="1"/>
    </xf>
    <xf numFmtId="1" fontId="0" fillId="0" borderId="0" xfId="0" applyNumberFormat="1">
      <alignment readingOrder="1"/>
    </xf>
    <xf numFmtId="0" fontId="12" fillId="11" borderId="5" xfId="0" applyFont="1" applyFill="1" applyBorder="1" applyAlignment="1">
      <alignment horizontal="center" wrapText="1" readingOrder="1"/>
    </xf>
    <xf numFmtId="0" fontId="12" fillId="11" borderId="7" xfId="0" applyFont="1" applyFill="1" applyBorder="1" applyAlignment="1">
      <alignment horizontal="center" wrapText="1" readingOrder="1"/>
    </xf>
    <xf numFmtId="164" fontId="12" fillId="11" borderId="7" xfId="0" applyNumberFormat="1" applyFont="1" applyFill="1" applyBorder="1" applyAlignment="1">
      <alignment horizontal="center" wrapText="1" readingOrder="1"/>
    </xf>
    <xf numFmtId="164" fontId="12" fillId="11" borderId="9" xfId="0" applyNumberFormat="1" applyFont="1" applyFill="1" applyBorder="1" applyAlignment="1">
      <alignment horizontal="centerContinuous" wrapText="1" readingOrder="1"/>
    </xf>
    <xf numFmtId="164" fontId="12" fillId="11" borderId="10" xfId="0" applyNumberFormat="1" applyFont="1" applyFill="1" applyBorder="1" applyAlignment="1">
      <alignment horizontal="centerContinuous" wrapText="1" readingOrder="1"/>
    </xf>
    <xf numFmtId="164" fontId="0" fillId="0" borderId="0" xfId="0" applyNumberFormat="1"/>
    <xf numFmtId="0" fontId="0" fillId="12" borderId="0" xfId="0" applyFill="1"/>
    <xf numFmtId="0" fontId="13" fillId="0" borderId="0" xfId="0" applyFont="1">
      <alignment readingOrder="1"/>
    </xf>
    <xf numFmtId="49" fontId="0" fillId="0" borderId="0" xfId="0" applyNumberFormat="1">
      <alignment readingOrder="1"/>
    </xf>
    <xf numFmtId="0" fontId="0" fillId="0" borderId="0" xfId="0" applyAlignment="1">
      <alignment horizontal="center" readingOrder="1"/>
    </xf>
    <xf numFmtId="0" fontId="0" fillId="0" borderId="0" xfId="0" applyFill="1" applyAlignment="1">
      <alignment horizontal="center" readingOrder="1"/>
    </xf>
    <xf numFmtId="0" fontId="0" fillId="0" borderId="0" xfId="0" applyFill="1">
      <alignment readingOrder="1"/>
    </xf>
    <xf numFmtId="0" fontId="0" fillId="0" borderId="0" xfId="0" applyFill="1" applyAlignment="1">
      <alignment vertical="center" wrapText="1" readingOrder="1"/>
    </xf>
    <xf numFmtId="9" fontId="13" fillId="13" borderId="0" xfId="0" applyNumberFormat="1" applyFont="1" applyFill="1">
      <alignment readingOrder="1"/>
    </xf>
    <xf numFmtId="0" fontId="0" fillId="13" borderId="0" xfId="0" applyFill="1">
      <alignment readingOrder="1"/>
    </xf>
    <xf numFmtId="1" fontId="0" fillId="13" borderId="0" xfId="0" applyNumberFormat="1" applyFill="1">
      <alignment readingOrder="1"/>
    </xf>
    <xf numFmtId="0" fontId="0" fillId="14" borderId="0" xfId="0" applyFill="1" applyAlignment="1">
      <alignment horizontal="center" wrapText="1" readingOrder="1"/>
    </xf>
    <xf numFmtId="164" fontId="0" fillId="0" borderId="0" xfId="0" applyNumberFormat="1" applyAlignment="1">
      <alignment horizontal="center" readingOrder="1"/>
    </xf>
    <xf numFmtId="1" fontId="0" fillId="0" borderId="0" xfId="0" applyNumberFormat="1" applyFill="1">
      <alignment readingOrder="1"/>
    </xf>
    <xf numFmtId="0" fontId="48" fillId="6" borderId="2" xfId="0" applyFont="1" applyFill="1" applyBorder="1"/>
    <xf numFmtId="0" fontId="48" fillId="56" borderId="5" xfId="0" applyFont="1" applyFill="1" applyBorder="1"/>
    <xf numFmtId="9" fontId="7" fillId="57" borderId="0" xfId="9" applyFill="1" applyAlignment="1">
      <alignment horizontal="center" readingOrder="1"/>
    </xf>
    <xf numFmtId="0" fontId="48" fillId="58" borderId="5" xfId="0" applyFont="1" applyFill="1" applyBorder="1"/>
    <xf numFmtId="9" fontId="48" fillId="56" borderId="5" xfId="9" applyFont="1" applyFill="1" applyBorder="1"/>
    <xf numFmtId="0" fontId="48" fillId="56" borderId="2" xfId="0" applyFont="1" applyFill="1" applyBorder="1"/>
    <xf numFmtId="0" fontId="48" fillId="56" borderId="4" xfId="0" applyFont="1" applyFill="1" applyBorder="1"/>
    <xf numFmtId="0" fontId="48" fillId="56" borderId="3" xfId="0" applyFont="1" applyFill="1" applyBorder="1"/>
    <xf numFmtId="0" fontId="48" fillId="56" borderId="21" xfId="0" applyFont="1" applyFill="1" applyBorder="1"/>
    <xf numFmtId="0" fontId="48" fillId="56" borderId="22" xfId="0" applyFont="1" applyFill="1" applyBorder="1"/>
    <xf numFmtId="1" fontId="0" fillId="59" borderId="0" xfId="0" applyNumberFormat="1" applyFill="1" applyAlignment="1">
      <alignment horizontal="center" readingOrder="1"/>
    </xf>
    <xf numFmtId="164" fontId="0" fillId="58" borderId="0" xfId="0" applyNumberFormat="1" applyFill="1" applyAlignment="1">
      <alignment horizontal="center" readingOrder="1"/>
    </xf>
    <xf numFmtId="0" fontId="48" fillId="56" borderId="1" xfId="0" applyFont="1" applyFill="1" applyBorder="1"/>
    <xf numFmtId="0" fontId="48" fillId="56" borderId="23" xfId="0" applyFont="1" applyFill="1" applyBorder="1"/>
    <xf numFmtId="0" fontId="48" fillId="57" borderId="5" xfId="0" applyFont="1" applyFill="1" applyBorder="1"/>
    <xf numFmtId="164" fontId="48" fillId="57" borderId="5" xfId="0" applyNumberFormat="1" applyFont="1" applyFill="1" applyBorder="1"/>
    <xf numFmtId="0" fontId="48" fillId="56" borderId="6" xfId="0" applyFont="1" applyFill="1" applyBorder="1"/>
    <xf numFmtId="0" fontId="48" fillId="56" borderId="14" xfId="0" applyFont="1" applyFill="1" applyBorder="1"/>
    <xf numFmtId="0" fontId="48" fillId="56" borderId="7" xfId="0" applyFont="1" applyFill="1" applyBorder="1"/>
    <xf numFmtId="0" fontId="48" fillId="6" borderId="5" xfId="0" applyFont="1" applyFill="1" applyBorder="1"/>
    <xf numFmtId="0" fontId="48" fillId="6" borderId="0" xfId="10" applyFont="1" applyFill="1" applyBorder="1"/>
    <xf numFmtId="0" fontId="19" fillId="6" borderId="0" xfId="10" applyFill="1" applyBorder="1"/>
    <xf numFmtId="0" fontId="19" fillId="0" borderId="0" xfId="10" applyBorder="1"/>
    <xf numFmtId="0" fontId="49" fillId="0" borderId="0" xfId="10" applyFont="1" applyFill="1" applyBorder="1" applyAlignment="1">
      <alignment horizontal="left" wrapText="1"/>
    </xf>
    <xf numFmtId="1" fontId="50" fillId="0" borderId="0" xfId="10" applyNumberFormat="1" applyFont="1" applyFill="1" applyBorder="1" applyAlignment="1">
      <alignment horizontal="center"/>
    </xf>
    <xf numFmtId="0" fontId="51" fillId="0" borderId="0" xfId="10" applyFont="1" applyFill="1" applyBorder="1" applyAlignment="1">
      <alignment horizontal="center"/>
    </xf>
    <xf numFmtId="0" fontId="19" fillId="0" borderId="0" xfId="10" applyFill="1" applyBorder="1"/>
    <xf numFmtId="1" fontId="49" fillId="0" borderId="0" xfId="10" applyNumberFormat="1" applyFont="1" applyFill="1" applyBorder="1" applyAlignment="1">
      <alignment vertical="top"/>
    </xf>
    <xf numFmtId="9" fontId="19" fillId="0" borderId="0" xfId="9" applyFont="1" applyFill="1" applyBorder="1" applyAlignment="1">
      <alignment vertical="top"/>
    </xf>
    <xf numFmtId="1" fontId="19" fillId="0" borderId="0" xfId="10" applyNumberFormat="1" applyFill="1" applyBorder="1" applyAlignment="1">
      <alignment vertical="top"/>
    </xf>
    <xf numFmtId="0" fontId="19" fillId="0" borderId="0" xfId="10" applyFont="1" applyFill="1" applyBorder="1" applyAlignment="1">
      <alignment vertical="top"/>
    </xf>
    <xf numFmtId="0" fontId="19" fillId="0" borderId="0" xfId="10" applyFill="1" applyBorder="1" applyAlignment="1">
      <alignment vertical="top"/>
    </xf>
    <xf numFmtId="2" fontId="49" fillId="0" borderId="0" xfId="10" applyNumberFormat="1" applyFont="1" applyFill="1" applyBorder="1" applyAlignment="1">
      <alignment vertical="top"/>
    </xf>
    <xf numFmtId="44" fontId="19" fillId="0" borderId="0" xfId="1" applyFont="1" applyFill="1" applyBorder="1" applyAlignment="1">
      <alignment vertical="top"/>
    </xf>
    <xf numFmtId="0" fontId="48" fillId="0" borderId="0" xfId="10" applyFont="1" applyBorder="1"/>
    <xf numFmtId="9" fontId="19" fillId="0" borderId="0" xfId="10" applyNumberFormat="1" applyFill="1" applyBorder="1"/>
    <xf numFmtId="0" fontId="49" fillId="0" borderId="0" xfId="10" applyFont="1" applyFill="1" applyBorder="1"/>
    <xf numFmtId="0" fontId="48" fillId="0" borderId="0" xfId="10" applyFont="1" applyFill="1" applyBorder="1"/>
    <xf numFmtId="0" fontId="19" fillId="0" borderId="0" xfId="10" applyFont="1" applyFill="1" applyBorder="1"/>
    <xf numFmtId="2" fontId="19" fillId="0" borderId="0" xfId="10" applyNumberFormat="1" applyFill="1" applyBorder="1"/>
    <xf numFmtId="170" fontId="19" fillId="0" borderId="0" xfId="11" applyNumberFormat="1" applyFont="1" applyFill="1" applyBorder="1" applyAlignment="1">
      <alignment horizontal="right" vertical="center"/>
    </xf>
    <xf numFmtId="171" fontId="19" fillId="0" borderId="0" xfId="10" applyNumberFormat="1" applyFill="1" applyBorder="1"/>
    <xf numFmtId="0" fontId="19" fillId="0" borderId="0" xfId="10" applyFill="1" applyBorder="1" applyAlignment="1">
      <alignment wrapText="1"/>
    </xf>
    <xf numFmtId="166" fontId="19" fillId="0" borderId="0" xfId="10" applyNumberFormat="1" applyFill="1" applyBorder="1"/>
    <xf numFmtId="167" fontId="19" fillId="0" borderId="0" xfId="10" applyNumberFormat="1" applyFill="1" applyBorder="1"/>
    <xf numFmtId="0" fontId="54" fillId="0" borderId="0" xfId="10" applyFont="1" applyFill="1" applyBorder="1" applyAlignment="1">
      <alignment horizontal="right"/>
    </xf>
    <xf numFmtId="0" fontId="54" fillId="0" borderId="0" xfId="10" applyFont="1" applyFill="1" applyBorder="1"/>
    <xf numFmtId="9" fontId="54" fillId="0" borderId="0" xfId="10" applyNumberFormat="1" applyFont="1" applyFill="1" applyBorder="1"/>
    <xf numFmtId="0" fontId="19" fillId="0" borderId="0" xfId="10" applyFont="1" applyBorder="1"/>
    <xf numFmtId="2" fontId="48" fillId="57" borderId="0" xfId="10" applyNumberFormat="1" applyFont="1" applyFill="1" applyBorder="1"/>
    <xf numFmtId="2" fontId="48" fillId="57" borderId="0" xfId="10" applyNumberFormat="1" applyFont="1" applyFill="1" applyBorder="1" applyAlignment="1">
      <alignment horizontal="center"/>
    </xf>
    <xf numFmtId="0" fontId="48" fillId="57" borderId="0" xfId="10" applyFont="1" applyFill="1" applyBorder="1" applyAlignment="1">
      <alignment horizontal="center"/>
    </xf>
    <xf numFmtId="2" fontId="49" fillId="0" borderId="0" xfId="10" applyNumberFormat="1" applyFont="1" applyBorder="1"/>
    <xf numFmtId="2" fontId="49" fillId="0" borderId="0" xfId="10" applyNumberFormat="1" applyFont="1" applyFill="1" applyBorder="1" applyAlignment="1">
      <alignment horizontal="center"/>
    </xf>
    <xf numFmtId="2" fontId="49" fillId="0" borderId="0" xfId="10" applyNumberFormat="1" applyFont="1" applyFill="1" applyBorder="1"/>
    <xf numFmtId="0" fontId="19" fillId="0" borderId="0" xfId="10" applyFill="1" applyBorder="1" applyAlignment="1">
      <alignment horizontal="center"/>
    </xf>
    <xf numFmtId="2" fontId="19" fillId="0" borderId="0" xfId="10" applyNumberFormat="1" applyBorder="1"/>
    <xf numFmtId="2" fontId="19" fillId="0" borderId="0" xfId="10" applyNumberFormat="1" applyFill="1" applyBorder="1" applyAlignment="1">
      <alignment horizontal="center"/>
    </xf>
    <xf numFmtId="2" fontId="19" fillId="0" borderId="0" xfId="10" applyNumberFormat="1" applyFont="1" applyBorder="1"/>
    <xf numFmtId="2" fontId="19" fillId="0" borderId="0" xfId="10" applyNumberFormat="1" applyBorder="1" applyAlignment="1">
      <alignment horizontal="center"/>
    </xf>
    <xf numFmtId="0" fontId="48" fillId="6" borderId="0" xfId="10" applyFont="1" applyFill="1"/>
    <xf numFmtId="0" fontId="19" fillId="6" borderId="0" xfId="10" applyFill="1"/>
    <xf numFmtId="0" fontId="19" fillId="0" borderId="0" xfId="10"/>
    <xf numFmtId="173" fontId="19" fillId="0" borderId="0" xfId="237" applyNumberFormat="1" applyFont="1" applyFill="1" applyBorder="1"/>
    <xf numFmtId="9" fontId="19" fillId="0" borderId="0" xfId="9" applyFont="1" applyFill="1" applyBorder="1"/>
    <xf numFmtId="0" fontId="48" fillId="6" borderId="0" xfId="14" applyFont="1" applyFill="1"/>
    <xf numFmtId="0" fontId="7" fillId="6" borderId="0" xfId="14" applyFill="1"/>
    <xf numFmtId="0" fontId="48" fillId="0" borderId="0" xfId="14" applyFont="1"/>
    <xf numFmtId="0" fontId="7" fillId="0" borderId="0" xfId="14"/>
    <xf numFmtId="0" fontId="57" fillId="0" borderId="0" xfId="0" applyFont="1"/>
    <xf numFmtId="0" fontId="49" fillId="0" borderId="0" xfId="0" applyFont="1"/>
    <xf numFmtId="0" fontId="54" fillId="0" borderId="5" xfId="0" applyFont="1" applyFill="1" applyBorder="1" applyAlignment="1">
      <alignment horizontal="center" wrapText="1"/>
    </xf>
    <xf numFmtId="0" fontId="54" fillId="0" borderId="5" xfId="0" applyFont="1" applyFill="1" applyBorder="1" applyAlignment="1">
      <alignment horizontal="center"/>
    </xf>
    <xf numFmtId="0" fontId="49" fillId="0" borderId="6" xfId="0" applyFont="1" applyBorder="1"/>
    <xf numFmtId="9" fontId="49" fillId="0" borderId="5" xfId="9" applyNumberFormat="1" applyFont="1" applyBorder="1"/>
    <xf numFmtId="9" fontId="49" fillId="0" borderId="5" xfId="9" applyFont="1" applyBorder="1"/>
    <xf numFmtId="0" fontId="49" fillId="0" borderId="5" xfId="0" applyFont="1" applyFill="1" applyBorder="1"/>
    <xf numFmtId="0" fontId="19" fillId="0" borderId="0" xfId="10" applyAlignment="1">
      <alignment horizontal="center" vertical="center" wrapText="1"/>
    </xf>
    <xf numFmtId="2" fontId="19" fillId="0" borderId="0" xfId="10" applyNumberFormat="1" applyFill="1" applyAlignment="1">
      <alignment horizontal="center" vertical="center" wrapText="1"/>
    </xf>
    <xf numFmtId="2" fontId="19" fillId="0" borderId="0" xfId="10" applyNumberFormat="1" applyFill="1"/>
    <xf numFmtId="0" fontId="48" fillId="0" borderId="0" xfId="10" applyFont="1" applyFill="1" applyAlignment="1">
      <alignment wrapText="1"/>
    </xf>
    <xf numFmtId="0" fontId="48" fillId="57" borderId="25" xfId="10" applyFont="1" applyFill="1" applyBorder="1"/>
    <xf numFmtId="0" fontId="48" fillId="61" borderId="29" xfId="10" applyFont="1" applyFill="1" applyBorder="1"/>
    <xf numFmtId="2" fontId="19" fillId="61" borderId="30" xfId="10" applyNumberFormat="1" applyFill="1" applyBorder="1"/>
    <xf numFmtId="2" fontId="19" fillId="61" borderId="31" xfId="10" applyNumberFormat="1" applyFill="1" applyBorder="1"/>
    <xf numFmtId="0" fontId="48" fillId="61" borderId="33" xfId="10" applyFont="1" applyFill="1" applyBorder="1"/>
    <xf numFmtId="2" fontId="19" fillId="61" borderId="34" xfId="10" applyNumberFormat="1" applyFill="1" applyBorder="1"/>
    <xf numFmtId="2" fontId="19" fillId="61" borderId="35" xfId="10" applyNumberFormat="1" applyFill="1" applyBorder="1"/>
    <xf numFmtId="0" fontId="48" fillId="55" borderId="29" xfId="10" applyFont="1" applyFill="1" applyBorder="1"/>
    <xf numFmtId="2" fontId="19" fillId="55" borderId="30" xfId="10" applyNumberFormat="1" applyFill="1" applyBorder="1"/>
    <xf numFmtId="2" fontId="19" fillId="55" borderId="31" xfId="10" applyNumberFormat="1" applyFill="1" applyBorder="1"/>
    <xf numFmtId="0" fontId="48" fillId="55" borderId="33" xfId="10" applyFont="1" applyFill="1" applyBorder="1"/>
    <xf numFmtId="2" fontId="19" fillId="55" borderId="34" xfId="10" applyNumberFormat="1" applyFill="1" applyBorder="1"/>
    <xf numFmtId="2" fontId="19" fillId="55" borderId="35" xfId="10" applyNumberFormat="1" applyFill="1" applyBorder="1"/>
    <xf numFmtId="0" fontId="48" fillId="57" borderId="36" xfId="10" applyFont="1" applyFill="1" applyBorder="1"/>
    <xf numFmtId="2" fontId="19" fillId="0" borderId="37" xfId="10" applyNumberFormat="1" applyFill="1" applyBorder="1"/>
    <xf numFmtId="2" fontId="19" fillId="0" borderId="38" xfId="10" applyNumberFormat="1" applyFill="1" applyBorder="1"/>
    <xf numFmtId="0" fontId="48" fillId="57" borderId="39" xfId="10" applyFont="1" applyFill="1" applyBorder="1"/>
    <xf numFmtId="1" fontId="19" fillId="0" borderId="40" xfId="10" applyNumberFormat="1" applyFill="1" applyBorder="1"/>
    <xf numFmtId="1" fontId="19" fillId="0" borderId="5" xfId="10" applyNumberFormat="1" applyFill="1" applyBorder="1"/>
    <xf numFmtId="164" fontId="19" fillId="0" borderId="40" xfId="10" applyNumberFormat="1" applyFill="1" applyBorder="1"/>
    <xf numFmtId="164" fontId="19" fillId="0" borderId="5" xfId="10" applyNumberFormat="1" applyFill="1" applyBorder="1"/>
    <xf numFmtId="3" fontId="19" fillId="0" borderId="40" xfId="10" applyNumberFormat="1" applyFill="1" applyBorder="1"/>
    <xf numFmtId="3" fontId="19" fillId="0" borderId="5" xfId="10" applyNumberFormat="1" applyFill="1" applyBorder="1"/>
    <xf numFmtId="2" fontId="19" fillId="0" borderId="40" xfId="10" applyNumberFormat="1" applyFill="1" applyBorder="1"/>
    <xf numFmtId="2" fontId="19" fillId="0" borderId="5" xfId="10" applyNumberFormat="1" applyFill="1" applyBorder="1"/>
    <xf numFmtId="0" fontId="48" fillId="57" borderId="33" xfId="10" applyFont="1" applyFill="1" applyBorder="1"/>
    <xf numFmtId="3" fontId="19" fillId="0" borderId="34" xfId="10" applyNumberFormat="1" applyFill="1" applyBorder="1"/>
    <xf numFmtId="3" fontId="19" fillId="0" borderId="35" xfId="10" applyNumberFormat="1" applyFill="1" applyBorder="1"/>
    <xf numFmtId="0" fontId="51" fillId="0" borderId="0" xfId="10" applyFont="1"/>
    <xf numFmtId="0" fontId="7" fillId="0" borderId="0" xfId="14" applyFont="1" applyFill="1" applyBorder="1" applyAlignment="1">
      <alignment wrapText="1" readingOrder="1"/>
    </xf>
    <xf numFmtId="0" fontId="19" fillId="0" borderId="0" xfId="10" applyFont="1"/>
    <xf numFmtId="0" fontId="19" fillId="0" borderId="0" xfId="10" applyFont="1" applyFill="1" applyBorder="1" applyAlignment="1">
      <alignment horizontal="right"/>
    </xf>
    <xf numFmtId="2" fontId="48" fillId="0" borderId="0" xfId="10" applyNumberFormat="1" applyFont="1" applyFill="1" applyBorder="1"/>
    <xf numFmtId="2" fontId="48" fillId="0" borderId="0" xfId="10" quotePrefix="1" applyNumberFormat="1" applyFont="1" applyFill="1" applyBorder="1"/>
    <xf numFmtId="0" fontId="48" fillId="62" borderId="0" xfId="10" applyFont="1" applyFill="1"/>
    <xf numFmtId="0" fontId="19" fillId="62" borderId="0" xfId="10" applyFill="1"/>
    <xf numFmtId="0" fontId="48" fillId="60" borderId="0" xfId="10" applyFont="1" applyFill="1"/>
    <xf numFmtId="0" fontId="19" fillId="60" borderId="0" xfId="10" applyFill="1"/>
    <xf numFmtId="2" fontId="48" fillId="0" borderId="0" xfId="10" applyNumberFormat="1" applyFont="1" applyFill="1" applyBorder="1" applyAlignment="1">
      <alignment wrapText="1"/>
    </xf>
    <xf numFmtId="0" fontId="48" fillId="57" borderId="5" xfId="10" applyFont="1" applyFill="1" applyBorder="1"/>
    <xf numFmtId="0" fontId="48" fillId="57" borderId="5" xfId="10" applyFont="1" applyFill="1" applyBorder="1" applyAlignment="1">
      <alignment wrapText="1"/>
    </xf>
    <xf numFmtId="2" fontId="48" fillId="57" borderId="5" xfId="10" applyNumberFormat="1" applyFont="1" applyFill="1" applyBorder="1" applyAlignment="1">
      <alignment wrapText="1"/>
    </xf>
    <xf numFmtId="0" fontId="48" fillId="0" borderId="0" xfId="10" applyFont="1" applyFill="1" applyBorder="1" applyAlignment="1">
      <alignment wrapText="1"/>
    </xf>
    <xf numFmtId="0" fontId="48" fillId="0" borderId="0" xfId="10" applyFont="1" applyFill="1"/>
    <xf numFmtId="0" fontId="0" fillId="0" borderId="42" xfId="0" applyBorder="1" applyAlignment="1">
      <alignment wrapText="1"/>
    </xf>
    <xf numFmtId="22" fontId="0" fillId="0" borderId="43" xfId="0" applyNumberFormat="1" applyBorder="1" applyAlignment="1">
      <alignment wrapText="1"/>
    </xf>
    <xf numFmtId="2" fontId="19" fillId="0" borderId="0" xfId="10" applyNumberFormat="1" applyFill="1" applyBorder="1" applyAlignment="1">
      <alignment wrapText="1"/>
    </xf>
    <xf numFmtId="0" fontId="19" fillId="0" borderId="5" xfId="10" applyBorder="1"/>
    <xf numFmtId="172" fontId="19" fillId="0" borderId="5" xfId="10" applyNumberFormat="1" applyBorder="1" applyAlignment="1"/>
    <xf numFmtId="164" fontId="19" fillId="0" borderId="5" xfId="10" applyNumberFormat="1" applyBorder="1" applyAlignment="1"/>
    <xf numFmtId="2" fontId="19" fillId="0" borderId="5" xfId="10" applyNumberFormat="1" applyBorder="1" applyAlignment="1"/>
    <xf numFmtId="3" fontId="19" fillId="0" borderId="5" xfId="10" applyNumberFormat="1" applyBorder="1" applyAlignment="1"/>
    <xf numFmtId="0" fontId="19" fillId="0" borderId="0" xfId="10" quotePrefix="1" applyFont="1" applyFill="1" applyBorder="1"/>
    <xf numFmtId="0" fontId="19" fillId="0" borderId="0" xfId="10" applyFill="1"/>
    <xf numFmtId="0" fontId="7" fillId="0" borderId="5" xfId="14" applyBorder="1">
      <alignment readingOrder="1"/>
    </xf>
    <xf numFmtId="0" fontId="7" fillId="0" borderId="0" xfId="14">
      <alignment readingOrder="1"/>
    </xf>
    <xf numFmtId="0" fontId="19" fillId="0" borderId="2" xfId="10" applyBorder="1"/>
    <xf numFmtId="164" fontId="19" fillId="0" borderId="2" xfId="10" applyNumberFormat="1" applyBorder="1" applyAlignment="1"/>
    <xf numFmtId="0" fontId="7" fillId="0" borderId="0" xfId="14" applyFont="1">
      <alignment readingOrder="1"/>
    </xf>
    <xf numFmtId="168" fontId="7" fillId="0" borderId="0" xfId="89" applyNumberFormat="1"/>
    <xf numFmtId="43" fontId="7" fillId="0" borderId="0" xfId="64"/>
    <xf numFmtId="0" fontId="7" fillId="0" borderId="0" xfId="240"/>
    <xf numFmtId="175" fontId="7" fillId="0" borderId="0" xfId="64" applyNumberFormat="1"/>
    <xf numFmtId="43" fontId="7" fillId="0" borderId="0" xfId="64" applyFill="1"/>
    <xf numFmtId="43" fontId="7" fillId="0" borderId="0" xfId="240" applyNumberFormat="1"/>
    <xf numFmtId="0" fontId="48" fillId="0" borderId="37" xfId="10" applyFont="1" applyFill="1" applyBorder="1"/>
    <xf numFmtId="0" fontId="48" fillId="0" borderId="38" xfId="10" applyFont="1" applyFill="1" applyBorder="1"/>
    <xf numFmtId="0" fontId="19" fillId="0" borderId="40" xfId="10" applyFill="1" applyBorder="1"/>
    <xf numFmtId="0" fontId="19" fillId="0" borderId="5" xfId="10" applyFill="1" applyBorder="1"/>
    <xf numFmtId="0" fontId="19" fillId="0" borderId="47" xfId="10" applyBorder="1"/>
    <xf numFmtId="173" fontId="19" fillId="0" borderId="26" xfId="237" applyNumberFormat="1" applyFont="1" applyFill="1" applyBorder="1"/>
    <xf numFmtId="173" fontId="19" fillId="0" borderId="27" xfId="237" applyNumberFormat="1" applyFont="1" applyFill="1" applyBorder="1"/>
    <xf numFmtId="1" fontId="19" fillId="0" borderId="40" xfId="10" applyNumberFormat="1" applyFont="1" applyFill="1" applyBorder="1" applyAlignment="1">
      <alignment horizontal="right"/>
    </xf>
    <xf numFmtId="1" fontId="19" fillId="0" borderId="5" xfId="10" applyNumberFormat="1" applyFont="1" applyFill="1" applyBorder="1" applyAlignment="1">
      <alignment horizontal="right"/>
    </xf>
    <xf numFmtId="1" fontId="19" fillId="0" borderId="34" xfId="10" applyNumberFormat="1" applyFill="1" applyBorder="1"/>
    <xf numFmtId="1" fontId="19" fillId="0" borderId="35" xfId="10" applyNumberFormat="1" applyFill="1" applyBorder="1"/>
    <xf numFmtId="43" fontId="7" fillId="0" borderId="0" xfId="64" applyBorder="1"/>
    <xf numFmtId="0" fontId="48" fillId="57" borderId="29" xfId="10" applyFont="1" applyFill="1" applyBorder="1"/>
    <xf numFmtId="176" fontId="19" fillId="0" borderId="52" xfId="10" applyNumberFormat="1" applyFill="1" applyBorder="1"/>
    <xf numFmtId="176" fontId="19" fillId="0" borderId="31" xfId="10" applyNumberFormat="1" applyFill="1" applyBorder="1"/>
    <xf numFmtId="176" fontId="19" fillId="0" borderId="53" xfId="10" applyNumberFormat="1" applyFill="1" applyBorder="1"/>
    <xf numFmtId="176" fontId="19" fillId="0" borderId="35" xfId="10" applyNumberFormat="1" applyFill="1" applyBorder="1"/>
    <xf numFmtId="176" fontId="7" fillId="0" borderId="0" xfId="64" applyNumberFormat="1"/>
    <xf numFmtId="0" fontId="7" fillId="0" borderId="0" xfId="64" applyNumberFormat="1" applyFill="1"/>
    <xf numFmtId="0" fontId="7" fillId="0" borderId="0" xfId="240" applyFill="1"/>
    <xf numFmtId="0" fontId="13" fillId="60" borderId="0" xfId="240" applyFont="1" applyFill="1"/>
    <xf numFmtId="0" fontId="7" fillId="60" borderId="0" xfId="240" applyFill="1"/>
    <xf numFmtId="168" fontId="7" fillId="60" borderId="0" xfId="89" applyNumberFormat="1" applyFill="1"/>
    <xf numFmtId="43" fontId="7" fillId="60" borderId="0" xfId="64" applyFill="1"/>
    <xf numFmtId="175" fontId="7" fillId="60" borderId="0" xfId="64" applyNumberFormat="1" applyFill="1"/>
    <xf numFmtId="43" fontId="13" fillId="62" borderId="0" xfId="64" applyFont="1" applyFill="1"/>
    <xf numFmtId="43" fontId="13" fillId="60" borderId="0" xfId="64" applyFont="1" applyFill="1"/>
    <xf numFmtId="43" fontId="7" fillId="62" borderId="0" xfId="64" applyFill="1"/>
    <xf numFmtId="43" fontId="7" fillId="0" borderId="0" xfId="240" applyNumberFormat="1" applyFill="1"/>
    <xf numFmtId="0" fontId="13" fillId="5" borderId="5" xfId="240" applyFont="1" applyFill="1" applyBorder="1"/>
    <xf numFmtId="168" fontId="13" fillId="5" borderId="5" xfId="89" applyNumberFormat="1" applyFont="1" applyFill="1" applyBorder="1"/>
    <xf numFmtId="0" fontId="13" fillId="59" borderId="5" xfId="240" applyFont="1" applyFill="1" applyBorder="1"/>
    <xf numFmtId="43" fontId="13" fillId="5" borderId="5" xfId="64" applyFont="1" applyFill="1" applyBorder="1"/>
    <xf numFmtId="175" fontId="13" fillId="5" borderId="5" xfId="64" applyNumberFormat="1" applyFont="1" applyFill="1" applyBorder="1"/>
    <xf numFmtId="43" fontId="13" fillId="5" borderId="5" xfId="64" applyFont="1" applyFill="1" applyBorder="1" applyAlignment="1">
      <alignment wrapText="1"/>
    </xf>
    <xf numFmtId="43" fontId="13" fillId="5" borderId="0" xfId="64" applyFont="1" applyFill="1" applyBorder="1" applyAlignment="1">
      <alignment wrapText="1"/>
    </xf>
    <xf numFmtId="0" fontId="48" fillId="0" borderId="0" xfId="10" applyFont="1" applyFill="1" applyBorder="1" applyAlignment="1">
      <alignment vertical="center" wrapText="1"/>
    </xf>
    <xf numFmtId="43" fontId="13" fillId="5" borderId="0" xfId="64" applyFont="1" applyFill="1" applyBorder="1" applyAlignment="1">
      <alignment horizontal="center"/>
    </xf>
    <xf numFmtId="43" fontId="13" fillId="0" borderId="0" xfId="64" applyFont="1" applyFill="1" applyBorder="1"/>
    <xf numFmtId="43" fontId="7" fillId="0" borderId="0" xfId="240" applyNumberFormat="1" applyFont="1"/>
    <xf numFmtId="0" fontId="19" fillId="0" borderId="5" xfId="142" applyFill="1" applyBorder="1"/>
    <xf numFmtId="44" fontId="19" fillId="0" borderId="5" xfId="97" applyFont="1" applyFill="1" applyBorder="1"/>
    <xf numFmtId="164" fontId="19" fillId="0" borderId="5" xfId="142" applyNumberFormat="1" applyFill="1" applyBorder="1"/>
    <xf numFmtId="1" fontId="7" fillId="0" borderId="5" xfId="240" applyNumberFormat="1" applyFill="1" applyBorder="1"/>
    <xf numFmtId="173" fontId="7" fillId="0" borderId="5" xfId="64" applyNumberFormat="1" applyFill="1" applyBorder="1"/>
    <xf numFmtId="168" fontId="7" fillId="0" borderId="5" xfId="89" applyNumberFormat="1" applyFill="1" applyBorder="1"/>
    <xf numFmtId="43" fontId="7" fillId="0" borderId="5" xfId="64" applyFill="1" applyBorder="1"/>
    <xf numFmtId="1" fontId="7" fillId="0" borderId="5" xfId="64" applyNumberFormat="1" applyFill="1" applyBorder="1"/>
    <xf numFmtId="44" fontId="7" fillId="0" borderId="5" xfId="1" applyFill="1" applyBorder="1"/>
    <xf numFmtId="177" fontId="7" fillId="0" borderId="0" xfId="64" applyNumberFormat="1"/>
    <xf numFmtId="43" fontId="13" fillId="0" borderId="54" xfId="64" applyFont="1" applyBorder="1"/>
    <xf numFmtId="43" fontId="7" fillId="0" borderId="55" xfId="64" applyBorder="1"/>
    <xf numFmtId="43" fontId="7" fillId="0" borderId="55" xfId="240" applyNumberFormat="1" applyBorder="1"/>
    <xf numFmtId="0" fontId="7" fillId="0" borderId="28" xfId="240" applyBorder="1"/>
    <xf numFmtId="2" fontId="7" fillId="0" borderId="0" xfId="240" applyNumberFormat="1"/>
    <xf numFmtId="43" fontId="59" fillId="0" borderId="56" xfId="64" applyFont="1" applyBorder="1"/>
    <xf numFmtId="43" fontId="7" fillId="0" borderId="0" xfId="240" applyNumberFormat="1" applyBorder="1"/>
    <xf numFmtId="0" fontId="7" fillId="0" borderId="57" xfId="240" applyBorder="1"/>
    <xf numFmtId="43" fontId="7" fillId="0" borderId="56" xfId="64" applyBorder="1"/>
    <xf numFmtId="43" fontId="6" fillId="0" borderId="0" xfId="64" applyFont="1" applyBorder="1"/>
    <xf numFmtId="43" fontId="7" fillId="0" borderId="57" xfId="240" applyNumberFormat="1" applyBorder="1"/>
    <xf numFmtId="43" fontId="7" fillId="0" borderId="40" xfId="64" applyBorder="1"/>
    <xf numFmtId="43" fontId="13" fillId="0" borderId="5" xfId="64" applyFont="1" applyBorder="1"/>
    <xf numFmtId="43" fontId="13" fillId="0" borderId="46" xfId="240" applyNumberFormat="1" applyFont="1" applyBorder="1"/>
    <xf numFmtId="43" fontId="7" fillId="0" borderId="46" xfId="240" applyNumberFormat="1" applyFill="1" applyBorder="1"/>
    <xf numFmtId="43" fontId="7" fillId="0" borderId="58" xfId="64" applyBorder="1"/>
    <xf numFmtId="43" fontId="7" fillId="0" borderId="41" xfId="240" applyNumberFormat="1" applyBorder="1"/>
    <xf numFmtId="1" fontId="19" fillId="0" borderId="0" xfId="10" applyNumberFormat="1" applyFill="1" applyBorder="1"/>
    <xf numFmtId="164" fontId="19" fillId="0" borderId="0" xfId="10" applyNumberFormat="1" applyFill="1" applyBorder="1"/>
    <xf numFmtId="3" fontId="19" fillId="0" borderId="0" xfId="10" applyNumberFormat="1" applyFill="1" applyBorder="1"/>
    <xf numFmtId="43" fontId="7" fillId="0" borderId="59" xfId="64" applyBorder="1"/>
    <xf numFmtId="0" fontId="19" fillId="0" borderId="5" xfId="142" applyFill="1" applyBorder="1" applyAlignment="1">
      <alignment horizontal="right"/>
    </xf>
    <xf numFmtId="0" fontId="19" fillId="0" borderId="5" xfId="142" applyFont="1" applyFill="1" applyBorder="1"/>
    <xf numFmtId="0" fontId="19" fillId="0" borderId="5" xfId="142" applyFill="1" applyBorder="1" applyAlignment="1">
      <alignment horizontal="left"/>
    </xf>
    <xf numFmtId="0" fontId="19" fillId="0" borderId="5" xfId="142" applyFont="1" applyFill="1" applyBorder="1" applyAlignment="1">
      <alignment horizontal="right"/>
    </xf>
    <xf numFmtId="44" fontId="19" fillId="0" borderId="5" xfId="97" applyFont="1" applyFill="1" applyBorder="1">
      <alignment readingOrder="1"/>
    </xf>
    <xf numFmtId="0" fontId="7" fillId="0" borderId="5" xfId="14" applyFont="1" applyFill="1" applyBorder="1" applyAlignment="1">
      <alignment horizontal="right"/>
    </xf>
    <xf numFmtId="0" fontId="7" fillId="0" borderId="5" xfId="14" applyFill="1" applyBorder="1">
      <alignment readingOrder="1"/>
    </xf>
    <xf numFmtId="0" fontId="7" fillId="0" borderId="5" xfId="14" applyFont="1" applyFill="1" applyBorder="1">
      <alignment readingOrder="1"/>
    </xf>
    <xf numFmtId="0" fontId="0" fillId="0" borderId="5" xfId="142" applyFont="1" applyFill="1" applyBorder="1"/>
    <xf numFmtId="0" fontId="7" fillId="0" borderId="5" xfId="14" applyFill="1" applyBorder="1"/>
    <xf numFmtId="0" fontId="7" fillId="0" borderId="5" xfId="14" applyFont="1" applyFill="1" applyBorder="1"/>
    <xf numFmtId="0" fontId="7" fillId="0" borderId="5" xfId="14" applyFill="1" applyBorder="1" applyAlignment="1">
      <alignment wrapText="1"/>
    </xf>
    <xf numFmtId="43" fontId="7" fillId="0" borderId="5" xfId="64" applyNumberFormat="1" applyFill="1" applyBorder="1"/>
    <xf numFmtId="175" fontId="7" fillId="0" borderId="5" xfId="64" applyNumberFormat="1" applyFill="1" applyBorder="1"/>
    <xf numFmtId="43" fontId="7" fillId="0" borderId="5" xfId="64" applyBorder="1"/>
    <xf numFmtId="0" fontId="7" fillId="0" borderId="0" xfId="14" applyAlignment="1">
      <alignment horizontal="left" readingOrder="1"/>
    </xf>
    <xf numFmtId="0" fontId="48" fillId="57" borderId="5" xfId="142" applyFont="1" applyFill="1" applyBorder="1" applyAlignment="1">
      <alignment horizontal="center" vertical="center" wrapText="1"/>
    </xf>
    <xf numFmtId="173" fontId="19" fillId="0" borderId="5" xfId="76" applyNumberFormat="1" applyFont="1" applyFill="1" applyBorder="1"/>
    <xf numFmtId="0" fontId="35" fillId="0" borderId="5" xfId="117" applyFill="1" applyBorder="1" applyAlignment="1" applyProtection="1"/>
    <xf numFmtId="0" fontId="7" fillId="0" borderId="5" xfId="14" applyFill="1" applyBorder="1" applyAlignment="1">
      <alignment horizontal="right"/>
    </xf>
    <xf numFmtId="0" fontId="60" fillId="0" borderId="0" xfId="14" applyFont="1">
      <alignment readingOrder="1"/>
    </xf>
    <xf numFmtId="0" fontId="7" fillId="0" borderId="0" xfId="14" applyFont="1" applyFill="1" applyBorder="1">
      <alignment readingOrder="1"/>
    </xf>
    <xf numFmtId="2" fontId="7" fillId="0" borderId="0" xfId="14" applyNumberFormat="1">
      <alignment readingOrder="1"/>
    </xf>
    <xf numFmtId="44" fontId="0" fillId="0" borderId="0" xfId="1" applyFont="1">
      <alignment readingOrder="1"/>
    </xf>
    <xf numFmtId="0" fontId="19" fillId="0" borderId="0" xfId="139" applyFont="1" applyAlignment="1">
      <alignment horizontal="right"/>
    </xf>
    <xf numFmtId="44" fontId="7" fillId="0" borderId="0" xfId="14" applyNumberFormat="1">
      <alignment readingOrder="1"/>
    </xf>
    <xf numFmtId="0" fontId="7" fillId="0" borderId="0" xfId="14" applyFont="1" applyAlignment="1">
      <alignment horizontal="right" readingOrder="1"/>
    </xf>
    <xf numFmtId="164" fontId="7" fillId="0" borderId="0" xfId="14" applyNumberFormat="1">
      <alignment readingOrder="1"/>
    </xf>
    <xf numFmtId="0" fontId="13" fillId="55" borderId="0" xfId="14" applyFont="1" applyFill="1">
      <alignment readingOrder="1"/>
    </xf>
    <xf numFmtId="0" fontId="13" fillId="7" borderId="0" xfId="14" applyFont="1" applyFill="1">
      <alignment readingOrder="1"/>
    </xf>
    <xf numFmtId="0" fontId="7" fillId="7" borderId="0" xfId="14" applyFill="1">
      <alignment readingOrder="1"/>
    </xf>
    <xf numFmtId="0" fontId="7" fillId="0" borderId="0" xfId="14" applyFont="1" applyFill="1" applyAlignment="1">
      <alignment horizontal="center" vertical="center" wrapText="1" readingOrder="1"/>
    </xf>
    <xf numFmtId="2" fontId="7" fillId="0" borderId="0" xfId="14" applyNumberFormat="1" applyFont="1" applyFill="1" applyAlignment="1">
      <alignment horizontal="center" vertical="center" wrapText="1" readingOrder="1"/>
    </xf>
    <xf numFmtId="0" fontId="7" fillId="0" borderId="0" xfId="14" applyAlignment="1">
      <alignment horizontal="center" vertical="center" readingOrder="1"/>
    </xf>
    <xf numFmtId="2" fontId="13" fillId="57" borderId="9" xfId="14" applyNumberFormat="1" applyFont="1" applyFill="1" applyBorder="1" applyAlignment="1">
      <alignment horizontal="center" vertical="center" wrapText="1" readingOrder="1"/>
    </xf>
    <xf numFmtId="2" fontId="13" fillId="57" borderId="24" xfId="14" applyNumberFormat="1" applyFont="1" applyFill="1" applyBorder="1" applyAlignment="1">
      <alignment horizontal="center" vertical="center" wrapText="1" readingOrder="1"/>
    </xf>
    <xf numFmtId="2" fontId="13" fillId="57" borderId="44" xfId="14" applyNumberFormat="1" applyFont="1" applyFill="1" applyBorder="1" applyAlignment="1">
      <alignment horizontal="center" vertical="center" wrapText="1" readingOrder="1"/>
    </xf>
    <xf numFmtId="0" fontId="7" fillId="0" borderId="61" xfId="14" applyBorder="1">
      <alignment readingOrder="1"/>
    </xf>
    <xf numFmtId="2" fontId="7" fillId="0" borderId="29" xfId="14" applyNumberFormat="1" applyFill="1" applyBorder="1">
      <alignment readingOrder="1"/>
    </xf>
    <xf numFmtId="0" fontId="7" fillId="0" borderId="0" xfId="14" applyFill="1">
      <alignment readingOrder="1"/>
    </xf>
    <xf numFmtId="2" fontId="7" fillId="0" borderId="37" xfId="14" applyNumberFormat="1" applyFill="1" applyBorder="1">
      <alignment readingOrder="1"/>
    </xf>
    <xf numFmtId="2" fontId="7" fillId="0" borderId="38" xfId="14" applyNumberFormat="1" applyFill="1" applyBorder="1">
      <alignment readingOrder="1"/>
    </xf>
    <xf numFmtId="2" fontId="7" fillId="0" borderId="45" xfId="14" applyNumberFormat="1" applyFill="1" applyBorder="1">
      <alignment readingOrder="1"/>
    </xf>
    <xf numFmtId="0" fontId="7" fillId="0" borderId="62" xfId="14" applyBorder="1">
      <alignment readingOrder="1"/>
    </xf>
    <xf numFmtId="2" fontId="7" fillId="0" borderId="39" xfId="14" applyNumberFormat="1" applyFill="1" applyBorder="1">
      <alignment readingOrder="1"/>
    </xf>
    <xf numFmtId="2" fontId="7" fillId="0" borderId="40" xfId="14" applyNumberFormat="1" applyFill="1" applyBorder="1">
      <alignment readingOrder="1"/>
    </xf>
    <xf numFmtId="2" fontId="7" fillId="0" borderId="5" xfId="14" applyNumberFormat="1" applyFill="1" applyBorder="1">
      <alignment readingOrder="1"/>
    </xf>
    <xf numFmtId="2" fontId="7" fillId="0" borderId="46" xfId="14" applyNumberFormat="1" applyFill="1" applyBorder="1">
      <alignment readingOrder="1"/>
    </xf>
    <xf numFmtId="1" fontId="7" fillId="0" borderId="39" xfId="14" applyNumberFormat="1" applyFill="1" applyBorder="1">
      <alignment readingOrder="1"/>
    </xf>
    <xf numFmtId="0" fontId="61" fillId="0" borderId="0" xfId="14" applyFont="1" applyFill="1" applyAlignment="1">
      <alignment horizontal="left" readingOrder="1"/>
    </xf>
    <xf numFmtId="3" fontId="7" fillId="0" borderId="40" xfId="14" applyNumberFormat="1" applyFill="1" applyBorder="1">
      <alignment readingOrder="1"/>
    </xf>
    <xf numFmtId="3" fontId="7" fillId="0" borderId="5" xfId="14" applyNumberFormat="1" applyFill="1" applyBorder="1">
      <alignment readingOrder="1"/>
    </xf>
    <xf numFmtId="3" fontId="7" fillId="0" borderId="46" xfId="14" applyNumberFormat="1" applyFill="1" applyBorder="1">
      <alignment readingOrder="1"/>
    </xf>
    <xf numFmtId="0" fontId="7" fillId="0" borderId="62" xfId="14" applyFont="1" applyBorder="1">
      <alignment readingOrder="1"/>
    </xf>
    <xf numFmtId="2" fontId="61" fillId="0" borderId="0" xfId="14" applyNumberFormat="1" applyFont="1" applyFill="1" applyAlignment="1">
      <alignment horizontal="left" readingOrder="1"/>
    </xf>
    <xf numFmtId="1" fontId="7" fillId="0" borderId="40" xfId="14" applyNumberFormat="1" applyFill="1" applyBorder="1">
      <alignment readingOrder="1"/>
    </xf>
    <xf numFmtId="1" fontId="7" fillId="0" borderId="5" xfId="14" applyNumberFormat="1" applyFill="1" applyBorder="1">
      <alignment readingOrder="1"/>
    </xf>
    <xf numFmtId="1" fontId="7" fillId="0" borderId="46" xfId="14" applyNumberFormat="1" applyFill="1" applyBorder="1">
      <alignment readingOrder="1"/>
    </xf>
    <xf numFmtId="3" fontId="7" fillId="0" borderId="39" xfId="14" applyNumberFormat="1" applyFill="1" applyBorder="1">
      <alignment readingOrder="1"/>
    </xf>
    <xf numFmtId="0" fontId="7" fillId="0" borderId="63" xfId="14" applyFont="1" applyBorder="1">
      <alignment readingOrder="1"/>
    </xf>
    <xf numFmtId="176" fontId="7" fillId="0" borderId="64" xfId="14" applyNumberFormat="1" applyFill="1" applyBorder="1">
      <alignment readingOrder="1"/>
    </xf>
    <xf numFmtId="176" fontId="7" fillId="0" borderId="47" xfId="14" applyNumberFormat="1" applyFill="1" applyBorder="1">
      <alignment readingOrder="1"/>
    </xf>
    <xf numFmtId="176" fontId="7" fillId="0" borderId="2" xfId="14" applyNumberFormat="1" applyFill="1" applyBorder="1">
      <alignment readingOrder="1"/>
    </xf>
    <xf numFmtId="176" fontId="7" fillId="0" borderId="48" xfId="14" applyNumberFormat="1" applyFill="1" applyBorder="1">
      <alignment readingOrder="1"/>
    </xf>
    <xf numFmtId="0" fontId="7" fillId="0" borderId="65" xfId="14" applyBorder="1">
      <alignment readingOrder="1"/>
    </xf>
    <xf numFmtId="176" fontId="7" fillId="0" borderId="60" xfId="14" applyNumberFormat="1" applyFill="1" applyBorder="1">
      <alignment readingOrder="1"/>
    </xf>
    <xf numFmtId="0" fontId="7" fillId="0" borderId="0" xfId="14" applyFont="1" applyBorder="1" applyAlignment="1">
      <alignment wrapText="1" readingOrder="1"/>
    </xf>
    <xf numFmtId="176" fontId="7" fillId="0" borderId="9" xfId="14" applyNumberFormat="1" applyFont="1" applyBorder="1">
      <alignment readingOrder="1"/>
    </xf>
    <xf numFmtId="176" fontId="7" fillId="0" borderId="44" xfId="14" applyNumberFormat="1" applyFont="1" applyBorder="1">
      <alignment readingOrder="1"/>
    </xf>
    <xf numFmtId="0" fontId="13" fillId="63" borderId="0" xfId="14" applyFont="1" applyFill="1">
      <alignment readingOrder="1"/>
    </xf>
    <xf numFmtId="0" fontId="7" fillId="63" borderId="0" xfId="14" applyFill="1">
      <alignment readingOrder="1"/>
    </xf>
    <xf numFmtId="0" fontId="48" fillId="6" borderId="54" xfId="10" applyFont="1" applyFill="1" applyBorder="1" applyAlignment="1">
      <alignment wrapText="1"/>
    </xf>
    <xf numFmtId="2" fontId="7" fillId="0" borderId="29" xfId="14" applyNumberFormat="1" applyBorder="1">
      <alignment readingOrder="1"/>
    </xf>
    <xf numFmtId="2" fontId="7" fillId="0" borderId="30" xfId="14" applyNumberFormat="1" applyBorder="1">
      <alignment readingOrder="1"/>
    </xf>
    <xf numFmtId="2" fontId="7" fillId="0" borderId="50" xfId="14" applyNumberFormat="1" applyBorder="1">
      <alignment readingOrder="1"/>
    </xf>
    <xf numFmtId="0" fontId="48" fillId="6" borderId="63" xfId="10" applyFont="1" applyFill="1" applyBorder="1" applyAlignment="1">
      <alignment wrapText="1"/>
    </xf>
    <xf numFmtId="1" fontId="7" fillId="0" borderId="39" xfId="14" applyNumberFormat="1" applyBorder="1">
      <alignment readingOrder="1"/>
    </xf>
    <xf numFmtId="1" fontId="7" fillId="0" borderId="40" xfId="14" applyNumberFormat="1" applyBorder="1">
      <alignment readingOrder="1"/>
    </xf>
    <xf numFmtId="1" fontId="7" fillId="0" borderId="46" xfId="14" applyNumberFormat="1" applyBorder="1">
      <alignment readingOrder="1"/>
    </xf>
    <xf numFmtId="2" fontId="7" fillId="0" borderId="39" xfId="14" applyNumberFormat="1" applyFont="1" applyFill="1" applyBorder="1">
      <alignment readingOrder="1"/>
    </xf>
    <xf numFmtId="2" fontId="7" fillId="0" borderId="0" xfId="14" applyNumberFormat="1" applyFill="1">
      <alignment readingOrder="1"/>
    </xf>
    <xf numFmtId="2" fontId="7" fillId="0" borderId="40" xfId="14" applyNumberFormat="1" applyFont="1" applyFill="1" applyBorder="1">
      <alignment readingOrder="1"/>
    </xf>
    <xf numFmtId="2" fontId="7" fillId="0" borderId="5" xfId="14" applyNumberFormat="1" applyFont="1" applyFill="1" applyBorder="1">
      <alignment readingOrder="1"/>
    </xf>
    <xf numFmtId="2" fontId="7" fillId="0" borderId="46" xfId="14" applyNumberFormat="1" applyFont="1" applyFill="1" applyBorder="1">
      <alignment readingOrder="1"/>
    </xf>
    <xf numFmtId="9" fontId="7" fillId="0" borderId="39" xfId="9" applyNumberFormat="1" applyFont="1" applyFill="1" applyBorder="1">
      <alignment readingOrder="1"/>
    </xf>
    <xf numFmtId="9" fontId="7" fillId="0" borderId="0" xfId="14" applyNumberFormat="1" applyFill="1">
      <alignment readingOrder="1"/>
    </xf>
    <xf numFmtId="9" fontId="7" fillId="0" borderId="40" xfId="9" applyNumberFormat="1" applyFont="1" applyFill="1" applyBorder="1">
      <alignment readingOrder="1"/>
    </xf>
    <xf numFmtId="9" fontId="7" fillId="0" borderId="5" xfId="9" applyNumberFormat="1" applyFont="1" applyFill="1" applyBorder="1">
      <alignment readingOrder="1"/>
    </xf>
    <xf numFmtId="9" fontId="7" fillId="0" borderId="46" xfId="9" applyNumberFormat="1" applyFont="1" applyFill="1" applyBorder="1">
      <alignment readingOrder="1"/>
    </xf>
    <xf numFmtId="0" fontId="48" fillId="6" borderId="66" xfId="10" applyFont="1" applyFill="1" applyBorder="1" applyAlignment="1">
      <alignment wrapText="1"/>
    </xf>
    <xf numFmtId="1" fontId="7" fillId="0" borderId="33" xfId="14" applyNumberFormat="1" applyBorder="1">
      <alignment readingOrder="1"/>
    </xf>
    <xf numFmtId="1" fontId="7" fillId="0" borderId="34" xfId="14" applyNumberFormat="1" applyBorder="1">
      <alignment readingOrder="1"/>
    </xf>
    <xf numFmtId="1" fontId="7" fillId="0" borderId="51" xfId="14" applyNumberFormat="1" applyBorder="1">
      <alignment readingOrder="1"/>
    </xf>
    <xf numFmtId="1" fontId="7" fillId="0" borderId="29" xfId="14" applyNumberFormat="1" applyBorder="1">
      <alignment readingOrder="1"/>
    </xf>
    <xf numFmtId="1" fontId="7" fillId="0" borderId="30" xfId="14" applyNumberFormat="1" applyBorder="1">
      <alignment readingOrder="1"/>
    </xf>
    <xf numFmtId="1" fontId="7" fillId="0" borderId="50" xfId="14" applyNumberFormat="1" applyBorder="1">
      <alignment readingOrder="1"/>
    </xf>
    <xf numFmtId="9" fontId="0" fillId="0" borderId="39" xfId="9" applyFont="1" applyBorder="1">
      <alignment readingOrder="1"/>
    </xf>
    <xf numFmtId="9" fontId="0" fillId="0" borderId="40" xfId="9" applyFont="1" applyBorder="1">
      <alignment readingOrder="1"/>
    </xf>
    <xf numFmtId="9" fontId="0" fillId="0" borderId="46" xfId="9" applyFont="1" applyBorder="1">
      <alignment readingOrder="1"/>
    </xf>
    <xf numFmtId="9" fontId="0" fillId="0" borderId="33" xfId="9" applyFont="1" applyBorder="1">
      <alignment readingOrder="1"/>
    </xf>
    <xf numFmtId="9" fontId="0" fillId="0" borderId="34" xfId="9" applyFont="1" applyBorder="1">
      <alignment readingOrder="1"/>
    </xf>
    <xf numFmtId="9" fontId="0" fillId="0" borderId="51" xfId="9" applyFont="1" applyBorder="1">
      <alignment readingOrder="1"/>
    </xf>
    <xf numFmtId="0" fontId="48" fillId="63" borderId="0" xfId="10" applyFont="1" applyFill="1" applyBorder="1" applyAlignment="1">
      <alignment wrapText="1"/>
    </xf>
    <xf numFmtId="0" fontId="48" fillId="6" borderId="61" xfId="10" applyFont="1" applyFill="1" applyBorder="1" applyAlignment="1">
      <alignment wrapText="1"/>
    </xf>
    <xf numFmtId="0" fontId="48" fillId="6" borderId="62" xfId="10" applyFont="1" applyFill="1" applyBorder="1" applyAlignment="1">
      <alignment wrapText="1"/>
    </xf>
    <xf numFmtId="0" fontId="7" fillId="0" borderId="0" xfId="14" applyFill="1" applyBorder="1">
      <alignment readingOrder="1"/>
    </xf>
    <xf numFmtId="164" fontId="7" fillId="0" borderId="29" xfId="14" applyNumberFormat="1" applyBorder="1">
      <alignment readingOrder="1"/>
    </xf>
    <xf numFmtId="164" fontId="7" fillId="0" borderId="30" xfId="14" applyNumberFormat="1" applyBorder="1">
      <alignment readingOrder="1"/>
    </xf>
    <xf numFmtId="164" fontId="7" fillId="0" borderId="50" xfId="14" applyNumberFormat="1" applyBorder="1">
      <alignment readingOrder="1"/>
    </xf>
    <xf numFmtId="164" fontId="7" fillId="0" borderId="39" xfId="14" applyNumberFormat="1" applyBorder="1">
      <alignment readingOrder="1"/>
    </xf>
    <xf numFmtId="164" fontId="7" fillId="0" borderId="40" xfId="14" applyNumberFormat="1" applyBorder="1">
      <alignment readingOrder="1"/>
    </xf>
    <xf numFmtId="164" fontId="7" fillId="0" borderId="46" xfId="14" applyNumberFormat="1" applyBorder="1">
      <alignment readingOrder="1"/>
    </xf>
    <xf numFmtId="164" fontId="7" fillId="0" borderId="33" xfId="14" applyNumberFormat="1" applyBorder="1">
      <alignment readingOrder="1"/>
    </xf>
    <xf numFmtId="164" fontId="7" fillId="0" borderId="34" xfId="14" applyNumberFormat="1" applyBorder="1">
      <alignment readingOrder="1"/>
    </xf>
    <xf numFmtId="164" fontId="7" fillId="0" borderId="51" xfId="14" applyNumberFormat="1" applyBorder="1">
      <alignment readingOrder="1"/>
    </xf>
    <xf numFmtId="0" fontId="7" fillId="63" borderId="5" xfId="14" applyFill="1" applyBorder="1">
      <alignment readingOrder="1"/>
    </xf>
    <xf numFmtId="0" fontId="7" fillId="57" borderId="1" xfId="14" applyFont="1" applyFill="1" applyBorder="1">
      <alignment readingOrder="1"/>
    </xf>
    <xf numFmtId="0" fontId="7" fillId="57" borderId="4" xfId="14" applyFill="1" applyBorder="1">
      <alignment readingOrder="1"/>
    </xf>
    <xf numFmtId="0" fontId="7" fillId="57" borderId="3" xfId="14" applyFill="1" applyBorder="1">
      <alignment readingOrder="1"/>
    </xf>
    <xf numFmtId="0" fontId="7" fillId="57" borderId="5" xfId="14" applyFont="1" applyFill="1" applyBorder="1" applyAlignment="1">
      <alignment horizontal="center" readingOrder="1"/>
    </xf>
    <xf numFmtId="0" fontId="7" fillId="57" borderId="5" xfId="14" applyFont="1" applyFill="1" applyBorder="1">
      <alignment readingOrder="1"/>
    </xf>
    <xf numFmtId="9" fontId="7" fillId="0" borderId="0" xfId="14" applyNumberFormat="1">
      <alignment readingOrder="1"/>
    </xf>
    <xf numFmtId="0" fontId="7" fillId="57" borderId="6" xfId="14" applyFont="1" applyFill="1" applyBorder="1">
      <alignment readingOrder="1"/>
    </xf>
    <xf numFmtId="0" fontId="7" fillId="57" borderId="14" xfId="14" applyFill="1" applyBorder="1">
      <alignment readingOrder="1"/>
    </xf>
    <xf numFmtId="0" fontId="7" fillId="57" borderId="7" xfId="14" applyFill="1" applyBorder="1">
      <alignment readingOrder="1"/>
    </xf>
    <xf numFmtId="0" fontId="7" fillId="63" borderId="5" xfId="14" applyFill="1" applyBorder="1" applyAlignment="1">
      <alignment horizontal="center" readingOrder="1"/>
    </xf>
    <xf numFmtId="0" fontId="7" fillId="0" borderId="0" xfId="14" applyFill="1" applyAlignment="1">
      <alignment horizontal="left" readingOrder="1"/>
    </xf>
    <xf numFmtId="0" fontId="7" fillId="63" borderId="5" xfId="14" applyFont="1" applyFill="1" applyBorder="1">
      <alignment readingOrder="1"/>
    </xf>
    <xf numFmtId="0" fontId="7" fillId="57" borderId="23" xfId="14" applyFont="1" applyFill="1" applyBorder="1">
      <alignment readingOrder="1"/>
    </xf>
    <xf numFmtId="0" fontId="7" fillId="57" borderId="21" xfId="14" applyFill="1" applyBorder="1">
      <alignment readingOrder="1"/>
    </xf>
    <xf numFmtId="0" fontId="7" fillId="57" borderId="22" xfId="14" applyFill="1" applyBorder="1">
      <alignment readingOrder="1"/>
    </xf>
    <xf numFmtId="0" fontId="7" fillId="0" borderId="0" xfId="14" applyFill="1" applyAlignment="1">
      <alignment horizontal="center" readingOrder="1"/>
    </xf>
    <xf numFmtId="2" fontId="7" fillId="0" borderId="0" xfId="14" applyNumberFormat="1" applyFill="1" applyAlignment="1">
      <alignment readingOrder="1"/>
    </xf>
    <xf numFmtId="0" fontId="7" fillId="0" borderId="0" xfId="14" applyFont="1" applyFill="1" applyAlignment="1">
      <alignment readingOrder="1"/>
    </xf>
    <xf numFmtId="0" fontId="13" fillId="6" borderId="0" xfId="14" applyFont="1" applyFill="1">
      <alignment readingOrder="1"/>
    </xf>
    <xf numFmtId="0" fontId="7" fillId="6" borderId="0" xfId="14" applyFill="1">
      <alignment readingOrder="1"/>
    </xf>
    <xf numFmtId="0" fontId="13" fillId="64" borderId="0" xfId="14" applyFont="1" applyFill="1">
      <alignment readingOrder="1"/>
    </xf>
    <xf numFmtId="0" fontId="7" fillId="64" borderId="0" xfId="14" applyFill="1">
      <alignment readingOrder="1"/>
    </xf>
    <xf numFmtId="0" fontId="13" fillId="0" borderId="0" xfId="14" applyFont="1" applyFill="1" applyAlignment="1">
      <alignment horizontal="center" readingOrder="1"/>
    </xf>
    <xf numFmtId="9" fontId="13" fillId="58" borderId="0" xfId="14" applyNumberFormat="1" applyFont="1" applyFill="1" applyBorder="1">
      <alignment readingOrder="1"/>
    </xf>
    <xf numFmtId="9" fontId="7" fillId="58" borderId="0" xfId="14" applyNumberFormat="1" applyFill="1" applyBorder="1">
      <alignment readingOrder="1"/>
    </xf>
    <xf numFmtId="0" fontId="9" fillId="2" borderId="1" xfId="2" applyFont="1" applyFill="1" applyBorder="1" applyAlignment="1">
      <alignment horizontal="center"/>
    </xf>
    <xf numFmtId="0" fontId="10" fillId="2" borderId="1" xfId="2" applyFont="1" applyFill="1" applyBorder="1" applyAlignment="1">
      <alignment horizontal="center"/>
    </xf>
    <xf numFmtId="0" fontId="10" fillId="2" borderId="2" xfId="2" applyFont="1" applyFill="1" applyBorder="1" applyAlignment="1">
      <alignment horizontal="center"/>
    </xf>
    <xf numFmtId="0" fontId="11" fillId="2" borderId="3" xfId="2" applyFont="1" applyFill="1" applyBorder="1" applyAlignment="1">
      <alignment horizontal="center"/>
    </xf>
    <xf numFmtId="0" fontId="13" fillId="57" borderId="5" xfId="14" applyFont="1" applyFill="1" applyBorder="1">
      <alignment readingOrder="1"/>
    </xf>
    <xf numFmtId="0" fontId="13" fillId="57" borderId="7" xfId="14" applyFont="1" applyFill="1" applyBorder="1" applyAlignment="1">
      <alignment wrapText="1" readingOrder="1"/>
    </xf>
    <xf numFmtId="0" fontId="13" fillId="57" borderId="5" xfId="14" applyFont="1" applyFill="1" applyBorder="1" applyAlignment="1">
      <alignment wrapText="1" readingOrder="1"/>
    </xf>
    <xf numFmtId="0" fontId="13" fillId="0" borderId="0" xfId="14" applyFont="1" applyFill="1" applyAlignment="1">
      <alignment wrapText="1" readingOrder="1"/>
    </xf>
    <xf numFmtId="9" fontId="13" fillId="57" borderId="5" xfId="14" applyNumberFormat="1" applyFont="1" applyFill="1" applyBorder="1" applyAlignment="1">
      <alignment wrapText="1" readingOrder="1"/>
    </xf>
    <xf numFmtId="9" fontId="13" fillId="57" borderId="5" xfId="14" applyNumberFormat="1" applyFont="1" applyFill="1" applyBorder="1">
      <alignment readingOrder="1"/>
    </xf>
    <xf numFmtId="9" fontId="13" fillId="0" borderId="0" xfId="14" applyNumberFormat="1" applyFont="1" applyFill="1">
      <alignment readingOrder="1"/>
    </xf>
    <xf numFmtId="2" fontId="12" fillId="5" borderId="5" xfId="14" applyNumberFormat="1" applyFont="1" applyFill="1" applyBorder="1" applyAlignment="1">
      <alignment horizontal="center" wrapText="1"/>
    </xf>
    <xf numFmtId="0" fontId="7" fillId="6" borderId="5" xfId="14" applyFont="1" applyFill="1" applyBorder="1">
      <alignment readingOrder="1"/>
    </xf>
    <xf numFmtId="0" fontId="7" fillId="6" borderId="5" xfId="14" applyFill="1" applyBorder="1">
      <alignment readingOrder="1"/>
    </xf>
    <xf numFmtId="9" fontId="7" fillId="6" borderId="7" xfId="14" applyNumberFormat="1" applyFill="1" applyBorder="1">
      <alignment readingOrder="1"/>
    </xf>
    <xf numFmtId="9" fontId="7" fillId="6" borderId="5" xfId="14" applyNumberFormat="1" applyFill="1" applyBorder="1">
      <alignment readingOrder="1"/>
    </xf>
    <xf numFmtId="3" fontId="7" fillId="6" borderId="5" xfId="14" applyNumberFormat="1" applyFill="1" applyBorder="1">
      <alignment readingOrder="1"/>
    </xf>
    <xf numFmtId="176" fontId="7" fillId="6" borderId="5" xfId="14" applyNumberFormat="1" applyFill="1" applyBorder="1">
      <alignment readingOrder="1"/>
    </xf>
    <xf numFmtId="1" fontId="7" fillId="6" borderId="5" xfId="14" applyNumberFormat="1" applyFill="1" applyBorder="1">
      <alignment readingOrder="1"/>
    </xf>
    <xf numFmtId="164" fontId="7" fillId="6" borderId="5" xfId="14" applyNumberFormat="1" applyFill="1" applyBorder="1">
      <alignment readingOrder="1"/>
    </xf>
    <xf numFmtId="168" fontId="7" fillId="6" borderId="5" xfId="1" applyNumberFormat="1" applyFill="1" applyBorder="1">
      <alignment readingOrder="1"/>
    </xf>
    <xf numFmtId="164" fontId="7" fillId="6" borderId="0" xfId="14" applyNumberFormat="1" applyFill="1">
      <alignment readingOrder="1"/>
    </xf>
    <xf numFmtId="44" fontId="7" fillId="6" borderId="5" xfId="1" applyFill="1" applyBorder="1">
      <alignment readingOrder="1"/>
    </xf>
    <xf numFmtId="9" fontId="7" fillId="6" borderId="0" xfId="14" applyNumberFormat="1" applyFill="1">
      <alignment readingOrder="1"/>
    </xf>
    <xf numFmtId="176" fontId="7" fillId="6" borderId="5" xfId="14" applyNumberFormat="1" applyFont="1" applyFill="1" applyBorder="1">
      <alignment readingOrder="1"/>
    </xf>
    <xf numFmtId="6" fontId="7" fillId="6" borderId="5" xfId="14" applyNumberFormat="1" applyFill="1" applyBorder="1">
      <alignment readingOrder="1"/>
    </xf>
    <xf numFmtId="2" fontId="7" fillId="6" borderId="5" xfId="14" applyNumberFormat="1" applyFill="1" applyBorder="1">
      <alignment readingOrder="1"/>
    </xf>
    <xf numFmtId="0" fontId="7" fillId="6" borderId="0" xfId="14" applyFill="1" applyAlignment="1">
      <alignment horizontal="left" vertical="center" readingOrder="1"/>
    </xf>
    <xf numFmtId="0" fontId="7" fillId="6" borderId="0" xfId="14" applyFill="1" applyAlignment="1">
      <alignment readingOrder="1"/>
    </xf>
    <xf numFmtId="0" fontId="7" fillId="7" borderId="5" xfId="14" applyFont="1" applyFill="1" applyBorder="1">
      <alignment readingOrder="1"/>
    </xf>
    <xf numFmtId="0" fontId="7" fillId="7" borderId="5" xfId="14" applyFill="1" applyBorder="1">
      <alignment readingOrder="1"/>
    </xf>
    <xf numFmtId="9" fontId="7" fillId="7" borderId="7" xfId="14" applyNumberFormat="1" applyFill="1" applyBorder="1">
      <alignment readingOrder="1"/>
    </xf>
    <xf numFmtId="9" fontId="7" fillId="7" borderId="5" xfId="14" applyNumberFormat="1" applyFill="1" applyBorder="1">
      <alignment readingOrder="1"/>
    </xf>
    <xf numFmtId="3" fontId="7" fillId="7" borderId="5" xfId="14" applyNumberFormat="1" applyFill="1" applyBorder="1">
      <alignment readingOrder="1"/>
    </xf>
    <xf numFmtId="176" fontId="7" fillId="7" borderId="5" xfId="14" applyNumberFormat="1" applyFill="1" applyBorder="1">
      <alignment readingOrder="1"/>
    </xf>
    <xf numFmtId="1" fontId="7" fillId="7" borderId="5" xfId="14" applyNumberFormat="1" applyFill="1" applyBorder="1">
      <alignment readingOrder="1"/>
    </xf>
    <xf numFmtId="164" fontId="7" fillId="7" borderId="5" xfId="14" applyNumberFormat="1" applyFill="1" applyBorder="1">
      <alignment readingOrder="1"/>
    </xf>
    <xf numFmtId="164" fontId="7" fillId="7" borderId="0" xfId="14" applyNumberFormat="1" applyFill="1">
      <alignment readingOrder="1"/>
    </xf>
    <xf numFmtId="9" fontId="7" fillId="7" borderId="0" xfId="14" applyNumberFormat="1" applyFill="1">
      <alignment readingOrder="1"/>
    </xf>
    <xf numFmtId="176" fontId="7" fillId="7" borderId="5" xfId="14" applyNumberFormat="1" applyFont="1" applyFill="1" applyBorder="1">
      <alignment readingOrder="1"/>
    </xf>
    <xf numFmtId="8" fontId="7" fillId="7" borderId="5" xfId="14" applyNumberFormat="1" applyFill="1" applyBorder="1">
      <alignment readingOrder="1"/>
    </xf>
    <xf numFmtId="2" fontId="7" fillId="7" borderId="5" xfId="14" applyNumberFormat="1" applyFill="1" applyBorder="1">
      <alignment readingOrder="1"/>
    </xf>
    <xf numFmtId="0" fontId="7" fillId="8" borderId="5" xfId="14" applyFill="1" applyBorder="1">
      <alignment readingOrder="1"/>
    </xf>
    <xf numFmtId="9" fontId="7" fillId="8" borderId="0" xfId="14" applyNumberFormat="1" applyFill="1">
      <alignment readingOrder="1"/>
    </xf>
    <xf numFmtId="0" fontId="7" fillId="8" borderId="5" xfId="14" applyFont="1" applyFill="1" applyBorder="1">
      <alignment readingOrder="1"/>
    </xf>
    <xf numFmtId="1" fontId="7" fillId="8" borderId="5" xfId="14" applyNumberFormat="1" applyFont="1" applyFill="1" applyBorder="1">
      <alignment readingOrder="1"/>
    </xf>
    <xf numFmtId="1" fontId="7" fillId="8" borderId="5" xfId="14" applyNumberFormat="1" applyFill="1" applyBorder="1">
      <alignment readingOrder="1"/>
    </xf>
    <xf numFmtId="44" fontId="7" fillId="8" borderId="5" xfId="1" applyFill="1" applyBorder="1">
      <alignment readingOrder="1"/>
    </xf>
    <xf numFmtId="0" fontId="7" fillId="8" borderId="0" xfId="14" applyFill="1" applyAlignment="1">
      <alignment readingOrder="1"/>
    </xf>
    <xf numFmtId="0" fontId="7" fillId="8" borderId="0" xfId="14" applyFill="1">
      <alignment readingOrder="1"/>
    </xf>
    <xf numFmtId="0" fontId="7" fillId="8" borderId="0" xfId="14" applyFill="1" applyAlignment="1">
      <alignment horizontal="left" vertical="center" readingOrder="1"/>
    </xf>
    <xf numFmtId="2" fontId="7" fillId="63" borderId="5" xfId="14" applyNumberFormat="1" applyFill="1" applyBorder="1" applyAlignment="1">
      <alignment horizontal="left" readingOrder="1"/>
    </xf>
    <xf numFmtId="0" fontId="7" fillId="0" borderId="0" xfId="14" applyAlignment="1">
      <alignment wrapText="1" readingOrder="1"/>
    </xf>
    <xf numFmtId="0" fontId="13" fillId="59" borderId="9" xfId="14" applyFont="1" applyFill="1" applyBorder="1" applyAlignment="1">
      <alignment horizontal="center" readingOrder="1"/>
    </xf>
    <xf numFmtId="0" fontId="13" fillId="59" borderId="24" xfId="14" applyFont="1" applyFill="1" applyBorder="1" applyAlignment="1">
      <alignment horizontal="center" readingOrder="1"/>
    </xf>
    <xf numFmtId="0" fontId="13" fillId="59" borderId="24" xfId="14" applyFont="1" applyFill="1" applyBorder="1" applyAlignment="1">
      <alignment horizontal="center" wrapText="1" readingOrder="1"/>
    </xf>
    <xf numFmtId="0" fontId="13" fillId="59" borderId="44" xfId="14" applyFont="1" applyFill="1" applyBorder="1" applyAlignment="1">
      <alignment horizontal="center" readingOrder="1"/>
    </xf>
    <xf numFmtId="0" fontId="13" fillId="57" borderId="61" xfId="14" applyFont="1" applyFill="1" applyBorder="1">
      <alignment readingOrder="1"/>
    </xf>
    <xf numFmtId="0" fontId="7" fillId="57" borderId="67" xfId="14" applyFill="1" applyBorder="1">
      <alignment readingOrder="1"/>
    </xf>
    <xf numFmtId="0" fontId="7" fillId="57" borderId="67" xfId="14" applyFill="1" applyBorder="1" applyAlignment="1">
      <alignment wrapText="1" readingOrder="1"/>
    </xf>
    <xf numFmtId="0" fontId="7" fillId="57" borderId="32" xfId="14" applyFill="1" applyBorder="1" applyAlignment="1">
      <alignment wrapText="1" readingOrder="1"/>
    </xf>
    <xf numFmtId="0" fontId="7" fillId="0" borderId="34" xfId="14" applyBorder="1" applyAlignment="1">
      <alignment vertical="center" readingOrder="1"/>
    </xf>
    <xf numFmtId="0" fontId="7" fillId="0" borderId="35" xfId="14" applyBorder="1" applyAlignment="1">
      <alignment horizontal="center" vertical="center" readingOrder="1"/>
    </xf>
    <xf numFmtId="0" fontId="7" fillId="0" borderId="35" xfId="14" applyFont="1" applyBorder="1" applyAlignment="1">
      <alignment vertical="center" wrapText="1" readingOrder="1"/>
    </xf>
    <xf numFmtId="0" fontId="35" fillId="0" borderId="51" xfId="241" applyBorder="1" applyAlignment="1" applyProtection="1">
      <alignment vertical="center" readingOrder="1"/>
    </xf>
    <xf numFmtId="0" fontId="7" fillId="0" borderId="0" xfId="14" applyAlignment="1">
      <alignment vertical="center" readingOrder="1"/>
    </xf>
    <xf numFmtId="0" fontId="13" fillId="57" borderId="61" xfId="14" applyFont="1" applyFill="1" applyBorder="1" applyAlignment="1">
      <alignment vertical="center" readingOrder="1"/>
    </xf>
    <xf numFmtId="0" fontId="7" fillId="57" borderId="67" xfId="14" applyFill="1" applyBorder="1" applyAlignment="1">
      <alignment horizontal="center" vertical="center" readingOrder="1"/>
    </xf>
    <xf numFmtId="0" fontId="7" fillId="57" borderId="67" xfId="14" applyFill="1" applyBorder="1" applyAlignment="1">
      <alignment vertical="center" wrapText="1" readingOrder="1"/>
    </xf>
    <xf numFmtId="0" fontId="7" fillId="57" borderId="32" xfId="14" applyFill="1" applyBorder="1" applyAlignment="1">
      <alignment vertical="center" wrapText="1" readingOrder="1"/>
    </xf>
    <xf numFmtId="0" fontId="7" fillId="0" borderId="34" xfId="14" applyFont="1" applyBorder="1" applyAlignment="1">
      <alignment vertical="center" readingOrder="1"/>
    </xf>
    <xf numFmtId="2" fontId="7" fillId="0" borderId="35" xfId="14" applyNumberFormat="1" applyBorder="1" applyAlignment="1">
      <alignment horizontal="center" vertical="center" readingOrder="1"/>
    </xf>
    <xf numFmtId="164" fontId="7" fillId="0" borderId="35" xfId="14" applyNumberFormat="1" applyBorder="1" applyAlignment="1">
      <alignment horizontal="center" vertical="center" readingOrder="1"/>
    </xf>
    <xf numFmtId="0" fontId="7" fillId="0" borderId="35" xfId="14" applyBorder="1" applyAlignment="1">
      <alignment vertical="center" wrapText="1" readingOrder="1"/>
    </xf>
    <xf numFmtId="0" fontId="35" fillId="0" borderId="51" xfId="117" applyBorder="1" applyAlignment="1" applyProtection="1">
      <alignment vertical="center" readingOrder="1"/>
    </xf>
    <xf numFmtId="0" fontId="7" fillId="0" borderId="40" xfId="14" applyFont="1" applyBorder="1" applyAlignment="1">
      <alignment vertical="center" readingOrder="1"/>
    </xf>
    <xf numFmtId="2" fontId="7" fillId="0" borderId="5" xfId="14" applyNumberFormat="1" applyFont="1" applyFill="1" applyBorder="1" applyAlignment="1">
      <alignment horizontal="center" vertical="center" readingOrder="1"/>
    </xf>
    <xf numFmtId="164" fontId="7" fillId="0" borderId="5" xfId="14" applyNumberFormat="1" applyFont="1" applyFill="1" applyBorder="1" applyAlignment="1">
      <alignment horizontal="center" vertical="center" readingOrder="1"/>
    </xf>
    <xf numFmtId="0" fontId="7" fillId="0" borderId="5" xfId="14" applyBorder="1" applyAlignment="1">
      <alignment vertical="center" wrapText="1" readingOrder="1"/>
    </xf>
    <xf numFmtId="0" fontId="35" fillId="0" borderId="46" xfId="241" applyBorder="1" applyAlignment="1" applyProtection="1">
      <alignment vertical="center" readingOrder="1"/>
    </xf>
    <xf numFmtId="0" fontId="35" fillId="0" borderId="46" xfId="117" applyBorder="1" applyAlignment="1" applyProtection="1">
      <alignment vertical="center" readingOrder="1"/>
    </xf>
    <xf numFmtId="2" fontId="7" fillId="0" borderId="35" xfId="14" applyNumberFormat="1" applyFont="1" applyFill="1" applyBorder="1" applyAlignment="1">
      <alignment horizontal="center" vertical="center" readingOrder="1"/>
    </xf>
    <xf numFmtId="164" fontId="7" fillId="0" borderId="35" xfId="14" applyNumberFormat="1" applyFont="1" applyFill="1" applyBorder="1" applyAlignment="1">
      <alignment horizontal="center" vertical="center" readingOrder="1"/>
    </xf>
    <xf numFmtId="0" fontId="7" fillId="0" borderId="0" xfId="14" applyFont="1" applyFill="1" applyBorder="1" applyAlignment="1">
      <alignment vertical="center" readingOrder="1"/>
    </xf>
    <xf numFmtId="0" fontId="63" fillId="0" borderId="0" xfId="0" applyFont="1">
      <alignment readingOrder="1"/>
    </xf>
    <xf numFmtId="1" fontId="0" fillId="0" borderId="0" xfId="0" applyNumberFormat="1"/>
    <xf numFmtId="0" fontId="13" fillId="56" borderId="5" xfId="242" applyFont="1" applyFill="1" applyBorder="1" applyAlignment="1">
      <alignment horizontal="left" vertical="center" wrapText="1"/>
    </xf>
    <xf numFmtId="0" fontId="7" fillId="0" borderId="5" xfId="242" applyFont="1" applyFill="1" applyBorder="1" applyAlignment="1">
      <alignment horizontal="left" vertical="center" wrapText="1"/>
    </xf>
    <xf numFmtId="0" fontId="7" fillId="0" borderId="5" xfId="242" applyFont="1" applyBorder="1" applyAlignment="1">
      <alignment horizontal="left" vertical="center" wrapText="1" readingOrder="1"/>
    </xf>
    <xf numFmtId="0" fontId="7" fillId="0" borderId="5" xfId="242" applyNumberFormat="1" applyFont="1" applyBorder="1" applyAlignment="1">
      <alignment horizontal="left" vertical="center" wrapText="1" readingOrder="1"/>
    </xf>
    <xf numFmtId="0" fontId="19" fillId="0" borderId="0" xfId="0" applyFont="1"/>
    <xf numFmtId="0" fontId="71" fillId="55" borderId="65" xfId="0" applyFont="1" applyFill="1" applyBorder="1"/>
    <xf numFmtId="0" fontId="71" fillId="55" borderId="71" xfId="0" applyFont="1" applyFill="1" applyBorder="1"/>
    <xf numFmtId="0" fontId="71" fillId="55" borderId="8" xfId="0" applyFont="1" applyFill="1" applyBorder="1"/>
    <xf numFmtId="0" fontId="54" fillId="56" borderId="38" xfId="242" applyFont="1" applyFill="1" applyBorder="1" applyAlignment="1">
      <alignment horizontal="left" vertical="center" wrapText="1"/>
    </xf>
    <xf numFmtId="0" fontId="54" fillId="56" borderId="5" xfId="242" applyFont="1" applyFill="1" applyBorder="1" applyAlignment="1">
      <alignment horizontal="left" vertical="center" wrapText="1"/>
    </xf>
    <xf numFmtId="0" fontId="49" fillId="0" borderId="5" xfId="242" applyFont="1" applyBorder="1" applyAlignment="1">
      <alignment horizontal="left" vertical="center" wrapText="1" readingOrder="1"/>
    </xf>
    <xf numFmtId="0" fontId="49" fillId="0" borderId="5" xfId="242" applyFont="1" applyBorder="1" applyAlignment="1">
      <alignment vertical="center" wrapText="1" readingOrder="1"/>
    </xf>
    <xf numFmtId="0" fontId="10" fillId="73" borderId="7" xfId="2" applyFont="1" applyFill="1" applyBorder="1" applyAlignment="1">
      <alignment horizontal="center"/>
    </xf>
    <xf numFmtId="0" fontId="12" fillId="59" borderId="7" xfId="2" applyFont="1" applyFill="1" applyBorder="1" applyAlignment="1">
      <alignment horizontal="center" wrapText="1"/>
    </xf>
    <xf numFmtId="0" fontId="12" fillId="59" borderId="5" xfId="2" applyFont="1" applyFill="1" applyBorder="1" applyAlignment="1">
      <alignment horizontal="center" wrapText="1"/>
    </xf>
    <xf numFmtId="0" fontId="0" fillId="74" borderId="0" xfId="0" applyFill="1">
      <alignment readingOrder="1"/>
    </xf>
    <xf numFmtId="0" fontId="0" fillId="0" borderId="0" xfId="0" quotePrefix="1" applyFill="1">
      <alignment readingOrder="1"/>
    </xf>
    <xf numFmtId="179" fontId="0" fillId="0" borderId="0" xfId="0" applyNumberFormat="1">
      <alignment readingOrder="1"/>
    </xf>
    <xf numFmtId="179" fontId="0" fillId="0" borderId="0" xfId="0" applyNumberFormat="1" applyFill="1">
      <alignment readingOrder="1"/>
    </xf>
    <xf numFmtId="0" fontId="72" fillId="0" borderId="0" xfId="0" applyFont="1"/>
    <xf numFmtId="0" fontId="72" fillId="0" borderId="77" xfId="0" applyFont="1" applyBorder="1" applyAlignment="1">
      <alignment horizontal="center" vertical="center" wrapText="1"/>
    </xf>
    <xf numFmtId="0" fontId="72" fillId="0" borderId="78" xfId="0" applyFont="1" applyBorder="1" applyAlignment="1">
      <alignment horizontal="center" vertical="center" wrapText="1"/>
    </xf>
    <xf numFmtId="0" fontId="72" fillId="0" borderId="79" xfId="0" applyFont="1" applyBorder="1" applyAlignment="1">
      <alignment horizontal="center" vertical="center" wrapText="1"/>
    </xf>
    <xf numFmtId="0" fontId="72" fillId="0" borderId="80" xfId="0" applyFont="1" applyBorder="1" applyAlignment="1">
      <alignment vertical="center"/>
    </xf>
    <xf numFmtId="172" fontId="0" fillId="0" borderId="81" xfId="0" applyNumberFormat="1" applyBorder="1" applyAlignment="1">
      <alignment horizontal="right" vertical="center"/>
    </xf>
    <xf numFmtId="172" fontId="0" fillId="0" borderId="74" xfId="0" applyNumberFormat="1" applyBorder="1" applyAlignment="1">
      <alignment horizontal="right" vertical="center"/>
    </xf>
    <xf numFmtId="3" fontId="0" fillId="0" borderId="75" xfId="0" applyNumberFormat="1" applyBorder="1" applyAlignment="1">
      <alignment horizontal="right" vertical="center"/>
    </xf>
    <xf numFmtId="0" fontId="72" fillId="0" borderId="82" xfId="0" applyFont="1" applyBorder="1" applyAlignment="1">
      <alignment vertical="center"/>
    </xf>
    <xf numFmtId="172" fontId="0" fillId="0" borderId="7" xfId="0" applyNumberFormat="1" applyBorder="1" applyAlignment="1">
      <alignment horizontal="right" vertical="center"/>
    </xf>
    <xf numFmtId="172" fontId="0" fillId="0" borderId="5" xfId="0" applyNumberFormat="1" applyBorder="1" applyAlignment="1">
      <alignment horizontal="right" vertical="center"/>
    </xf>
    <xf numFmtId="3" fontId="0" fillId="0" borderId="83" xfId="0" applyNumberFormat="1" applyBorder="1" applyAlignment="1">
      <alignment horizontal="right" vertical="center"/>
    </xf>
    <xf numFmtId="0" fontId="72" fillId="0" borderId="84" xfId="0" applyFont="1" applyBorder="1" applyAlignment="1">
      <alignment vertical="center"/>
    </xf>
    <xf numFmtId="172" fontId="0" fillId="0" borderId="3" xfId="0" applyNumberFormat="1" applyBorder="1" applyAlignment="1">
      <alignment horizontal="right" vertical="center"/>
    </xf>
    <xf numFmtId="172" fontId="0" fillId="0" borderId="2" xfId="0" applyNumberFormat="1" applyBorder="1" applyAlignment="1">
      <alignment horizontal="right" vertical="center"/>
    </xf>
    <xf numFmtId="3" fontId="0" fillId="0" borderId="85" xfId="0" applyNumberFormat="1" applyBorder="1" applyAlignment="1">
      <alignment horizontal="right" vertical="center"/>
    </xf>
    <xf numFmtId="0" fontId="72" fillId="0" borderId="86" xfId="0" applyFont="1" applyBorder="1" applyAlignment="1">
      <alignment vertical="center" wrapText="1"/>
    </xf>
    <xf numFmtId="172" fontId="0" fillId="0" borderId="87" xfId="0" applyNumberFormat="1" applyBorder="1" applyAlignment="1">
      <alignment horizontal="right" vertical="center"/>
    </xf>
    <xf numFmtId="172" fontId="0" fillId="0" borderId="88" xfId="0" applyNumberFormat="1" applyBorder="1" applyAlignment="1">
      <alignment horizontal="right" vertical="center"/>
    </xf>
    <xf numFmtId="3" fontId="0" fillId="0" borderId="89" xfId="0" applyNumberFormat="1" applyBorder="1" applyAlignment="1">
      <alignment horizontal="right" vertical="center"/>
    </xf>
    <xf numFmtId="9" fontId="0" fillId="0" borderId="0" xfId="0" applyNumberFormat="1">
      <alignment readingOrder="1"/>
    </xf>
    <xf numFmtId="2" fontId="0" fillId="59" borderId="0" xfId="0" applyNumberFormat="1" applyFill="1" applyAlignment="1">
      <alignment horizontal="center" readingOrder="1"/>
    </xf>
    <xf numFmtId="43" fontId="0" fillId="59" borderId="0" xfId="237" applyFont="1" applyFill="1" applyAlignment="1">
      <alignment horizontal="center" readingOrder="1"/>
    </xf>
    <xf numFmtId="0" fontId="13" fillId="68" borderId="0" xfId="14" applyFont="1" applyFill="1" applyBorder="1" applyAlignment="1">
      <alignment horizontal="center" readingOrder="1"/>
    </xf>
    <xf numFmtId="0" fontId="13" fillId="65" borderId="0" xfId="14" applyFont="1" applyFill="1" applyAlignment="1">
      <alignment horizontal="center" readingOrder="1"/>
    </xf>
    <xf numFmtId="0" fontId="13" fillId="67" borderId="0" xfId="14" applyFont="1" applyFill="1" applyAlignment="1">
      <alignment horizontal="center" readingOrder="1"/>
    </xf>
    <xf numFmtId="0" fontId="0" fillId="56" borderId="0" xfId="0" applyFill="1">
      <alignment readingOrder="1"/>
    </xf>
    <xf numFmtId="0" fontId="0" fillId="56" borderId="0" xfId="0" applyFill="1" applyAlignment="1">
      <alignment vertical="center" wrapText="1" readingOrder="1"/>
    </xf>
    <xf numFmtId="0" fontId="13" fillId="59" borderId="26" xfId="14" applyFont="1" applyFill="1" applyBorder="1" applyAlignment="1">
      <alignment horizontal="center" readingOrder="1"/>
    </xf>
    <xf numFmtId="0" fontId="13" fillId="59" borderId="27" xfId="14" applyFont="1" applyFill="1" applyBorder="1" applyAlignment="1">
      <alignment horizontal="center" readingOrder="1"/>
    </xf>
    <xf numFmtId="0" fontId="13" fillId="59" borderId="27" xfId="14" applyFont="1" applyFill="1" applyBorder="1" applyAlignment="1">
      <alignment horizontal="center" wrapText="1" readingOrder="1"/>
    </xf>
    <xf numFmtId="0" fontId="13" fillId="59" borderId="49" xfId="14" applyFont="1" applyFill="1" applyBorder="1" applyAlignment="1">
      <alignment horizontal="center" readingOrder="1"/>
    </xf>
    <xf numFmtId="0" fontId="13" fillId="57" borderId="30" xfId="14" applyFont="1" applyFill="1" applyBorder="1">
      <alignment readingOrder="1"/>
    </xf>
    <xf numFmtId="0" fontId="7" fillId="57" borderId="31" xfId="14" applyFill="1" applyBorder="1">
      <alignment readingOrder="1"/>
    </xf>
    <xf numFmtId="0" fontId="7" fillId="57" borderId="31" xfId="14" applyFill="1" applyBorder="1" applyAlignment="1">
      <alignment wrapText="1" readingOrder="1"/>
    </xf>
    <xf numFmtId="0" fontId="7" fillId="57" borderId="50" xfId="14" applyFill="1" applyBorder="1" applyAlignment="1">
      <alignment wrapText="1" readingOrder="1"/>
    </xf>
    <xf numFmtId="0" fontId="7" fillId="0" borderId="40" xfId="14" applyBorder="1" applyAlignment="1">
      <alignment vertical="center" readingOrder="1"/>
    </xf>
    <xf numFmtId="0" fontId="7" fillId="0" borderId="5" xfId="14" applyBorder="1" applyAlignment="1">
      <alignment horizontal="center" vertical="center" readingOrder="1"/>
    </xf>
    <xf numFmtId="0" fontId="7" fillId="0" borderId="5" xfId="14" applyFont="1" applyBorder="1" applyAlignment="1">
      <alignment vertical="center" wrapText="1" readingOrder="1"/>
    </xf>
    <xf numFmtId="0" fontId="7" fillId="0" borderId="46" xfId="117" applyFont="1" applyBorder="1" applyAlignment="1" applyProtection="1">
      <alignment vertical="center" readingOrder="1"/>
    </xf>
    <xf numFmtId="0" fontId="7" fillId="0" borderId="51" xfId="117" applyFont="1" applyBorder="1" applyAlignment="1" applyProtection="1">
      <alignment vertical="center" readingOrder="1"/>
    </xf>
    <xf numFmtId="0" fontId="13" fillId="57" borderId="30" xfId="14" applyFont="1" applyFill="1" applyBorder="1" applyAlignment="1">
      <alignment vertical="center" readingOrder="1"/>
    </xf>
    <xf numFmtId="0" fontId="7" fillId="57" borderId="31" xfId="14" applyFill="1" applyBorder="1" applyAlignment="1">
      <alignment horizontal="center" vertical="center" readingOrder="1"/>
    </xf>
    <xf numFmtId="0" fontId="7" fillId="57" borderId="31" xfId="14" applyFill="1" applyBorder="1" applyAlignment="1">
      <alignment vertical="center" wrapText="1" readingOrder="1"/>
    </xf>
    <xf numFmtId="0" fontId="7" fillId="57" borderId="50" xfId="14" applyFill="1" applyBorder="1" applyAlignment="1">
      <alignment vertical="center" wrapText="1" readingOrder="1"/>
    </xf>
    <xf numFmtId="2" fontId="7" fillId="0" borderId="5" xfId="14" applyNumberFormat="1" applyBorder="1" applyAlignment="1">
      <alignment horizontal="center" vertical="center" readingOrder="1"/>
    </xf>
    <xf numFmtId="164" fontId="7" fillId="0" borderId="5" xfId="14" applyNumberFormat="1" applyBorder="1" applyAlignment="1">
      <alignment horizontal="center" vertical="center" readingOrder="1"/>
    </xf>
    <xf numFmtId="0" fontId="13" fillId="57" borderId="37" xfId="14" applyFont="1" applyFill="1" applyBorder="1" applyAlignment="1">
      <alignment vertical="center" readingOrder="1"/>
    </xf>
    <xf numFmtId="0" fontId="7" fillId="57" borderId="38" xfId="14" applyFill="1" applyBorder="1" applyAlignment="1">
      <alignment horizontal="center" vertical="center" readingOrder="1"/>
    </xf>
    <xf numFmtId="0" fontId="7" fillId="57" borderId="38" xfId="14" applyFill="1" applyBorder="1" applyAlignment="1">
      <alignment vertical="center" wrapText="1" readingOrder="1"/>
    </xf>
    <xf numFmtId="0" fontId="7" fillId="57" borderId="45" xfId="14" applyFill="1" applyBorder="1" applyAlignment="1">
      <alignment vertical="center" wrapText="1" readingOrder="1"/>
    </xf>
    <xf numFmtId="0" fontId="7" fillId="0" borderId="46" xfId="241" applyFont="1" applyBorder="1" applyAlignment="1" applyProtection="1">
      <alignment vertical="center" readingOrder="1"/>
    </xf>
    <xf numFmtId="0" fontId="63" fillId="0" borderId="0" xfId="0" applyFont="1" applyFill="1" applyBorder="1">
      <alignment readingOrder="1"/>
    </xf>
    <xf numFmtId="0" fontId="7" fillId="0" borderId="0" xfId="14" applyFill="1" applyBorder="1" applyAlignment="1">
      <alignment wrapText="1" readingOrder="1"/>
    </xf>
    <xf numFmtId="0" fontId="79" fillId="0" borderId="0" xfId="0" applyFont="1" applyFill="1" applyBorder="1">
      <alignment readingOrder="1"/>
    </xf>
    <xf numFmtId="0" fontId="78" fillId="0" borderId="0" xfId="14" applyFont="1" applyFill="1" applyBorder="1">
      <alignment readingOrder="1"/>
    </xf>
    <xf numFmtId="174" fontId="49" fillId="0" borderId="0" xfId="9" applyNumberFormat="1" applyFont="1" applyFill="1" applyBorder="1" applyAlignment="1">
      <alignment vertical="top"/>
    </xf>
    <xf numFmtId="0" fontId="52" fillId="0" borderId="0" xfId="10" applyFont="1" applyFill="1" applyBorder="1"/>
    <xf numFmtId="0" fontId="7" fillId="0" borderId="0" xfId="12" applyFont="1" applyFill="1"/>
    <xf numFmtId="172" fontId="1" fillId="0" borderId="0" xfId="13" applyNumberFormat="1" applyFont="1" applyFill="1" applyBorder="1"/>
    <xf numFmtId="172" fontId="7" fillId="0" borderId="0" xfId="12" applyNumberFormat="1" applyFont="1" applyFill="1" applyBorder="1"/>
    <xf numFmtId="2" fontId="19" fillId="0" borderId="0" xfId="10" applyNumberFormat="1" applyFont="1" applyFill="1" applyBorder="1"/>
    <xf numFmtId="2" fontId="19" fillId="89" borderId="0" xfId="10" applyNumberFormat="1" applyFont="1" applyFill="1" applyBorder="1"/>
    <xf numFmtId="2" fontId="49" fillId="89" borderId="0" xfId="10" applyNumberFormat="1" applyFont="1" applyFill="1" applyBorder="1" applyAlignment="1">
      <alignment horizontal="center"/>
    </xf>
    <xf numFmtId="2" fontId="49" fillId="89" borderId="0" xfId="10" applyNumberFormat="1" applyFont="1" applyFill="1" applyBorder="1"/>
    <xf numFmtId="0" fontId="19" fillId="89" borderId="0" xfId="10" applyFill="1" applyBorder="1" applyAlignment="1">
      <alignment horizontal="center"/>
    </xf>
    <xf numFmtId="2" fontId="19" fillId="89" borderId="0" xfId="10" applyNumberFormat="1" applyFill="1" applyBorder="1" applyAlignment="1">
      <alignment horizontal="center"/>
    </xf>
    <xf numFmtId="2" fontId="13" fillId="57" borderId="60" xfId="14" applyNumberFormat="1" applyFont="1" applyFill="1" applyBorder="1" applyAlignment="1">
      <alignment horizontal="center" vertical="center" wrapText="1" readingOrder="1"/>
    </xf>
    <xf numFmtId="2" fontId="13" fillId="57" borderId="10" xfId="14" applyNumberFormat="1" applyFont="1" applyFill="1" applyBorder="1" applyAlignment="1">
      <alignment horizontal="center" vertical="center" wrapText="1" readingOrder="1"/>
    </xf>
    <xf numFmtId="2" fontId="7" fillId="0" borderId="22" xfId="14" applyNumberFormat="1" applyFill="1" applyBorder="1">
      <alignment readingOrder="1"/>
    </xf>
    <xf numFmtId="2" fontId="7" fillId="0" borderId="7" xfId="14" applyNumberFormat="1" applyFill="1" applyBorder="1">
      <alignment readingOrder="1"/>
    </xf>
    <xf numFmtId="3" fontId="7" fillId="0" borderId="7" xfId="14" applyNumberFormat="1" applyFill="1" applyBorder="1">
      <alignment readingOrder="1"/>
    </xf>
    <xf numFmtId="0" fontId="7" fillId="0" borderId="62" xfId="14" applyFont="1" applyFill="1" applyBorder="1">
      <alignment readingOrder="1"/>
    </xf>
    <xf numFmtId="1" fontId="7" fillId="0" borderId="7" xfId="14" applyNumberFormat="1" applyFill="1" applyBorder="1">
      <alignment readingOrder="1"/>
    </xf>
    <xf numFmtId="176" fontId="7" fillId="0" borderId="3" xfId="14" applyNumberFormat="1" applyFill="1" applyBorder="1">
      <alignment readingOrder="1"/>
    </xf>
    <xf numFmtId="176" fontId="7" fillId="0" borderId="10" xfId="14" applyNumberFormat="1" applyFont="1" applyBorder="1">
      <alignment readingOrder="1"/>
    </xf>
    <xf numFmtId="176" fontId="7" fillId="0" borderId="24" xfId="14" applyNumberFormat="1" applyFont="1" applyFill="1" applyBorder="1">
      <alignment readingOrder="1"/>
    </xf>
    <xf numFmtId="2" fontId="7" fillId="0" borderId="52" xfId="14" applyNumberFormat="1" applyBorder="1">
      <alignment readingOrder="1"/>
    </xf>
    <xf numFmtId="2" fontId="7" fillId="0" borderId="31" xfId="14" applyNumberFormat="1" applyFill="1" applyBorder="1">
      <alignment readingOrder="1"/>
    </xf>
    <xf numFmtId="1" fontId="7" fillId="0" borderId="7" xfId="14" applyNumberFormat="1" applyBorder="1">
      <alignment readingOrder="1"/>
    </xf>
    <xf numFmtId="2" fontId="7" fillId="0" borderId="7" xfId="14" applyNumberFormat="1" applyFont="1" applyFill="1" applyBorder="1">
      <alignment readingOrder="1"/>
    </xf>
    <xf numFmtId="9" fontId="7" fillId="0" borderId="7" xfId="9" applyNumberFormat="1" applyFont="1" applyFill="1" applyBorder="1">
      <alignment readingOrder="1"/>
    </xf>
    <xf numFmtId="1" fontId="7" fillId="0" borderId="53" xfId="14" applyNumberFormat="1" applyBorder="1">
      <alignment readingOrder="1"/>
    </xf>
    <xf numFmtId="1" fontId="7" fillId="0" borderId="35" xfId="14" applyNumberFormat="1" applyFill="1" applyBorder="1">
      <alignment readingOrder="1"/>
    </xf>
    <xf numFmtId="1" fontId="7" fillId="0" borderId="52" xfId="14" applyNumberFormat="1" applyBorder="1">
      <alignment readingOrder="1"/>
    </xf>
    <xf numFmtId="1" fontId="7" fillId="0" borderId="31" xfId="14" applyNumberFormat="1" applyFill="1" applyBorder="1">
      <alignment readingOrder="1"/>
    </xf>
    <xf numFmtId="9" fontId="0" fillId="0" borderId="7" xfId="9" applyFont="1" applyBorder="1">
      <alignment readingOrder="1"/>
    </xf>
    <xf numFmtId="9" fontId="0" fillId="0" borderId="5" xfId="9" applyFont="1" applyFill="1" applyBorder="1">
      <alignment readingOrder="1"/>
    </xf>
    <xf numFmtId="9" fontId="0" fillId="0" borderId="53" xfId="9" applyFont="1" applyBorder="1">
      <alignment readingOrder="1"/>
    </xf>
    <xf numFmtId="9" fontId="0" fillId="0" borderId="35" xfId="9" applyFont="1" applyFill="1" applyBorder="1">
      <alignment readingOrder="1"/>
    </xf>
    <xf numFmtId="164" fontId="7" fillId="0" borderId="52" xfId="14" applyNumberFormat="1" applyBorder="1">
      <alignment readingOrder="1"/>
    </xf>
    <xf numFmtId="164" fontId="7" fillId="0" borderId="31" xfId="14" applyNumberFormat="1" applyFill="1" applyBorder="1">
      <alignment readingOrder="1"/>
    </xf>
    <xf numFmtId="164" fontId="7" fillId="0" borderId="7" xfId="14" applyNumberFormat="1" applyBorder="1">
      <alignment readingOrder="1"/>
    </xf>
    <xf numFmtId="164" fontId="7" fillId="0" borderId="5" xfId="14" applyNumberFormat="1" applyFill="1" applyBorder="1">
      <alignment readingOrder="1"/>
    </xf>
    <xf numFmtId="164" fontId="7" fillId="0" borderId="53" xfId="14" applyNumberFormat="1" applyBorder="1">
      <alignment readingOrder="1"/>
    </xf>
    <xf numFmtId="164" fontId="7" fillId="0" borderId="35" xfId="14" applyNumberFormat="1" applyFill="1" applyBorder="1">
      <alignment readingOrder="1"/>
    </xf>
    <xf numFmtId="0" fontId="19" fillId="0" borderId="0" xfId="10" applyFont="1" applyAlignment="1">
      <alignment horizontal="left"/>
    </xf>
    <xf numFmtId="0" fontId="19" fillId="0" borderId="0" xfId="10" applyAlignment="1">
      <alignment horizontal="left"/>
    </xf>
    <xf numFmtId="2" fontId="80" fillId="90" borderId="9" xfId="10" applyNumberFormat="1" applyFont="1" applyFill="1" applyBorder="1" applyAlignment="1">
      <alignment horizontal="center" vertical="center" wrapText="1"/>
    </xf>
    <xf numFmtId="2" fontId="80" fillId="90" borderId="10" xfId="10" applyNumberFormat="1" applyFont="1" applyFill="1" applyBorder="1" applyAlignment="1">
      <alignment horizontal="center" vertical="center" wrapText="1"/>
    </xf>
    <xf numFmtId="2" fontId="80" fillId="91" borderId="10" xfId="10" applyNumberFormat="1" applyFont="1" applyFill="1" applyBorder="1" applyAlignment="1">
      <alignment horizontal="center" vertical="center" wrapText="1"/>
    </xf>
    <xf numFmtId="2" fontId="80" fillId="91" borderId="24" xfId="10" applyNumberFormat="1" applyFont="1" applyFill="1" applyBorder="1" applyAlignment="1">
      <alignment horizontal="center" vertical="center" wrapText="1"/>
    </xf>
    <xf numFmtId="2" fontId="48" fillId="58" borderId="24" xfId="10" applyNumberFormat="1" applyFont="1" applyFill="1" applyBorder="1" applyAlignment="1">
      <alignment horizontal="center" vertical="center" wrapText="1"/>
    </xf>
    <xf numFmtId="2" fontId="48" fillId="56" borderId="24" xfId="10" applyNumberFormat="1" applyFont="1" applyFill="1" applyBorder="1" applyAlignment="1">
      <alignment horizontal="center" vertical="center" wrapText="1"/>
    </xf>
    <xf numFmtId="2" fontId="48" fillId="56" borderId="93" xfId="10" applyNumberFormat="1" applyFont="1" applyFill="1" applyBorder="1" applyAlignment="1">
      <alignment horizontal="center" vertical="center" wrapText="1"/>
    </xf>
    <xf numFmtId="2" fontId="48" fillId="57" borderId="60" xfId="10" applyNumberFormat="1" applyFont="1" applyFill="1" applyBorder="1" applyAlignment="1">
      <alignment horizontal="center" vertical="center" wrapText="1"/>
    </xf>
    <xf numFmtId="0" fontId="19" fillId="0" borderId="94" xfId="10" applyFill="1" applyBorder="1"/>
    <xf numFmtId="0" fontId="19" fillId="0" borderId="95" xfId="10" applyFill="1" applyBorder="1"/>
    <xf numFmtId="0" fontId="19" fillId="0" borderId="96" xfId="10" applyFill="1" applyBorder="1"/>
    <xf numFmtId="0" fontId="19" fillId="0" borderId="97" xfId="10" applyFill="1" applyBorder="1"/>
    <xf numFmtId="0" fontId="19" fillId="60" borderId="98" xfId="10" applyFill="1" applyBorder="1"/>
    <xf numFmtId="0" fontId="48" fillId="69" borderId="29" xfId="10" applyFont="1" applyFill="1" applyBorder="1"/>
    <xf numFmtId="2" fontId="19" fillId="69" borderId="30" xfId="10" applyNumberFormat="1" applyFill="1" applyBorder="1"/>
    <xf numFmtId="2" fontId="19" fillId="69" borderId="52" xfId="10" applyNumberFormat="1" applyFill="1" applyBorder="1"/>
    <xf numFmtId="2" fontId="19" fillId="69" borderId="52" xfId="10" applyNumberFormat="1" applyFont="1" applyFill="1" applyBorder="1" applyAlignment="1">
      <alignment horizontal="right"/>
    </xf>
    <xf numFmtId="2" fontId="19" fillId="69" borderId="31" xfId="10" applyNumberFormat="1" applyFill="1" applyBorder="1"/>
    <xf numFmtId="2" fontId="19" fillId="69" borderId="31" xfId="10" applyNumberFormat="1" applyFont="1" applyFill="1" applyBorder="1" applyAlignment="1">
      <alignment horizontal="right"/>
    </xf>
    <xf numFmtId="2" fontId="19" fillId="69" borderId="99" xfId="10" applyNumberFormat="1" applyFill="1" applyBorder="1"/>
    <xf numFmtId="2" fontId="19" fillId="60" borderId="29" xfId="10" applyNumberFormat="1" applyFill="1" applyBorder="1"/>
    <xf numFmtId="0" fontId="48" fillId="69" borderId="33" xfId="10" applyFont="1" applyFill="1" applyBorder="1"/>
    <xf numFmtId="2" fontId="19" fillId="69" borderId="34" xfId="10" applyNumberFormat="1" applyFill="1" applyBorder="1"/>
    <xf numFmtId="2" fontId="19" fillId="69" borderId="53" xfId="10" applyNumberFormat="1" applyFill="1" applyBorder="1"/>
    <xf numFmtId="2" fontId="19" fillId="69" borderId="53" xfId="10" applyNumberFormat="1" applyFont="1" applyFill="1" applyBorder="1" applyAlignment="1">
      <alignment horizontal="right"/>
    </xf>
    <xf numFmtId="2" fontId="19" fillId="69" borderId="35" xfId="10" applyNumberFormat="1" applyFill="1" applyBorder="1"/>
    <xf numFmtId="2" fontId="19" fillId="69" borderId="35" xfId="10" applyNumberFormat="1" applyFill="1" applyBorder="1" applyAlignment="1">
      <alignment horizontal="right"/>
    </xf>
    <xf numFmtId="2" fontId="19" fillId="69" borderId="100" xfId="10" applyNumberFormat="1" applyFill="1" applyBorder="1"/>
    <xf numFmtId="2" fontId="19" fillId="60" borderId="33" xfId="10" applyNumberFormat="1" applyFill="1" applyBorder="1"/>
    <xf numFmtId="0" fontId="48" fillId="92" borderId="29" xfId="10" applyFont="1" applyFill="1" applyBorder="1"/>
    <xf numFmtId="2" fontId="19" fillId="92" borderId="30" xfId="10" applyNumberFormat="1" applyFill="1" applyBorder="1"/>
    <xf numFmtId="2" fontId="19" fillId="92" borderId="52" xfId="10" applyNumberFormat="1" applyFill="1" applyBorder="1"/>
    <xf numFmtId="2" fontId="19" fillId="92" borderId="52" xfId="10" applyNumberFormat="1" applyFont="1" applyFill="1" applyBorder="1" applyAlignment="1">
      <alignment horizontal="right"/>
    </xf>
    <xf numFmtId="2" fontId="19" fillId="92" borderId="31" xfId="10" applyNumberFormat="1" applyFill="1" applyBorder="1"/>
    <xf numFmtId="2" fontId="19" fillId="92" borderId="31" xfId="10" applyNumberFormat="1" applyFill="1" applyBorder="1" applyAlignment="1">
      <alignment horizontal="right"/>
    </xf>
    <xf numFmtId="2" fontId="19" fillId="92" borderId="99" xfId="10" applyNumberFormat="1" applyFill="1" applyBorder="1"/>
    <xf numFmtId="0" fontId="48" fillId="92" borderId="33" xfId="10" applyFont="1" applyFill="1" applyBorder="1"/>
    <xf numFmtId="2" fontId="19" fillId="92" borderId="34" xfId="10" applyNumberFormat="1" applyFill="1" applyBorder="1"/>
    <xf numFmtId="2" fontId="19" fillId="92" borderId="53" xfId="10" applyNumberFormat="1" applyFill="1" applyBorder="1"/>
    <xf numFmtId="2" fontId="19" fillId="92" borderId="53" xfId="10" applyNumberFormat="1" applyFont="1" applyFill="1" applyBorder="1" applyAlignment="1">
      <alignment horizontal="right"/>
    </xf>
    <xf numFmtId="2" fontId="19" fillId="92" borderId="35" xfId="10" applyNumberFormat="1" applyFill="1" applyBorder="1"/>
    <xf numFmtId="2" fontId="19" fillId="92" borderId="35" xfId="10" applyNumberFormat="1" applyFill="1" applyBorder="1" applyAlignment="1">
      <alignment horizontal="right"/>
    </xf>
    <xf numFmtId="2" fontId="19" fillId="92" borderId="100" xfId="10" applyNumberFormat="1" applyFill="1" applyBorder="1"/>
    <xf numFmtId="2" fontId="19" fillId="0" borderId="22" xfId="10" applyNumberFormat="1" applyFill="1" applyBorder="1"/>
    <xf numFmtId="2" fontId="19" fillId="0" borderId="23" xfId="10" applyNumberFormat="1" applyFill="1" applyBorder="1"/>
    <xf numFmtId="43" fontId="19" fillId="0" borderId="36" xfId="237" applyNumberFormat="1" applyFont="1" applyFill="1" applyBorder="1"/>
    <xf numFmtId="2" fontId="19" fillId="0" borderId="0" xfId="10" applyNumberFormat="1"/>
    <xf numFmtId="1" fontId="19" fillId="0" borderId="7" xfId="10" applyNumberFormat="1" applyFill="1" applyBorder="1"/>
    <xf numFmtId="1" fontId="19" fillId="0" borderId="6" xfId="10" applyNumberFormat="1" applyFill="1" applyBorder="1"/>
    <xf numFmtId="173" fontId="19" fillId="0" borderId="36" xfId="237" applyNumberFormat="1" applyFont="1" applyFill="1" applyBorder="1"/>
    <xf numFmtId="164" fontId="19" fillId="0" borderId="7" xfId="10" applyNumberFormat="1" applyFill="1" applyBorder="1"/>
    <xf numFmtId="164" fontId="19" fillId="0" borderId="6" xfId="10" applyNumberFormat="1" applyFill="1" applyBorder="1"/>
    <xf numFmtId="175" fontId="19" fillId="0" borderId="36" xfId="237" applyNumberFormat="1" applyFont="1" applyFill="1" applyBorder="1"/>
    <xf numFmtId="3" fontId="19" fillId="0" borderId="7" xfId="10" applyNumberFormat="1" applyFill="1" applyBorder="1"/>
    <xf numFmtId="3" fontId="19" fillId="0" borderId="6" xfId="10" applyNumberFormat="1" applyFill="1" applyBorder="1"/>
    <xf numFmtId="2" fontId="19" fillId="0" borderId="7" xfId="10" applyNumberFormat="1" applyFill="1" applyBorder="1"/>
    <xf numFmtId="2" fontId="19" fillId="0" borderId="6" xfId="10" applyNumberFormat="1" applyFill="1" applyBorder="1"/>
    <xf numFmtId="3" fontId="19" fillId="0" borderId="53" xfId="10" applyNumberFormat="1" applyFill="1" applyBorder="1"/>
    <xf numFmtId="3" fontId="19" fillId="0" borderId="100" xfId="10" applyNumberFormat="1" applyFill="1" applyBorder="1"/>
    <xf numFmtId="173" fontId="19" fillId="0" borderId="101" xfId="237" applyNumberFormat="1" applyFont="1" applyFill="1" applyBorder="1"/>
    <xf numFmtId="0" fontId="48" fillId="0" borderId="0" xfId="10" applyFont="1"/>
    <xf numFmtId="0" fontId="7" fillId="0" borderId="0" xfId="0" applyFont="1">
      <alignment readingOrder="1"/>
    </xf>
    <xf numFmtId="0" fontId="82" fillId="0" borderId="0" xfId="10" applyFont="1"/>
    <xf numFmtId="0" fontId="13" fillId="57" borderId="5" xfId="0" applyFont="1" applyFill="1" applyBorder="1" applyAlignment="1">
      <alignment wrapText="1"/>
    </xf>
    <xf numFmtId="0" fontId="77" fillId="94" borderId="5" xfId="0" applyFont="1" applyFill="1" applyBorder="1" applyAlignment="1">
      <alignment wrapText="1"/>
    </xf>
    <xf numFmtId="0" fontId="83" fillId="0" borderId="0" xfId="10" applyFont="1" applyFill="1" applyBorder="1" applyAlignment="1">
      <alignment wrapText="1"/>
    </xf>
    <xf numFmtId="0" fontId="0" fillId="0" borderId="102" xfId="0" applyBorder="1" applyAlignment="1">
      <alignment wrapText="1"/>
    </xf>
    <xf numFmtId="22" fontId="0" fillId="0" borderId="103" xfId="0" applyNumberFormat="1" applyBorder="1" applyAlignment="1">
      <alignment wrapText="1"/>
    </xf>
    <xf numFmtId="2" fontId="0" fillId="0" borderId="5" xfId="0" applyNumberFormat="1" applyBorder="1" applyAlignment="1">
      <alignment wrapText="1"/>
    </xf>
    <xf numFmtId="173" fontId="19" fillId="0" borderId="5" xfId="237" applyNumberFormat="1" applyFont="1" applyBorder="1" applyAlignment="1"/>
    <xf numFmtId="43" fontId="19" fillId="0" borderId="5" xfId="237" applyNumberFormat="1" applyFont="1" applyBorder="1" applyAlignment="1"/>
    <xf numFmtId="0" fontId="82" fillId="0" borderId="0" xfId="10" applyFont="1" applyFill="1" applyBorder="1"/>
    <xf numFmtId="22" fontId="0" fillId="0" borderId="5" xfId="0" applyNumberFormat="1" applyBorder="1" applyAlignment="1">
      <alignment wrapText="1"/>
    </xf>
    <xf numFmtId="0" fontId="48" fillId="58" borderId="24" xfId="10" applyFont="1" applyFill="1" applyBorder="1" applyAlignment="1">
      <alignment horizontal="center" vertical="center" wrapText="1"/>
    </xf>
    <xf numFmtId="0" fontId="48" fillId="0" borderId="22" xfId="10" applyFont="1" applyFill="1" applyBorder="1"/>
    <xf numFmtId="0" fontId="48" fillId="0" borderId="23" xfId="10" applyFont="1" applyFill="1" applyBorder="1"/>
    <xf numFmtId="0" fontId="48" fillId="60" borderId="36" xfId="10" applyFont="1" applyFill="1" applyBorder="1"/>
    <xf numFmtId="0" fontId="19" fillId="0" borderId="7" xfId="10" applyFill="1" applyBorder="1"/>
    <xf numFmtId="0" fontId="19" fillId="0" borderId="6" xfId="10" applyFill="1" applyBorder="1"/>
    <xf numFmtId="0" fontId="19" fillId="60" borderId="39" xfId="10" applyFill="1" applyBorder="1"/>
    <xf numFmtId="0" fontId="19" fillId="0" borderId="3" xfId="10" applyBorder="1"/>
    <xf numFmtId="0" fontId="19" fillId="0" borderId="2" xfId="10" applyFill="1" applyBorder="1"/>
    <xf numFmtId="0" fontId="19" fillId="0" borderId="1" xfId="10" applyBorder="1"/>
    <xf numFmtId="0" fontId="19" fillId="60" borderId="64" xfId="10" applyFill="1" applyBorder="1"/>
    <xf numFmtId="173" fontId="19" fillId="0" borderId="104" xfId="237" applyNumberFormat="1" applyFont="1" applyFill="1" applyBorder="1"/>
    <xf numFmtId="173" fontId="19" fillId="0" borderId="105" xfId="237" applyNumberFormat="1" applyFont="1" applyFill="1" applyBorder="1"/>
    <xf numFmtId="173" fontId="19" fillId="60" borderId="25" xfId="237" applyNumberFormat="1" applyFont="1" applyFill="1" applyBorder="1"/>
    <xf numFmtId="2" fontId="19" fillId="61" borderId="52" xfId="10" applyNumberFormat="1" applyFill="1" applyBorder="1"/>
    <xf numFmtId="2" fontId="19" fillId="61" borderId="52" xfId="10" applyNumberFormat="1" applyFont="1" applyFill="1" applyBorder="1" applyAlignment="1">
      <alignment horizontal="right"/>
    </xf>
    <xf numFmtId="2" fontId="19" fillId="61" borderId="99" xfId="10" applyNumberFormat="1" applyFill="1" applyBorder="1"/>
    <xf numFmtId="2" fontId="19" fillId="61" borderId="29" xfId="10" applyNumberFormat="1" applyFill="1" applyBorder="1"/>
    <xf numFmtId="2" fontId="19" fillId="61" borderId="53" xfId="10" applyNumberFormat="1" applyFill="1" applyBorder="1"/>
    <xf numFmtId="2" fontId="19" fillId="61" borderId="53" xfId="10" applyNumberFormat="1" applyFill="1" applyBorder="1" applyAlignment="1">
      <alignment horizontal="right"/>
    </xf>
    <xf numFmtId="2" fontId="19" fillId="61" borderId="100" xfId="10" applyNumberFormat="1" applyFill="1" applyBorder="1"/>
    <xf numFmtId="2" fontId="19" fillId="61" borderId="33" xfId="10" applyNumberFormat="1" applyFill="1" applyBorder="1"/>
    <xf numFmtId="2" fontId="19" fillId="55" borderId="52" xfId="10" applyNumberFormat="1" applyFill="1" applyBorder="1"/>
    <xf numFmtId="2" fontId="19" fillId="55" borderId="52" xfId="10" applyNumberFormat="1" applyFill="1" applyBorder="1" applyAlignment="1">
      <alignment horizontal="right"/>
    </xf>
    <xf numFmtId="2" fontId="19" fillId="55" borderId="99" xfId="10" applyNumberFormat="1" applyFill="1" applyBorder="1"/>
    <xf numFmtId="2" fontId="19" fillId="55" borderId="29" xfId="10" applyNumberFormat="1" applyFill="1" applyBorder="1"/>
    <xf numFmtId="2" fontId="19" fillId="55" borderId="53" xfId="10" applyNumberFormat="1" applyFill="1" applyBorder="1"/>
    <xf numFmtId="2" fontId="19" fillId="55" borderId="53" xfId="10" applyNumberFormat="1" applyFill="1" applyBorder="1" applyAlignment="1">
      <alignment horizontal="right"/>
    </xf>
    <xf numFmtId="2" fontId="19" fillId="55" borderId="100" xfId="10" applyNumberFormat="1" applyFill="1" applyBorder="1"/>
    <xf numFmtId="2" fontId="19" fillId="55" borderId="33" xfId="10" applyNumberFormat="1" applyFill="1" applyBorder="1"/>
    <xf numFmtId="2" fontId="19" fillId="60" borderId="39" xfId="10" applyNumberFormat="1" applyFill="1" applyBorder="1"/>
    <xf numFmtId="1" fontId="19" fillId="0" borderId="7" xfId="10" applyNumberFormat="1" applyFont="1" applyFill="1" applyBorder="1" applyAlignment="1">
      <alignment horizontal="right"/>
    </xf>
    <xf numFmtId="1" fontId="19" fillId="0" borderId="6" xfId="10" applyNumberFormat="1" applyFont="1" applyFill="1" applyBorder="1" applyAlignment="1">
      <alignment horizontal="right"/>
    </xf>
    <xf numFmtId="1" fontId="19" fillId="60" borderId="39" xfId="10" applyNumberFormat="1" applyFill="1" applyBorder="1"/>
    <xf numFmtId="164" fontId="19" fillId="60" borderId="39" xfId="10" applyNumberFormat="1" applyFill="1" applyBorder="1"/>
    <xf numFmtId="3" fontId="19" fillId="60" borderId="39" xfId="10" applyNumberFormat="1" applyFill="1" applyBorder="1"/>
    <xf numFmtId="1" fontId="19" fillId="0" borderId="53" xfId="10" applyNumberFormat="1" applyFill="1" applyBorder="1"/>
    <xf numFmtId="1" fontId="19" fillId="0" borderId="100" xfId="10" applyNumberFormat="1" applyFill="1" applyBorder="1"/>
    <xf numFmtId="1" fontId="19" fillId="60" borderId="33" xfId="10" applyNumberFormat="1" applyFill="1" applyBorder="1"/>
    <xf numFmtId="43" fontId="7" fillId="0" borderId="98" xfId="64" applyFill="1" applyBorder="1"/>
    <xf numFmtId="176" fontId="19" fillId="0" borderId="99" xfId="10" applyNumberFormat="1" applyFill="1" applyBorder="1"/>
    <xf numFmtId="176" fontId="19" fillId="60" borderId="29" xfId="10" applyNumberFormat="1" applyFill="1" applyBorder="1"/>
    <xf numFmtId="0" fontId="48" fillId="0" borderId="33" xfId="10" applyFont="1" applyFill="1" applyBorder="1"/>
    <xf numFmtId="176" fontId="19" fillId="0" borderId="100" xfId="10" applyNumberFormat="1" applyFill="1" applyBorder="1"/>
    <xf numFmtId="168" fontId="19" fillId="0" borderId="101" xfId="1" applyNumberFormat="1" applyFont="1" applyFill="1" applyBorder="1"/>
    <xf numFmtId="43" fontId="7" fillId="0" borderId="0" xfId="64" applyFill="1" applyBorder="1"/>
    <xf numFmtId="0" fontId="7" fillId="63" borderId="6" xfId="14" applyFill="1" applyBorder="1" applyAlignment="1">
      <alignment horizontal="left" readingOrder="1"/>
    </xf>
    <xf numFmtId="2" fontId="7" fillId="63" borderId="6" xfId="14" applyNumberFormat="1" applyFill="1" applyBorder="1" applyAlignment="1">
      <alignment horizontal="left" readingOrder="1"/>
    </xf>
    <xf numFmtId="0" fontId="7" fillId="63" borderId="14" xfId="14" applyFill="1" applyBorder="1" applyAlignment="1">
      <alignment horizontal="left" readingOrder="1"/>
    </xf>
    <xf numFmtId="0" fontId="7" fillId="63" borderId="7" xfId="14" applyFill="1" applyBorder="1" applyAlignment="1">
      <alignment horizontal="left" readingOrder="1"/>
    </xf>
    <xf numFmtId="0" fontId="0" fillId="8" borderId="0" xfId="0" applyFill="1">
      <alignment readingOrder="1"/>
    </xf>
    <xf numFmtId="0" fontId="84" fillId="0" borderId="0" xfId="14" applyFont="1">
      <alignment readingOrder="1"/>
    </xf>
    <xf numFmtId="2" fontId="84" fillId="0" borderId="0" xfId="14" applyNumberFormat="1" applyFont="1">
      <alignment readingOrder="1"/>
    </xf>
    <xf numFmtId="0" fontId="7" fillId="0" borderId="0" xfId="14" applyFill="1" applyBorder="1" applyAlignment="1">
      <alignment readingOrder="1"/>
    </xf>
    <xf numFmtId="0" fontId="7" fillId="6" borderId="5" xfId="4" applyFont="1" applyFill="1" applyBorder="1" applyAlignment="1">
      <alignment wrapText="1"/>
    </xf>
    <xf numFmtId="173" fontId="7" fillId="6" borderId="5" xfId="237" applyNumberFormat="1" applyFont="1" applyFill="1" applyBorder="1" applyAlignment="1">
      <alignment wrapText="1"/>
    </xf>
    <xf numFmtId="44" fontId="7" fillId="6" borderId="5" xfId="1" applyFont="1" applyFill="1" applyBorder="1" applyAlignment="1">
      <alignment wrapText="1"/>
    </xf>
    <xf numFmtId="168" fontId="7" fillId="6" borderId="5" xfId="1" applyNumberFormat="1" applyFont="1" applyFill="1" applyBorder="1" applyAlignment="1">
      <alignment wrapText="1"/>
    </xf>
    <xf numFmtId="164" fontId="7" fillId="6" borderId="5" xfId="4" applyNumberFormat="1" applyFont="1" applyFill="1" applyBorder="1" applyAlignment="1">
      <alignment wrapText="1"/>
    </xf>
    <xf numFmtId="1" fontId="7" fillId="6" borderId="5" xfId="4" applyNumberFormat="1" applyFont="1" applyFill="1" applyBorder="1" applyAlignment="1">
      <alignment wrapText="1"/>
    </xf>
    <xf numFmtId="6" fontId="7" fillId="6" borderId="5" xfId="4" applyNumberFormat="1" applyFont="1" applyFill="1" applyBorder="1" applyAlignment="1">
      <alignment wrapText="1"/>
    </xf>
    <xf numFmtId="2" fontId="7" fillId="6" borderId="5" xfId="4" applyNumberFormat="1" applyFont="1" applyFill="1" applyBorder="1" applyAlignment="1">
      <alignment wrapText="1"/>
    </xf>
    <xf numFmtId="8" fontId="7" fillId="6" borderId="5" xfId="4" applyNumberFormat="1" applyFont="1" applyFill="1" applyBorder="1" applyAlignment="1">
      <alignment wrapText="1"/>
    </xf>
    <xf numFmtId="44" fontId="7" fillId="6" borderId="5" xfId="4" applyNumberFormat="1" applyFont="1" applyFill="1" applyBorder="1" applyAlignment="1">
      <alignment wrapText="1"/>
    </xf>
    <xf numFmtId="0" fontId="0" fillId="12" borderId="0" xfId="0" applyFill="1" applyAlignment="1"/>
    <xf numFmtId="9" fontId="7" fillId="6" borderId="0" xfId="4" applyNumberFormat="1" applyFont="1" applyFill="1" applyBorder="1" applyAlignment="1">
      <alignment wrapText="1"/>
    </xf>
    <xf numFmtId="0" fontId="14" fillId="95" borderId="6" xfId="0" applyFont="1" applyFill="1" applyBorder="1" applyAlignment="1">
      <alignment horizontal="left" wrapText="1" readingOrder="1"/>
    </xf>
    <xf numFmtId="0" fontId="14" fillId="95" borderId="7" xfId="0" applyFont="1" applyFill="1" applyBorder="1" applyAlignment="1">
      <alignment horizontal="center" wrapText="1" readingOrder="1"/>
    </xf>
    <xf numFmtId="0" fontId="14" fillId="9" borderId="14" xfId="0" applyFont="1" applyFill="1" applyBorder="1" applyAlignment="1">
      <alignment horizontal="center" wrapText="1" readingOrder="1"/>
    </xf>
    <xf numFmtId="0" fontId="0" fillId="0" borderId="54" xfId="0" applyBorder="1">
      <alignment readingOrder="1"/>
    </xf>
    <xf numFmtId="0" fontId="0" fillId="0" borderId="55" xfId="0" applyBorder="1">
      <alignment readingOrder="1"/>
    </xf>
    <xf numFmtId="0" fontId="0" fillId="0" borderId="28" xfId="0" applyBorder="1">
      <alignment readingOrder="1"/>
    </xf>
    <xf numFmtId="0" fontId="0" fillId="0" borderId="56" xfId="0" applyBorder="1">
      <alignment readingOrder="1"/>
    </xf>
    <xf numFmtId="0" fontId="0" fillId="0" borderId="0" xfId="0" applyBorder="1">
      <alignment readingOrder="1"/>
    </xf>
    <xf numFmtId="0" fontId="0" fillId="0" borderId="57" xfId="0" applyBorder="1">
      <alignment readingOrder="1"/>
    </xf>
    <xf numFmtId="0" fontId="0" fillId="0" borderId="59" xfId="0" applyBorder="1">
      <alignment readingOrder="1"/>
    </xf>
    <xf numFmtId="0" fontId="0" fillId="0" borderId="58" xfId="0" applyBorder="1">
      <alignment readingOrder="1"/>
    </xf>
    <xf numFmtId="0" fontId="0" fillId="0" borderId="41" xfId="0" applyBorder="1">
      <alignment readingOrder="1"/>
    </xf>
    <xf numFmtId="0" fontId="12" fillId="96" borderId="65" xfId="0" applyFont="1" applyFill="1" applyBorder="1" applyAlignment="1">
      <alignment horizontal="centerContinuous" wrapText="1" readingOrder="1"/>
    </xf>
    <xf numFmtId="0" fontId="12" fillId="96" borderId="8" xfId="0" applyFont="1" applyFill="1" applyBorder="1" applyAlignment="1">
      <alignment horizontal="centerContinuous" wrapText="1" readingOrder="1"/>
    </xf>
    <xf numFmtId="164" fontId="12" fillId="96" borderId="65" xfId="0" applyNumberFormat="1" applyFont="1" applyFill="1" applyBorder="1" applyAlignment="1">
      <alignment horizontal="centerContinuous" wrapText="1" readingOrder="1"/>
    </xf>
    <xf numFmtId="164" fontId="12" fillId="96" borderId="71" xfId="0" applyNumberFormat="1" applyFont="1" applyFill="1" applyBorder="1" applyAlignment="1">
      <alignment horizontal="centerContinuous" wrapText="1" readingOrder="1"/>
    </xf>
    <xf numFmtId="164" fontId="12" fillId="96" borderId="8" xfId="0" applyNumberFormat="1" applyFont="1" applyFill="1" applyBorder="1" applyAlignment="1">
      <alignment horizontal="centerContinuous" wrapText="1" readingOrder="1"/>
    </xf>
    <xf numFmtId="164" fontId="12" fillId="96" borderId="14" xfId="0" applyNumberFormat="1" applyFont="1" applyFill="1" applyBorder="1" applyAlignment="1">
      <alignment horizontal="center" wrapText="1" readingOrder="1"/>
    </xf>
    <xf numFmtId="180" fontId="12" fillId="10" borderId="7" xfId="0" applyNumberFormat="1" applyFont="1" applyFill="1" applyBorder="1" applyAlignment="1">
      <alignment horizontal="center" wrapText="1" readingOrder="1"/>
    </xf>
    <xf numFmtId="164" fontId="85" fillId="0" borderId="0" xfId="0" applyNumberFormat="1" applyFont="1">
      <alignment readingOrder="1"/>
    </xf>
    <xf numFmtId="0" fontId="12" fillId="11" borderId="65" xfId="0" applyFont="1" applyFill="1" applyBorder="1" applyAlignment="1">
      <alignment horizontal="centerContinuous" wrapText="1" readingOrder="1"/>
    </xf>
    <xf numFmtId="0" fontId="12" fillId="11" borderId="71" xfId="0" applyFont="1" applyFill="1" applyBorder="1" applyAlignment="1">
      <alignment horizontal="centerContinuous" wrapText="1" readingOrder="1"/>
    </xf>
    <xf numFmtId="164" fontId="12" fillId="11" borderId="71" xfId="0" applyNumberFormat="1" applyFont="1" applyFill="1" applyBorder="1" applyAlignment="1">
      <alignment horizontal="centerContinuous" wrapText="1" readingOrder="1"/>
    </xf>
    <xf numFmtId="164" fontId="12" fillId="11" borderId="14" xfId="0" applyNumberFormat="1" applyFont="1" applyFill="1" applyBorder="1" applyAlignment="1">
      <alignment horizontal="center" wrapText="1" readingOrder="1"/>
    </xf>
    <xf numFmtId="164" fontId="12" fillId="11" borderId="65" xfId="0" applyNumberFormat="1" applyFont="1" applyFill="1" applyBorder="1" applyAlignment="1">
      <alignment horizontal="centerContinuous" wrapText="1" readingOrder="1"/>
    </xf>
    <xf numFmtId="164" fontId="13" fillId="0" borderId="0" xfId="0" applyNumberFormat="1" applyFont="1">
      <alignment readingOrder="1"/>
    </xf>
    <xf numFmtId="181" fontId="13" fillId="0" borderId="0" xfId="0" applyNumberFormat="1" applyFont="1">
      <alignment readingOrder="1"/>
    </xf>
    <xf numFmtId="181" fontId="0" fillId="0" borderId="0" xfId="0" applyNumberFormat="1">
      <alignment readingOrder="1"/>
    </xf>
    <xf numFmtId="181" fontId="85" fillId="0" borderId="0" xfId="0" applyNumberFormat="1" applyFont="1">
      <alignment readingOrder="1"/>
    </xf>
    <xf numFmtId="0" fontId="86" fillId="97" borderId="106" xfId="0" applyFont="1" applyFill="1" applyBorder="1"/>
    <xf numFmtId="0" fontId="86" fillId="97" borderId="107" xfId="0" applyFont="1" applyFill="1" applyBorder="1"/>
    <xf numFmtId="3" fontId="86" fillId="97" borderId="107" xfId="0" applyNumberFormat="1" applyFont="1" applyFill="1" applyBorder="1"/>
    <xf numFmtId="172" fontId="86" fillId="97" borderId="108" xfId="0" applyNumberFormat="1" applyFont="1" applyFill="1" applyBorder="1"/>
    <xf numFmtId="0" fontId="86" fillId="0" borderId="106" xfId="0" applyFont="1" applyBorder="1"/>
    <xf numFmtId="0" fontId="86" fillId="0" borderId="107" xfId="0" applyFont="1" applyBorder="1"/>
    <xf numFmtId="3" fontId="86" fillId="0" borderId="107" xfId="0" applyNumberFormat="1" applyFont="1" applyBorder="1"/>
    <xf numFmtId="172" fontId="86" fillId="0" borderId="108" xfId="0" applyNumberFormat="1" applyFont="1" applyBorder="1"/>
    <xf numFmtId="0" fontId="87" fillId="98" borderId="106" xfId="0" applyFont="1" applyFill="1" applyBorder="1"/>
    <xf numFmtId="0" fontId="87" fillId="98" borderId="107" xfId="0" applyFont="1" applyFill="1" applyBorder="1"/>
    <xf numFmtId="0" fontId="87" fillId="98" borderId="108" xfId="0" applyFont="1" applyFill="1" applyBorder="1"/>
    <xf numFmtId="0" fontId="88" fillId="52" borderId="0" xfId="0" applyFont="1" applyFill="1"/>
    <xf numFmtId="0" fontId="89" fillId="52" borderId="0" xfId="0" applyFont="1" applyFill="1"/>
    <xf numFmtId="0" fontId="90" fillId="99" borderId="0" xfId="0" applyFont="1" applyFill="1"/>
    <xf numFmtId="0" fontId="89" fillId="99" borderId="0" xfId="0" applyFont="1" applyFill="1"/>
    <xf numFmtId="0" fontId="90" fillId="99" borderId="0" xfId="0" applyFont="1" applyFill="1" applyAlignment="1">
      <alignment horizontal="center"/>
    </xf>
    <xf numFmtId="0" fontId="90" fillId="99" borderId="0" xfId="0" applyFont="1" applyFill="1" applyBorder="1" applyAlignment="1">
      <alignment horizontal="center"/>
    </xf>
    <xf numFmtId="0" fontId="90" fillId="100" borderId="0" xfId="0" applyFont="1" applyFill="1" applyBorder="1" applyAlignment="1">
      <alignment horizontal="center"/>
    </xf>
    <xf numFmtId="0" fontId="90" fillId="14" borderId="0" xfId="0" applyFont="1" applyFill="1" applyBorder="1" applyAlignment="1">
      <alignment horizontal="center"/>
    </xf>
    <xf numFmtId="0" fontId="90" fillId="101" borderId="0" xfId="0" applyFont="1" applyFill="1" applyBorder="1" applyAlignment="1">
      <alignment horizontal="center"/>
    </xf>
    <xf numFmtId="0" fontId="90" fillId="99" borderId="21" xfId="0" applyFont="1" applyFill="1" applyBorder="1" applyAlignment="1">
      <alignment horizontal="center"/>
    </xf>
    <xf numFmtId="0" fontId="90" fillId="99" borderId="21" xfId="0" applyFont="1" applyFill="1" applyBorder="1"/>
    <xf numFmtId="0" fontId="90" fillId="100" borderId="21" xfId="0" applyFont="1" applyFill="1" applyBorder="1" applyAlignment="1">
      <alignment horizontal="center"/>
    </xf>
    <xf numFmtId="0" fontId="90" fillId="14" borderId="21" xfId="0" applyFont="1" applyFill="1" applyBorder="1" applyAlignment="1">
      <alignment horizontal="center"/>
    </xf>
    <xf numFmtId="0" fontId="90" fillId="101" borderId="21" xfId="0" applyFont="1" applyFill="1" applyBorder="1" applyAlignment="1">
      <alignment horizontal="center"/>
    </xf>
    <xf numFmtId="0" fontId="91" fillId="99" borderId="0" xfId="0" applyFont="1" applyFill="1" applyBorder="1" applyAlignment="1">
      <alignment horizontal="center"/>
    </xf>
    <xf numFmtId="0" fontId="91" fillId="100" borderId="0" xfId="0" applyFont="1" applyFill="1" applyBorder="1" applyAlignment="1">
      <alignment horizontal="center"/>
    </xf>
    <xf numFmtId="0" fontId="89" fillId="14" borderId="0" xfId="0" applyFont="1" applyFill="1"/>
    <xf numFmtId="0" fontId="89" fillId="101" borderId="0" xfId="0" applyFont="1" applyFill="1"/>
    <xf numFmtId="0" fontId="89" fillId="99" borderId="0" xfId="0" applyFont="1" applyFill="1" applyAlignment="1">
      <alignment horizontal="center"/>
    </xf>
    <xf numFmtId="2" fontId="89" fillId="99" borderId="0" xfId="0" applyNumberFormat="1" applyFont="1" applyFill="1" applyAlignment="1">
      <alignment horizontal="center"/>
    </xf>
    <xf numFmtId="174" fontId="89" fillId="99" borderId="0" xfId="0" applyNumberFormat="1" applyFont="1" applyFill="1" applyBorder="1" applyAlignment="1">
      <alignment horizontal="center"/>
    </xf>
    <xf numFmtId="172" fontId="89" fillId="99" borderId="0" xfId="0" applyNumberFormat="1" applyFont="1" applyFill="1" applyBorder="1" applyAlignment="1">
      <alignment horizontal="center"/>
    </xf>
    <xf numFmtId="2" fontId="89" fillId="100" borderId="0" xfId="0" applyNumberFormat="1" applyFont="1" applyFill="1" applyBorder="1" applyAlignment="1">
      <alignment horizontal="center"/>
    </xf>
    <xf numFmtId="2" fontId="89" fillId="99" borderId="0" xfId="0" applyNumberFormat="1" applyFont="1" applyFill="1" applyBorder="1" applyAlignment="1">
      <alignment horizontal="center"/>
    </xf>
    <xf numFmtId="2" fontId="93" fillId="99" borderId="0" xfId="0" applyNumberFormat="1" applyFont="1" applyFill="1" applyBorder="1" applyAlignment="1">
      <alignment horizontal="center"/>
    </xf>
    <xf numFmtId="164" fontId="89" fillId="99" borderId="0" xfId="0" applyNumberFormat="1" applyFont="1" applyFill="1" applyBorder="1" applyAlignment="1">
      <alignment horizontal="center"/>
    </xf>
    <xf numFmtId="9" fontId="89" fillId="14" borderId="0" xfId="9" applyFont="1" applyFill="1" applyAlignment="1">
      <alignment horizontal="center"/>
    </xf>
    <xf numFmtId="9" fontId="89" fillId="101" borderId="0" xfId="9" applyFont="1" applyFill="1" applyAlignment="1">
      <alignment horizontal="center"/>
    </xf>
    <xf numFmtId="2" fontId="89" fillId="101" borderId="0" xfId="0" applyNumberFormat="1" applyFont="1" applyFill="1" applyAlignment="1">
      <alignment horizontal="center"/>
    </xf>
    <xf numFmtId="167" fontId="0" fillId="0" borderId="0" xfId="0" applyNumberFormat="1">
      <alignment readingOrder="1"/>
    </xf>
    <xf numFmtId="0" fontId="89" fillId="99" borderId="0" xfId="0" applyFont="1" applyFill="1" applyBorder="1" applyAlignment="1">
      <alignment horizontal="center"/>
    </xf>
    <xf numFmtId="0" fontId="89" fillId="99" borderId="0" xfId="0" applyFont="1" applyFill="1" applyBorder="1"/>
    <xf numFmtId="9" fontId="89" fillId="14" borderId="0" xfId="9" applyFont="1" applyFill="1" applyBorder="1" applyAlignment="1">
      <alignment horizontal="center"/>
    </xf>
    <xf numFmtId="0" fontId="89" fillId="5" borderId="0" xfId="0" applyFont="1" applyFill="1"/>
    <xf numFmtId="2" fontId="0" fillId="0" borderId="0" xfId="0" applyNumberFormat="1">
      <alignment readingOrder="1"/>
    </xf>
    <xf numFmtId="0" fontId="7" fillId="0" borderId="0" xfId="0" applyFont="1" applyFill="1">
      <alignment readingOrder="1"/>
    </xf>
    <xf numFmtId="0" fontId="0" fillId="0" borderId="0" xfId="0" applyFill="1" applyAlignment="1">
      <alignment horizontal="right" readingOrder="1"/>
    </xf>
    <xf numFmtId="9" fontId="7" fillId="0" borderId="0" xfId="9" applyFont="1" applyFill="1">
      <alignment readingOrder="1"/>
    </xf>
    <xf numFmtId="0" fontId="58" fillId="0" borderId="0" xfId="0" applyFont="1" applyFill="1">
      <alignment readingOrder="1"/>
    </xf>
    <xf numFmtId="0" fontId="7" fillId="0" borderId="0" xfId="0" applyFont="1" applyFill="1" applyAlignment="1">
      <alignment horizontal="right" readingOrder="1"/>
    </xf>
    <xf numFmtId="2" fontId="0" fillId="0" borderId="0" xfId="0" applyNumberFormat="1" applyFill="1" applyAlignment="1">
      <alignment horizontal="right" readingOrder="1"/>
    </xf>
    <xf numFmtId="0" fontId="94" fillId="0" borderId="0" xfId="0" applyFont="1" applyFill="1" applyBorder="1" applyAlignment="1">
      <alignment horizontal="left" indent="1"/>
    </xf>
    <xf numFmtId="0" fontId="94" fillId="0" borderId="0" xfId="0" applyFont="1" applyFill="1" applyBorder="1"/>
    <xf numFmtId="0" fontId="94" fillId="0" borderId="0" xfId="0" applyFont="1" applyFill="1" applyBorder="1" applyAlignment="1">
      <alignment horizontal="center"/>
    </xf>
    <xf numFmtId="1" fontId="89" fillId="0" borderId="0" xfId="9" applyNumberFormat="1" applyFont="1" applyFill="1" applyBorder="1" applyAlignment="1">
      <alignment horizontal="center"/>
    </xf>
    <xf numFmtId="0" fontId="89" fillId="0" borderId="0" xfId="0" applyFont="1" applyFill="1" applyBorder="1" applyAlignment="1">
      <alignment horizontal="left" indent="1"/>
    </xf>
    <xf numFmtId="0" fontId="89" fillId="0" borderId="0" xfId="0" applyFont="1" applyFill="1" applyBorder="1" applyAlignment="1">
      <alignment horizontal="center"/>
    </xf>
    <xf numFmtId="182" fontId="89" fillId="0" borderId="0" xfId="9" applyNumberFormat="1" applyFont="1" applyFill="1" applyBorder="1" applyAlignment="1">
      <alignment horizontal="center"/>
    </xf>
    <xf numFmtId="0" fontId="89" fillId="0" borderId="0" xfId="0" applyFont="1" applyFill="1" applyBorder="1" applyAlignment="1">
      <alignment horizontal="left"/>
    </xf>
    <xf numFmtId="9" fontId="0" fillId="0" borderId="0" xfId="9" applyFont="1" applyFill="1">
      <alignment readingOrder="1"/>
    </xf>
    <xf numFmtId="43" fontId="0" fillId="0" borderId="0" xfId="237" applyNumberFormat="1" applyFont="1" applyFill="1">
      <alignment readingOrder="1"/>
    </xf>
    <xf numFmtId="0" fontId="7" fillId="0" borderId="0" xfId="184">
      <alignment readingOrder="1"/>
    </xf>
    <xf numFmtId="17" fontId="7" fillId="0" borderId="0" xfId="184" applyNumberFormat="1">
      <alignment readingOrder="1"/>
    </xf>
    <xf numFmtId="0" fontId="35" fillId="0" borderId="0" xfId="241" applyFill="1">
      <alignment readingOrder="1"/>
    </xf>
    <xf numFmtId="0" fontId="13" fillId="0" borderId="0" xfId="184" applyFont="1">
      <alignment readingOrder="1"/>
    </xf>
    <xf numFmtId="0" fontId="13" fillId="57" borderId="5" xfId="184" applyFont="1" applyFill="1" applyBorder="1">
      <alignment readingOrder="1"/>
    </xf>
    <xf numFmtId="0" fontId="7" fillId="57" borderId="5" xfId="184" applyFill="1" applyBorder="1">
      <alignment readingOrder="1"/>
    </xf>
    <xf numFmtId="0" fontId="13" fillId="57" borderId="5" xfId="184" applyFont="1" applyFill="1" applyBorder="1" applyAlignment="1">
      <alignment wrapText="1" readingOrder="1"/>
    </xf>
    <xf numFmtId="0" fontId="7" fillId="57" borderId="5" xfId="184" applyFill="1" applyBorder="1" applyAlignment="1">
      <alignment wrapText="1" readingOrder="1"/>
    </xf>
    <xf numFmtId="0" fontId="7" fillId="0" borderId="5" xfId="184" applyFont="1" applyFill="1" applyBorder="1">
      <alignment readingOrder="1"/>
    </xf>
    <xf numFmtId="10" fontId="7" fillId="0" borderId="5" xfId="9" applyNumberFormat="1" applyFont="1" applyFill="1" applyBorder="1">
      <alignment readingOrder="1"/>
    </xf>
    <xf numFmtId="2" fontId="7" fillId="0" borderId="5" xfId="184" applyNumberFormat="1" applyFont="1" applyFill="1" applyBorder="1">
      <alignment readingOrder="1"/>
    </xf>
    <xf numFmtId="9" fontId="7" fillId="0" borderId="5" xfId="9" applyFont="1" applyFill="1" applyBorder="1">
      <alignment readingOrder="1"/>
    </xf>
    <xf numFmtId="2" fontId="7" fillId="0" borderId="5" xfId="9" applyNumberFormat="1" applyFont="1" applyFill="1" applyBorder="1">
      <alignment readingOrder="1"/>
    </xf>
    <xf numFmtId="10" fontId="7" fillId="0" borderId="5" xfId="184" applyNumberFormat="1" applyFont="1" applyFill="1" applyBorder="1">
      <alignment readingOrder="1"/>
    </xf>
    <xf numFmtId="0" fontId="7" fillId="0" borderId="0" xfId="184" applyFont="1" applyFill="1">
      <alignment readingOrder="1"/>
    </xf>
    <xf numFmtId="10" fontId="7" fillId="0" borderId="0" xfId="184" applyNumberFormat="1" applyFont="1" applyFill="1">
      <alignment readingOrder="1"/>
    </xf>
    <xf numFmtId="0" fontId="6" fillId="0" borderId="0" xfId="184" applyFont="1" applyFill="1" applyAlignment="1">
      <alignment horizontal="right" readingOrder="1"/>
    </xf>
    <xf numFmtId="2" fontId="6" fillId="0" borderId="0" xfId="184" applyNumberFormat="1" applyFont="1" applyFill="1">
      <alignment readingOrder="1"/>
    </xf>
    <xf numFmtId="164" fontId="7" fillId="0" borderId="0" xfId="184" applyNumberFormat="1" applyFont="1" applyFill="1">
      <alignment readingOrder="1"/>
    </xf>
    <xf numFmtId="0" fontId="13" fillId="57" borderId="0" xfId="184" applyFont="1" applyFill="1">
      <alignment readingOrder="1"/>
    </xf>
    <xf numFmtId="0" fontId="7" fillId="57" borderId="0" xfId="184" applyFill="1">
      <alignment readingOrder="1"/>
    </xf>
    <xf numFmtId="0" fontId="7" fillId="0" borderId="0" xfId="184" applyFont="1">
      <alignment readingOrder="1"/>
    </xf>
    <xf numFmtId="0" fontId="13" fillId="0" borderId="0" xfId="184" applyFont="1" applyFill="1" applyBorder="1">
      <alignment readingOrder="1"/>
    </xf>
    <xf numFmtId="0" fontId="7" fillId="0" borderId="0" xfId="184" applyFill="1" applyBorder="1">
      <alignment readingOrder="1"/>
    </xf>
    <xf numFmtId="0" fontId="7" fillId="0" borderId="0" xfId="184" applyFill="1">
      <alignment readingOrder="1"/>
    </xf>
    <xf numFmtId="0" fontId="95" fillId="0" borderId="0" xfId="14" applyFont="1" applyFill="1" applyBorder="1" applyAlignment="1">
      <alignment horizontal="center" vertical="center" wrapText="1" readingOrder="1"/>
    </xf>
    <xf numFmtId="0" fontId="7" fillId="0" borderId="0" xfId="184" applyBorder="1">
      <alignment readingOrder="1"/>
    </xf>
    <xf numFmtId="2" fontId="96" fillId="0" borderId="0" xfId="14" applyNumberFormat="1" applyFont="1" applyFill="1" applyBorder="1" applyAlignment="1">
      <alignment horizontal="center" readingOrder="1"/>
    </xf>
    <xf numFmtId="9" fontId="96" fillId="0" borderId="0" xfId="9" applyFont="1" applyFill="1" applyBorder="1" applyAlignment="1">
      <alignment horizontal="center" readingOrder="1"/>
    </xf>
    <xf numFmtId="0" fontId="6" fillId="0" borderId="0" xfId="184" applyFont="1">
      <alignment readingOrder="1"/>
    </xf>
    <xf numFmtId="0" fontId="7" fillId="0" borderId="0" xfId="184" applyFill="1" applyBorder="1" applyAlignment="1">
      <alignment wrapText="1" readingOrder="1"/>
    </xf>
    <xf numFmtId="0" fontId="7" fillId="0" borderId="0" xfId="184" applyFill="1" applyBorder="1" applyAlignment="1">
      <alignment readingOrder="1"/>
    </xf>
    <xf numFmtId="43" fontId="7" fillId="0" borderId="0" xfId="8156" applyNumberFormat="1"/>
    <xf numFmtId="164" fontId="0" fillId="74" borderId="0" xfId="0" applyNumberFormat="1" applyFill="1">
      <alignment readingOrder="1"/>
    </xf>
    <xf numFmtId="0" fontId="0" fillId="55" borderId="0" xfId="0" applyFill="1" applyAlignment="1">
      <alignment horizontal="left" vertical="center" readingOrder="1"/>
    </xf>
    <xf numFmtId="0" fontId="0" fillId="55" borderId="0" xfId="0" applyFill="1" applyAlignment="1">
      <alignment horizontal="left" vertical="center" wrapText="1" readingOrder="1"/>
    </xf>
    <xf numFmtId="0" fontId="72" fillId="0" borderId="72" xfId="0" applyFont="1" applyBorder="1" applyAlignment="1">
      <alignment horizontal="center" vertical="center" wrapText="1"/>
    </xf>
    <xf numFmtId="0" fontId="72" fillId="0" borderId="76" xfId="0" applyFont="1" applyBorder="1" applyAlignment="1">
      <alignment horizontal="center" vertical="center" wrapText="1"/>
    </xf>
    <xf numFmtId="0" fontId="72" fillId="0" borderId="73" xfId="0" applyFont="1" applyBorder="1" applyAlignment="1">
      <alignment horizontal="center" vertical="center"/>
    </xf>
    <xf numFmtId="0" fontId="72" fillId="0" borderId="74" xfId="0" applyFont="1" applyBorder="1" applyAlignment="1">
      <alignment horizontal="center" vertical="center"/>
    </xf>
    <xf numFmtId="0" fontId="72" fillId="0" borderId="75" xfId="0" applyFont="1" applyBorder="1" applyAlignment="1">
      <alignment horizontal="center" vertical="center"/>
    </xf>
    <xf numFmtId="0" fontId="12" fillId="3" borderId="1" xfId="2" applyFont="1" applyFill="1" applyBorder="1" applyAlignment="1">
      <alignment horizontal="center"/>
    </xf>
    <xf numFmtId="0" fontId="12" fillId="3" borderId="4" xfId="2" applyFont="1" applyFill="1" applyBorder="1" applyAlignment="1">
      <alignment horizontal="center"/>
    </xf>
    <xf numFmtId="0" fontId="12" fillId="3" borderId="3" xfId="2" applyFont="1" applyFill="1" applyBorder="1" applyAlignment="1">
      <alignment horizontal="center"/>
    </xf>
    <xf numFmtId="0" fontId="9" fillId="4" borderId="2" xfId="0" applyFont="1" applyFill="1" applyBorder="1" applyAlignment="1">
      <alignment horizontal="center"/>
    </xf>
    <xf numFmtId="0" fontId="13" fillId="0" borderId="2" xfId="0" applyFont="1" applyBorder="1" applyAlignment="1">
      <alignment horizontal="center"/>
    </xf>
    <xf numFmtId="0" fontId="13" fillId="69" borderId="5" xfId="2" applyFont="1" applyFill="1" applyBorder="1" applyAlignment="1">
      <alignment horizontal="center"/>
    </xf>
    <xf numFmtId="0" fontId="7" fillId="0" borderId="2" xfId="14" applyBorder="1" applyAlignment="1">
      <alignment horizontal="center" vertical="center" wrapText="1" readingOrder="1"/>
    </xf>
    <xf numFmtId="0" fontId="7" fillId="0" borderId="96" xfId="14" applyBorder="1" applyAlignment="1">
      <alignment horizontal="center" vertical="center" wrapText="1" readingOrder="1"/>
    </xf>
    <xf numFmtId="0" fontId="7" fillId="0" borderId="109" xfId="14" applyBorder="1" applyAlignment="1">
      <alignment horizontal="center" vertical="center" wrapText="1" readingOrder="1"/>
    </xf>
    <xf numFmtId="0" fontId="0" fillId="0" borderId="6" xfId="0" applyBorder="1" applyAlignment="1">
      <alignment horizontal="center"/>
    </xf>
    <xf numFmtId="0" fontId="0" fillId="0" borderId="14" xfId="0" applyBorder="1" applyAlignment="1">
      <alignment horizontal="center"/>
    </xf>
    <xf numFmtId="0" fontId="0" fillId="0" borderId="7" xfId="0" applyBorder="1" applyAlignment="1">
      <alignment horizontal="center"/>
    </xf>
    <xf numFmtId="0" fontId="49" fillId="0" borderId="0" xfId="10" applyFont="1" applyFill="1" applyBorder="1" applyAlignment="1">
      <alignment horizontal="left" vertical="top" wrapText="1"/>
    </xf>
    <xf numFmtId="0" fontId="19" fillId="0" borderId="0" xfId="10" applyFont="1" applyFill="1" applyBorder="1" applyAlignment="1">
      <alignment horizontal="left" vertical="top" wrapText="1"/>
    </xf>
    <xf numFmtId="0" fontId="54" fillId="0" borderId="6" xfId="0" applyFont="1" applyFill="1" applyBorder="1" applyAlignment="1">
      <alignment horizontal="center" wrapText="1"/>
    </xf>
    <xf numFmtId="0" fontId="54" fillId="0" borderId="14" xfId="0" applyFont="1" applyFill="1" applyBorder="1" applyAlignment="1">
      <alignment horizontal="center" wrapText="1"/>
    </xf>
    <xf numFmtId="0" fontId="54" fillId="0" borderId="7" xfId="0" applyFont="1" applyFill="1" applyBorder="1" applyAlignment="1">
      <alignment horizontal="center" wrapText="1"/>
    </xf>
    <xf numFmtId="0" fontId="52" fillId="0" borderId="0" xfId="10" applyFont="1" applyFill="1" applyBorder="1" applyAlignment="1">
      <alignment horizontal="left" vertical="top" wrapText="1"/>
    </xf>
    <xf numFmtId="0" fontId="19" fillId="0" borderId="0" xfId="10" applyFont="1" applyFill="1" applyBorder="1" applyAlignment="1">
      <alignment horizontal="left" wrapText="1"/>
    </xf>
    <xf numFmtId="0" fontId="19" fillId="0" borderId="0" xfId="10" applyFill="1" applyBorder="1" applyAlignment="1">
      <alignment horizontal="left" vertical="top" wrapText="1"/>
    </xf>
    <xf numFmtId="0" fontId="19" fillId="93" borderId="6" xfId="10" applyFont="1" applyFill="1" applyBorder="1" applyAlignment="1">
      <alignment horizontal="center"/>
    </xf>
    <xf numFmtId="0" fontId="19" fillId="93" borderId="14" xfId="10" applyFill="1" applyBorder="1" applyAlignment="1">
      <alignment horizontal="center"/>
    </xf>
    <xf numFmtId="0" fontId="19" fillId="93" borderId="7" xfId="10" applyFill="1" applyBorder="1" applyAlignment="1">
      <alignment horizontal="center"/>
    </xf>
    <xf numFmtId="0" fontId="7" fillId="0" borderId="0" xfId="14" applyFont="1" applyAlignment="1">
      <alignment horizontal="left" vertical="center" wrapText="1" readingOrder="1"/>
    </xf>
    <xf numFmtId="0" fontId="13" fillId="68" borderId="0" xfId="14" applyFont="1" applyFill="1" applyBorder="1" applyAlignment="1">
      <alignment horizontal="center" readingOrder="1"/>
    </xf>
    <xf numFmtId="0" fontId="9" fillId="4" borderId="1" xfId="14" applyFont="1" applyFill="1" applyBorder="1" applyAlignment="1">
      <alignment horizontal="center"/>
    </xf>
    <xf numFmtId="0" fontId="9" fillId="4" borderId="3" xfId="14" applyFont="1" applyFill="1" applyBorder="1" applyAlignment="1">
      <alignment horizontal="center"/>
    </xf>
    <xf numFmtId="0" fontId="7" fillId="57" borderId="2" xfId="14" applyFont="1" applyFill="1" applyBorder="1" applyAlignment="1">
      <alignment horizontal="left" readingOrder="1"/>
    </xf>
    <xf numFmtId="0" fontId="13" fillId="11" borderId="0" xfId="14" applyFont="1" applyFill="1" applyAlignment="1">
      <alignment horizontal="center" readingOrder="1"/>
    </xf>
    <xf numFmtId="0" fontId="13" fillId="65" borderId="0" xfId="14" applyFont="1" applyFill="1" applyAlignment="1">
      <alignment horizontal="center" readingOrder="1"/>
    </xf>
    <xf numFmtId="0" fontId="13" fillId="66" borderId="0" xfId="14" applyFont="1" applyFill="1" applyAlignment="1">
      <alignment horizontal="center" readingOrder="1"/>
    </xf>
    <xf numFmtId="0" fontId="13" fillId="67" borderId="0" xfId="14" applyFont="1" applyFill="1" applyAlignment="1">
      <alignment horizontal="center" readingOrder="1"/>
    </xf>
    <xf numFmtId="0" fontId="90" fillId="99" borderId="0" xfId="0" applyFont="1" applyFill="1" applyBorder="1" applyAlignment="1">
      <alignment horizontal="center" wrapText="1"/>
    </xf>
    <xf numFmtId="0" fontId="90" fillId="99" borderId="21" xfId="0" applyFont="1" applyFill="1" applyBorder="1" applyAlignment="1">
      <alignment horizontal="center" wrapText="1"/>
    </xf>
    <xf numFmtId="0" fontId="59" fillId="0" borderId="0" xfId="184" applyFont="1" applyAlignment="1">
      <alignment horizontal="left" vertical="center" wrapText="1" readingOrder="1"/>
    </xf>
    <xf numFmtId="0" fontId="7" fillId="0" borderId="0" xfId="184" applyAlignment="1">
      <alignment horizontal="left" vertical="center" wrapText="1" readingOrder="1"/>
    </xf>
  </cellXfs>
  <cellStyles count="8157">
    <cellStyle name="20% - Accent1 2" xfId="15"/>
    <cellStyle name="20% - Accent1 2 2" xfId="243"/>
    <cellStyle name="20% - Accent1 3" xfId="244"/>
    <cellStyle name="20% - Accent1 3 2" xfId="368"/>
    <cellStyle name="20% - Accent1 4" xfId="369"/>
    <cellStyle name="20% - Accent1 4 2" xfId="370"/>
    <cellStyle name="20% - Accent1 5" xfId="371"/>
    <cellStyle name="20% - Accent2 2" xfId="16"/>
    <cellStyle name="20% - Accent2 2 2" xfId="372"/>
    <cellStyle name="20% - Accent2 3" xfId="245"/>
    <cellStyle name="20% - Accent2 3 2" xfId="373"/>
    <cellStyle name="20% - Accent2 4" xfId="374"/>
    <cellStyle name="20% - Accent2 4 2" xfId="375"/>
    <cellStyle name="20% - Accent2 5" xfId="376"/>
    <cellStyle name="20% - Accent3 2" xfId="17"/>
    <cellStyle name="20% - Accent3 2 2" xfId="246"/>
    <cellStyle name="20% - Accent3 3" xfId="247"/>
    <cellStyle name="20% - Accent3 3 2" xfId="377"/>
    <cellStyle name="20% - Accent3 4" xfId="378"/>
    <cellStyle name="20% - Accent3 4 2" xfId="379"/>
    <cellStyle name="20% - Accent3 5" xfId="380"/>
    <cellStyle name="20% - Accent4 2" xfId="18"/>
    <cellStyle name="20% - Accent4 2 2" xfId="248"/>
    <cellStyle name="20% - Accent4 3" xfId="249"/>
    <cellStyle name="20% - Accent4 3 2" xfId="381"/>
    <cellStyle name="20% - Accent4 4" xfId="382"/>
    <cellStyle name="20% - Accent4 4 2" xfId="383"/>
    <cellStyle name="20% - Accent4 5" xfId="384"/>
    <cellStyle name="20% - Accent5 2" xfId="19"/>
    <cellStyle name="20% - Accent5 2 2" xfId="385"/>
    <cellStyle name="20% - Accent5 3" xfId="250"/>
    <cellStyle name="20% - Accent5 3 2" xfId="386"/>
    <cellStyle name="20% - Accent5 4" xfId="387"/>
    <cellStyle name="20% - Accent5 4 2" xfId="388"/>
    <cellStyle name="20% - Accent5 5" xfId="389"/>
    <cellStyle name="20% - Accent6 2" xfId="20"/>
    <cellStyle name="20% - Accent6 2 2" xfId="390"/>
    <cellStyle name="20% - Accent6 3" xfId="251"/>
    <cellStyle name="20% - Accent6 3 2" xfId="391"/>
    <cellStyle name="20% - Accent6 4" xfId="392"/>
    <cellStyle name="20% - Accent6 4 2" xfId="393"/>
    <cellStyle name="20% - Accent6 5" xfId="394"/>
    <cellStyle name="40% - Accent1 2" xfId="21"/>
    <cellStyle name="40% - Accent1 2 2" xfId="252"/>
    <cellStyle name="40% - Accent1 3" xfId="253"/>
    <cellStyle name="40% - Accent1 3 2" xfId="395"/>
    <cellStyle name="40% - Accent1 4" xfId="396"/>
    <cellStyle name="40% - Accent1 4 2" xfId="397"/>
    <cellStyle name="40% - Accent1 5" xfId="398"/>
    <cellStyle name="40% - Accent2 2" xfId="22"/>
    <cellStyle name="40% - Accent2 2 2" xfId="254"/>
    <cellStyle name="40% - Accent2 3" xfId="255"/>
    <cellStyle name="40% - Accent2 3 2" xfId="399"/>
    <cellStyle name="40% - Accent2 4" xfId="400"/>
    <cellStyle name="40% - Accent2 4 2" xfId="401"/>
    <cellStyle name="40% - Accent2 5" xfId="402"/>
    <cellStyle name="40% - Accent3 2" xfId="23"/>
    <cellStyle name="40% - Accent3 2 2" xfId="256"/>
    <cellStyle name="40% - Accent3 3" xfId="257"/>
    <cellStyle name="40% - Accent3 3 2" xfId="403"/>
    <cellStyle name="40% - Accent3 4" xfId="404"/>
    <cellStyle name="40% - Accent3 4 2" xfId="405"/>
    <cellStyle name="40% - Accent3 5" xfId="406"/>
    <cellStyle name="40% - Accent4 2" xfId="24"/>
    <cellStyle name="40% - Accent4 2 2" xfId="258"/>
    <cellStyle name="40% - Accent4 3" xfId="259"/>
    <cellStyle name="40% - Accent4 3 2" xfId="407"/>
    <cellStyle name="40% - Accent4 4" xfId="408"/>
    <cellStyle name="40% - Accent4 4 2" xfId="409"/>
    <cellStyle name="40% - Accent4 5" xfId="410"/>
    <cellStyle name="40% - Accent5 2" xfId="25"/>
    <cellStyle name="40% - Accent5 2 2" xfId="411"/>
    <cellStyle name="40% - Accent5 3" xfId="260"/>
    <cellStyle name="40% - Accent5 3 2" xfId="412"/>
    <cellStyle name="40% - Accent5 4" xfId="413"/>
    <cellStyle name="40% - Accent5 4 2" xfId="414"/>
    <cellStyle name="40% - Accent5 5" xfId="415"/>
    <cellStyle name="40% - Accent6 2" xfId="26"/>
    <cellStyle name="40% - Accent6 2 2" xfId="261"/>
    <cellStyle name="40% - Accent6 3" xfId="262"/>
    <cellStyle name="40% - Accent6 3 2" xfId="416"/>
    <cellStyle name="40% - Accent6 4" xfId="417"/>
    <cellStyle name="40% - Accent6 4 2" xfId="418"/>
    <cellStyle name="40% - Accent6 5" xfId="419"/>
    <cellStyle name="60% - Accent1 2" xfId="27"/>
    <cellStyle name="60% - Accent1 2 2" xfId="263"/>
    <cellStyle name="60% - Accent1 3" xfId="264"/>
    <cellStyle name="60% - Accent2 2" xfId="28"/>
    <cellStyle name="60% - Accent2 2 2" xfId="265"/>
    <cellStyle name="60% - Accent2 3" xfId="266"/>
    <cellStyle name="60% - Accent3 2" xfId="29"/>
    <cellStyle name="60% - Accent3 2 2" xfId="267"/>
    <cellStyle name="60% - Accent3 3" xfId="268"/>
    <cellStyle name="60% - Accent4 2" xfId="30"/>
    <cellStyle name="60% - Accent4 2 2" xfId="269"/>
    <cellStyle name="60% - Accent4 3" xfId="270"/>
    <cellStyle name="60% - Accent5 2" xfId="31"/>
    <cellStyle name="60% - Accent5 3" xfId="271"/>
    <cellStyle name="60% - Accent6 2" xfId="32"/>
    <cellStyle name="60% - Accent6 2 2" xfId="272"/>
    <cellStyle name="60% - Accent6 3" xfId="273"/>
    <cellStyle name="Accent1 - 20%" xfId="33"/>
    <cellStyle name="Accent1 - 40%" xfId="34"/>
    <cellStyle name="Accent1 - 60%" xfId="35"/>
    <cellStyle name="Accent1 2" xfId="36"/>
    <cellStyle name="Accent1 2 2" xfId="274"/>
    <cellStyle name="Accent1 3" xfId="275"/>
    <cellStyle name="Accent2 - 20%" xfId="37"/>
    <cellStyle name="Accent2 - 40%" xfId="38"/>
    <cellStyle name="Accent2 - 60%" xfId="39"/>
    <cellStyle name="Accent2 2" xfId="40"/>
    <cellStyle name="Accent2 3" xfId="276"/>
    <cellStyle name="Accent3 - 20%" xfId="41"/>
    <cellStyle name="Accent3 - 40%" xfId="42"/>
    <cellStyle name="Accent3 - 60%" xfId="43"/>
    <cellStyle name="Accent3 2" xfId="44"/>
    <cellStyle name="Accent3 2 2" xfId="277"/>
    <cellStyle name="Accent3 3" xfId="278"/>
    <cellStyle name="Accent4 - 20%" xfId="45"/>
    <cellStyle name="Accent4 - 40%" xfId="46"/>
    <cellStyle name="Accent4 - 60%" xfId="47"/>
    <cellStyle name="Accent4 2" xfId="48"/>
    <cellStyle name="Accent4 2 2" xfId="279"/>
    <cellStyle name="Accent4 3" xfId="280"/>
    <cellStyle name="Accent5 - 20%" xfId="49"/>
    <cellStyle name="Accent5 - 40%" xfId="50"/>
    <cellStyle name="Accent5 - 60%" xfId="51"/>
    <cellStyle name="Accent5 2" xfId="52"/>
    <cellStyle name="Accent5 3" xfId="281"/>
    <cellStyle name="Accent6 - 20%" xfId="53"/>
    <cellStyle name="Accent6 - 40%" xfId="54"/>
    <cellStyle name="Accent6 - 60%" xfId="55"/>
    <cellStyle name="Accent6 2" xfId="56"/>
    <cellStyle name="Accent6 3" xfId="282"/>
    <cellStyle name="Bad 2" xfId="57"/>
    <cellStyle name="Bad 2 2" xfId="283"/>
    <cellStyle name="Bad 3" xfId="284"/>
    <cellStyle name="Calculation 2" xfId="58"/>
    <cellStyle name="Calculation 2 2" xfId="285"/>
    <cellStyle name="Calculation 3" xfId="286"/>
    <cellStyle name="Calculation 4" xfId="420"/>
    <cellStyle name="Check Cell 2" xfId="59"/>
    <cellStyle name="Check Cell 3" xfId="287"/>
    <cellStyle name="Comma" xfId="237" builtinId="3"/>
    <cellStyle name="Comma [0] 2" xfId="60"/>
    <cellStyle name="Comma 10" xfId="421"/>
    <cellStyle name="Comma 11" xfId="422"/>
    <cellStyle name="Comma 2" xfId="61"/>
    <cellStyle name="Comma 2 2" xfId="62"/>
    <cellStyle name="Comma 2 2 2" xfId="63"/>
    <cellStyle name="Comma 2 2 3" xfId="288"/>
    <cellStyle name="Comma 2 2 3 2" xfId="423"/>
    <cellStyle name="Comma 2 2 4" xfId="424"/>
    <cellStyle name="Comma 2 2 4 2" xfId="425"/>
    <cellStyle name="Comma 2 2 5" xfId="426"/>
    <cellStyle name="Comma 2 2 5 2" xfId="427"/>
    <cellStyle name="Comma 2 2 6" xfId="428"/>
    <cellStyle name="Comma 2 2 6 2" xfId="429"/>
    <cellStyle name="Comma 2 2 7" xfId="430"/>
    <cellStyle name="Comma 2 2 8" xfId="431"/>
    <cellStyle name="Comma 2 3" xfId="64"/>
    <cellStyle name="Comma 2 3 2" xfId="432"/>
    <cellStyle name="Comma 2 4" xfId="289"/>
    <cellStyle name="Comma 2 4 2" xfId="433"/>
    <cellStyle name="Comma 2 5" xfId="290"/>
    <cellStyle name="Comma 3" xfId="65"/>
    <cellStyle name="Comma 3 10" xfId="434"/>
    <cellStyle name="Comma 3 2" xfId="66"/>
    <cellStyle name="Comma 3 2 2" xfId="67"/>
    <cellStyle name="Comma 3 2 3" xfId="291"/>
    <cellStyle name="Comma 3 2 4" xfId="435"/>
    <cellStyle name="Comma 3 3" xfId="68"/>
    <cellStyle name="Comma 3 3 2" xfId="69"/>
    <cellStyle name="Comma 3 3 3" xfId="70"/>
    <cellStyle name="Comma 3 3 4" xfId="71"/>
    <cellStyle name="Comma 3 4" xfId="292"/>
    <cellStyle name="Comma 3 4 2" xfId="436"/>
    <cellStyle name="Comma 3 5" xfId="437"/>
    <cellStyle name="Comma 3 5 2" xfId="438"/>
    <cellStyle name="Comma 3 6" xfId="439"/>
    <cellStyle name="Comma 3 6 2" xfId="440"/>
    <cellStyle name="Comma 3 7" xfId="441"/>
    <cellStyle name="Comma 3 8" xfId="442"/>
    <cellStyle name="Comma 3 9" xfId="443"/>
    <cellStyle name="Comma 4" xfId="72"/>
    <cellStyle name="Comma 4 2" xfId="73"/>
    <cellStyle name="Comma 4 2 2" xfId="74"/>
    <cellStyle name="Comma 4 3" xfId="75"/>
    <cellStyle name="Comma 5" xfId="76"/>
    <cellStyle name="Comma 5 2" xfId="77"/>
    <cellStyle name="Comma 5 3" xfId="78"/>
    <cellStyle name="Comma 6" xfId="79"/>
    <cellStyle name="Comma 7" xfId="80"/>
    <cellStyle name="Comma 8" xfId="81"/>
    <cellStyle name="Comma 9" xfId="444"/>
    <cellStyle name="Currency" xfId="1" builtinId="4"/>
    <cellStyle name="Currency 2" xfId="82"/>
    <cellStyle name="Currency 2 2" xfId="83"/>
    <cellStyle name="Currency 2 2 2" xfId="84"/>
    <cellStyle name="Currency 2 2 3" xfId="293"/>
    <cellStyle name="Currency 2 2 4" xfId="445"/>
    <cellStyle name="Currency 2 3" xfId="85"/>
    <cellStyle name="Currency 2 3 2" xfId="446"/>
    <cellStyle name="Currency 2 4" xfId="294"/>
    <cellStyle name="Currency 2 5" xfId="295"/>
    <cellStyle name="Currency 2 6" xfId="447"/>
    <cellStyle name="Currency 3" xfId="86"/>
    <cellStyle name="Currency 3 2" xfId="87"/>
    <cellStyle name="Currency 3 2 2" xfId="88"/>
    <cellStyle name="Currency 3 2 3" xfId="296"/>
    <cellStyle name="Currency 3 2 4" xfId="448"/>
    <cellStyle name="Currency 3 3" xfId="89"/>
    <cellStyle name="Currency 3 4" xfId="297"/>
    <cellStyle name="Currency 3 4 2" xfId="449"/>
    <cellStyle name="Currency 3 5" xfId="450"/>
    <cellStyle name="Currency 4" xfId="90"/>
    <cellStyle name="Currency 4 2" xfId="451"/>
    <cellStyle name="Currency 4 3" xfId="452"/>
    <cellStyle name="Currency 5" xfId="91"/>
    <cellStyle name="Currency 5 2" xfId="92"/>
    <cellStyle name="Currency 5 2 2" xfId="93"/>
    <cellStyle name="Currency 5 3" xfId="94"/>
    <cellStyle name="Currency 6" xfId="95"/>
    <cellStyle name="Currency 6 2" xfId="96"/>
    <cellStyle name="Currency 7" xfId="97"/>
    <cellStyle name="Currency 7 2" xfId="98"/>
    <cellStyle name="Currency 8" xfId="99"/>
    <cellStyle name="Data Field" xfId="5"/>
    <cellStyle name="Data Field 2" xfId="100"/>
    <cellStyle name="Data Field 2 2" xfId="101"/>
    <cellStyle name="Data Field 2 3" xfId="298"/>
    <cellStyle name="Data Field 2 4" xfId="453"/>
    <cellStyle name="Data Field 3" xfId="102"/>
    <cellStyle name="Data Field 4" xfId="299"/>
    <cellStyle name="Data Field 4 2" xfId="454"/>
    <cellStyle name="Data Field 5" xfId="455"/>
    <cellStyle name="Data Name" xfId="6"/>
    <cellStyle name="Data Name 2" xfId="456"/>
    <cellStyle name="Data Name 2 2" xfId="457"/>
    <cellStyle name="Data Name 2 3" xfId="458"/>
    <cellStyle name="Data Name 3" xfId="459"/>
    <cellStyle name="Data Name 4" xfId="460"/>
    <cellStyle name="Date/Time" xfId="7"/>
    <cellStyle name="Emphasis 1" xfId="103"/>
    <cellStyle name="Emphasis 2" xfId="104"/>
    <cellStyle name="Emphasis 3" xfId="105"/>
    <cellStyle name="Explanatory Text 2" xfId="106"/>
    <cellStyle name="Explanatory Text 3" xfId="300"/>
    <cellStyle name="Good 2" xfId="107"/>
    <cellStyle name="Good 3" xfId="301"/>
    <cellStyle name="Heading" xfId="8"/>
    <cellStyle name="Heading 1 2" xfId="108"/>
    <cellStyle name="Heading 1 2 2" xfId="302"/>
    <cellStyle name="Heading 1 3" xfId="303"/>
    <cellStyle name="Heading 2 2" xfId="109"/>
    <cellStyle name="Heading 2 2 2" xfId="461"/>
    <cellStyle name="Heading 2 3" xfId="110"/>
    <cellStyle name="Heading 2 4" xfId="462"/>
    <cellStyle name="Heading 3 2" xfId="111"/>
    <cellStyle name="Heading 3 2 2" xfId="304"/>
    <cellStyle name="Heading 3 3" xfId="305"/>
    <cellStyle name="Heading 4 2" xfId="112"/>
    <cellStyle name="Heading 4 2 2" xfId="306"/>
    <cellStyle name="Heading 4 3" xfId="307"/>
    <cellStyle name="Hyperlink" xfId="241" builtinId="8"/>
    <cellStyle name="Hyperlink 2" xfId="113"/>
    <cellStyle name="Hyperlink 2 2" xfId="114"/>
    <cellStyle name="Hyperlink 2 2 2" xfId="115"/>
    <cellStyle name="Hyperlink 2 3" xfId="463"/>
    <cellStyle name="Hyperlink 2_ResWXMF_FY10v2_0" xfId="116"/>
    <cellStyle name="Hyperlink 3" xfId="117"/>
    <cellStyle name="Hyperlink 3 2" xfId="118"/>
    <cellStyle name="Hyperlink 3 2 2" xfId="119"/>
    <cellStyle name="Hyperlink 4" xfId="120"/>
    <cellStyle name="Hyperlink 5" xfId="121"/>
    <cellStyle name="Hyperlink 6" xfId="122"/>
    <cellStyle name="Hyperlink 7" xfId="123"/>
    <cellStyle name="Hyperlink 8" xfId="124"/>
    <cellStyle name="Input 2" xfId="125"/>
    <cellStyle name="Input 3" xfId="308"/>
    <cellStyle name="Linked Cell 2" xfId="126"/>
    <cellStyle name="Linked Cell 3" xfId="309"/>
    <cellStyle name="Neutral 2" xfId="127"/>
    <cellStyle name="Neutral 3" xfId="310"/>
    <cellStyle name="Normal" xfId="0" builtinId="0"/>
    <cellStyle name="Normal 10" xfId="128"/>
    <cellStyle name="Normal 10 2" xfId="129"/>
    <cellStyle name="Normal 10 3" xfId="464"/>
    <cellStyle name="Normal 10 3 2" xfId="465"/>
    <cellStyle name="Normal 10 4" xfId="466"/>
    <cellStyle name="Normal 10 5" xfId="467"/>
    <cellStyle name="Normal 11" xfId="130"/>
    <cellStyle name="Normal 11 2" xfId="468"/>
    <cellStyle name="Normal 12" xfId="131"/>
    <cellStyle name="Normal 12 2" xfId="469"/>
    <cellStyle name="Normal 13" xfId="14"/>
    <cellStyle name="Normal 13 2" xfId="132"/>
    <cellStyle name="Normal 13 3" xfId="133"/>
    <cellStyle name="Normal 14" xfId="134"/>
    <cellStyle name="Normal 14 2" xfId="11"/>
    <cellStyle name="Normal 14 2 2" xfId="135"/>
    <cellStyle name="Normal 14 3" xfId="13"/>
    <cellStyle name="Normal 14 3 2" xfId="239"/>
    <cellStyle name="Normal 14 4" xfId="311"/>
    <cellStyle name="Normal 14 5" xfId="470"/>
    <cellStyle name="Normal 15" xfId="136"/>
    <cellStyle name="Normal 15 2" xfId="12"/>
    <cellStyle name="Normal 15 2 2" xfId="238"/>
    <cellStyle name="Normal 15 3" xfId="137"/>
    <cellStyle name="Normal 15 4" xfId="138"/>
    <cellStyle name="Normal 15 5" xfId="471"/>
    <cellStyle name="Normal 16" xfId="139"/>
    <cellStyle name="Normal 16 2" xfId="140"/>
    <cellStyle name="Normal 16 3" xfId="141"/>
    <cellStyle name="Normal 16 4" xfId="472"/>
    <cellStyle name="Normal 17" xfId="142"/>
    <cellStyle name="Normal 17 2" xfId="143"/>
    <cellStyle name="Normal 17 3" xfId="473"/>
    <cellStyle name="Normal 18" xfId="144"/>
    <cellStyle name="Normal 18 2" xfId="474"/>
    <cellStyle name="Normal 19" xfId="145"/>
    <cellStyle name="Normal 19 2" xfId="475"/>
    <cellStyle name="Normal 2" xfId="146"/>
    <cellStyle name="Normal 2 10" xfId="476"/>
    <cellStyle name="Normal 2 10 10" xfId="477"/>
    <cellStyle name="Normal 2 10 10 2" xfId="478"/>
    <cellStyle name="Normal 2 10 10 2 2" xfId="479"/>
    <cellStyle name="Normal 2 10 10 3" xfId="480"/>
    <cellStyle name="Normal 2 10 11" xfId="481"/>
    <cellStyle name="Normal 2 10 11 2" xfId="482"/>
    <cellStyle name="Normal 2 10 11 2 2" xfId="483"/>
    <cellStyle name="Normal 2 10 11 3" xfId="484"/>
    <cellStyle name="Normal 2 10 12" xfId="485"/>
    <cellStyle name="Normal 2 10 12 2" xfId="486"/>
    <cellStyle name="Normal 2 10 12 2 2" xfId="487"/>
    <cellStyle name="Normal 2 10 12 3" xfId="488"/>
    <cellStyle name="Normal 2 10 13" xfId="489"/>
    <cellStyle name="Normal 2 10 13 2" xfId="490"/>
    <cellStyle name="Normal 2 10 13 2 2" xfId="491"/>
    <cellStyle name="Normal 2 10 13 3" xfId="492"/>
    <cellStyle name="Normal 2 10 14" xfId="493"/>
    <cellStyle name="Normal 2 10 14 2" xfId="494"/>
    <cellStyle name="Normal 2 10 14 2 2" xfId="495"/>
    <cellStyle name="Normal 2 10 14 3" xfId="496"/>
    <cellStyle name="Normal 2 10 15" xfId="497"/>
    <cellStyle name="Normal 2 10 15 2" xfId="498"/>
    <cellStyle name="Normal 2 10 15 2 2" xfId="499"/>
    <cellStyle name="Normal 2 10 15 3" xfId="500"/>
    <cellStyle name="Normal 2 10 16" xfId="501"/>
    <cellStyle name="Normal 2 10 16 2" xfId="502"/>
    <cellStyle name="Normal 2 10 16 2 2" xfId="503"/>
    <cellStyle name="Normal 2 10 16 3" xfId="504"/>
    <cellStyle name="Normal 2 10 17" xfId="505"/>
    <cellStyle name="Normal 2 10 17 2" xfId="506"/>
    <cellStyle name="Normal 2 10 17 2 2" xfId="507"/>
    <cellStyle name="Normal 2 10 17 3" xfId="508"/>
    <cellStyle name="Normal 2 10 18" xfId="509"/>
    <cellStyle name="Normal 2 10 18 2" xfId="510"/>
    <cellStyle name="Normal 2 10 18 2 2" xfId="511"/>
    <cellStyle name="Normal 2 10 18 3" xfId="512"/>
    <cellStyle name="Normal 2 10 19" xfId="513"/>
    <cellStyle name="Normal 2 10 19 2" xfId="514"/>
    <cellStyle name="Normal 2 10 19 2 2" xfId="515"/>
    <cellStyle name="Normal 2 10 19 3" xfId="516"/>
    <cellStyle name="Normal 2 10 2" xfId="517"/>
    <cellStyle name="Normal 2 10 2 2" xfId="518"/>
    <cellStyle name="Normal 2 10 2 2 2" xfId="519"/>
    <cellStyle name="Normal 2 10 2 3" xfId="520"/>
    <cellStyle name="Normal 2 10 20" xfId="521"/>
    <cellStyle name="Normal 2 10 20 2" xfId="522"/>
    <cellStyle name="Normal 2 10 20 2 2" xfId="523"/>
    <cellStyle name="Normal 2 10 20 3" xfId="524"/>
    <cellStyle name="Normal 2 10 21" xfId="525"/>
    <cellStyle name="Normal 2 10 21 2" xfId="526"/>
    <cellStyle name="Normal 2 10 21 2 2" xfId="527"/>
    <cellStyle name="Normal 2 10 21 3" xfId="528"/>
    <cellStyle name="Normal 2 10 22" xfId="529"/>
    <cellStyle name="Normal 2 10 22 2" xfId="530"/>
    <cellStyle name="Normal 2 10 22 2 2" xfId="531"/>
    <cellStyle name="Normal 2 10 22 3" xfId="532"/>
    <cellStyle name="Normal 2 10 23" xfId="533"/>
    <cellStyle name="Normal 2 10 23 2" xfId="534"/>
    <cellStyle name="Normal 2 10 23 2 2" xfId="535"/>
    <cellStyle name="Normal 2 10 23 3" xfId="536"/>
    <cellStyle name="Normal 2 10 24" xfId="537"/>
    <cellStyle name="Normal 2 10 24 2" xfId="538"/>
    <cellStyle name="Normal 2 10 25" xfId="539"/>
    <cellStyle name="Normal 2 10 3" xfId="540"/>
    <cellStyle name="Normal 2 10 3 2" xfId="541"/>
    <cellStyle name="Normal 2 10 3 2 2" xfId="542"/>
    <cellStyle name="Normal 2 10 3 3" xfId="543"/>
    <cellStyle name="Normal 2 10 4" xfId="544"/>
    <cellStyle name="Normal 2 10 4 2" xfId="545"/>
    <cellStyle name="Normal 2 10 4 2 2" xfId="546"/>
    <cellStyle name="Normal 2 10 4 3" xfId="547"/>
    <cellStyle name="Normal 2 10 5" xfId="548"/>
    <cellStyle name="Normal 2 10 5 2" xfId="549"/>
    <cellStyle name="Normal 2 10 5 2 2" xfId="550"/>
    <cellStyle name="Normal 2 10 5 3" xfId="551"/>
    <cellStyle name="Normal 2 10 6" xfId="552"/>
    <cellStyle name="Normal 2 10 6 2" xfId="553"/>
    <cellStyle name="Normal 2 10 6 2 2" xfId="554"/>
    <cellStyle name="Normal 2 10 6 3" xfId="555"/>
    <cellStyle name="Normal 2 10 7" xfId="556"/>
    <cellStyle name="Normal 2 10 7 2" xfId="557"/>
    <cellStyle name="Normal 2 10 7 2 2" xfId="558"/>
    <cellStyle name="Normal 2 10 7 3" xfId="559"/>
    <cellStyle name="Normal 2 10 8" xfId="560"/>
    <cellStyle name="Normal 2 10 8 2" xfId="561"/>
    <cellStyle name="Normal 2 10 8 2 2" xfId="562"/>
    <cellStyle name="Normal 2 10 8 3" xfId="563"/>
    <cellStyle name="Normal 2 10 9" xfId="564"/>
    <cellStyle name="Normal 2 10 9 2" xfId="565"/>
    <cellStyle name="Normal 2 10 9 2 2" xfId="566"/>
    <cellStyle name="Normal 2 10 9 3" xfId="567"/>
    <cellStyle name="Normal 2 100" xfId="568"/>
    <cellStyle name="Normal 2 100 2" xfId="569"/>
    <cellStyle name="Normal 2 100 3" xfId="570"/>
    <cellStyle name="Normal 2 101" xfId="571"/>
    <cellStyle name="Normal 2 101 2" xfId="572"/>
    <cellStyle name="Normal 2 101 3" xfId="573"/>
    <cellStyle name="Normal 2 102" xfId="574"/>
    <cellStyle name="Normal 2 103" xfId="575"/>
    <cellStyle name="Normal 2 104" xfId="576"/>
    <cellStyle name="Normal 2 105" xfId="577"/>
    <cellStyle name="Normal 2 106" xfId="578"/>
    <cellStyle name="Normal 2 107" xfId="579"/>
    <cellStyle name="Normal 2 108" xfId="580"/>
    <cellStyle name="Normal 2 109" xfId="581"/>
    <cellStyle name="Normal 2 11" xfId="582"/>
    <cellStyle name="Normal 2 11 10" xfId="583"/>
    <cellStyle name="Normal 2 11 10 2" xfId="584"/>
    <cellStyle name="Normal 2 11 10 2 2" xfId="585"/>
    <cellStyle name="Normal 2 11 10 3" xfId="586"/>
    <cellStyle name="Normal 2 11 11" xfId="587"/>
    <cellStyle name="Normal 2 11 11 2" xfId="588"/>
    <cellStyle name="Normal 2 11 11 2 2" xfId="589"/>
    <cellStyle name="Normal 2 11 11 3" xfId="590"/>
    <cellStyle name="Normal 2 11 12" xfId="591"/>
    <cellStyle name="Normal 2 11 12 2" xfId="592"/>
    <cellStyle name="Normal 2 11 12 2 2" xfId="593"/>
    <cellStyle name="Normal 2 11 12 3" xfId="594"/>
    <cellStyle name="Normal 2 11 13" xfId="595"/>
    <cellStyle name="Normal 2 11 13 2" xfId="596"/>
    <cellStyle name="Normal 2 11 13 2 2" xfId="597"/>
    <cellStyle name="Normal 2 11 13 3" xfId="598"/>
    <cellStyle name="Normal 2 11 14" xfId="599"/>
    <cellStyle name="Normal 2 11 14 2" xfId="600"/>
    <cellStyle name="Normal 2 11 14 2 2" xfId="601"/>
    <cellStyle name="Normal 2 11 14 3" xfId="602"/>
    <cellStyle name="Normal 2 11 15" xfId="603"/>
    <cellStyle name="Normal 2 11 15 2" xfId="604"/>
    <cellStyle name="Normal 2 11 15 2 2" xfId="605"/>
    <cellStyle name="Normal 2 11 15 3" xfId="606"/>
    <cellStyle name="Normal 2 11 16" xfId="607"/>
    <cellStyle name="Normal 2 11 16 2" xfId="608"/>
    <cellStyle name="Normal 2 11 16 2 2" xfId="609"/>
    <cellStyle name="Normal 2 11 16 3" xfId="610"/>
    <cellStyle name="Normal 2 11 17" xfId="611"/>
    <cellStyle name="Normal 2 11 17 2" xfId="612"/>
    <cellStyle name="Normal 2 11 17 2 2" xfId="613"/>
    <cellStyle name="Normal 2 11 17 3" xfId="614"/>
    <cellStyle name="Normal 2 11 18" xfId="615"/>
    <cellStyle name="Normal 2 11 18 2" xfId="616"/>
    <cellStyle name="Normal 2 11 18 2 2" xfId="617"/>
    <cellStyle name="Normal 2 11 18 3" xfId="618"/>
    <cellStyle name="Normal 2 11 19" xfId="619"/>
    <cellStyle name="Normal 2 11 19 2" xfId="620"/>
    <cellStyle name="Normal 2 11 19 2 2" xfId="621"/>
    <cellStyle name="Normal 2 11 19 3" xfId="622"/>
    <cellStyle name="Normal 2 11 2" xfId="623"/>
    <cellStyle name="Normal 2 11 2 2" xfId="624"/>
    <cellStyle name="Normal 2 11 2 2 2" xfId="625"/>
    <cellStyle name="Normal 2 11 2 3" xfId="626"/>
    <cellStyle name="Normal 2 11 20" xfId="627"/>
    <cellStyle name="Normal 2 11 20 2" xfId="628"/>
    <cellStyle name="Normal 2 11 20 2 2" xfId="629"/>
    <cellStyle name="Normal 2 11 20 3" xfId="630"/>
    <cellStyle name="Normal 2 11 21" xfId="631"/>
    <cellStyle name="Normal 2 11 21 2" xfId="632"/>
    <cellStyle name="Normal 2 11 21 2 2" xfId="633"/>
    <cellStyle name="Normal 2 11 21 3" xfId="634"/>
    <cellStyle name="Normal 2 11 22" xfId="635"/>
    <cellStyle name="Normal 2 11 22 2" xfId="636"/>
    <cellStyle name="Normal 2 11 22 2 2" xfId="637"/>
    <cellStyle name="Normal 2 11 22 3" xfId="638"/>
    <cellStyle name="Normal 2 11 23" xfId="639"/>
    <cellStyle name="Normal 2 11 23 2" xfId="640"/>
    <cellStyle name="Normal 2 11 23 2 2" xfId="641"/>
    <cellStyle name="Normal 2 11 23 3" xfId="642"/>
    <cellStyle name="Normal 2 11 24" xfId="643"/>
    <cellStyle name="Normal 2 11 24 2" xfId="644"/>
    <cellStyle name="Normal 2 11 25" xfId="645"/>
    <cellStyle name="Normal 2 11 3" xfId="646"/>
    <cellStyle name="Normal 2 11 3 2" xfId="647"/>
    <cellStyle name="Normal 2 11 3 2 2" xfId="648"/>
    <cellStyle name="Normal 2 11 3 3" xfId="649"/>
    <cellStyle name="Normal 2 11 4" xfId="650"/>
    <cellStyle name="Normal 2 11 4 2" xfId="651"/>
    <cellStyle name="Normal 2 11 4 2 2" xfId="652"/>
    <cellStyle name="Normal 2 11 4 3" xfId="653"/>
    <cellStyle name="Normal 2 11 5" xfId="654"/>
    <cellStyle name="Normal 2 11 5 2" xfId="655"/>
    <cellStyle name="Normal 2 11 5 2 2" xfId="656"/>
    <cellStyle name="Normal 2 11 5 3" xfId="657"/>
    <cellStyle name="Normal 2 11 6" xfId="658"/>
    <cellStyle name="Normal 2 11 6 2" xfId="659"/>
    <cellStyle name="Normal 2 11 6 2 2" xfId="660"/>
    <cellStyle name="Normal 2 11 6 3" xfId="661"/>
    <cellStyle name="Normal 2 11 7" xfId="662"/>
    <cellStyle name="Normal 2 11 7 2" xfId="663"/>
    <cellStyle name="Normal 2 11 7 2 2" xfId="664"/>
    <cellStyle name="Normal 2 11 7 3" xfId="665"/>
    <cellStyle name="Normal 2 11 8" xfId="666"/>
    <cellStyle name="Normal 2 11 8 2" xfId="667"/>
    <cellStyle name="Normal 2 11 8 2 2" xfId="668"/>
    <cellStyle name="Normal 2 11 8 3" xfId="669"/>
    <cellStyle name="Normal 2 11 9" xfId="670"/>
    <cellStyle name="Normal 2 11 9 2" xfId="671"/>
    <cellStyle name="Normal 2 11 9 2 2" xfId="672"/>
    <cellStyle name="Normal 2 11 9 3" xfId="673"/>
    <cellStyle name="Normal 2 12" xfId="674"/>
    <cellStyle name="Normal 2 12 10" xfId="675"/>
    <cellStyle name="Normal 2 12 10 2" xfId="676"/>
    <cellStyle name="Normal 2 12 10 2 2" xfId="677"/>
    <cellStyle name="Normal 2 12 10 3" xfId="678"/>
    <cellStyle name="Normal 2 12 11" xfId="679"/>
    <cellStyle name="Normal 2 12 11 2" xfId="680"/>
    <cellStyle name="Normal 2 12 11 2 2" xfId="681"/>
    <cellStyle name="Normal 2 12 11 3" xfId="682"/>
    <cellStyle name="Normal 2 12 12" xfId="683"/>
    <cellStyle name="Normal 2 12 12 2" xfId="684"/>
    <cellStyle name="Normal 2 12 12 2 2" xfId="685"/>
    <cellStyle name="Normal 2 12 12 3" xfId="686"/>
    <cellStyle name="Normal 2 12 13" xfId="687"/>
    <cellStyle name="Normal 2 12 13 2" xfId="688"/>
    <cellStyle name="Normal 2 12 13 2 2" xfId="689"/>
    <cellStyle name="Normal 2 12 13 3" xfId="690"/>
    <cellStyle name="Normal 2 12 14" xfId="691"/>
    <cellStyle name="Normal 2 12 14 2" xfId="692"/>
    <cellStyle name="Normal 2 12 14 2 2" xfId="693"/>
    <cellStyle name="Normal 2 12 14 3" xfId="694"/>
    <cellStyle name="Normal 2 12 15" xfId="695"/>
    <cellStyle name="Normal 2 12 15 2" xfId="696"/>
    <cellStyle name="Normal 2 12 15 2 2" xfId="697"/>
    <cellStyle name="Normal 2 12 15 3" xfId="698"/>
    <cellStyle name="Normal 2 12 16" xfId="699"/>
    <cellStyle name="Normal 2 12 16 2" xfId="700"/>
    <cellStyle name="Normal 2 12 16 2 2" xfId="701"/>
    <cellStyle name="Normal 2 12 16 3" xfId="702"/>
    <cellStyle name="Normal 2 12 17" xfId="703"/>
    <cellStyle name="Normal 2 12 17 2" xfId="704"/>
    <cellStyle name="Normal 2 12 17 2 2" xfId="705"/>
    <cellStyle name="Normal 2 12 17 3" xfId="706"/>
    <cellStyle name="Normal 2 12 18" xfId="707"/>
    <cellStyle name="Normal 2 12 18 2" xfId="708"/>
    <cellStyle name="Normal 2 12 18 2 2" xfId="709"/>
    <cellStyle name="Normal 2 12 18 3" xfId="710"/>
    <cellStyle name="Normal 2 12 19" xfId="711"/>
    <cellStyle name="Normal 2 12 19 2" xfId="712"/>
    <cellStyle name="Normal 2 12 19 2 2" xfId="713"/>
    <cellStyle name="Normal 2 12 19 3" xfId="714"/>
    <cellStyle name="Normal 2 12 2" xfId="715"/>
    <cellStyle name="Normal 2 12 2 2" xfId="716"/>
    <cellStyle name="Normal 2 12 2 2 2" xfId="717"/>
    <cellStyle name="Normal 2 12 2 3" xfId="718"/>
    <cellStyle name="Normal 2 12 20" xfId="719"/>
    <cellStyle name="Normal 2 12 20 2" xfId="720"/>
    <cellStyle name="Normal 2 12 20 2 2" xfId="721"/>
    <cellStyle name="Normal 2 12 20 3" xfId="722"/>
    <cellStyle name="Normal 2 12 21" xfId="723"/>
    <cellStyle name="Normal 2 12 21 2" xfId="724"/>
    <cellStyle name="Normal 2 12 21 2 2" xfId="725"/>
    <cellStyle name="Normal 2 12 21 3" xfId="726"/>
    <cellStyle name="Normal 2 12 22" xfId="727"/>
    <cellStyle name="Normal 2 12 22 2" xfId="728"/>
    <cellStyle name="Normal 2 12 22 2 2" xfId="729"/>
    <cellStyle name="Normal 2 12 22 3" xfId="730"/>
    <cellStyle name="Normal 2 12 23" xfId="731"/>
    <cellStyle name="Normal 2 12 23 2" xfId="732"/>
    <cellStyle name="Normal 2 12 23 2 2" xfId="733"/>
    <cellStyle name="Normal 2 12 23 3" xfId="734"/>
    <cellStyle name="Normal 2 12 24" xfId="735"/>
    <cellStyle name="Normal 2 12 24 2" xfId="736"/>
    <cellStyle name="Normal 2 12 25" xfId="737"/>
    <cellStyle name="Normal 2 12 3" xfId="738"/>
    <cellStyle name="Normal 2 12 3 2" xfId="739"/>
    <cellStyle name="Normal 2 12 3 2 2" xfId="740"/>
    <cellStyle name="Normal 2 12 3 3" xfId="741"/>
    <cellStyle name="Normal 2 12 4" xfId="742"/>
    <cellStyle name="Normal 2 12 4 2" xfId="743"/>
    <cellStyle name="Normal 2 12 4 2 2" xfId="744"/>
    <cellStyle name="Normal 2 12 4 3" xfId="745"/>
    <cellStyle name="Normal 2 12 5" xfId="746"/>
    <cellStyle name="Normal 2 12 5 2" xfId="747"/>
    <cellStyle name="Normal 2 12 5 2 2" xfId="748"/>
    <cellStyle name="Normal 2 12 5 3" xfId="749"/>
    <cellStyle name="Normal 2 12 6" xfId="750"/>
    <cellStyle name="Normal 2 12 6 2" xfId="751"/>
    <cellStyle name="Normal 2 12 6 2 2" xfId="752"/>
    <cellStyle name="Normal 2 12 6 3" xfId="753"/>
    <cellStyle name="Normal 2 12 7" xfId="754"/>
    <cellStyle name="Normal 2 12 7 2" xfId="755"/>
    <cellStyle name="Normal 2 12 7 2 2" xfId="756"/>
    <cellStyle name="Normal 2 12 7 3" xfId="757"/>
    <cellStyle name="Normal 2 12 8" xfId="758"/>
    <cellStyle name="Normal 2 12 8 2" xfId="759"/>
    <cellStyle name="Normal 2 12 8 2 2" xfId="760"/>
    <cellStyle name="Normal 2 12 8 3" xfId="761"/>
    <cellStyle name="Normal 2 12 9" xfId="762"/>
    <cellStyle name="Normal 2 12 9 2" xfId="763"/>
    <cellStyle name="Normal 2 12 9 2 2" xfId="764"/>
    <cellStyle name="Normal 2 12 9 3" xfId="765"/>
    <cellStyle name="Normal 2 13" xfId="766"/>
    <cellStyle name="Normal 2 13 10" xfId="767"/>
    <cellStyle name="Normal 2 13 10 2" xfId="768"/>
    <cellStyle name="Normal 2 13 10 2 2" xfId="769"/>
    <cellStyle name="Normal 2 13 10 3" xfId="770"/>
    <cellStyle name="Normal 2 13 11" xfId="771"/>
    <cellStyle name="Normal 2 13 11 2" xfId="772"/>
    <cellStyle name="Normal 2 13 11 2 2" xfId="773"/>
    <cellStyle name="Normal 2 13 11 3" xfId="774"/>
    <cellStyle name="Normal 2 13 12" xfId="775"/>
    <cellStyle name="Normal 2 13 12 2" xfId="776"/>
    <cellStyle name="Normal 2 13 12 2 2" xfId="777"/>
    <cellStyle name="Normal 2 13 12 3" xfId="778"/>
    <cellStyle name="Normal 2 13 13" xfId="779"/>
    <cellStyle name="Normal 2 13 13 2" xfId="780"/>
    <cellStyle name="Normal 2 13 13 2 2" xfId="781"/>
    <cellStyle name="Normal 2 13 13 3" xfId="782"/>
    <cellStyle name="Normal 2 13 14" xfId="783"/>
    <cellStyle name="Normal 2 13 14 2" xfId="784"/>
    <cellStyle name="Normal 2 13 14 2 2" xfId="785"/>
    <cellStyle name="Normal 2 13 14 3" xfId="786"/>
    <cellStyle name="Normal 2 13 15" xfId="787"/>
    <cellStyle name="Normal 2 13 15 2" xfId="788"/>
    <cellStyle name="Normal 2 13 15 2 2" xfId="789"/>
    <cellStyle name="Normal 2 13 15 3" xfId="790"/>
    <cellStyle name="Normal 2 13 16" xfId="791"/>
    <cellStyle name="Normal 2 13 16 2" xfId="792"/>
    <cellStyle name="Normal 2 13 16 2 2" xfId="793"/>
    <cellStyle name="Normal 2 13 16 3" xfId="794"/>
    <cellStyle name="Normal 2 13 17" xfId="795"/>
    <cellStyle name="Normal 2 13 17 2" xfId="796"/>
    <cellStyle name="Normal 2 13 17 2 2" xfId="797"/>
    <cellStyle name="Normal 2 13 17 3" xfId="798"/>
    <cellStyle name="Normal 2 13 18" xfId="799"/>
    <cellStyle name="Normal 2 13 18 2" xfId="800"/>
    <cellStyle name="Normal 2 13 18 2 2" xfId="801"/>
    <cellStyle name="Normal 2 13 18 3" xfId="802"/>
    <cellStyle name="Normal 2 13 19" xfId="803"/>
    <cellStyle name="Normal 2 13 19 2" xfId="804"/>
    <cellStyle name="Normal 2 13 19 2 2" xfId="805"/>
    <cellStyle name="Normal 2 13 19 3" xfId="806"/>
    <cellStyle name="Normal 2 13 2" xfId="807"/>
    <cellStyle name="Normal 2 13 2 2" xfId="808"/>
    <cellStyle name="Normal 2 13 2 2 2" xfId="809"/>
    <cellStyle name="Normal 2 13 2 3" xfId="810"/>
    <cellStyle name="Normal 2 13 20" xfId="811"/>
    <cellStyle name="Normal 2 13 20 2" xfId="812"/>
    <cellStyle name="Normal 2 13 20 2 2" xfId="813"/>
    <cellStyle name="Normal 2 13 20 3" xfId="814"/>
    <cellStyle name="Normal 2 13 21" xfId="815"/>
    <cellStyle name="Normal 2 13 21 2" xfId="816"/>
    <cellStyle name="Normal 2 13 21 2 2" xfId="817"/>
    <cellStyle name="Normal 2 13 21 3" xfId="818"/>
    <cellStyle name="Normal 2 13 22" xfId="819"/>
    <cellStyle name="Normal 2 13 22 2" xfId="820"/>
    <cellStyle name="Normal 2 13 22 2 2" xfId="821"/>
    <cellStyle name="Normal 2 13 22 3" xfId="822"/>
    <cellStyle name="Normal 2 13 23" xfId="823"/>
    <cellStyle name="Normal 2 13 23 2" xfId="824"/>
    <cellStyle name="Normal 2 13 23 2 2" xfId="825"/>
    <cellStyle name="Normal 2 13 23 3" xfId="826"/>
    <cellStyle name="Normal 2 13 24" xfId="827"/>
    <cellStyle name="Normal 2 13 24 2" xfId="828"/>
    <cellStyle name="Normal 2 13 25" xfId="829"/>
    <cellStyle name="Normal 2 13 3" xfId="830"/>
    <cellStyle name="Normal 2 13 3 2" xfId="831"/>
    <cellStyle name="Normal 2 13 3 2 2" xfId="832"/>
    <cellStyle name="Normal 2 13 3 3" xfId="833"/>
    <cellStyle name="Normal 2 13 4" xfId="834"/>
    <cellStyle name="Normal 2 13 4 2" xfId="835"/>
    <cellStyle name="Normal 2 13 4 2 2" xfId="836"/>
    <cellStyle name="Normal 2 13 4 3" xfId="837"/>
    <cellStyle name="Normal 2 13 5" xfId="838"/>
    <cellStyle name="Normal 2 13 5 2" xfId="839"/>
    <cellStyle name="Normal 2 13 5 2 2" xfId="840"/>
    <cellStyle name="Normal 2 13 5 3" xfId="841"/>
    <cellStyle name="Normal 2 13 6" xfId="842"/>
    <cellStyle name="Normal 2 13 6 2" xfId="843"/>
    <cellStyle name="Normal 2 13 6 2 2" xfId="844"/>
    <cellStyle name="Normal 2 13 6 3" xfId="845"/>
    <cellStyle name="Normal 2 13 7" xfId="846"/>
    <cellStyle name="Normal 2 13 7 2" xfId="847"/>
    <cellStyle name="Normal 2 13 7 2 2" xfId="848"/>
    <cellStyle name="Normal 2 13 7 3" xfId="849"/>
    <cellStyle name="Normal 2 13 8" xfId="850"/>
    <cellStyle name="Normal 2 13 8 2" xfId="851"/>
    <cellStyle name="Normal 2 13 8 2 2" xfId="852"/>
    <cellStyle name="Normal 2 13 8 3" xfId="853"/>
    <cellStyle name="Normal 2 13 9" xfId="854"/>
    <cellStyle name="Normal 2 13 9 2" xfId="855"/>
    <cellStyle name="Normal 2 13 9 2 2" xfId="856"/>
    <cellStyle name="Normal 2 13 9 3" xfId="857"/>
    <cellStyle name="Normal 2 14" xfId="858"/>
    <cellStyle name="Normal 2 14 10" xfId="859"/>
    <cellStyle name="Normal 2 14 10 2" xfId="860"/>
    <cellStyle name="Normal 2 14 10 2 2" xfId="861"/>
    <cellStyle name="Normal 2 14 10 3" xfId="862"/>
    <cellStyle name="Normal 2 14 11" xfId="863"/>
    <cellStyle name="Normal 2 14 11 2" xfId="864"/>
    <cellStyle name="Normal 2 14 11 2 2" xfId="865"/>
    <cellStyle name="Normal 2 14 11 3" xfId="866"/>
    <cellStyle name="Normal 2 14 12" xfId="867"/>
    <cellStyle name="Normal 2 14 12 2" xfId="868"/>
    <cellStyle name="Normal 2 14 12 2 2" xfId="869"/>
    <cellStyle name="Normal 2 14 12 3" xfId="870"/>
    <cellStyle name="Normal 2 14 13" xfId="871"/>
    <cellStyle name="Normal 2 14 13 2" xfId="872"/>
    <cellStyle name="Normal 2 14 13 2 2" xfId="873"/>
    <cellStyle name="Normal 2 14 13 3" xfId="874"/>
    <cellStyle name="Normal 2 14 14" xfId="875"/>
    <cellStyle name="Normal 2 14 14 2" xfId="876"/>
    <cellStyle name="Normal 2 14 14 2 2" xfId="877"/>
    <cellStyle name="Normal 2 14 14 3" xfId="878"/>
    <cellStyle name="Normal 2 14 15" xfId="879"/>
    <cellStyle name="Normal 2 14 15 2" xfId="880"/>
    <cellStyle name="Normal 2 14 15 2 2" xfId="881"/>
    <cellStyle name="Normal 2 14 15 3" xfId="882"/>
    <cellStyle name="Normal 2 14 16" xfId="883"/>
    <cellStyle name="Normal 2 14 16 2" xfId="884"/>
    <cellStyle name="Normal 2 14 16 2 2" xfId="885"/>
    <cellStyle name="Normal 2 14 16 3" xfId="886"/>
    <cellStyle name="Normal 2 14 17" xfId="887"/>
    <cellStyle name="Normal 2 14 17 2" xfId="888"/>
    <cellStyle name="Normal 2 14 17 2 2" xfId="889"/>
    <cellStyle name="Normal 2 14 17 3" xfId="890"/>
    <cellStyle name="Normal 2 14 18" xfId="891"/>
    <cellStyle name="Normal 2 14 18 2" xfId="892"/>
    <cellStyle name="Normal 2 14 18 2 2" xfId="893"/>
    <cellStyle name="Normal 2 14 18 3" xfId="894"/>
    <cellStyle name="Normal 2 14 19" xfId="895"/>
    <cellStyle name="Normal 2 14 19 2" xfId="896"/>
    <cellStyle name="Normal 2 14 19 2 2" xfId="897"/>
    <cellStyle name="Normal 2 14 19 3" xfId="898"/>
    <cellStyle name="Normal 2 14 2" xfId="899"/>
    <cellStyle name="Normal 2 14 2 2" xfId="900"/>
    <cellStyle name="Normal 2 14 2 2 2" xfId="901"/>
    <cellStyle name="Normal 2 14 2 3" xfId="902"/>
    <cellStyle name="Normal 2 14 20" xfId="903"/>
    <cellStyle name="Normal 2 14 20 2" xfId="904"/>
    <cellStyle name="Normal 2 14 20 2 2" xfId="905"/>
    <cellStyle name="Normal 2 14 20 3" xfId="906"/>
    <cellStyle name="Normal 2 14 21" xfId="907"/>
    <cellStyle name="Normal 2 14 21 2" xfId="908"/>
    <cellStyle name="Normal 2 14 21 2 2" xfId="909"/>
    <cellStyle name="Normal 2 14 21 3" xfId="910"/>
    <cellStyle name="Normal 2 14 22" xfId="911"/>
    <cellStyle name="Normal 2 14 22 2" xfId="912"/>
    <cellStyle name="Normal 2 14 22 2 2" xfId="913"/>
    <cellStyle name="Normal 2 14 22 3" xfId="914"/>
    <cellStyle name="Normal 2 14 23" xfId="915"/>
    <cellStyle name="Normal 2 14 23 2" xfId="916"/>
    <cellStyle name="Normal 2 14 23 2 2" xfId="917"/>
    <cellStyle name="Normal 2 14 23 3" xfId="918"/>
    <cellStyle name="Normal 2 14 24" xfId="919"/>
    <cellStyle name="Normal 2 14 24 2" xfId="920"/>
    <cellStyle name="Normal 2 14 25" xfId="921"/>
    <cellStyle name="Normal 2 14 3" xfId="922"/>
    <cellStyle name="Normal 2 14 3 2" xfId="923"/>
    <cellStyle name="Normal 2 14 3 2 2" xfId="924"/>
    <cellStyle name="Normal 2 14 3 3" xfId="925"/>
    <cellStyle name="Normal 2 14 4" xfId="926"/>
    <cellStyle name="Normal 2 14 4 2" xfId="927"/>
    <cellStyle name="Normal 2 14 4 2 2" xfId="928"/>
    <cellStyle name="Normal 2 14 4 3" xfId="929"/>
    <cellStyle name="Normal 2 14 5" xfId="930"/>
    <cellStyle name="Normal 2 14 5 2" xfId="931"/>
    <cellStyle name="Normal 2 14 5 2 2" xfId="932"/>
    <cellStyle name="Normal 2 14 5 3" xfId="933"/>
    <cellStyle name="Normal 2 14 6" xfId="934"/>
    <cellStyle name="Normal 2 14 6 2" xfId="935"/>
    <cellStyle name="Normal 2 14 6 2 2" xfId="936"/>
    <cellStyle name="Normal 2 14 6 3" xfId="937"/>
    <cellStyle name="Normal 2 14 7" xfId="938"/>
    <cellStyle name="Normal 2 14 7 2" xfId="939"/>
    <cellStyle name="Normal 2 14 7 2 2" xfId="940"/>
    <cellStyle name="Normal 2 14 7 3" xfId="941"/>
    <cellStyle name="Normal 2 14 8" xfId="942"/>
    <cellStyle name="Normal 2 14 8 2" xfId="943"/>
    <cellStyle name="Normal 2 14 8 2 2" xfId="944"/>
    <cellStyle name="Normal 2 14 8 3" xfId="945"/>
    <cellStyle name="Normal 2 14 9" xfId="946"/>
    <cellStyle name="Normal 2 14 9 2" xfId="947"/>
    <cellStyle name="Normal 2 14 9 2 2" xfId="948"/>
    <cellStyle name="Normal 2 14 9 3" xfId="949"/>
    <cellStyle name="Normal 2 15" xfId="950"/>
    <cellStyle name="Normal 2 15 10" xfId="951"/>
    <cellStyle name="Normal 2 15 10 2" xfId="952"/>
    <cellStyle name="Normal 2 15 10 2 2" xfId="953"/>
    <cellStyle name="Normal 2 15 10 3" xfId="954"/>
    <cellStyle name="Normal 2 15 11" xfId="955"/>
    <cellStyle name="Normal 2 15 11 2" xfId="956"/>
    <cellStyle name="Normal 2 15 11 2 2" xfId="957"/>
    <cellStyle name="Normal 2 15 11 3" xfId="958"/>
    <cellStyle name="Normal 2 15 12" xfId="959"/>
    <cellStyle name="Normal 2 15 12 2" xfId="960"/>
    <cellStyle name="Normal 2 15 12 2 2" xfId="961"/>
    <cellStyle name="Normal 2 15 12 3" xfId="962"/>
    <cellStyle name="Normal 2 15 13" xfId="963"/>
    <cellStyle name="Normal 2 15 13 2" xfId="964"/>
    <cellStyle name="Normal 2 15 13 2 2" xfId="965"/>
    <cellStyle name="Normal 2 15 13 3" xfId="966"/>
    <cellStyle name="Normal 2 15 14" xfId="967"/>
    <cellStyle name="Normal 2 15 14 2" xfId="968"/>
    <cellStyle name="Normal 2 15 14 2 2" xfId="969"/>
    <cellStyle name="Normal 2 15 14 3" xfId="970"/>
    <cellStyle name="Normal 2 15 15" xfId="971"/>
    <cellStyle name="Normal 2 15 15 2" xfId="972"/>
    <cellStyle name="Normal 2 15 15 2 2" xfId="973"/>
    <cellStyle name="Normal 2 15 15 3" xfId="974"/>
    <cellStyle name="Normal 2 15 16" xfId="975"/>
    <cellStyle name="Normal 2 15 16 2" xfId="976"/>
    <cellStyle name="Normal 2 15 16 2 2" xfId="977"/>
    <cellStyle name="Normal 2 15 16 3" xfId="978"/>
    <cellStyle name="Normal 2 15 17" xfId="979"/>
    <cellStyle name="Normal 2 15 17 2" xfId="980"/>
    <cellStyle name="Normal 2 15 17 2 2" xfId="981"/>
    <cellStyle name="Normal 2 15 17 3" xfId="982"/>
    <cellStyle name="Normal 2 15 18" xfId="983"/>
    <cellStyle name="Normal 2 15 18 2" xfId="984"/>
    <cellStyle name="Normal 2 15 18 2 2" xfId="985"/>
    <cellStyle name="Normal 2 15 18 3" xfId="986"/>
    <cellStyle name="Normal 2 15 19" xfId="987"/>
    <cellStyle name="Normal 2 15 19 2" xfId="988"/>
    <cellStyle name="Normal 2 15 19 2 2" xfId="989"/>
    <cellStyle name="Normal 2 15 19 3" xfId="990"/>
    <cellStyle name="Normal 2 15 2" xfId="991"/>
    <cellStyle name="Normal 2 15 2 2" xfId="992"/>
    <cellStyle name="Normal 2 15 2 2 2" xfId="993"/>
    <cellStyle name="Normal 2 15 2 3" xfId="994"/>
    <cellStyle name="Normal 2 15 20" xfId="995"/>
    <cellStyle name="Normal 2 15 20 2" xfId="996"/>
    <cellStyle name="Normal 2 15 20 2 2" xfId="997"/>
    <cellStyle name="Normal 2 15 20 3" xfId="998"/>
    <cellStyle name="Normal 2 15 21" xfId="999"/>
    <cellStyle name="Normal 2 15 21 2" xfId="1000"/>
    <cellStyle name="Normal 2 15 21 2 2" xfId="1001"/>
    <cellStyle name="Normal 2 15 21 3" xfId="1002"/>
    <cellStyle name="Normal 2 15 22" xfId="1003"/>
    <cellStyle name="Normal 2 15 22 2" xfId="1004"/>
    <cellStyle name="Normal 2 15 22 2 2" xfId="1005"/>
    <cellStyle name="Normal 2 15 22 3" xfId="1006"/>
    <cellStyle name="Normal 2 15 23" xfId="1007"/>
    <cellStyle name="Normal 2 15 23 2" xfId="1008"/>
    <cellStyle name="Normal 2 15 23 2 2" xfId="1009"/>
    <cellStyle name="Normal 2 15 23 3" xfId="1010"/>
    <cellStyle name="Normal 2 15 24" xfId="1011"/>
    <cellStyle name="Normal 2 15 24 2" xfId="1012"/>
    <cellStyle name="Normal 2 15 25" xfId="1013"/>
    <cellStyle name="Normal 2 15 3" xfId="1014"/>
    <cellStyle name="Normal 2 15 3 2" xfId="1015"/>
    <cellStyle name="Normal 2 15 3 2 2" xfId="1016"/>
    <cellStyle name="Normal 2 15 3 3" xfId="1017"/>
    <cellStyle name="Normal 2 15 4" xfId="1018"/>
    <cellStyle name="Normal 2 15 4 2" xfId="1019"/>
    <cellStyle name="Normal 2 15 4 2 2" xfId="1020"/>
    <cellStyle name="Normal 2 15 4 3" xfId="1021"/>
    <cellStyle name="Normal 2 15 5" xfId="1022"/>
    <cellStyle name="Normal 2 15 5 2" xfId="1023"/>
    <cellStyle name="Normal 2 15 5 2 2" xfId="1024"/>
    <cellStyle name="Normal 2 15 5 3" xfId="1025"/>
    <cellStyle name="Normal 2 15 6" xfId="1026"/>
    <cellStyle name="Normal 2 15 6 2" xfId="1027"/>
    <cellStyle name="Normal 2 15 6 2 2" xfId="1028"/>
    <cellStyle name="Normal 2 15 6 3" xfId="1029"/>
    <cellStyle name="Normal 2 15 7" xfId="1030"/>
    <cellStyle name="Normal 2 15 7 2" xfId="1031"/>
    <cellStyle name="Normal 2 15 7 2 2" xfId="1032"/>
    <cellStyle name="Normal 2 15 7 3" xfId="1033"/>
    <cellStyle name="Normal 2 15 8" xfId="1034"/>
    <cellStyle name="Normal 2 15 8 2" xfId="1035"/>
    <cellStyle name="Normal 2 15 8 2 2" xfId="1036"/>
    <cellStyle name="Normal 2 15 8 3" xfId="1037"/>
    <cellStyle name="Normal 2 15 9" xfId="1038"/>
    <cellStyle name="Normal 2 15 9 2" xfId="1039"/>
    <cellStyle name="Normal 2 15 9 2 2" xfId="1040"/>
    <cellStyle name="Normal 2 15 9 3" xfId="1041"/>
    <cellStyle name="Normal 2 16" xfId="1042"/>
    <cellStyle name="Normal 2 16 10" xfId="1043"/>
    <cellStyle name="Normal 2 16 10 2" xfId="1044"/>
    <cellStyle name="Normal 2 16 10 2 2" xfId="1045"/>
    <cellStyle name="Normal 2 16 10 3" xfId="1046"/>
    <cellStyle name="Normal 2 16 11" xfId="1047"/>
    <cellStyle name="Normal 2 16 11 2" xfId="1048"/>
    <cellStyle name="Normal 2 16 11 2 2" xfId="1049"/>
    <cellStyle name="Normal 2 16 11 3" xfId="1050"/>
    <cellStyle name="Normal 2 16 12" xfId="1051"/>
    <cellStyle name="Normal 2 16 12 2" xfId="1052"/>
    <cellStyle name="Normal 2 16 12 2 2" xfId="1053"/>
    <cellStyle name="Normal 2 16 12 3" xfId="1054"/>
    <cellStyle name="Normal 2 16 13" xfId="1055"/>
    <cellStyle name="Normal 2 16 13 2" xfId="1056"/>
    <cellStyle name="Normal 2 16 13 2 2" xfId="1057"/>
    <cellStyle name="Normal 2 16 13 3" xfId="1058"/>
    <cellStyle name="Normal 2 16 14" xfId="1059"/>
    <cellStyle name="Normal 2 16 14 2" xfId="1060"/>
    <cellStyle name="Normal 2 16 14 2 2" xfId="1061"/>
    <cellStyle name="Normal 2 16 14 3" xfId="1062"/>
    <cellStyle name="Normal 2 16 15" xfId="1063"/>
    <cellStyle name="Normal 2 16 15 2" xfId="1064"/>
    <cellStyle name="Normal 2 16 15 2 2" xfId="1065"/>
    <cellStyle name="Normal 2 16 15 3" xfId="1066"/>
    <cellStyle name="Normal 2 16 16" xfId="1067"/>
    <cellStyle name="Normal 2 16 16 2" xfId="1068"/>
    <cellStyle name="Normal 2 16 16 2 2" xfId="1069"/>
    <cellStyle name="Normal 2 16 16 3" xfId="1070"/>
    <cellStyle name="Normal 2 16 17" xfId="1071"/>
    <cellStyle name="Normal 2 16 17 2" xfId="1072"/>
    <cellStyle name="Normal 2 16 17 2 2" xfId="1073"/>
    <cellStyle name="Normal 2 16 17 3" xfId="1074"/>
    <cellStyle name="Normal 2 16 18" xfId="1075"/>
    <cellStyle name="Normal 2 16 18 2" xfId="1076"/>
    <cellStyle name="Normal 2 16 18 2 2" xfId="1077"/>
    <cellStyle name="Normal 2 16 18 3" xfId="1078"/>
    <cellStyle name="Normal 2 16 19" xfId="1079"/>
    <cellStyle name="Normal 2 16 19 2" xfId="1080"/>
    <cellStyle name="Normal 2 16 19 2 2" xfId="1081"/>
    <cellStyle name="Normal 2 16 19 3" xfId="1082"/>
    <cellStyle name="Normal 2 16 2" xfId="1083"/>
    <cellStyle name="Normal 2 16 2 2" xfId="1084"/>
    <cellStyle name="Normal 2 16 2 2 2" xfId="1085"/>
    <cellStyle name="Normal 2 16 2 3" xfId="1086"/>
    <cellStyle name="Normal 2 16 20" xfId="1087"/>
    <cellStyle name="Normal 2 16 20 2" xfId="1088"/>
    <cellStyle name="Normal 2 16 20 2 2" xfId="1089"/>
    <cellStyle name="Normal 2 16 20 3" xfId="1090"/>
    <cellStyle name="Normal 2 16 21" xfId="1091"/>
    <cellStyle name="Normal 2 16 21 2" xfId="1092"/>
    <cellStyle name="Normal 2 16 21 2 2" xfId="1093"/>
    <cellStyle name="Normal 2 16 21 3" xfId="1094"/>
    <cellStyle name="Normal 2 16 22" xfId="1095"/>
    <cellStyle name="Normal 2 16 22 2" xfId="1096"/>
    <cellStyle name="Normal 2 16 22 2 2" xfId="1097"/>
    <cellStyle name="Normal 2 16 22 3" xfId="1098"/>
    <cellStyle name="Normal 2 16 23" xfId="1099"/>
    <cellStyle name="Normal 2 16 23 2" xfId="1100"/>
    <cellStyle name="Normal 2 16 23 2 2" xfId="1101"/>
    <cellStyle name="Normal 2 16 23 3" xfId="1102"/>
    <cellStyle name="Normal 2 16 24" xfId="1103"/>
    <cellStyle name="Normal 2 16 24 2" xfId="1104"/>
    <cellStyle name="Normal 2 16 25" xfId="1105"/>
    <cellStyle name="Normal 2 16 3" xfId="1106"/>
    <cellStyle name="Normal 2 16 3 2" xfId="1107"/>
    <cellStyle name="Normal 2 16 3 2 2" xfId="1108"/>
    <cellStyle name="Normal 2 16 3 3" xfId="1109"/>
    <cellStyle name="Normal 2 16 4" xfId="1110"/>
    <cellStyle name="Normal 2 16 4 2" xfId="1111"/>
    <cellStyle name="Normal 2 16 4 2 2" xfId="1112"/>
    <cellStyle name="Normal 2 16 4 3" xfId="1113"/>
    <cellStyle name="Normal 2 16 5" xfId="1114"/>
    <cellStyle name="Normal 2 16 5 2" xfId="1115"/>
    <cellStyle name="Normal 2 16 5 2 2" xfId="1116"/>
    <cellStyle name="Normal 2 16 5 3" xfId="1117"/>
    <cellStyle name="Normal 2 16 6" xfId="1118"/>
    <cellStyle name="Normal 2 16 6 2" xfId="1119"/>
    <cellStyle name="Normal 2 16 6 2 2" xfId="1120"/>
    <cellStyle name="Normal 2 16 6 3" xfId="1121"/>
    <cellStyle name="Normal 2 16 7" xfId="1122"/>
    <cellStyle name="Normal 2 16 7 2" xfId="1123"/>
    <cellStyle name="Normal 2 16 7 2 2" xfId="1124"/>
    <cellStyle name="Normal 2 16 7 3" xfId="1125"/>
    <cellStyle name="Normal 2 16 8" xfId="1126"/>
    <cellStyle name="Normal 2 16 8 2" xfId="1127"/>
    <cellStyle name="Normal 2 16 8 2 2" xfId="1128"/>
    <cellStyle name="Normal 2 16 8 3" xfId="1129"/>
    <cellStyle name="Normal 2 16 9" xfId="1130"/>
    <cellStyle name="Normal 2 16 9 2" xfId="1131"/>
    <cellStyle name="Normal 2 16 9 2 2" xfId="1132"/>
    <cellStyle name="Normal 2 16 9 3" xfId="1133"/>
    <cellStyle name="Normal 2 17" xfId="1134"/>
    <cellStyle name="Normal 2 17 10" xfId="1135"/>
    <cellStyle name="Normal 2 17 10 2" xfId="1136"/>
    <cellStyle name="Normal 2 17 10 2 2" xfId="1137"/>
    <cellStyle name="Normal 2 17 10 3" xfId="1138"/>
    <cellStyle name="Normal 2 17 11" xfId="1139"/>
    <cellStyle name="Normal 2 17 11 2" xfId="1140"/>
    <cellStyle name="Normal 2 17 11 2 2" xfId="1141"/>
    <cellStyle name="Normal 2 17 11 3" xfId="1142"/>
    <cellStyle name="Normal 2 17 12" xfId="1143"/>
    <cellStyle name="Normal 2 17 12 2" xfId="1144"/>
    <cellStyle name="Normal 2 17 12 2 2" xfId="1145"/>
    <cellStyle name="Normal 2 17 12 3" xfId="1146"/>
    <cellStyle name="Normal 2 17 13" xfId="1147"/>
    <cellStyle name="Normal 2 17 13 2" xfId="1148"/>
    <cellStyle name="Normal 2 17 13 2 2" xfId="1149"/>
    <cellStyle name="Normal 2 17 13 3" xfId="1150"/>
    <cellStyle name="Normal 2 17 14" xfId="1151"/>
    <cellStyle name="Normal 2 17 14 2" xfId="1152"/>
    <cellStyle name="Normal 2 17 14 2 2" xfId="1153"/>
    <cellStyle name="Normal 2 17 14 3" xfId="1154"/>
    <cellStyle name="Normal 2 17 15" xfId="1155"/>
    <cellStyle name="Normal 2 17 15 2" xfId="1156"/>
    <cellStyle name="Normal 2 17 15 2 2" xfId="1157"/>
    <cellStyle name="Normal 2 17 15 3" xfId="1158"/>
    <cellStyle name="Normal 2 17 16" xfId="1159"/>
    <cellStyle name="Normal 2 17 16 2" xfId="1160"/>
    <cellStyle name="Normal 2 17 16 2 2" xfId="1161"/>
    <cellStyle name="Normal 2 17 16 3" xfId="1162"/>
    <cellStyle name="Normal 2 17 17" xfId="1163"/>
    <cellStyle name="Normal 2 17 17 2" xfId="1164"/>
    <cellStyle name="Normal 2 17 17 2 2" xfId="1165"/>
    <cellStyle name="Normal 2 17 17 3" xfId="1166"/>
    <cellStyle name="Normal 2 17 18" xfId="1167"/>
    <cellStyle name="Normal 2 17 18 2" xfId="1168"/>
    <cellStyle name="Normal 2 17 18 2 2" xfId="1169"/>
    <cellStyle name="Normal 2 17 18 3" xfId="1170"/>
    <cellStyle name="Normal 2 17 19" xfId="1171"/>
    <cellStyle name="Normal 2 17 19 2" xfId="1172"/>
    <cellStyle name="Normal 2 17 19 2 2" xfId="1173"/>
    <cellStyle name="Normal 2 17 19 3" xfId="1174"/>
    <cellStyle name="Normal 2 17 2" xfId="1175"/>
    <cellStyle name="Normal 2 17 2 2" xfId="1176"/>
    <cellStyle name="Normal 2 17 2 2 2" xfId="1177"/>
    <cellStyle name="Normal 2 17 2 3" xfId="1178"/>
    <cellStyle name="Normal 2 17 20" xfId="1179"/>
    <cellStyle name="Normal 2 17 20 2" xfId="1180"/>
    <cellStyle name="Normal 2 17 20 2 2" xfId="1181"/>
    <cellStyle name="Normal 2 17 20 3" xfId="1182"/>
    <cellStyle name="Normal 2 17 21" xfId="1183"/>
    <cellStyle name="Normal 2 17 21 2" xfId="1184"/>
    <cellStyle name="Normal 2 17 21 2 2" xfId="1185"/>
    <cellStyle name="Normal 2 17 21 3" xfId="1186"/>
    <cellStyle name="Normal 2 17 22" xfId="1187"/>
    <cellStyle name="Normal 2 17 22 2" xfId="1188"/>
    <cellStyle name="Normal 2 17 22 2 2" xfId="1189"/>
    <cellStyle name="Normal 2 17 22 3" xfId="1190"/>
    <cellStyle name="Normal 2 17 23" xfId="1191"/>
    <cellStyle name="Normal 2 17 23 2" xfId="1192"/>
    <cellStyle name="Normal 2 17 23 2 2" xfId="1193"/>
    <cellStyle name="Normal 2 17 23 3" xfId="1194"/>
    <cellStyle name="Normal 2 17 24" xfId="1195"/>
    <cellStyle name="Normal 2 17 24 2" xfId="1196"/>
    <cellStyle name="Normal 2 17 25" xfId="1197"/>
    <cellStyle name="Normal 2 17 3" xfId="1198"/>
    <cellStyle name="Normal 2 17 3 2" xfId="1199"/>
    <cellStyle name="Normal 2 17 3 2 2" xfId="1200"/>
    <cellStyle name="Normal 2 17 3 3" xfId="1201"/>
    <cellStyle name="Normal 2 17 4" xfId="1202"/>
    <cellStyle name="Normal 2 17 4 2" xfId="1203"/>
    <cellStyle name="Normal 2 17 4 2 2" xfId="1204"/>
    <cellStyle name="Normal 2 17 4 3" xfId="1205"/>
    <cellStyle name="Normal 2 17 5" xfId="1206"/>
    <cellStyle name="Normal 2 17 5 2" xfId="1207"/>
    <cellStyle name="Normal 2 17 5 2 2" xfId="1208"/>
    <cellStyle name="Normal 2 17 5 3" xfId="1209"/>
    <cellStyle name="Normal 2 17 6" xfId="1210"/>
    <cellStyle name="Normal 2 17 6 2" xfId="1211"/>
    <cellStyle name="Normal 2 17 6 2 2" xfId="1212"/>
    <cellStyle name="Normal 2 17 6 3" xfId="1213"/>
    <cellStyle name="Normal 2 17 7" xfId="1214"/>
    <cellStyle name="Normal 2 17 7 2" xfId="1215"/>
    <cellStyle name="Normal 2 17 7 2 2" xfId="1216"/>
    <cellStyle name="Normal 2 17 7 3" xfId="1217"/>
    <cellStyle name="Normal 2 17 8" xfId="1218"/>
    <cellStyle name="Normal 2 17 8 2" xfId="1219"/>
    <cellStyle name="Normal 2 17 8 2 2" xfId="1220"/>
    <cellStyle name="Normal 2 17 8 3" xfId="1221"/>
    <cellStyle name="Normal 2 17 9" xfId="1222"/>
    <cellStyle name="Normal 2 17 9 2" xfId="1223"/>
    <cellStyle name="Normal 2 17 9 2 2" xfId="1224"/>
    <cellStyle name="Normal 2 17 9 3" xfId="1225"/>
    <cellStyle name="Normal 2 18" xfId="1226"/>
    <cellStyle name="Normal 2 18 10" xfId="1227"/>
    <cellStyle name="Normal 2 18 10 2" xfId="1228"/>
    <cellStyle name="Normal 2 18 10 2 2" xfId="1229"/>
    <cellStyle name="Normal 2 18 10 3" xfId="1230"/>
    <cellStyle name="Normal 2 18 11" xfId="1231"/>
    <cellStyle name="Normal 2 18 11 2" xfId="1232"/>
    <cellStyle name="Normal 2 18 11 2 2" xfId="1233"/>
    <cellStyle name="Normal 2 18 11 3" xfId="1234"/>
    <cellStyle name="Normal 2 18 12" xfId="1235"/>
    <cellStyle name="Normal 2 18 12 2" xfId="1236"/>
    <cellStyle name="Normal 2 18 12 2 2" xfId="1237"/>
    <cellStyle name="Normal 2 18 12 3" xfId="1238"/>
    <cellStyle name="Normal 2 18 13" xfId="1239"/>
    <cellStyle name="Normal 2 18 13 2" xfId="1240"/>
    <cellStyle name="Normal 2 18 13 2 2" xfId="1241"/>
    <cellStyle name="Normal 2 18 13 3" xfId="1242"/>
    <cellStyle name="Normal 2 18 14" xfId="1243"/>
    <cellStyle name="Normal 2 18 14 2" xfId="1244"/>
    <cellStyle name="Normal 2 18 14 2 2" xfId="1245"/>
    <cellStyle name="Normal 2 18 14 3" xfId="1246"/>
    <cellStyle name="Normal 2 18 15" xfId="1247"/>
    <cellStyle name="Normal 2 18 15 2" xfId="1248"/>
    <cellStyle name="Normal 2 18 15 2 2" xfId="1249"/>
    <cellStyle name="Normal 2 18 15 3" xfId="1250"/>
    <cellStyle name="Normal 2 18 16" xfId="1251"/>
    <cellStyle name="Normal 2 18 16 2" xfId="1252"/>
    <cellStyle name="Normal 2 18 16 2 2" xfId="1253"/>
    <cellStyle name="Normal 2 18 16 3" xfId="1254"/>
    <cellStyle name="Normal 2 18 17" xfId="1255"/>
    <cellStyle name="Normal 2 18 17 2" xfId="1256"/>
    <cellStyle name="Normal 2 18 17 2 2" xfId="1257"/>
    <cellStyle name="Normal 2 18 17 3" xfId="1258"/>
    <cellStyle name="Normal 2 18 18" xfId="1259"/>
    <cellStyle name="Normal 2 18 18 2" xfId="1260"/>
    <cellStyle name="Normal 2 18 18 2 2" xfId="1261"/>
    <cellStyle name="Normal 2 18 18 3" xfId="1262"/>
    <cellStyle name="Normal 2 18 19" xfId="1263"/>
    <cellStyle name="Normal 2 18 19 2" xfId="1264"/>
    <cellStyle name="Normal 2 18 19 2 2" xfId="1265"/>
    <cellStyle name="Normal 2 18 19 3" xfId="1266"/>
    <cellStyle name="Normal 2 18 2" xfId="1267"/>
    <cellStyle name="Normal 2 18 2 2" xfId="1268"/>
    <cellStyle name="Normal 2 18 2 2 2" xfId="1269"/>
    <cellStyle name="Normal 2 18 2 3" xfId="1270"/>
    <cellStyle name="Normal 2 18 20" xfId="1271"/>
    <cellStyle name="Normal 2 18 20 2" xfId="1272"/>
    <cellStyle name="Normal 2 18 20 2 2" xfId="1273"/>
    <cellStyle name="Normal 2 18 20 3" xfId="1274"/>
    <cellStyle name="Normal 2 18 21" xfId="1275"/>
    <cellStyle name="Normal 2 18 21 2" xfId="1276"/>
    <cellStyle name="Normal 2 18 21 2 2" xfId="1277"/>
    <cellStyle name="Normal 2 18 21 3" xfId="1278"/>
    <cellStyle name="Normal 2 18 22" xfId="1279"/>
    <cellStyle name="Normal 2 18 22 2" xfId="1280"/>
    <cellStyle name="Normal 2 18 22 2 2" xfId="1281"/>
    <cellStyle name="Normal 2 18 22 3" xfId="1282"/>
    <cellStyle name="Normal 2 18 23" xfId="1283"/>
    <cellStyle name="Normal 2 18 23 2" xfId="1284"/>
    <cellStyle name="Normal 2 18 23 2 2" xfId="1285"/>
    <cellStyle name="Normal 2 18 23 3" xfId="1286"/>
    <cellStyle name="Normal 2 18 24" xfId="1287"/>
    <cellStyle name="Normal 2 18 24 2" xfId="1288"/>
    <cellStyle name="Normal 2 18 25" xfId="1289"/>
    <cellStyle name="Normal 2 18 3" xfId="1290"/>
    <cellStyle name="Normal 2 18 3 2" xfId="1291"/>
    <cellStyle name="Normal 2 18 3 2 2" xfId="1292"/>
    <cellStyle name="Normal 2 18 3 3" xfId="1293"/>
    <cellStyle name="Normal 2 18 4" xfId="1294"/>
    <cellStyle name="Normal 2 18 4 2" xfId="1295"/>
    <cellStyle name="Normal 2 18 4 2 2" xfId="1296"/>
    <cellStyle name="Normal 2 18 4 3" xfId="1297"/>
    <cellStyle name="Normal 2 18 5" xfId="1298"/>
    <cellStyle name="Normal 2 18 5 2" xfId="1299"/>
    <cellStyle name="Normal 2 18 5 2 2" xfId="1300"/>
    <cellStyle name="Normal 2 18 5 3" xfId="1301"/>
    <cellStyle name="Normal 2 18 6" xfId="1302"/>
    <cellStyle name="Normal 2 18 6 2" xfId="1303"/>
    <cellStyle name="Normal 2 18 6 2 2" xfId="1304"/>
    <cellStyle name="Normal 2 18 6 3" xfId="1305"/>
    <cellStyle name="Normal 2 18 7" xfId="1306"/>
    <cellStyle name="Normal 2 18 7 2" xfId="1307"/>
    <cellStyle name="Normal 2 18 7 2 2" xfId="1308"/>
    <cellStyle name="Normal 2 18 7 3" xfId="1309"/>
    <cellStyle name="Normal 2 18 8" xfId="1310"/>
    <cellStyle name="Normal 2 18 8 2" xfId="1311"/>
    <cellStyle name="Normal 2 18 8 2 2" xfId="1312"/>
    <cellStyle name="Normal 2 18 8 3" xfId="1313"/>
    <cellStyle name="Normal 2 18 9" xfId="1314"/>
    <cellStyle name="Normal 2 18 9 2" xfId="1315"/>
    <cellStyle name="Normal 2 18 9 2 2" xfId="1316"/>
    <cellStyle name="Normal 2 18 9 3" xfId="1317"/>
    <cellStyle name="Normal 2 19" xfId="1318"/>
    <cellStyle name="Normal 2 19 10" xfId="1319"/>
    <cellStyle name="Normal 2 19 10 2" xfId="1320"/>
    <cellStyle name="Normal 2 19 10 2 2" xfId="1321"/>
    <cellStyle name="Normal 2 19 10 3" xfId="1322"/>
    <cellStyle name="Normal 2 19 11" xfId="1323"/>
    <cellStyle name="Normal 2 19 11 2" xfId="1324"/>
    <cellStyle name="Normal 2 19 11 2 2" xfId="1325"/>
    <cellStyle name="Normal 2 19 11 3" xfId="1326"/>
    <cellStyle name="Normal 2 19 12" xfId="1327"/>
    <cellStyle name="Normal 2 19 12 2" xfId="1328"/>
    <cellStyle name="Normal 2 19 12 2 2" xfId="1329"/>
    <cellStyle name="Normal 2 19 12 3" xfId="1330"/>
    <cellStyle name="Normal 2 19 13" xfId="1331"/>
    <cellStyle name="Normal 2 19 13 2" xfId="1332"/>
    <cellStyle name="Normal 2 19 13 2 2" xfId="1333"/>
    <cellStyle name="Normal 2 19 13 3" xfId="1334"/>
    <cellStyle name="Normal 2 19 14" xfId="1335"/>
    <cellStyle name="Normal 2 19 14 2" xfId="1336"/>
    <cellStyle name="Normal 2 19 14 2 2" xfId="1337"/>
    <cellStyle name="Normal 2 19 14 3" xfId="1338"/>
    <cellStyle name="Normal 2 19 15" xfId="1339"/>
    <cellStyle name="Normal 2 19 15 2" xfId="1340"/>
    <cellStyle name="Normal 2 19 15 2 2" xfId="1341"/>
    <cellStyle name="Normal 2 19 15 3" xfId="1342"/>
    <cellStyle name="Normal 2 19 16" xfId="1343"/>
    <cellStyle name="Normal 2 19 16 2" xfId="1344"/>
    <cellStyle name="Normal 2 19 16 2 2" xfId="1345"/>
    <cellStyle name="Normal 2 19 16 3" xfId="1346"/>
    <cellStyle name="Normal 2 19 17" xfId="1347"/>
    <cellStyle name="Normal 2 19 17 2" xfId="1348"/>
    <cellStyle name="Normal 2 19 17 2 2" xfId="1349"/>
    <cellStyle name="Normal 2 19 17 3" xfId="1350"/>
    <cellStyle name="Normal 2 19 18" xfId="1351"/>
    <cellStyle name="Normal 2 19 18 2" xfId="1352"/>
    <cellStyle name="Normal 2 19 18 2 2" xfId="1353"/>
    <cellStyle name="Normal 2 19 18 3" xfId="1354"/>
    <cellStyle name="Normal 2 19 19" xfId="1355"/>
    <cellStyle name="Normal 2 19 19 2" xfId="1356"/>
    <cellStyle name="Normal 2 19 19 2 2" xfId="1357"/>
    <cellStyle name="Normal 2 19 19 3" xfId="1358"/>
    <cellStyle name="Normal 2 19 2" xfId="1359"/>
    <cellStyle name="Normal 2 19 2 2" xfId="1360"/>
    <cellStyle name="Normal 2 19 2 2 2" xfId="1361"/>
    <cellStyle name="Normal 2 19 2 3" xfId="1362"/>
    <cellStyle name="Normal 2 19 20" xfId="1363"/>
    <cellStyle name="Normal 2 19 20 2" xfId="1364"/>
    <cellStyle name="Normal 2 19 20 2 2" xfId="1365"/>
    <cellStyle name="Normal 2 19 20 3" xfId="1366"/>
    <cellStyle name="Normal 2 19 21" xfId="1367"/>
    <cellStyle name="Normal 2 19 21 2" xfId="1368"/>
    <cellStyle name="Normal 2 19 21 2 2" xfId="1369"/>
    <cellStyle name="Normal 2 19 21 3" xfId="1370"/>
    <cellStyle name="Normal 2 19 22" xfId="1371"/>
    <cellStyle name="Normal 2 19 22 2" xfId="1372"/>
    <cellStyle name="Normal 2 19 22 2 2" xfId="1373"/>
    <cellStyle name="Normal 2 19 22 3" xfId="1374"/>
    <cellStyle name="Normal 2 19 23" xfId="1375"/>
    <cellStyle name="Normal 2 19 23 2" xfId="1376"/>
    <cellStyle name="Normal 2 19 23 2 2" xfId="1377"/>
    <cellStyle name="Normal 2 19 23 3" xfId="1378"/>
    <cellStyle name="Normal 2 19 24" xfId="1379"/>
    <cellStyle name="Normal 2 19 24 2" xfId="1380"/>
    <cellStyle name="Normal 2 19 25" xfId="1381"/>
    <cellStyle name="Normal 2 19 3" xfId="1382"/>
    <cellStyle name="Normal 2 19 3 2" xfId="1383"/>
    <cellStyle name="Normal 2 19 3 2 2" xfId="1384"/>
    <cellStyle name="Normal 2 19 3 3" xfId="1385"/>
    <cellStyle name="Normal 2 19 4" xfId="1386"/>
    <cellStyle name="Normal 2 19 4 2" xfId="1387"/>
    <cellStyle name="Normal 2 19 4 2 2" xfId="1388"/>
    <cellStyle name="Normal 2 19 4 3" xfId="1389"/>
    <cellStyle name="Normal 2 19 5" xfId="1390"/>
    <cellStyle name="Normal 2 19 5 2" xfId="1391"/>
    <cellStyle name="Normal 2 19 5 2 2" xfId="1392"/>
    <cellStyle name="Normal 2 19 5 3" xfId="1393"/>
    <cellStyle name="Normal 2 19 6" xfId="1394"/>
    <cellStyle name="Normal 2 19 6 2" xfId="1395"/>
    <cellStyle name="Normal 2 19 6 2 2" xfId="1396"/>
    <cellStyle name="Normal 2 19 6 3" xfId="1397"/>
    <cellStyle name="Normal 2 19 7" xfId="1398"/>
    <cellStyle name="Normal 2 19 7 2" xfId="1399"/>
    <cellStyle name="Normal 2 19 7 2 2" xfId="1400"/>
    <cellStyle name="Normal 2 19 7 3" xfId="1401"/>
    <cellStyle name="Normal 2 19 8" xfId="1402"/>
    <cellStyle name="Normal 2 19 8 2" xfId="1403"/>
    <cellStyle name="Normal 2 19 8 2 2" xfId="1404"/>
    <cellStyle name="Normal 2 19 8 3" xfId="1405"/>
    <cellStyle name="Normal 2 19 9" xfId="1406"/>
    <cellStyle name="Normal 2 19 9 2" xfId="1407"/>
    <cellStyle name="Normal 2 19 9 2 2" xfId="1408"/>
    <cellStyle name="Normal 2 19 9 3" xfId="1409"/>
    <cellStyle name="Normal 2 2" xfId="147"/>
    <cellStyle name="Normal 2 2 2" xfId="148"/>
    <cellStyle name="Normal 2 2 2 2" xfId="149"/>
    <cellStyle name="Normal 2 2 2 3" xfId="312"/>
    <cellStyle name="Normal 2 2 2 4" xfId="1410"/>
    <cellStyle name="Normal 2 2 3" xfId="150"/>
    <cellStyle name="Normal 2 2 3 2" xfId="151"/>
    <cellStyle name="Normal 2 2 3 3" xfId="152"/>
    <cellStyle name="Normal 2 2 4" xfId="313"/>
    <cellStyle name="Normal 2 2 4 2" xfId="1411"/>
    <cellStyle name="Normal 2 2 5" xfId="1412"/>
    <cellStyle name="Normal 2 2 6" xfId="1413"/>
    <cellStyle name="Normal 2 2 7" xfId="1414"/>
    <cellStyle name="Normal 2 2 8" xfId="1415"/>
    <cellStyle name="Normal 2 20" xfId="1416"/>
    <cellStyle name="Normal 2 20 10" xfId="1417"/>
    <cellStyle name="Normal 2 20 10 2" xfId="1418"/>
    <cellStyle name="Normal 2 20 10 2 2" xfId="1419"/>
    <cellStyle name="Normal 2 20 10 3" xfId="1420"/>
    <cellStyle name="Normal 2 20 11" xfId="1421"/>
    <cellStyle name="Normal 2 20 11 2" xfId="1422"/>
    <cellStyle name="Normal 2 20 11 2 2" xfId="1423"/>
    <cellStyle name="Normal 2 20 11 3" xfId="1424"/>
    <cellStyle name="Normal 2 20 12" xfId="1425"/>
    <cellStyle name="Normal 2 20 12 2" xfId="1426"/>
    <cellStyle name="Normal 2 20 12 2 2" xfId="1427"/>
    <cellStyle name="Normal 2 20 12 3" xfId="1428"/>
    <cellStyle name="Normal 2 20 13" xfId="1429"/>
    <cellStyle name="Normal 2 20 13 2" xfId="1430"/>
    <cellStyle name="Normal 2 20 13 2 2" xfId="1431"/>
    <cellStyle name="Normal 2 20 13 3" xfId="1432"/>
    <cellStyle name="Normal 2 20 14" xfId="1433"/>
    <cellStyle name="Normal 2 20 14 2" xfId="1434"/>
    <cellStyle name="Normal 2 20 14 2 2" xfId="1435"/>
    <cellStyle name="Normal 2 20 14 3" xfId="1436"/>
    <cellStyle name="Normal 2 20 15" xfId="1437"/>
    <cellStyle name="Normal 2 20 15 2" xfId="1438"/>
    <cellStyle name="Normal 2 20 15 2 2" xfId="1439"/>
    <cellStyle name="Normal 2 20 15 3" xfId="1440"/>
    <cellStyle name="Normal 2 20 16" xfId="1441"/>
    <cellStyle name="Normal 2 20 16 2" xfId="1442"/>
    <cellStyle name="Normal 2 20 16 2 2" xfId="1443"/>
    <cellStyle name="Normal 2 20 16 3" xfId="1444"/>
    <cellStyle name="Normal 2 20 17" xfId="1445"/>
    <cellStyle name="Normal 2 20 17 2" xfId="1446"/>
    <cellStyle name="Normal 2 20 17 2 2" xfId="1447"/>
    <cellStyle name="Normal 2 20 17 3" xfId="1448"/>
    <cellStyle name="Normal 2 20 18" xfId="1449"/>
    <cellStyle name="Normal 2 20 18 2" xfId="1450"/>
    <cellStyle name="Normal 2 20 18 2 2" xfId="1451"/>
    <cellStyle name="Normal 2 20 18 3" xfId="1452"/>
    <cellStyle name="Normal 2 20 19" xfId="1453"/>
    <cellStyle name="Normal 2 20 19 2" xfId="1454"/>
    <cellStyle name="Normal 2 20 19 2 2" xfId="1455"/>
    <cellStyle name="Normal 2 20 19 3" xfId="1456"/>
    <cellStyle name="Normal 2 20 2" xfId="1457"/>
    <cellStyle name="Normal 2 20 2 2" xfId="1458"/>
    <cellStyle name="Normal 2 20 2 2 2" xfId="1459"/>
    <cellStyle name="Normal 2 20 2 3" xfId="1460"/>
    <cellStyle name="Normal 2 20 20" xfId="1461"/>
    <cellStyle name="Normal 2 20 20 2" xfId="1462"/>
    <cellStyle name="Normal 2 20 20 2 2" xfId="1463"/>
    <cellStyle name="Normal 2 20 20 3" xfId="1464"/>
    <cellStyle name="Normal 2 20 21" xfId="1465"/>
    <cellStyle name="Normal 2 20 21 2" xfId="1466"/>
    <cellStyle name="Normal 2 20 21 2 2" xfId="1467"/>
    <cellStyle name="Normal 2 20 21 3" xfId="1468"/>
    <cellStyle name="Normal 2 20 22" xfId="1469"/>
    <cellStyle name="Normal 2 20 22 2" xfId="1470"/>
    <cellStyle name="Normal 2 20 22 2 2" xfId="1471"/>
    <cellStyle name="Normal 2 20 22 3" xfId="1472"/>
    <cellStyle name="Normal 2 20 23" xfId="1473"/>
    <cellStyle name="Normal 2 20 23 2" xfId="1474"/>
    <cellStyle name="Normal 2 20 23 2 2" xfId="1475"/>
    <cellStyle name="Normal 2 20 23 3" xfId="1476"/>
    <cellStyle name="Normal 2 20 24" xfId="1477"/>
    <cellStyle name="Normal 2 20 24 2" xfId="1478"/>
    <cellStyle name="Normal 2 20 25" xfId="1479"/>
    <cellStyle name="Normal 2 20 3" xfId="1480"/>
    <cellStyle name="Normal 2 20 3 2" xfId="1481"/>
    <cellStyle name="Normal 2 20 3 2 2" xfId="1482"/>
    <cellStyle name="Normal 2 20 3 3" xfId="1483"/>
    <cellStyle name="Normal 2 20 4" xfId="1484"/>
    <cellStyle name="Normal 2 20 4 2" xfId="1485"/>
    <cellStyle name="Normal 2 20 4 2 2" xfId="1486"/>
    <cellStyle name="Normal 2 20 4 3" xfId="1487"/>
    <cellStyle name="Normal 2 20 5" xfId="1488"/>
    <cellStyle name="Normal 2 20 5 2" xfId="1489"/>
    <cellStyle name="Normal 2 20 5 2 2" xfId="1490"/>
    <cellStyle name="Normal 2 20 5 3" xfId="1491"/>
    <cellStyle name="Normal 2 20 6" xfId="1492"/>
    <cellStyle name="Normal 2 20 6 2" xfId="1493"/>
    <cellStyle name="Normal 2 20 6 2 2" xfId="1494"/>
    <cellStyle name="Normal 2 20 6 3" xfId="1495"/>
    <cellStyle name="Normal 2 20 7" xfId="1496"/>
    <cellStyle name="Normal 2 20 7 2" xfId="1497"/>
    <cellStyle name="Normal 2 20 7 2 2" xfId="1498"/>
    <cellStyle name="Normal 2 20 7 3" xfId="1499"/>
    <cellStyle name="Normal 2 20 8" xfId="1500"/>
    <cellStyle name="Normal 2 20 8 2" xfId="1501"/>
    <cellStyle name="Normal 2 20 8 2 2" xfId="1502"/>
    <cellStyle name="Normal 2 20 8 3" xfId="1503"/>
    <cellStyle name="Normal 2 20 9" xfId="1504"/>
    <cellStyle name="Normal 2 20 9 2" xfId="1505"/>
    <cellStyle name="Normal 2 20 9 2 2" xfId="1506"/>
    <cellStyle name="Normal 2 20 9 3" xfId="1507"/>
    <cellStyle name="Normal 2 21" xfId="1508"/>
    <cellStyle name="Normal 2 21 10" xfId="1509"/>
    <cellStyle name="Normal 2 21 10 2" xfId="1510"/>
    <cellStyle name="Normal 2 21 10 2 2" xfId="1511"/>
    <cellStyle name="Normal 2 21 10 3" xfId="1512"/>
    <cellStyle name="Normal 2 21 11" xfId="1513"/>
    <cellStyle name="Normal 2 21 11 2" xfId="1514"/>
    <cellStyle name="Normal 2 21 11 2 2" xfId="1515"/>
    <cellStyle name="Normal 2 21 11 3" xfId="1516"/>
    <cellStyle name="Normal 2 21 12" xfId="1517"/>
    <cellStyle name="Normal 2 21 12 2" xfId="1518"/>
    <cellStyle name="Normal 2 21 12 2 2" xfId="1519"/>
    <cellStyle name="Normal 2 21 12 3" xfId="1520"/>
    <cellStyle name="Normal 2 21 13" xfId="1521"/>
    <cellStyle name="Normal 2 21 13 2" xfId="1522"/>
    <cellStyle name="Normal 2 21 13 2 2" xfId="1523"/>
    <cellStyle name="Normal 2 21 13 3" xfId="1524"/>
    <cellStyle name="Normal 2 21 14" xfId="1525"/>
    <cellStyle name="Normal 2 21 14 2" xfId="1526"/>
    <cellStyle name="Normal 2 21 14 2 2" xfId="1527"/>
    <cellStyle name="Normal 2 21 14 3" xfId="1528"/>
    <cellStyle name="Normal 2 21 15" xfId="1529"/>
    <cellStyle name="Normal 2 21 15 2" xfId="1530"/>
    <cellStyle name="Normal 2 21 15 2 2" xfId="1531"/>
    <cellStyle name="Normal 2 21 15 3" xfId="1532"/>
    <cellStyle name="Normal 2 21 16" xfId="1533"/>
    <cellStyle name="Normal 2 21 16 2" xfId="1534"/>
    <cellStyle name="Normal 2 21 16 2 2" xfId="1535"/>
    <cellStyle name="Normal 2 21 16 3" xfId="1536"/>
    <cellStyle name="Normal 2 21 17" xfId="1537"/>
    <cellStyle name="Normal 2 21 17 2" xfId="1538"/>
    <cellStyle name="Normal 2 21 17 2 2" xfId="1539"/>
    <cellStyle name="Normal 2 21 17 3" xfId="1540"/>
    <cellStyle name="Normal 2 21 18" xfId="1541"/>
    <cellStyle name="Normal 2 21 18 2" xfId="1542"/>
    <cellStyle name="Normal 2 21 18 2 2" xfId="1543"/>
    <cellStyle name="Normal 2 21 18 3" xfId="1544"/>
    <cellStyle name="Normal 2 21 19" xfId="1545"/>
    <cellStyle name="Normal 2 21 19 2" xfId="1546"/>
    <cellStyle name="Normal 2 21 19 2 2" xfId="1547"/>
    <cellStyle name="Normal 2 21 19 3" xfId="1548"/>
    <cellStyle name="Normal 2 21 2" xfId="1549"/>
    <cellStyle name="Normal 2 21 2 2" xfId="1550"/>
    <cellStyle name="Normal 2 21 2 2 2" xfId="1551"/>
    <cellStyle name="Normal 2 21 2 3" xfId="1552"/>
    <cellStyle name="Normal 2 21 20" xfId="1553"/>
    <cellStyle name="Normal 2 21 20 2" xfId="1554"/>
    <cellStyle name="Normal 2 21 20 2 2" xfId="1555"/>
    <cellStyle name="Normal 2 21 20 3" xfId="1556"/>
    <cellStyle name="Normal 2 21 21" xfId="1557"/>
    <cellStyle name="Normal 2 21 21 2" xfId="1558"/>
    <cellStyle name="Normal 2 21 21 2 2" xfId="1559"/>
    <cellStyle name="Normal 2 21 21 3" xfId="1560"/>
    <cellStyle name="Normal 2 21 22" xfId="1561"/>
    <cellStyle name="Normal 2 21 22 2" xfId="1562"/>
    <cellStyle name="Normal 2 21 22 2 2" xfId="1563"/>
    <cellStyle name="Normal 2 21 22 3" xfId="1564"/>
    <cellStyle name="Normal 2 21 23" xfId="1565"/>
    <cellStyle name="Normal 2 21 23 2" xfId="1566"/>
    <cellStyle name="Normal 2 21 23 2 2" xfId="1567"/>
    <cellStyle name="Normal 2 21 23 3" xfId="1568"/>
    <cellStyle name="Normal 2 21 24" xfId="1569"/>
    <cellStyle name="Normal 2 21 24 2" xfId="1570"/>
    <cellStyle name="Normal 2 21 25" xfId="1571"/>
    <cellStyle name="Normal 2 21 3" xfId="1572"/>
    <cellStyle name="Normal 2 21 3 2" xfId="1573"/>
    <cellStyle name="Normal 2 21 3 2 2" xfId="1574"/>
    <cellStyle name="Normal 2 21 3 3" xfId="1575"/>
    <cellStyle name="Normal 2 21 4" xfId="1576"/>
    <cellStyle name="Normal 2 21 4 2" xfId="1577"/>
    <cellStyle name="Normal 2 21 4 2 2" xfId="1578"/>
    <cellStyle name="Normal 2 21 4 3" xfId="1579"/>
    <cellStyle name="Normal 2 21 5" xfId="1580"/>
    <cellStyle name="Normal 2 21 5 2" xfId="1581"/>
    <cellStyle name="Normal 2 21 5 2 2" xfId="1582"/>
    <cellStyle name="Normal 2 21 5 3" xfId="1583"/>
    <cellStyle name="Normal 2 21 6" xfId="1584"/>
    <cellStyle name="Normal 2 21 6 2" xfId="1585"/>
    <cellStyle name="Normal 2 21 6 2 2" xfId="1586"/>
    <cellStyle name="Normal 2 21 6 3" xfId="1587"/>
    <cellStyle name="Normal 2 21 7" xfId="1588"/>
    <cellStyle name="Normal 2 21 7 2" xfId="1589"/>
    <cellStyle name="Normal 2 21 7 2 2" xfId="1590"/>
    <cellStyle name="Normal 2 21 7 3" xfId="1591"/>
    <cellStyle name="Normal 2 21 8" xfId="1592"/>
    <cellStyle name="Normal 2 21 8 2" xfId="1593"/>
    <cellStyle name="Normal 2 21 8 2 2" xfId="1594"/>
    <cellStyle name="Normal 2 21 8 3" xfId="1595"/>
    <cellStyle name="Normal 2 21 9" xfId="1596"/>
    <cellStyle name="Normal 2 21 9 2" xfId="1597"/>
    <cellStyle name="Normal 2 21 9 2 2" xfId="1598"/>
    <cellStyle name="Normal 2 21 9 3" xfId="1599"/>
    <cellStyle name="Normal 2 22" xfId="1600"/>
    <cellStyle name="Normal 2 22 10" xfId="1601"/>
    <cellStyle name="Normal 2 22 10 2" xfId="1602"/>
    <cellStyle name="Normal 2 22 10 2 2" xfId="1603"/>
    <cellStyle name="Normal 2 22 10 3" xfId="1604"/>
    <cellStyle name="Normal 2 22 11" xfId="1605"/>
    <cellStyle name="Normal 2 22 11 2" xfId="1606"/>
    <cellStyle name="Normal 2 22 11 2 2" xfId="1607"/>
    <cellStyle name="Normal 2 22 11 3" xfId="1608"/>
    <cellStyle name="Normal 2 22 12" xfId="1609"/>
    <cellStyle name="Normal 2 22 12 2" xfId="1610"/>
    <cellStyle name="Normal 2 22 12 2 2" xfId="1611"/>
    <cellStyle name="Normal 2 22 12 3" xfId="1612"/>
    <cellStyle name="Normal 2 22 13" xfId="1613"/>
    <cellStyle name="Normal 2 22 13 2" xfId="1614"/>
    <cellStyle name="Normal 2 22 13 2 2" xfId="1615"/>
    <cellStyle name="Normal 2 22 13 3" xfId="1616"/>
    <cellStyle name="Normal 2 22 14" xfId="1617"/>
    <cellStyle name="Normal 2 22 14 2" xfId="1618"/>
    <cellStyle name="Normal 2 22 14 2 2" xfId="1619"/>
    <cellStyle name="Normal 2 22 14 3" xfId="1620"/>
    <cellStyle name="Normal 2 22 15" xfId="1621"/>
    <cellStyle name="Normal 2 22 15 2" xfId="1622"/>
    <cellStyle name="Normal 2 22 15 2 2" xfId="1623"/>
    <cellStyle name="Normal 2 22 15 3" xfId="1624"/>
    <cellStyle name="Normal 2 22 16" xfId="1625"/>
    <cellStyle name="Normal 2 22 16 2" xfId="1626"/>
    <cellStyle name="Normal 2 22 16 2 2" xfId="1627"/>
    <cellStyle name="Normal 2 22 16 3" xfId="1628"/>
    <cellStyle name="Normal 2 22 17" xfId="1629"/>
    <cellStyle name="Normal 2 22 17 2" xfId="1630"/>
    <cellStyle name="Normal 2 22 17 2 2" xfId="1631"/>
    <cellStyle name="Normal 2 22 17 3" xfId="1632"/>
    <cellStyle name="Normal 2 22 18" xfId="1633"/>
    <cellStyle name="Normal 2 22 18 2" xfId="1634"/>
    <cellStyle name="Normal 2 22 18 2 2" xfId="1635"/>
    <cellStyle name="Normal 2 22 18 3" xfId="1636"/>
    <cellStyle name="Normal 2 22 19" xfId="1637"/>
    <cellStyle name="Normal 2 22 19 2" xfId="1638"/>
    <cellStyle name="Normal 2 22 19 2 2" xfId="1639"/>
    <cellStyle name="Normal 2 22 19 3" xfId="1640"/>
    <cellStyle name="Normal 2 22 2" xfId="1641"/>
    <cellStyle name="Normal 2 22 2 2" xfId="1642"/>
    <cellStyle name="Normal 2 22 2 2 2" xfId="1643"/>
    <cellStyle name="Normal 2 22 2 3" xfId="1644"/>
    <cellStyle name="Normal 2 22 20" xfId="1645"/>
    <cellStyle name="Normal 2 22 20 2" xfId="1646"/>
    <cellStyle name="Normal 2 22 20 2 2" xfId="1647"/>
    <cellStyle name="Normal 2 22 20 3" xfId="1648"/>
    <cellStyle name="Normal 2 22 21" xfId="1649"/>
    <cellStyle name="Normal 2 22 21 2" xfId="1650"/>
    <cellStyle name="Normal 2 22 21 2 2" xfId="1651"/>
    <cellStyle name="Normal 2 22 21 3" xfId="1652"/>
    <cellStyle name="Normal 2 22 22" xfId="1653"/>
    <cellStyle name="Normal 2 22 22 2" xfId="1654"/>
    <cellStyle name="Normal 2 22 22 2 2" xfId="1655"/>
    <cellStyle name="Normal 2 22 22 3" xfId="1656"/>
    <cellStyle name="Normal 2 22 23" xfId="1657"/>
    <cellStyle name="Normal 2 22 23 2" xfId="1658"/>
    <cellStyle name="Normal 2 22 23 2 2" xfId="1659"/>
    <cellStyle name="Normal 2 22 23 3" xfId="1660"/>
    <cellStyle name="Normal 2 22 24" xfId="1661"/>
    <cellStyle name="Normal 2 22 24 2" xfId="1662"/>
    <cellStyle name="Normal 2 22 25" xfId="1663"/>
    <cellStyle name="Normal 2 22 3" xfId="1664"/>
    <cellStyle name="Normal 2 22 3 2" xfId="1665"/>
    <cellStyle name="Normal 2 22 3 2 2" xfId="1666"/>
    <cellStyle name="Normal 2 22 3 3" xfId="1667"/>
    <cellStyle name="Normal 2 22 4" xfId="1668"/>
    <cellStyle name="Normal 2 22 4 2" xfId="1669"/>
    <cellStyle name="Normal 2 22 4 2 2" xfId="1670"/>
    <cellStyle name="Normal 2 22 4 3" xfId="1671"/>
    <cellStyle name="Normal 2 22 5" xfId="1672"/>
    <cellStyle name="Normal 2 22 5 2" xfId="1673"/>
    <cellStyle name="Normal 2 22 5 2 2" xfId="1674"/>
    <cellStyle name="Normal 2 22 5 3" xfId="1675"/>
    <cellStyle name="Normal 2 22 6" xfId="1676"/>
    <cellStyle name="Normal 2 22 6 2" xfId="1677"/>
    <cellStyle name="Normal 2 22 6 2 2" xfId="1678"/>
    <cellStyle name="Normal 2 22 6 3" xfId="1679"/>
    <cellStyle name="Normal 2 22 7" xfId="1680"/>
    <cellStyle name="Normal 2 22 7 2" xfId="1681"/>
    <cellStyle name="Normal 2 22 7 2 2" xfId="1682"/>
    <cellStyle name="Normal 2 22 7 3" xfId="1683"/>
    <cellStyle name="Normal 2 22 8" xfId="1684"/>
    <cellStyle name="Normal 2 22 8 2" xfId="1685"/>
    <cellStyle name="Normal 2 22 8 2 2" xfId="1686"/>
    <cellStyle name="Normal 2 22 8 3" xfId="1687"/>
    <cellStyle name="Normal 2 22 9" xfId="1688"/>
    <cellStyle name="Normal 2 22 9 2" xfId="1689"/>
    <cellStyle name="Normal 2 22 9 2 2" xfId="1690"/>
    <cellStyle name="Normal 2 22 9 3" xfId="1691"/>
    <cellStyle name="Normal 2 23" xfId="1692"/>
    <cellStyle name="Normal 2 23 10" xfId="1693"/>
    <cellStyle name="Normal 2 23 10 2" xfId="1694"/>
    <cellStyle name="Normal 2 23 10 2 2" xfId="1695"/>
    <cellStyle name="Normal 2 23 10 3" xfId="1696"/>
    <cellStyle name="Normal 2 23 11" xfId="1697"/>
    <cellStyle name="Normal 2 23 11 2" xfId="1698"/>
    <cellStyle name="Normal 2 23 11 2 2" xfId="1699"/>
    <cellStyle name="Normal 2 23 11 3" xfId="1700"/>
    <cellStyle name="Normal 2 23 12" xfId="1701"/>
    <cellStyle name="Normal 2 23 12 2" xfId="1702"/>
    <cellStyle name="Normal 2 23 12 2 2" xfId="1703"/>
    <cellStyle name="Normal 2 23 12 3" xfId="1704"/>
    <cellStyle name="Normal 2 23 13" xfId="1705"/>
    <cellStyle name="Normal 2 23 13 2" xfId="1706"/>
    <cellStyle name="Normal 2 23 13 2 2" xfId="1707"/>
    <cellStyle name="Normal 2 23 13 3" xfId="1708"/>
    <cellStyle name="Normal 2 23 14" xfId="1709"/>
    <cellStyle name="Normal 2 23 14 2" xfId="1710"/>
    <cellStyle name="Normal 2 23 14 2 2" xfId="1711"/>
    <cellStyle name="Normal 2 23 14 3" xfId="1712"/>
    <cellStyle name="Normal 2 23 15" xfId="1713"/>
    <cellStyle name="Normal 2 23 15 2" xfId="1714"/>
    <cellStyle name="Normal 2 23 15 2 2" xfId="1715"/>
    <cellStyle name="Normal 2 23 15 3" xfId="1716"/>
    <cellStyle name="Normal 2 23 16" xfId="1717"/>
    <cellStyle name="Normal 2 23 16 2" xfId="1718"/>
    <cellStyle name="Normal 2 23 16 2 2" xfId="1719"/>
    <cellStyle name="Normal 2 23 16 3" xfId="1720"/>
    <cellStyle name="Normal 2 23 17" xfId="1721"/>
    <cellStyle name="Normal 2 23 17 2" xfId="1722"/>
    <cellStyle name="Normal 2 23 17 2 2" xfId="1723"/>
    <cellStyle name="Normal 2 23 17 3" xfId="1724"/>
    <cellStyle name="Normal 2 23 18" xfId="1725"/>
    <cellStyle name="Normal 2 23 18 2" xfId="1726"/>
    <cellStyle name="Normal 2 23 18 2 2" xfId="1727"/>
    <cellStyle name="Normal 2 23 18 3" xfId="1728"/>
    <cellStyle name="Normal 2 23 19" xfId="1729"/>
    <cellStyle name="Normal 2 23 19 2" xfId="1730"/>
    <cellStyle name="Normal 2 23 19 2 2" xfId="1731"/>
    <cellStyle name="Normal 2 23 19 3" xfId="1732"/>
    <cellStyle name="Normal 2 23 2" xfId="1733"/>
    <cellStyle name="Normal 2 23 2 2" xfId="1734"/>
    <cellStyle name="Normal 2 23 2 2 2" xfId="1735"/>
    <cellStyle name="Normal 2 23 2 3" xfId="1736"/>
    <cellStyle name="Normal 2 23 20" xfId="1737"/>
    <cellStyle name="Normal 2 23 20 2" xfId="1738"/>
    <cellStyle name="Normal 2 23 20 2 2" xfId="1739"/>
    <cellStyle name="Normal 2 23 20 3" xfId="1740"/>
    <cellStyle name="Normal 2 23 21" xfId="1741"/>
    <cellStyle name="Normal 2 23 21 2" xfId="1742"/>
    <cellStyle name="Normal 2 23 21 2 2" xfId="1743"/>
    <cellStyle name="Normal 2 23 21 3" xfId="1744"/>
    <cellStyle name="Normal 2 23 22" xfId="1745"/>
    <cellStyle name="Normal 2 23 22 2" xfId="1746"/>
    <cellStyle name="Normal 2 23 22 2 2" xfId="1747"/>
    <cellStyle name="Normal 2 23 22 3" xfId="1748"/>
    <cellStyle name="Normal 2 23 23" xfId="1749"/>
    <cellStyle name="Normal 2 23 23 2" xfId="1750"/>
    <cellStyle name="Normal 2 23 23 2 2" xfId="1751"/>
    <cellStyle name="Normal 2 23 23 3" xfId="1752"/>
    <cellStyle name="Normal 2 23 24" xfId="1753"/>
    <cellStyle name="Normal 2 23 24 2" xfId="1754"/>
    <cellStyle name="Normal 2 23 25" xfId="1755"/>
    <cellStyle name="Normal 2 23 3" xfId="1756"/>
    <cellStyle name="Normal 2 23 3 2" xfId="1757"/>
    <cellStyle name="Normal 2 23 3 2 2" xfId="1758"/>
    <cellStyle name="Normal 2 23 3 3" xfId="1759"/>
    <cellStyle name="Normal 2 23 4" xfId="1760"/>
    <cellStyle name="Normal 2 23 4 2" xfId="1761"/>
    <cellStyle name="Normal 2 23 4 2 2" xfId="1762"/>
    <cellStyle name="Normal 2 23 4 3" xfId="1763"/>
    <cellStyle name="Normal 2 23 5" xfId="1764"/>
    <cellStyle name="Normal 2 23 5 2" xfId="1765"/>
    <cellStyle name="Normal 2 23 5 2 2" xfId="1766"/>
    <cellStyle name="Normal 2 23 5 3" xfId="1767"/>
    <cellStyle name="Normal 2 23 6" xfId="1768"/>
    <cellStyle name="Normal 2 23 6 2" xfId="1769"/>
    <cellStyle name="Normal 2 23 6 2 2" xfId="1770"/>
    <cellStyle name="Normal 2 23 6 3" xfId="1771"/>
    <cellStyle name="Normal 2 23 7" xfId="1772"/>
    <cellStyle name="Normal 2 23 7 2" xfId="1773"/>
    <cellStyle name="Normal 2 23 7 2 2" xfId="1774"/>
    <cellStyle name="Normal 2 23 7 3" xfId="1775"/>
    <cellStyle name="Normal 2 23 8" xfId="1776"/>
    <cellStyle name="Normal 2 23 8 2" xfId="1777"/>
    <cellStyle name="Normal 2 23 8 2 2" xfId="1778"/>
    <cellStyle name="Normal 2 23 8 3" xfId="1779"/>
    <cellStyle name="Normal 2 23 9" xfId="1780"/>
    <cellStyle name="Normal 2 23 9 2" xfId="1781"/>
    <cellStyle name="Normal 2 23 9 2 2" xfId="1782"/>
    <cellStyle name="Normal 2 23 9 3" xfId="1783"/>
    <cellStyle name="Normal 2 24" xfId="1784"/>
    <cellStyle name="Normal 2 24 10" xfId="1785"/>
    <cellStyle name="Normal 2 24 10 2" xfId="1786"/>
    <cellStyle name="Normal 2 24 10 2 2" xfId="1787"/>
    <cellStyle name="Normal 2 24 10 3" xfId="1788"/>
    <cellStyle name="Normal 2 24 11" xfId="1789"/>
    <cellStyle name="Normal 2 24 11 2" xfId="1790"/>
    <cellStyle name="Normal 2 24 11 2 2" xfId="1791"/>
    <cellStyle name="Normal 2 24 11 3" xfId="1792"/>
    <cellStyle name="Normal 2 24 12" xfId="1793"/>
    <cellStyle name="Normal 2 24 12 2" xfId="1794"/>
    <cellStyle name="Normal 2 24 12 2 2" xfId="1795"/>
    <cellStyle name="Normal 2 24 12 3" xfId="1796"/>
    <cellStyle name="Normal 2 24 13" xfId="1797"/>
    <cellStyle name="Normal 2 24 13 2" xfId="1798"/>
    <cellStyle name="Normal 2 24 13 2 2" xfId="1799"/>
    <cellStyle name="Normal 2 24 13 3" xfId="1800"/>
    <cellStyle name="Normal 2 24 14" xfId="1801"/>
    <cellStyle name="Normal 2 24 14 2" xfId="1802"/>
    <cellStyle name="Normal 2 24 14 2 2" xfId="1803"/>
    <cellStyle name="Normal 2 24 14 3" xfId="1804"/>
    <cellStyle name="Normal 2 24 15" xfId="1805"/>
    <cellStyle name="Normal 2 24 15 2" xfId="1806"/>
    <cellStyle name="Normal 2 24 15 2 2" xfId="1807"/>
    <cellStyle name="Normal 2 24 15 3" xfId="1808"/>
    <cellStyle name="Normal 2 24 16" xfId="1809"/>
    <cellStyle name="Normal 2 24 16 2" xfId="1810"/>
    <cellStyle name="Normal 2 24 16 2 2" xfId="1811"/>
    <cellStyle name="Normal 2 24 16 3" xfId="1812"/>
    <cellStyle name="Normal 2 24 17" xfId="1813"/>
    <cellStyle name="Normal 2 24 17 2" xfId="1814"/>
    <cellStyle name="Normal 2 24 17 2 2" xfId="1815"/>
    <cellStyle name="Normal 2 24 17 3" xfId="1816"/>
    <cellStyle name="Normal 2 24 18" xfId="1817"/>
    <cellStyle name="Normal 2 24 18 2" xfId="1818"/>
    <cellStyle name="Normal 2 24 18 2 2" xfId="1819"/>
    <cellStyle name="Normal 2 24 18 3" xfId="1820"/>
    <cellStyle name="Normal 2 24 19" xfId="1821"/>
    <cellStyle name="Normal 2 24 19 2" xfId="1822"/>
    <cellStyle name="Normal 2 24 19 2 2" xfId="1823"/>
    <cellStyle name="Normal 2 24 19 3" xfId="1824"/>
    <cellStyle name="Normal 2 24 2" xfId="1825"/>
    <cellStyle name="Normal 2 24 2 2" xfId="1826"/>
    <cellStyle name="Normal 2 24 2 2 2" xfId="1827"/>
    <cellStyle name="Normal 2 24 2 3" xfId="1828"/>
    <cellStyle name="Normal 2 24 20" xfId="1829"/>
    <cellStyle name="Normal 2 24 20 2" xfId="1830"/>
    <cellStyle name="Normal 2 24 20 2 2" xfId="1831"/>
    <cellStyle name="Normal 2 24 20 3" xfId="1832"/>
    <cellStyle name="Normal 2 24 21" xfId="1833"/>
    <cellStyle name="Normal 2 24 21 2" xfId="1834"/>
    <cellStyle name="Normal 2 24 21 2 2" xfId="1835"/>
    <cellStyle name="Normal 2 24 21 3" xfId="1836"/>
    <cellStyle name="Normal 2 24 22" xfId="1837"/>
    <cellStyle name="Normal 2 24 22 2" xfId="1838"/>
    <cellStyle name="Normal 2 24 22 2 2" xfId="1839"/>
    <cellStyle name="Normal 2 24 22 3" xfId="1840"/>
    <cellStyle name="Normal 2 24 23" xfId="1841"/>
    <cellStyle name="Normal 2 24 23 2" xfId="1842"/>
    <cellStyle name="Normal 2 24 23 2 2" xfId="1843"/>
    <cellStyle name="Normal 2 24 23 3" xfId="1844"/>
    <cellStyle name="Normal 2 24 24" xfId="1845"/>
    <cellStyle name="Normal 2 24 24 2" xfId="1846"/>
    <cellStyle name="Normal 2 24 25" xfId="1847"/>
    <cellStyle name="Normal 2 24 3" xfId="1848"/>
    <cellStyle name="Normal 2 24 3 2" xfId="1849"/>
    <cellStyle name="Normal 2 24 3 2 2" xfId="1850"/>
    <cellStyle name="Normal 2 24 3 3" xfId="1851"/>
    <cellStyle name="Normal 2 24 4" xfId="1852"/>
    <cellStyle name="Normal 2 24 4 2" xfId="1853"/>
    <cellStyle name="Normal 2 24 4 2 2" xfId="1854"/>
    <cellStyle name="Normal 2 24 4 3" xfId="1855"/>
    <cellStyle name="Normal 2 24 5" xfId="1856"/>
    <cellStyle name="Normal 2 24 5 2" xfId="1857"/>
    <cellStyle name="Normal 2 24 5 2 2" xfId="1858"/>
    <cellStyle name="Normal 2 24 5 3" xfId="1859"/>
    <cellStyle name="Normal 2 24 6" xfId="1860"/>
    <cellStyle name="Normal 2 24 6 2" xfId="1861"/>
    <cellStyle name="Normal 2 24 6 2 2" xfId="1862"/>
    <cellStyle name="Normal 2 24 6 3" xfId="1863"/>
    <cellStyle name="Normal 2 24 7" xfId="1864"/>
    <cellStyle name="Normal 2 24 7 2" xfId="1865"/>
    <cellStyle name="Normal 2 24 7 2 2" xfId="1866"/>
    <cellStyle name="Normal 2 24 7 3" xfId="1867"/>
    <cellStyle name="Normal 2 24 8" xfId="1868"/>
    <cellStyle name="Normal 2 24 8 2" xfId="1869"/>
    <cellStyle name="Normal 2 24 8 2 2" xfId="1870"/>
    <cellStyle name="Normal 2 24 8 3" xfId="1871"/>
    <cellStyle name="Normal 2 24 9" xfId="1872"/>
    <cellStyle name="Normal 2 24 9 2" xfId="1873"/>
    <cellStyle name="Normal 2 24 9 2 2" xfId="1874"/>
    <cellStyle name="Normal 2 24 9 3" xfId="1875"/>
    <cellStyle name="Normal 2 25" xfId="1876"/>
    <cellStyle name="Normal 2 25 10" xfId="1877"/>
    <cellStyle name="Normal 2 25 10 2" xfId="1878"/>
    <cellStyle name="Normal 2 25 10 2 2" xfId="1879"/>
    <cellStyle name="Normal 2 25 10 3" xfId="1880"/>
    <cellStyle name="Normal 2 25 11" xfId="1881"/>
    <cellStyle name="Normal 2 25 11 2" xfId="1882"/>
    <cellStyle name="Normal 2 25 11 2 2" xfId="1883"/>
    <cellStyle name="Normal 2 25 11 3" xfId="1884"/>
    <cellStyle name="Normal 2 25 12" xfId="1885"/>
    <cellStyle name="Normal 2 25 12 2" xfId="1886"/>
    <cellStyle name="Normal 2 25 12 2 2" xfId="1887"/>
    <cellStyle name="Normal 2 25 12 3" xfId="1888"/>
    <cellStyle name="Normal 2 25 13" xfId="1889"/>
    <cellStyle name="Normal 2 25 13 2" xfId="1890"/>
    <cellStyle name="Normal 2 25 13 2 2" xfId="1891"/>
    <cellStyle name="Normal 2 25 13 3" xfId="1892"/>
    <cellStyle name="Normal 2 25 14" xfId="1893"/>
    <cellStyle name="Normal 2 25 14 2" xfId="1894"/>
    <cellStyle name="Normal 2 25 14 2 2" xfId="1895"/>
    <cellStyle name="Normal 2 25 14 3" xfId="1896"/>
    <cellStyle name="Normal 2 25 15" xfId="1897"/>
    <cellStyle name="Normal 2 25 15 2" xfId="1898"/>
    <cellStyle name="Normal 2 25 15 2 2" xfId="1899"/>
    <cellStyle name="Normal 2 25 15 3" xfId="1900"/>
    <cellStyle name="Normal 2 25 16" xfId="1901"/>
    <cellStyle name="Normal 2 25 16 2" xfId="1902"/>
    <cellStyle name="Normal 2 25 16 2 2" xfId="1903"/>
    <cellStyle name="Normal 2 25 16 3" xfId="1904"/>
    <cellStyle name="Normal 2 25 17" xfId="1905"/>
    <cellStyle name="Normal 2 25 17 2" xfId="1906"/>
    <cellStyle name="Normal 2 25 17 2 2" xfId="1907"/>
    <cellStyle name="Normal 2 25 17 3" xfId="1908"/>
    <cellStyle name="Normal 2 25 18" xfId="1909"/>
    <cellStyle name="Normal 2 25 18 2" xfId="1910"/>
    <cellStyle name="Normal 2 25 18 2 2" xfId="1911"/>
    <cellStyle name="Normal 2 25 18 3" xfId="1912"/>
    <cellStyle name="Normal 2 25 19" xfId="1913"/>
    <cellStyle name="Normal 2 25 19 2" xfId="1914"/>
    <cellStyle name="Normal 2 25 19 2 2" xfId="1915"/>
    <cellStyle name="Normal 2 25 19 3" xfId="1916"/>
    <cellStyle name="Normal 2 25 2" xfId="1917"/>
    <cellStyle name="Normal 2 25 2 2" xfId="1918"/>
    <cellStyle name="Normal 2 25 2 2 2" xfId="1919"/>
    <cellStyle name="Normal 2 25 2 3" xfId="1920"/>
    <cellStyle name="Normal 2 25 20" xfId="1921"/>
    <cellStyle name="Normal 2 25 20 2" xfId="1922"/>
    <cellStyle name="Normal 2 25 20 2 2" xfId="1923"/>
    <cellStyle name="Normal 2 25 20 3" xfId="1924"/>
    <cellStyle name="Normal 2 25 21" xfId="1925"/>
    <cellStyle name="Normal 2 25 21 2" xfId="1926"/>
    <cellStyle name="Normal 2 25 21 2 2" xfId="1927"/>
    <cellStyle name="Normal 2 25 21 3" xfId="1928"/>
    <cellStyle name="Normal 2 25 22" xfId="1929"/>
    <cellStyle name="Normal 2 25 22 2" xfId="1930"/>
    <cellStyle name="Normal 2 25 22 2 2" xfId="1931"/>
    <cellStyle name="Normal 2 25 22 3" xfId="1932"/>
    <cellStyle name="Normal 2 25 23" xfId="1933"/>
    <cellStyle name="Normal 2 25 23 2" xfId="1934"/>
    <cellStyle name="Normal 2 25 23 2 2" xfId="1935"/>
    <cellStyle name="Normal 2 25 23 3" xfId="1936"/>
    <cellStyle name="Normal 2 25 24" xfId="1937"/>
    <cellStyle name="Normal 2 25 24 2" xfId="1938"/>
    <cellStyle name="Normal 2 25 25" xfId="1939"/>
    <cellStyle name="Normal 2 25 3" xfId="1940"/>
    <cellStyle name="Normal 2 25 3 2" xfId="1941"/>
    <cellStyle name="Normal 2 25 3 2 2" xfId="1942"/>
    <cellStyle name="Normal 2 25 3 3" xfId="1943"/>
    <cellStyle name="Normal 2 25 4" xfId="1944"/>
    <cellStyle name="Normal 2 25 4 2" xfId="1945"/>
    <cellStyle name="Normal 2 25 4 2 2" xfId="1946"/>
    <cellStyle name="Normal 2 25 4 3" xfId="1947"/>
    <cellStyle name="Normal 2 25 5" xfId="1948"/>
    <cellStyle name="Normal 2 25 5 2" xfId="1949"/>
    <cellStyle name="Normal 2 25 5 2 2" xfId="1950"/>
    <cellStyle name="Normal 2 25 5 3" xfId="1951"/>
    <cellStyle name="Normal 2 25 6" xfId="1952"/>
    <cellStyle name="Normal 2 25 6 2" xfId="1953"/>
    <cellStyle name="Normal 2 25 6 2 2" xfId="1954"/>
    <cellStyle name="Normal 2 25 6 3" xfId="1955"/>
    <cellStyle name="Normal 2 25 7" xfId="1956"/>
    <cellStyle name="Normal 2 25 7 2" xfId="1957"/>
    <cellStyle name="Normal 2 25 7 2 2" xfId="1958"/>
    <cellStyle name="Normal 2 25 7 3" xfId="1959"/>
    <cellStyle name="Normal 2 25 8" xfId="1960"/>
    <cellStyle name="Normal 2 25 8 2" xfId="1961"/>
    <cellStyle name="Normal 2 25 8 2 2" xfId="1962"/>
    <cellStyle name="Normal 2 25 8 3" xfId="1963"/>
    <cellStyle name="Normal 2 25 9" xfId="1964"/>
    <cellStyle name="Normal 2 25 9 2" xfId="1965"/>
    <cellStyle name="Normal 2 25 9 2 2" xfId="1966"/>
    <cellStyle name="Normal 2 25 9 3" xfId="1967"/>
    <cellStyle name="Normal 2 26" xfId="1968"/>
    <cellStyle name="Normal 2 26 10" xfId="1969"/>
    <cellStyle name="Normal 2 26 10 2" xfId="1970"/>
    <cellStyle name="Normal 2 26 10 2 2" xfId="1971"/>
    <cellStyle name="Normal 2 26 10 3" xfId="1972"/>
    <cellStyle name="Normal 2 26 11" xfId="1973"/>
    <cellStyle name="Normal 2 26 11 2" xfId="1974"/>
    <cellStyle name="Normal 2 26 11 2 2" xfId="1975"/>
    <cellStyle name="Normal 2 26 11 3" xfId="1976"/>
    <cellStyle name="Normal 2 26 12" xfId="1977"/>
    <cellStyle name="Normal 2 26 12 2" xfId="1978"/>
    <cellStyle name="Normal 2 26 12 2 2" xfId="1979"/>
    <cellStyle name="Normal 2 26 12 3" xfId="1980"/>
    <cellStyle name="Normal 2 26 13" xfId="1981"/>
    <cellStyle name="Normal 2 26 13 2" xfId="1982"/>
    <cellStyle name="Normal 2 26 13 2 2" xfId="1983"/>
    <cellStyle name="Normal 2 26 13 3" xfId="1984"/>
    <cellStyle name="Normal 2 26 14" xfId="1985"/>
    <cellStyle name="Normal 2 26 14 2" xfId="1986"/>
    <cellStyle name="Normal 2 26 14 2 2" xfId="1987"/>
    <cellStyle name="Normal 2 26 14 3" xfId="1988"/>
    <cellStyle name="Normal 2 26 15" xfId="1989"/>
    <cellStyle name="Normal 2 26 15 2" xfId="1990"/>
    <cellStyle name="Normal 2 26 15 2 2" xfId="1991"/>
    <cellStyle name="Normal 2 26 15 3" xfId="1992"/>
    <cellStyle name="Normal 2 26 16" xfId="1993"/>
    <cellStyle name="Normal 2 26 16 2" xfId="1994"/>
    <cellStyle name="Normal 2 26 16 2 2" xfId="1995"/>
    <cellStyle name="Normal 2 26 16 3" xfId="1996"/>
    <cellStyle name="Normal 2 26 17" xfId="1997"/>
    <cellStyle name="Normal 2 26 17 2" xfId="1998"/>
    <cellStyle name="Normal 2 26 17 2 2" xfId="1999"/>
    <cellStyle name="Normal 2 26 17 3" xfId="2000"/>
    <cellStyle name="Normal 2 26 18" xfId="2001"/>
    <cellStyle name="Normal 2 26 18 2" xfId="2002"/>
    <cellStyle name="Normal 2 26 18 2 2" xfId="2003"/>
    <cellStyle name="Normal 2 26 18 3" xfId="2004"/>
    <cellStyle name="Normal 2 26 19" xfId="2005"/>
    <cellStyle name="Normal 2 26 19 2" xfId="2006"/>
    <cellStyle name="Normal 2 26 19 2 2" xfId="2007"/>
    <cellStyle name="Normal 2 26 19 3" xfId="2008"/>
    <cellStyle name="Normal 2 26 2" xfId="2009"/>
    <cellStyle name="Normal 2 26 2 2" xfId="2010"/>
    <cellStyle name="Normal 2 26 2 2 2" xfId="2011"/>
    <cellStyle name="Normal 2 26 2 3" xfId="2012"/>
    <cellStyle name="Normal 2 26 20" xfId="2013"/>
    <cellStyle name="Normal 2 26 20 2" xfId="2014"/>
    <cellStyle name="Normal 2 26 20 2 2" xfId="2015"/>
    <cellStyle name="Normal 2 26 20 3" xfId="2016"/>
    <cellStyle name="Normal 2 26 21" xfId="2017"/>
    <cellStyle name="Normal 2 26 21 2" xfId="2018"/>
    <cellStyle name="Normal 2 26 21 2 2" xfId="2019"/>
    <cellStyle name="Normal 2 26 21 3" xfId="2020"/>
    <cellStyle name="Normal 2 26 22" xfId="2021"/>
    <cellStyle name="Normal 2 26 22 2" xfId="2022"/>
    <cellStyle name="Normal 2 26 22 2 2" xfId="2023"/>
    <cellStyle name="Normal 2 26 22 3" xfId="2024"/>
    <cellStyle name="Normal 2 26 23" xfId="2025"/>
    <cellStyle name="Normal 2 26 23 2" xfId="2026"/>
    <cellStyle name="Normal 2 26 23 2 2" xfId="2027"/>
    <cellStyle name="Normal 2 26 23 3" xfId="2028"/>
    <cellStyle name="Normal 2 26 24" xfId="2029"/>
    <cellStyle name="Normal 2 26 24 2" xfId="2030"/>
    <cellStyle name="Normal 2 26 25" xfId="2031"/>
    <cellStyle name="Normal 2 26 3" xfId="2032"/>
    <cellStyle name="Normal 2 26 3 2" xfId="2033"/>
    <cellStyle name="Normal 2 26 3 2 2" xfId="2034"/>
    <cellStyle name="Normal 2 26 3 3" xfId="2035"/>
    <cellStyle name="Normal 2 26 4" xfId="2036"/>
    <cellStyle name="Normal 2 26 4 2" xfId="2037"/>
    <cellStyle name="Normal 2 26 4 2 2" xfId="2038"/>
    <cellStyle name="Normal 2 26 4 3" xfId="2039"/>
    <cellStyle name="Normal 2 26 5" xfId="2040"/>
    <cellStyle name="Normal 2 26 5 2" xfId="2041"/>
    <cellStyle name="Normal 2 26 5 2 2" xfId="2042"/>
    <cellStyle name="Normal 2 26 5 3" xfId="2043"/>
    <cellStyle name="Normal 2 26 6" xfId="2044"/>
    <cellStyle name="Normal 2 26 6 2" xfId="2045"/>
    <cellStyle name="Normal 2 26 6 2 2" xfId="2046"/>
    <cellStyle name="Normal 2 26 6 3" xfId="2047"/>
    <cellStyle name="Normal 2 26 7" xfId="2048"/>
    <cellStyle name="Normal 2 26 7 2" xfId="2049"/>
    <cellStyle name="Normal 2 26 7 2 2" xfId="2050"/>
    <cellStyle name="Normal 2 26 7 3" xfId="2051"/>
    <cellStyle name="Normal 2 26 8" xfId="2052"/>
    <cellStyle name="Normal 2 26 8 2" xfId="2053"/>
    <cellStyle name="Normal 2 26 8 2 2" xfId="2054"/>
    <cellStyle name="Normal 2 26 8 3" xfId="2055"/>
    <cellStyle name="Normal 2 26 9" xfId="2056"/>
    <cellStyle name="Normal 2 26 9 2" xfId="2057"/>
    <cellStyle name="Normal 2 26 9 2 2" xfId="2058"/>
    <cellStyle name="Normal 2 26 9 3" xfId="2059"/>
    <cellStyle name="Normal 2 27" xfId="2060"/>
    <cellStyle name="Normal 2 27 10" xfId="2061"/>
    <cellStyle name="Normal 2 27 10 2" xfId="2062"/>
    <cellStyle name="Normal 2 27 10 2 2" xfId="2063"/>
    <cellStyle name="Normal 2 27 10 3" xfId="2064"/>
    <cellStyle name="Normal 2 27 11" xfId="2065"/>
    <cellStyle name="Normal 2 27 11 2" xfId="2066"/>
    <cellStyle name="Normal 2 27 11 2 2" xfId="2067"/>
    <cellStyle name="Normal 2 27 11 3" xfId="2068"/>
    <cellStyle name="Normal 2 27 12" xfId="2069"/>
    <cellStyle name="Normal 2 27 12 2" xfId="2070"/>
    <cellStyle name="Normal 2 27 12 2 2" xfId="2071"/>
    <cellStyle name="Normal 2 27 12 3" xfId="2072"/>
    <cellStyle name="Normal 2 27 13" xfId="2073"/>
    <cellStyle name="Normal 2 27 13 2" xfId="2074"/>
    <cellStyle name="Normal 2 27 13 2 2" xfId="2075"/>
    <cellStyle name="Normal 2 27 13 3" xfId="2076"/>
    <cellStyle name="Normal 2 27 14" xfId="2077"/>
    <cellStyle name="Normal 2 27 14 2" xfId="2078"/>
    <cellStyle name="Normal 2 27 14 2 2" xfId="2079"/>
    <cellStyle name="Normal 2 27 14 3" xfId="2080"/>
    <cellStyle name="Normal 2 27 15" xfId="2081"/>
    <cellStyle name="Normal 2 27 15 2" xfId="2082"/>
    <cellStyle name="Normal 2 27 15 2 2" xfId="2083"/>
    <cellStyle name="Normal 2 27 15 3" xfId="2084"/>
    <cellStyle name="Normal 2 27 16" xfId="2085"/>
    <cellStyle name="Normal 2 27 16 2" xfId="2086"/>
    <cellStyle name="Normal 2 27 16 2 2" xfId="2087"/>
    <cellStyle name="Normal 2 27 16 3" xfId="2088"/>
    <cellStyle name="Normal 2 27 17" xfId="2089"/>
    <cellStyle name="Normal 2 27 17 2" xfId="2090"/>
    <cellStyle name="Normal 2 27 17 2 2" xfId="2091"/>
    <cellStyle name="Normal 2 27 17 3" xfId="2092"/>
    <cellStyle name="Normal 2 27 18" xfId="2093"/>
    <cellStyle name="Normal 2 27 18 2" xfId="2094"/>
    <cellStyle name="Normal 2 27 18 2 2" xfId="2095"/>
    <cellStyle name="Normal 2 27 18 3" xfId="2096"/>
    <cellStyle name="Normal 2 27 19" xfId="2097"/>
    <cellStyle name="Normal 2 27 19 2" xfId="2098"/>
    <cellStyle name="Normal 2 27 19 2 2" xfId="2099"/>
    <cellStyle name="Normal 2 27 19 3" xfId="2100"/>
    <cellStyle name="Normal 2 27 2" xfId="2101"/>
    <cellStyle name="Normal 2 27 2 2" xfId="2102"/>
    <cellStyle name="Normal 2 27 2 2 2" xfId="2103"/>
    <cellStyle name="Normal 2 27 2 3" xfId="2104"/>
    <cellStyle name="Normal 2 27 20" xfId="2105"/>
    <cellStyle name="Normal 2 27 20 2" xfId="2106"/>
    <cellStyle name="Normal 2 27 20 2 2" xfId="2107"/>
    <cellStyle name="Normal 2 27 20 3" xfId="2108"/>
    <cellStyle name="Normal 2 27 21" xfId="2109"/>
    <cellStyle name="Normal 2 27 21 2" xfId="2110"/>
    <cellStyle name="Normal 2 27 21 2 2" xfId="2111"/>
    <cellStyle name="Normal 2 27 21 3" xfId="2112"/>
    <cellStyle name="Normal 2 27 22" xfId="2113"/>
    <cellStyle name="Normal 2 27 22 2" xfId="2114"/>
    <cellStyle name="Normal 2 27 22 2 2" xfId="2115"/>
    <cellStyle name="Normal 2 27 22 3" xfId="2116"/>
    <cellStyle name="Normal 2 27 23" xfId="2117"/>
    <cellStyle name="Normal 2 27 23 2" xfId="2118"/>
    <cellStyle name="Normal 2 27 23 2 2" xfId="2119"/>
    <cellStyle name="Normal 2 27 23 3" xfId="2120"/>
    <cellStyle name="Normal 2 27 24" xfId="2121"/>
    <cellStyle name="Normal 2 27 24 2" xfId="2122"/>
    <cellStyle name="Normal 2 27 25" xfId="2123"/>
    <cellStyle name="Normal 2 27 3" xfId="2124"/>
    <cellStyle name="Normal 2 27 3 2" xfId="2125"/>
    <cellStyle name="Normal 2 27 3 2 2" xfId="2126"/>
    <cellStyle name="Normal 2 27 3 3" xfId="2127"/>
    <cellStyle name="Normal 2 27 4" xfId="2128"/>
    <cellStyle name="Normal 2 27 4 2" xfId="2129"/>
    <cellStyle name="Normal 2 27 4 2 2" xfId="2130"/>
    <cellStyle name="Normal 2 27 4 3" xfId="2131"/>
    <cellStyle name="Normal 2 27 5" xfId="2132"/>
    <cellStyle name="Normal 2 27 5 2" xfId="2133"/>
    <cellStyle name="Normal 2 27 5 2 2" xfId="2134"/>
    <cellStyle name="Normal 2 27 5 3" xfId="2135"/>
    <cellStyle name="Normal 2 27 6" xfId="2136"/>
    <cellStyle name="Normal 2 27 6 2" xfId="2137"/>
    <cellStyle name="Normal 2 27 6 2 2" xfId="2138"/>
    <cellStyle name="Normal 2 27 6 3" xfId="2139"/>
    <cellStyle name="Normal 2 27 7" xfId="2140"/>
    <cellStyle name="Normal 2 27 7 2" xfId="2141"/>
    <cellStyle name="Normal 2 27 7 2 2" xfId="2142"/>
    <cellStyle name="Normal 2 27 7 3" xfId="2143"/>
    <cellStyle name="Normal 2 27 8" xfId="2144"/>
    <cellStyle name="Normal 2 27 8 2" xfId="2145"/>
    <cellStyle name="Normal 2 27 8 2 2" xfId="2146"/>
    <cellStyle name="Normal 2 27 8 3" xfId="2147"/>
    <cellStyle name="Normal 2 27 9" xfId="2148"/>
    <cellStyle name="Normal 2 27 9 2" xfId="2149"/>
    <cellStyle name="Normal 2 27 9 2 2" xfId="2150"/>
    <cellStyle name="Normal 2 27 9 3" xfId="2151"/>
    <cellStyle name="Normal 2 28" xfId="2152"/>
    <cellStyle name="Normal 2 28 10" xfId="2153"/>
    <cellStyle name="Normal 2 28 10 2" xfId="2154"/>
    <cellStyle name="Normal 2 28 10 2 2" xfId="2155"/>
    <cellStyle name="Normal 2 28 10 3" xfId="2156"/>
    <cellStyle name="Normal 2 28 11" xfId="2157"/>
    <cellStyle name="Normal 2 28 11 2" xfId="2158"/>
    <cellStyle name="Normal 2 28 11 2 2" xfId="2159"/>
    <cellStyle name="Normal 2 28 11 3" xfId="2160"/>
    <cellStyle name="Normal 2 28 12" xfId="2161"/>
    <cellStyle name="Normal 2 28 12 2" xfId="2162"/>
    <cellStyle name="Normal 2 28 12 2 2" xfId="2163"/>
    <cellStyle name="Normal 2 28 12 3" xfId="2164"/>
    <cellStyle name="Normal 2 28 13" xfId="2165"/>
    <cellStyle name="Normal 2 28 13 2" xfId="2166"/>
    <cellStyle name="Normal 2 28 13 2 2" xfId="2167"/>
    <cellStyle name="Normal 2 28 13 3" xfId="2168"/>
    <cellStyle name="Normal 2 28 14" xfId="2169"/>
    <cellStyle name="Normal 2 28 14 2" xfId="2170"/>
    <cellStyle name="Normal 2 28 14 2 2" xfId="2171"/>
    <cellStyle name="Normal 2 28 14 3" xfId="2172"/>
    <cellStyle name="Normal 2 28 15" xfId="2173"/>
    <cellStyle name="Normal 2 28 15 2" xfId="2174"/>
    <cellStyle name="Normal 2 28 15 2 2" xfId="2175"/>
    <cellStyle name="Normal 2 28 15 3" xfId="2176"/>
    <cellStyle name="Normal 2 28 16" xfId="2177"/>
    <cellStyle name="Normal 2 28 16 2" xfId="2178"/>
    <cellStyle name="Normal 2 28 16 2 2" xfId="2179"/>
    <cellStyle name="Normal 2 28 16 3" xfId="2180"/>
    <cellStyle name="Normal 2 28 17" xfId="2181"/>
    <cellStyle name="Normal 2 28 17 2" xfId="2182"/>
    <cellStyle name="Normal 2 28 17 2 2" xfId="2183"/>
    <cellStyle name="Normal 2 28 17 3" xfId="2184"/>
    <cellStyle name="Normal 2 28 18" xfId="2185"/>
    <cellStyle name="Normal 2 28 18 2" xfId="2186"/>
    <cellStyle name="Normal 2 28 18 2 2" xfId="2187"/>
    <cellStyle name="Normal 2 28 18 3" xfId="2188"/>
    <cellStyle name="Normal 2 28 19" xfId="2189"/>
    <cellStyle name="Normal 2 28 19 2" xfId="2190"/>
    <cellStyle name="Normal 2 28 19 2 2" xfId="2191"/>
    <cellStyle name="Normal 2 28 19 3" xfId="2192"/>
    <cellStyle name="Normal 2 28 2" xfId="2193"/>
    <cellStyle name="Normal 2 28 2 2" xfId="2194"/>
    <cellStyle name="Normal 2 28 2 2 2" xfId="2195"/>
    <cellStyle name="Normal 2 28 2 3" xfId="2196"/>
    <cellStyle name="Normal 2 28 20" xfId="2197"/>
    <cellStyle name="Normal 2 28 20 2" xfId="2198"/>
    <cellStyle name="Normal 2 28 20 2 2" xfId="2199"/>
    <cellStyle name="Normal 2 28 20 3" xfId="2200"/>
    <cellStyle name="Normal 2 28 21" xfId="2201"/>
    <cellStyle name="Normal 2 28 21 2" xfId="2202"/>
    <cellStyle name="Normal 2 28 21 2 2" xfId="2203"/>
    <cellStyle name="Normal 2 28 21 3" xfId="2204"/>
    <cellStyle name="Normal 2 28 22" xfId="2205"/>
    <cellStyle name="Normal 2 28 22 2" xfId="2206"/>
    <cellStyle name="Normal 2 28 22 2 2" xfId="2207"/>
    <cellStyle name="Normal 2 28 22 3" xfId="2208"/>
    <cellStyle name="Normal 2 28 23" xfId="2209"/>
    <cellStyle name="Normal 2 28 23 2" xfId="2210"/>
    <cellStyle name="Normal 2 28 23 2 2" xfId="2211"/>
    <cellStyle name="Normal 2 28 23 3" xfId="2212"/>
    <cellStyle name="Normal 2 28 24" xfId="2213"/>
    <cellStyle name="Normal 2 28 24 2" xfId="2214"/>
    <cellStyle name="Normal 2 28 25" xfId="2215"/>
    <cellStyle name="Normal 2 28 3" xfId="2216"/>
    <cellStyle name="Normal 2 28 3 2" xfId="2217"/>
    <cellStyle name="Normal 2 28 3 2 2" xfId="2218"/>
    <cellStyle name="Normal 2 28 3 3" xfId="2219"/>
    <cellStyle name="Normal 2 28 4" xfId="2220"/>
    <cellStyle name="Normal 2 28 4 2" xfId="2221"/>
    <cellStyle name="Normal 2 28 4 2 2" xfId="2222"/>
    <cellStyle name="Normal 2 28 4 3" xfId="2223"/>
    <cellStyle name="Normal 2 28 5" xfId="2224"/>
    <cellStyle name="Normal 2 28 5 2" xfId="2225"/>
    <cellStyle name="Normal 2 28 5 2 2" xfId="2226"/>
    <cellStyle name="Normal 2 28 5 3" xfId="2227"/>
    <cellStyle name="Normal 2 28 6" xfId="2228"/>
    <cellStyle name="Normal 2 28 6 2" xfId="2229"/>
    <cellStyle name="Normal 2 28 6 2 2" xfId="2230"/>
    <cellStyle name="Normal 2 28 6 3" xfId="2231"/>
    <cellStyle name="Normal 2 28 7" xfId="2232"/>
    <cellStyle name="Normal 2 28 7 2" xfId="2233"/>
    <cellStyle name="Normal 2 28 7 2 2" xfId="2234"/>
    <cellStyle name="Normal 2 28 7 3" xfId="2235"/>
    <cellStyle name="Normal 2 28 8" xfId="2236"/>
    <cellStyle name="Normal 2 28 8 2" xfId="2237"/>
    <cellStyle name="Normal 2 28 8 2 2" xfId="2238"/>
    <cellStyle name="Normal 2 28 8 3" xfId="2239"/>
    <cellStyle name="Normal 2 28 9" xfId="2240"/>
    <cellStyle name="Normal 2 28 9 2" xfId="2241"/>
    <cellStyle name="Normal 2 28 9 2 2" xfId="2242"/>
    <cellStyle name="Normal 2 28 9 3" xfId="2243"/>
    <cellStyle name="Normal 2 29" xfId="2244"/>
    <cellStyle name="Normal 2 29 10" xfId="2245"/>
    <cellStyle name="Normal 2 29 10 2" xfId="2246"/>
    <cellStyle name="Normal 2 29 10 2 2" xfId="2247"/>
    <cellStyle name="Normal 2 29 10 3" xfId="2248"/>
    <cellStyle name="Normal 2 29 11" xfId="2249"/>
    <cellStyle name="Normal 2 29 11 2" xfId="2250"/>
    <cellStyle name="Normal 2 29 11 2 2" xfId="2251"/>
    <cellStyle name="Normal 2 29 11 3" xfId="2252"/>
    <cellStyle name="Normal 2 29 12" xfId="2253"/>
    <cellStyle name="Normal 2 29 12 2" xfId="2254"/>
    <cellStyle name="Normal 2 29 12 2 2" xfId="2255"/>
    <cellStyle name="Normal 2 29 12 3" xfId="2256"/>
    <cellStyle name="Normal 2 29 13" xfId="2257"/>
    <cellStyle name="Normal 2 29 13 2" xfId="2258"/>
    <cellStyle name="Normal 2 29 13 2 2" xfId="2259"/>
    <cellStyle name="Normal 2 29 13 3" xfId="2260"/>
    <cellStyle name="Normal 2 29 14" xfId="2261"/>
    <cellStyle name="Normal 2 29 14 2" xfId="2262"/>
    <cellStyle name="Normal 2 29 14 2 2" xfId="2263"/>
    <cellStyle name="Normal 2 29 14 3" xfId="2264"/>
    <cellStyle name="Normal 2 29 15" xfId="2265"/>
    <cellStyle name="Normal 2 29 15 2" xfId="2266"/>
    <cellStyle name="Normal 2 29 15 2 2" xfId="2267"/>
    <cellStyle name="Normal 2 29 15 3" xfId="2268"/>
    <cellStyle name="Normal 2 29 16" xfId="2269"/>
    <cellStyle name="Normal 2 29 16 2" xfId="2270"/>
    <cellStyle name="Normal 2 29 16 2 2" xfId="2271"/>
    <cellStyle name="Normal 2 29 16 3" xfId="2272"/>
    <cellStyle name="Normal 2 29 17" xfId="2273"/>
    <cellStyle name="Normal 2 29 17 2" xfId="2274"/>
    <cellStyle name="Normal 2 29 17 2 2" xfId="2275"/>
    <cellStyle name="Normal 2 29 17 3" xfId="2276"/>
    <cellStyle name="Normal 2 29 18" xfId="2277"/>
    <cellStyle name="Normal 2 29 18 2" xfId="2278"/>
    <cellStyle name="Normal 2 29 18 2 2" xfId="2279"/>
    <cellStyle name="Normal 2 29 18 3" xfId="2280"/>
    <cellStyle name="Normal 2 29 19" xfId="2281"/>
    <cellStyle name="Normal 2 29 19 2" xfId="2282"/>
    <cellStyle name="Normal 2 29 19 2 2" xfId="2283"/>
    <cellStyle name="Normal 2 29 19 3" xfId="2284"/>
    <cellStyle name="Normal 2 29 2" xfId="2285"/>
    <cellStyle name="Normal 2 29 2 2" xfId="2286"/>
    <cellStyle name="Normal 2 29 2 2 2" xfId="2287"/>
    <cellStyle name="Normal 2 29 2 3" xfId="2288"/>
    <cellStyle name="Normal 2 29 20" xfId="2289"/>
    <cellStyle name="Normal 2 29 20 2" xfId="2290"/>
    <cellStyle name="Normal 2 29 20 2 2" xfId="2291"/>
    <cellStyle name="Normal 2 29 20 3" xfId="2292"/>
    <cellStyle name="Normal 2 29 21" xfId="2293"/>
    <cellStyle name="Normal 2 29 21 2" xfId="2294"/>
    <cellStyle name="Normal 2 29 21 2 2" xfId="2295"/>
    <cellStyle name="Normal 2 29 21 3" xfId="2296"/>
    <cellStyle name="Normal 2 29 22" xfId="2297"/>
    <cellStyle name="Normal 2 29 22 2" xfId="2298"/>
    <cellStyle name="Normal 2 29 22 2 2" xfId="2299"/>
    <cellStyle name="Normal 2 29 22 3" xfId="2300"/>
    <cellStyle name="Normal 2 29 23" xfId="2301"/>
    <cellStyle name="Normal 2 29 23 2" xfId="2302"/>
    <cellStyle name="Normal 2 29 23 2 2" xfId="2303"/>
    <cellStyle name="Normal 2 29 23 3" xfId="2304"/>
    <cellStyle name="Normal 2 29 24" xfId="2305"/>
    <cellStyle name="Normal 2 29 24 2" xfId="2306"/>
    <cellStyle name="Normal 2 29 25" xfId="2307"/>
    <cellStyle name="Normal 2 29 3" xfId="2308"/>
    <cellStyle name="Normal 2 29 3 2" xfId="2309"/>
    <cellStyle name="Normal 2 29 3 2 2" xfId="2310"/>
    <cellStyle name="Normal 2 29 3 3" xfId="2311"/>
    <cellStyle name="Normal 2 29 4" xfId="2312"/>
    <cellStyle name="Normal 2 29 4 2" xfId="2313"/>
    <cellStyle name="Normal 2 29 4 2 2" xfId="2314"/>
    <cellStyle name="Normal 2 29 4 3" xfId="2315"/>
    <cellStyle name="Normal 2 29 5" xfId="2316"/>
    <cellStyle name="Normal 2 29 5 2" xfId="2317"/>
    <cellStyle name="Normal 2 29 5 2 2" xfId="2318"/>
    <cellStyle name="Normal 2 29 5 3" xfId="2319"/>
    <cellStyle name="Normal 2 29 6" xfId="2320"/>
    <cellStyle name="Normal 2 29 6 2" xfId="2321"/>
    <cellStyle name="Normal 2 29 6 2 2" xfId="2322"/>
    <cellStyle name="Normal 2 29 6 3" xfId="2323"/>
    <cellStyle name="Normal 2 29 7" xfId="2324"/>
    <cellStyle name="Normal 2 29 7 2" xfId="2325"/>
    <cellStyle name="Normal 2 29 7 2 2" xfId="2326"/>
    <cellStyle name="Normal 2 29 7 3" xfId="2327"/>
    <cellStyle name="Normal 2 29 8" xfId="2328"/>
    <cellStyle name="Normal 2 29 8 2" xfId="2329"/>
    <cellStyle name="Normal 2 29 8 2 2" xfId="2330"/>
    <cellStyle name="Normal 2 29 8 3" xfId="2331"/>
    <cellStyle name="Normal 2 29 9" xfId="2332"/>
    <cellStyle name="Normal 2 29 9 2" xfId="2333"/>
    <cellStyle name="Normal 2 29 9 2 2" xfId="2334"/>
    <cellStyle name="Normal 2 29 9 3" xfId="2335"/>
    <cellStyle name="Normal 2 3" xfId="153"/>
    <cellStyle name="Normal 2 3 2" xfId="154"/>
    <cellStyle name="Normal 2 3 2 2" xfId="155"/>
    <cellStyle name="Normal 2 3 2 2 2" xfId="156"/>
    <cellStyle name="Normal 2 3 2 3" xfId="2336"/>
    <cellStyle name="Normal 2 3 3" xfId="157"/>
    <cellStyle name="Normal 2 3 3 2" xfId="158"/>
    <cellStyle name="Normal 2 3 4" xfId="2337"/>
    <cellStyle name="Normal 2 3 4 2" xfId="2338"/>
    <cellStyle name="Normal 2 3 5" xfId="2339"/>
    <cellStyle name="Normal 2 30" xfId="2340"/>
    <cellStyle name="Normal 2 30 10" xfId="2341"/>
    <cellStyle name="Normal 2 30 10 2" xfId="2342"/>
    <cellStyle name="Normal 2 30 10 2 2" xfId="2343"/>
    <cellStyle name="Normal 2 30 10 3" xfId="2344"/>
    <cellStyle name="Normal 2 30 11" xfId="2345"/>
    <cellStyle name="Normal 2 30 11 2" xfId="2346"/>
    <cellStyle name="Normal 2 30 11 2 2" xfId="2347"/>
    <cellStyle name="Normal 2 30 11 3" xfId="2348"/>
    <cellStyle name="Normal 2 30 12" xfId="2349"/>
    <cellStyle name="Normal 2 30 12 2" xfId="2350"/>
    <cellStyle name="Normal 2 30 12 2 2" xfId="2351"/>
    <cellStyle name="Normal 2 30 12 3" xfId="2352"/>
    <cellStyle name="Normal 2 30 13" xfId="2353"/>
    <cellStyle name="Normal 2 30 13 2" xfId="2354"/>
    <cellStyle name="Normal 2 30 13 2 2" xfId="2355"/>
    <cellStyle name="Normal 2 30 13 3" xfId="2356"/>
    <cellStyle name="Normal 2 30 14" xfId="2357"/>
    <cellStyle name="Normal 2 30 14 2" xfId="2358"/>
    <cellStyle name="Normal 2 30 14 2 2" xfId="2359"/>
    <cellStyle name="Normal 2 30 14 3" xfId="2360"/>
    <cellStyle name="Normal 2 30 15" xfId="2361"/>
    <cellStyle name="Normal 2 30 15 2" xfId="2362"/>
    <cellStyle name="Normal 2 30 15 2 2" xfId="2363"/>
    <cellStyle name="Normal 2 30 15 3" xfId="2364"/>
    <cellStyle name="Normal 2 30 16" xfId="2365"/>
    <cellStyle name="Normal 2 30 16 2" xfId="2366"/>
    <cellStyle name="Normal 2 30 16 2 2" xfId="2367"/>
    <cellStyle name="Normal 2 30 16 3" xfId="2368"/>
    <cellStyle name="Normal 2 30 17" xfId="2369"/>
    <cellStyle name="Normal 2 30 17 2" xfId="2370"/>
    <cellStyle name="Normal 2 30 17 2 2" xfId="2371"/>
    <cellStyle name="Normal 2 30 17 3" xfId="2372"/>
    <cellStyle name="Normal 2 30 18" xfId="2373"/>
    <cellStyle name="Normal 2 30 18 2" xfId="2374"/>
    <cellStyle name="Normal 2 30 18 2 2" xfId="2375"/>
    <cellStyle name="Normal 2 30 18 3" xfId="2376"/>
    <cellStyle name="Normal 2 30 19" xfId="2377"/>
    <cellStyle name="Normal 2 30 19 2" xfId="2378"/>
    <cellStyle name="Normal 2 30 19 2 2" xfId="2379"/>
    <cellStyle name="Normal 2 30 19 3" xfId="2380"/>
    <cellStyle name="Normal 2 30 2" xfId="2381"/>
    <cellStyle name="Normal 2 30 2 2" xfId="2382"/>
    <cellStyle name="Normal 2 30 2 2 2" xfId="2383"/>
    <cellStyle name="Normal 2 30 2 3" xfId="2384"/>
    <cellStyle name="Normal 2 30 20" xfId="2385"/>
    <cellStyle name="Normal 2 30 20 2" xfId="2386"/>
    <cellStyle name="Normal 2 30 20 2 2" xfId="2387"/>
    <cellStyle name="Normal 2 30 20 3" xfId="2388"/>
    <cellStyle name="Normal 2 30 21" xfId="2389"/>
    <cellStyle name="Normal 2 30 21 2" xfId="2390"/>
    <cellStyle name="Normal 2 30 21 2 2" xfId="2391"/>
    <cellStyle name="Normal 2 30 21 3" xfId="2392"/>
    <cellStyle name="Normal 2 30 22" xfId="2393"/>
    <cellStyle name="Normal 2 30 22 2" xfId="2394"/>
    <cellStyle name="Normal 2 30 22 2 2" xfId="2395"/>
    <cellStyle name="Normal 2 30 22 3" xfId="2396"/>
    <cellStyle name="Normal 2 30 23" xfId="2397"/>
    <cellStyle name="Normal 2 30 23 2" xfId="2398"/>
    <cellStyle name="Normal 2 30 23 2 2" xfId="2399"/>
    <cellStyle name="Normal 2 30 23 3" xfId="2400"/>
    <cellStyle name="Normal 2 30 24" xfId="2401"/>
    <cellStyle name="Normal 2 30 24 2" xfId="2402"/>
    <cellStyle name="Normal 2 30 25" xfId="2403"/>
    <cellStyle name="Normal 2 30 3" xfId="2404"/>
    <cellStyle name="Normal 2 30 3 2" xfId="2405"/>
    <cellStyle name="Normal 2 30 3 2 2" xfId="2406"/>
    <cellStyle name="Normal 2 30 3 3" xfId="2407"/>
    <cellStyle name="Normal 2 30 4" xfId="2408"/>
    <cellStyle name="Normal 2 30 4 2" xfId="2409"/>
    <cellStyle name="Normal 2 30 4 2 2" xfId="2410"/>
    <cellStyle name="Normal 2 30 4 3" xfId="2411"/>
    <cellStyle name="Normal 2 30 5" xfId="2412"/>
    <cellStyle name="Normal 2 30 5 2" xfId="2413"/>
    <cellStyle name="Normal 2 30 5 2 2" xfId="2414"/>
    <cellStyle name="Normal 2 30 5 3" xfId="2415"/>
    <cellStyle name="Normal 2 30 6" xfId="2416"/>
    <cellStyle name="Normal 2 30 6 2" xfId="2417"/>
    <cellStyle name="Normal 2 30 6 2 2" xfId="2418"/>
    <cellStyle name="Normal 2 30 6 3" xfId="2419"/>
    <cellStyle name="Normal 2 30 7" xfId="2420"/>
    <cellStyle name="Normal 2 30 7 2" xfId="2421"/>
    <cellStyle name="Normal 2 30 7 2 2" xfId="2422"/>
    <cellStyle name="Normal 2 30 7 3" xfId="2423"/>
    <cellStyle name="Normal 2 30 8" xfId="2424"/>
    <cellStyle name="Normal 2 30 8 2" xfId="2425"/>
    <cellStyle name="Normal 2 30 8 2 2" xfId="2426"/>
    <cellStyle name="Normal 2 30 8 3" xfId="2427"/>
    <cellStyle name="Normal 2 30 9" xfId="2428"/>
    <cellStyle name="Normal 2 30 9 2" xfId="2429"/>
    <cellStyle name="Normal 2 30 9 2 2" xfId="2430"/>
    <cellStyle name="Normal 2 30 9 3" xfId="2431"/>
    <cellStyle name="Normal 2 31" xfId="2432"/>
    <cellStyle name="Normal 2 31 10" xfId="2433"/>
    <cellStyle name="Normal 2 31 10 2" xfId="2434"/>
    <cellStyle name="Normal 2 31 10 2 2" xfId="2435"/>
    <cellStyle name="Normal 2 31 10 3" xfId="2436"/>
    <cellStyle name="Normal 2 31 11" xfId="2437"/>
    <cellStyle name="Normal 2 31 11 2" xfId="2438"/>
    <cellStyle name="Normal 2 31 11 2 2" xfId="2439"/>
    <cellStyle name="Normal 2 31 11 3" xfId="2440"/>
    <cellStyle name="Normal 2 31 12" xfId="2441"/>
    <cellStyle name="Normal 2 31 12 2" xfId="2442"/>
    <cellStyle name="Normal 2 31 12 2 2" xfId="2443"/>
    <cellStyle name="Normal 2 31 12 3" xfId="2444"/>
    <cellStyle name="Normal 2 31 13" xfId="2445"/>
    <cellStyle name="Normal 2 31 13 2" xfId="2446"/>
    <cellStyle name="Normal 2 31 13 2 2" xfId="2447"/>
    <cellStyle name="Normal 2 31 13 3" xfId="2448"/>
    <cellStyle name="Normal 2 31 14" xfId="2449"/>
    <cellStyle name="Normal 2 31 14 2" xfId="2450"/>
    <cellStyle name="Normal 2 31 14 2 2" xfId="2451"/>
    <cellStyle name="Normal 2 31 14 3" xfId="2452"/>
    <cellStyle name="Normal 2 31 15" xfId="2453"/>
    <cellStyle name="Normal 2 31 15 2" xfId="2454"/>
    <cellStyle name="Normal 2 31 15 2 2" xfId="2455"/>
    <cellStyle name="Normal 2 31 15 3" xfId="2456"/>
    <cellStyle name="Normal 2 31 16" xfId="2457"/>
    <cellStyle name="Normal 2 31 16 2" xfId="2458"/>
    <cellStyle name="Normal 2 31 16 2 2" xfId="2459"/>
    <cellStyle name="Normal 2 31 16 3" xfId="2460"/>
    <cellStyle name="Normal 2 31 17" xfId="2461"/>
    <cellStyle name="Normal 2 31 17 2" xfId="2462"/>
    <cellStyle name="Normal 2 31 17 2 2" xfId="2463"/>
    <cellStyle name="Normal 2 31 17 3" xfId="2464"/>
    <cellStyle name="Normal 2 31 18" xfId="2465"/>
    <cellStyle name="Normal 2 31 18 2" xfId="2466"/>
    <cellStyle name="Normal 2 31 18 2 2" xfId="2467"/>
    <cellStyle name="Normal 2 31 18 3" xfId="2468"/>
    <cellStyle name="Normal 2 31 19" xfId="2469"/>
    <cellStyle name="Normal 2 31 19 2" xfId="2470"/>
    <cellStyle name="Normal 2 31 19 2 2" xfId="2471"/>
    <cellStyle name="Normal 2 31 19 3" xfId="2472"/>
    <cellStyle name="Normal 2 31 2" xfId="2473"/>
    <cellStyle name="Normal 2 31 2 2" xfId="2474"/>
    <cellStyle name="Normal 2 31 2 2 2" xfId="2475"/>
    <cellStyle name="Normal 2 31 2 3" xfId="2476"/>
    <cellStyle name="Normal 2 31 20" xfId="2477"/>
    <cellStyle name="Normal 2 31 20 2" xfId="2478"/>
    <cellStyle name="Normal 2 31 20 2 2" xfId="2479"/>
    <cellStyle name="Normal 2 31 20 3" xfId="2480"/>
    <cellStyle name="Normal 2 31 21" xfId="2481"/>
    <cellStyle name="Normal 2 31 21 2" xfId="2482"/>
    <cellStyle name="Normal 2 31 21 2 2" xfId="2483"/>
    <cellStyle name="Normal 2 31 21 3" xfId="2484"/>
    <cellStyle name="Normal 2 31 22" xfId="2485"/>
    <cellStyle name="Normal 2 31 22 2" xfId="2486"/>
    <cellStyle name="Normal 2 31 22 2 2" xfId="2487"/>
    <cellStyle name="Normal 2 31 22 3" xfId="2488"/>
    <cellStyle name="Normal 2 31 23" xfId="2489"/>
    <cellStyle name="Normal 2 31 23 2" xfId="2490"/>
    <cellStyle name="Normal 2 31 23 2 2" xfId="2491"/>
    <cellStyle name="Normal 2 31 23 3" xfId="2492"/>
    <cellStyle name="Normal 2 31 24" xfId="2493"/>
    <cellStyle name="Normal 2 31 24 2" xfId="2494"/>
    <cellStyle name="Normal 2 31 25" xfId="2495"/>
    <cellStyle name="Normal 2 31 3" xfId="2496"/>
    <cellStyle name="Normal 2 31 3 2" xfId="2497"/>
    <cellStyle name="Normal 2 31 3 2 2" xfId="2498"/>
    <cellStyle name="Normal 2 31 3 3" xfId="2499"/>
    <cellStyle name="Normal 2 31 4" xfId="2500"/>
    <cellStyle name="Normal 2 31 4 2" xfId="2501"/>
    <cellStyle name="Normal 2 31 4 2 2" xfId="2502"/>
    <cellStyle name="Normal 2 31 4 3" xfId="2503"/>
    <cellStyle name="Normal 2 31 5" xfId="2504"/>
    <cellStyle name="Normal 2 31 5 2" xfId="2505"/>
    <cellStyle name="Normal 2 31 5 2 2" xfId="2506"/>
    <cellStyle name="Normal 2 31 5 3" xfId="2507"/>
    <cellStyle name="Normal 2 31 6" xfId="2508"/>
    <cellStyle name="Normal 2 31 6 2" xfId="2509"/>
    <cellStyle name="Normal 2 31 6 2 2" xfId="2510"/>
    <cellStyle name="Normal 2 31 6 3" xfId="2511"/>
    <cellStyle name="Normal 2 31 7" xfId="2512"/>
    <cellStyle name="Normal 2 31 7 2" xfId="2513"/>
    <cellStyle name="Normal 2 31 7 2 2" xfId="2514"/>
    <cellStyle name="Normal 2 31 7 3" xfId="2515"/>
    <cellStyle name="Normal 2 31 8" xfId="2516"/>
    <cellStyle name="Normal 2 31 8 2" xfId="2517"/>
    <cellStyle name="Normal 2 31 8 2 2" xfId="2518"/>
    <cellStyle name="Normal 2 31 8 3" xfId="2519"/>
    <cellStyle name="Normal 2 31 9" xfId="2520"/>
    <cellStyle name="Normal 2 31 9 2" xfId="2521"/>
    <cellStyle name="Normal 2 31 9 2 2" xfId="2522"/>
    <cellStyle name="Normal 2 31 9 3" xfId="2523"/>
    <cellStyle name="Normal 2 32" xfId="2524"/>
    <cellStyle name="Normal 2 32 10" xfId="2525"/>
    <cellStyle name="Normal 2 32 10 2" xfId="2526"/>
    <cellStyle name="Normal 2 32 10 2 2" xfId="2527"/>
    <cellStyle name="Normal 2 32 10 3" xfId="2528"/>
    <cellStyle name="Normal 2 32 11" xfId="2529"/>
    <cellStyle name="Normal 2 32 11 2" xfId="2530"/>
    <cellStyle name="Normal 2 32 11 2 2" xfId="2531"/>
    <cellStyle name="Normal 2 32 11 3" xfId="2532"/>
    <cellStyle name="Normal 2 32 12" xfId="2533"/>
    <cellStyle name="Normal 2 32 12 2" xfId="2534"/>
    <cellStyle name="Normal 2 32 12 2 2" xfId="2535"/>
    <cellStyle name="Normal 2 32 12 3" xfId="2536"/>
    <cellStyle name="Normal 2 32 13" xfId="2537"/>
    <cellStyle name="Normal 2 32 13 2" xfId="2538"/>
    <cellStyle name="Normal 2 32 13 2 2" xfId="2539"/>
    <cellStyle name="Normal 2 32 13 3" xfId="2540"/>
    <cellStyle name="Normal 2 32 14" xfId="2541"/>
    <cellStyle name="Normal 2 32 14 2" xfId="2542"/>
    <cellStyle name="Normal 2 32 14 2 2" xfId="2543"/>
    <cellStyle name="Normal 2 32 14 3" xfId="2544"/>
    <cellStyle name="Normal 2 32 15" xfId="2545"/>
    <cellStyle name="Normal 2 32 15 2" xfId="2546"/>
    <cellStyle name="Normal 2 32 15 2 2" xfId="2547"/>
    <cellStyle name="Normal 2 32 15 3" xfId="2548"/>
    <cellStyle name="Normal 2 32 16" xfId="2549"/>
    <cellStyle name="Normal 2 32 16 2" xfId="2550"/>
    <cellStyle name="Normal 2 32 16 2 2" xfId="2551"/>
    <cellStyle name="Normal 2 32 16 3" xfId="2552"/>
    <cellStyle name="Normal 2 32 17" xfId="2553"/>
    <cellStyle name="Normal 2 32 17 2" xfId="2554"/>
    <cellStyle name="Normal 2 32 17 2 2" xfId="2555"/>
    <cellStyle name="Normal 2 32 17 3" xfId="2556"/>
    <cellStyle name="Normal 2 32 18" xfId="2557"/>
    <cellStyle name="Normal 2 32 18 2" xfId="2558"/>
    <cellStyle name="Normal 2 32 18 2 2" xfId="2559"/>
    <cellStyle name="Normal 2 32 18 3" xfId="2560"/>
    <cellStyle name="Normal 2 32 19" xfId="2561"/>
    <cellStyle name="Normal 2 32 19 2" xfId="2562"/>
    <cellStyle name="Normal 2 32 19 2 2" xfId="2563"/>
    <cellStyle name="Normal 2 32 19 3" xfId="2564"/>
    <cellStyle name="Normal 2 32 2" xfId="2565"/>
    <cellStyle name="Normal 2 32 2 2" xfId="2566"/>
    <cellStyle name="Normal 2 32 2 2 2" xfId="2567"/>
    <cellStyle name="Normal 2 32 2 3" xfId="2568"/>
    <cellStyle name="Normal 2 32 20" xfId="2569"/>
    <cellStyle name="Normal 2 32 20 2" xfId="2570"/>
    <cellStyle name="Normal 2 32 20 2 2" xfId="2571"/>
    <cellStyle name="Normal 2 32 20 3" xfId="2572"/>
    <cellStyle name="Normal 2 32 21" xfId="2573"/>
    <cellStyle name="Normal 2 32 21 2" xfId="2574"/>
    <cellStyle name="Normal 2 32 21 2 2" xfId="2575"/>
    <cellStyle name="Normal 2 32 21 3" xfId="2576"/>
    <cellStyle name="Normal 2 32 22" xfId="2577"/>
    <cellStyle name="Normal 2 32 22 2" xfId="2578"/>
    <cellStyle name="Normal 2 32 22 2 2" xfId="2579"/>
    <cellStyle name="Normal 2 32 22 3" xfId="2580"/>
    <cellStyle name="Normal 2 32 23" xfId="2581"/>
    <cellStyle name="Normal 2 32 23 2" xfId="2582"/>
    <cellStyle name="Normal 2 32 23 2 2" xfId="2583"/>
    <cellStyle name="Normal 2 32 23 3" xfId="2584"/>
    <cellStyle name="Normal 2 32 24" xfId="2585"/>
    <cellStyle name="Normal 2 32 24 2" xfId="2586"/>
    <cellStyle name="Normal 2 32 25" xfId="2587"/>
    <cellStyle name="Normal 2 32 3" xfId="2588"/>
    <cellStyle name="Normal 2 32 3 2" xfId="2589"/>
    <cellStyle name="Normal 2 32 3 2 2" xfId="2590"/>
    <cellStyle name="Normal 2 32 3 3" xfId="2591"/>
    <cellStyle name="Normal 2 32 4" xfId="2592"/>
    <cellStyle name="Normal 2 32 4 2" xfId="2593"/>
    <cellStyle name="Normal 2 32 4 2 2" xfId="2594"/>
    <cellStyle name="Normal 2 32 4 3" xfId="2595"/>
    <cellStyle name="Normal 2 32 5" xfId="2596"/>
    <cellStyle name="Normal 2 32 5 2" xfId="2597"/>
    <cellStyle name="Normal 2 32 5 2 2" xfId="2598"/>
    <cellStyle name="Normal 2 32 5 3" xfId="2599"/>
    <cellStyle name="Normal 2 32 6" xfId="2600"/>
    <cellStyle name="Normal 2 32 6 2" xfId="2601"/>
    <cellStyle name="Normal 2 32 6 2 2" xfId="2602"/>
    <cellStyle name="Normal 2 32 6 3" xfId="2603"/>
    <cellStyle name="Normal 2 32 7" xfId="2604"/>
    <cellStyle name="Normal 2 32 7 2" xfId="2605"/>
    <cellStyle name="Normal 2 32 7 2 2" xfId="2606"/>
    <cellStyle name="Normal 2 32 7 3" xfId="2607"/>
    <cellStyle name="Normal 2 32 8" xfId="2608"/>
    <cellStyle name="Normal 2 32 8 2" xfId="2609"/>
    <cellStyle name="Normal 2 32 8 2 2" xfId="2610"/>
    <cellStyle name="Normal 2 32 8 3" xfId="2611"/>
    <cellStyle name="Normal 2 32 9" xfId="2612"/>
    <cellStyle name="Normal 2 32 9 2" xfId="2613"/>
    <cellStyle name="Normal 2 32 9 2 2" xfId="2614"/>
    <cellStyle name="Normal 2 32 9 3" xfId="2615"/>
    <cellStyle name="Normal 2 33" xfId="2616"/>
    <cellStyle name="Normal 2 33 10" xfId="2617"/>
    <cellStyle name="Normal 2 33 10 2" xfId="2618"/>
    <cellStyle name="Normal 2 33 10 2 2" xfId="2619"/>
    <cellStyle name="Normal 2 33 10 3" xfId="2620"/>
    <cellStyle name="Normal 2 33 11" xfId="2621"/>
    <cellStyle name="Normal 2 33 11 2" xfId="2622"/>
    <cellStyle name="Normal 2 33 11 2 2" xfId="2623"/>
    <cellStyle name="Normal 2 33 11 3" xfId="2624"/>
    <cellStyle name="Normal 2 33 12" xfId="2625"/>
    <cellStyle name="Normal 2 33 12 2" xfId="2626"/>
    <cellStyle name="Normal 2 33 12 2 2" xfId="2627"/>
    <cellStyle name="Normal 2 33 12 3" xfId="2628"/>
    <cellStyle name="Normal 2 33 13" xfId="2629"/>
    <cellStyle name="Normal 2 33 13 2" xfId="2630"/>
    <cellStyle name="Normal 2 33 13 2 2" xfId="2631"/>
    <cellStyle name="Normal 2 33 13 3" xfId="2632"/>
    <cellStyle name="Normal 2 33 14" xfId="2633"/>
    <cellStyle name="Normal 2 33 14 2" xfId="2634"/>
    <cellStyle name="Normal 2 33 14 2 2" xfId="2635"/>
    <cellStyle name="Normal 2 33 14 3" xfId="2636"/>
    <cellStyle name="Normal 2 33 15" xfId="2637"/>
    <cellStyle name="Normal 2 33 15 2" xfId="2638"/>
    <cellStyle name="Normal 2 33 15 2 2" xfId="2639"/>
    <cellStyle name="Normal 2 33 15 3" xfId="2640"/>
    <cellStyle name="Normal 2 33 16" xfId="2641"/>
    <cellStyle name="Normal 2 33 16 2" xfId="2642"/>
    <cellStyle name="Normal 2 33 16 2 2" xfId="2643"/>
    <cellStyle name="Normal 2 33 16 3" xfId="2644"/>
    <cellStyle name="Normal 2 33 17" xfId="2645"/>
    <cellStyle name="Normal 2 33 17 2" xfId="2646"/>
    <cellStyle name="Normal 2 33 17 2 2" xfId="2647"/>
    <cellStyle name="Normal 2 33 17 3" xfId="2648"/>
    <cellStyle name="Normal 2 33 18" xfId="2649"/>
    <cellStyle name="Normal 2 33 18 2" xfId="2650"/>
    <cellStyle name="Normal 2 33 18 2 2" xfId="2651"/>
    <cellStyle name="Normal 2 33 18 3" xfId="2652"/>
    <cellStyle name="Normal 2 33 19" xfId="2653"/>
    <cellStyle name="Normal 2 33 19 2" xfId="2654"/>
    <cellStyle name="Normal 2 33 19 2 2" xfId="2655"/>
    <cellStyle name="Normal 2 33 19 3" xfId="2656"/>
    <cellStyle name="Normal 2 33 2" xfId="2657"/>
    <cellStyle name="Normal 2 33 2 2" xfId="2658"/>
    <cellStyle name="Normal 2 33 2 2 2" xfId="2659"/>
    <cellStyle name="Normal 2 33 2 3" xfId="2660"/>
    <cellStyle name="Normal 2 33 20" xfId="2661"/>
    <cellStyle name="Normal 2 33 20 2" xfId="2662"/>
    <cellStyle name="Normal 2 33 20 2 2" xfId="2663"/>
    <cellStyle name="Normal 2 33 20 3" xfId="2664"/>
    <cellStyle name="Normal 2 33 21" xfId="2665"/>
    <cellStyle name="Normal 2 33 21 2" xfId="2666"/>
    <cellStyle name="Normal 2 33 21 2 2" xfId="2667"/>
    <cellStyle name="Normal 2 33 21 3" xfId="2668"/>
    <cellStyle name="Normal 2 33 22" xfId="2669"/>
    <cellStyle name="Normal 2 33 22 2" xfId="2670"/>
    <cellStyle name="Normal 2 33 22 2 2" xfId="2671"/>
    <cellStyle name="Normal 2 33 22 3" xfId="2672"/>
    <cellStyle name="Normal 2 33 23" xfId="2673"/>
    <cellStyle name="Normal 2 33 23 2" xfId="2674"/>
    <cellStyle name="Normal 2 33 23 2 2" xfId="2675"/>
    <cellStyle name="Normal 2 33 23 3" xfId="2676"/>
    <cellStyle name="Normal 2 33 24" xfId="2677"/>
    <cellStyle name="Normal 2 33 24 2" xfId="2678"/>
    <cellStyle name="Normal 2 33 25" xfId="2679"/>
    <cellStyle name="Normal 2 33 3" xfId="2680"/>
    <cellStyle name="Normal 2 33 3 2" xfId="2681"/>
    <cellStyle name="Normal 2 33 3 2 2" xfId="2682"/>
    <cellStyle name="Normal 2 33 3 3" xfId="2683"/>
    <cellStyle name="Normal 2 33 4" xfId="2684"/>
    <cellStyle name="Normal 2 33 4 2" xfId="2685"/>
    <cellStyle name="Normal 2 33 4 2 2" xfId="2686"/>
    <cellStyle name="Normal 2 33 4 3" xfId="2687"/>
    <cellStyle name="Normal 2 33 5" xfId="2688"/>
    <cellStyle name="Normal 2 33 5 2" xfId="2689"/>
    <cellStyle name="Normal 2 33 5 2 2" xfId="2690"/>
    <cellStyle name="Normal 2 33 5 3" xfId="2691"/>
    <cellStyle name="Normal 2 33 6" xfId="2692"/>
    <cellStyle name="Normal 2 33 6 2" xfId="2693"/>
    <cellStyle name="Normal 2 33 6 2 2" xfId="2694"/>
    <cellStyle name="Normal 2 33 6 3" xfId="2695"/>
    <cellStyle name="Normal 2 33 7" xfId="2696"/>
    <cellStyle name="Normal 2 33 7 2" xfId="2697"/>
    <cellStyle name="Normal 2 33 7 2 2" xfId="2698"/>
    <cellStyle name="Normal 2 33 7 3" xfId="2699"/>
    <cellStyle name="Normal 2 33 8" xfId="2700"/>
    <cellStyle name="Normal 2 33 8 2" xfId="2701"/>
    <cellStyle name="Normal 2 33 8 2 2" xfId="2702"/>
    <cellStyle name="Normal 2 33 8 3" xfId="2703"/>
    <cellStyle name="Normal 2 33 9" xfId="2704"/>
    <cellStyle name="Normal 2 33 9 2" xfId="2705"/>
    <cellStyle name="Normal 2 33 9 2 2" xfId="2706"/>
    <cellStyle name="Normal 2 33 9 3" xfId="2707"/>
    <cellStyle name="Normal 2 34" xfId="2708"/>
    <cellStyle name="Normal 2 34 10" xfId="2709"/>
    <cellStyle name="Normal 2 34 10 2" xfId="2710"/>
    <cellStyle name="Normal 2 34 10 2 2" xfId="2711"/>
    <cellStyle name="Normal 2 34 10 3" xfId="2712"/>
    <cellStyle name="Normal 2 34 11" xfId="2713"/>
    <cellStyle name="Normal 2 34 11 2" xfId="2714"/>
    <cellStyle name="Normal 2 34 11 2 2" xfId="2715"/>
    <cellStyle name="Normal 2 34 11 3" xfId="2716"/>
    <cellStyle name="Normal 2 34 12" xfId="2717"/>
    <cellStyle name="Normal 2 34 12 2" xfId="2718"/>
    <cellStyle name="Normal 2 34 12 2 2" xfId="2719"/>
    <cellStyle name="Normal 2 34 12 3" xfId="2720"/>
    <cellStyle name="Normal 2 34 13" xfId="2721"/>
    <cellStyle name="Normal 2 34 13 2" xfId="2722"/>
    <cellStyle name="Normal 2 34 13 2 2" xfId="2723"/>
    <cellStyle name="Normal 2 34 13 3" xfId="2724"/>
    <cellStyle name="Normal 2 34 14" xfId="2725"/>
    <cellStyle name="Normal 2 34 14 2" xfId="2726"/>
    <cellStyle name="Normal 2 34 14 2 2" xfId="2727"/>
    <cellStyle name="Normal 2 34 14 3" xfId="2728"/>
    <cellStyle name="Normal 2 34 15" xfId="2729"/>
    <cellStyle name="Normal 2 34 15 2" xfId="2730"/>
    <cellStyle name="Normal 2 34 15 2 2" xfId="2731"/>
    <cellStyle name="Normal 2 34 15 3" xfId="2732"/>
    <cellStyle name="Normal 2 34 16" xfId="2733"/>
    <cellStyle name="Normal 2 34 16 2" xfId="2734"/>
    <cellStyle name="Normal 2 34 16 2 2" xfId="2735"/>
    <cellStyle name="Normal 2 34 16 3" xfId="2736"/>
    <cellStyle name="Normal 2 34 17" xfId="2737"/>
    <cellStyle name="Normal 2 34 17 2" xfId="2738"/>
    <cellStyle name="Normal 2 34 17 2 2" xfId="2739"/>
    <cellStyle name="Normal 2 34 17 3" xfId="2740"/>
    <cellStyle name="Normal 2 34 18" xfId="2741"/>
    <cellStyle name="Normal 2 34 18 2" xfId="2742"/>
    <cellStyle name="Normal 2 34 18 2 2" xfId="2743"/>
    <cellStyle name="Normal 2 34 18 3" xfId="2744"/>
    <cellStyle name="Normal 2 34 19" xfId="2745"/>
    <cellStyle name="Normal 2 34 19 2" xfId="2746"/>
    <cellStyle name="Normal 2 34 19 2 2" xfId="2747"/>
    <cellStyle name="Normal 2 34 19 3" xfId="2748"/>
    <cellStyle name="Normal 2 34 2" xfId="2749"/>
    <cellStyle name="Normal 2 34 2 2" xfId="2750"/>
    <cellStyle name="Normal 2 34 2 2 2" xfId="2751"/>
    <cellStyle name="Normal 2 34 2 3" xfId="2752"/>
    <cellStyle name="Normal 2 34 20" xfId="2753"/>
    <cellStyle name="Normal 2 34 20 2" xfId="2754"/>
    <cellStyle name="Normal 2 34 20 2 2" xfId="2755"/>
    <cellStyle name="Normal 2 34 20 3" xfId="2756"/>
    <cellStyle name="Normal 2 34 21" xfId="2757"/>
    <cellStyle name="Normal 2 34 21 2" xfId="2758"/>
    <cellStyle name="Normal 2 34 21 2 2" xfId="2759"/>
    <cellStyle name="Normal 2 34 21 3" xfId="2760"/>
    <cellStyle name="Normal 2 34 22" xfId="2761"/>
    <cellStyle name="Normal 2 34 22 2" xfId="2762"/>
    <cellStyle name="Normal 2 34 22 2 2" xfId="2763"/>
    <cellStyle name="Normal 2 34 22 3" xfId="2764"/>
    <cellStyle name="Normal 2 34 23" xfId="2765"/>
    <cellStyle name="Normal 2 34 23 2" xfId="2766"/>
    <cellStyle name="Normal 2 34 23 2 2" xfId="2767"/>
    <cellStyle name="Normal 2 34 23 3" xfId="2768"/>
    <cellStyle name="Normal 2 34 24" xfId="2769"/>
    <cellStyle name="Normal 2 34 24 2" xfId="2770"/>
    <cellStyle name="Normal 2 34 25" xfId="2771"/>
    <cellStyle name="Normal 2 34 3" xfId="2772"/>
    <cellStyle name="Normal 2 34 3 2" xfId="2773"/>
    <cellStyle name="Normal 2 34 3 2 2" xfId="2774"/>
    <cellStyle name="Normal 2 34 3 3" xfId="2775"/>
    <cellStyle name="Normal 2 34 4" xfId="2776"/>
    <cellStyle name="Normal 2 34 4 2" xfId="2777"/>
    <cellStyle name="Normal 2 34 4 2 2" xfId="2778"/>
    <cellStyle name="Normal 2 34 4 3" xfId="2779"/>
    <cellStyle name="Normal 2 34 5" xfId="2780"/>
    <cellStyle name="Normal 2 34 5 2" xfId="2781"/>
    <cellStyle name="Normal 2 34 5 2 2" xfId="2782"/>
    <cellStyle name="Normal 2 34 5 3" xfId="2783"/>
    <cellStyle name="Normal 2 34 6" xfId="2784"/>
    <cellStyle name="Normal 2 34 6 2" xfId="2785"/>
    <cellStyle name="Normal 2 34 6 2 2" xfId="2786"/>
    <cellStyle name="Normal 2 34 6 3" xfId="2787"/>
    <cellStyle name="Normal 2 34 7" xfId="2788"/>
    <cellStyle name="Normal 2 34 7 2" xfId="2789"/>
    <cellStyle name="Normal 2 34 7 2 2" xfId="2790"/>
    <cellStyle name="Normal 2 34 7 3" xfId="2791"/>
    <cellStyle name="Normal 2 34 8" xfId="2792"/>
    <cellStyle name="Normal 2 34 8 2" xfId="2793"/>
    <cellStyle name="Normal 2 34 8 2 2" xfId="2794"/>
    <cellStyle name="Normal 2 34 8 3" xfId="2795"/>
    <cellStyle name="Normal 2 34 9" xfId="2796"/>
    <cellStyle name="Normal 2 34 9 2" xfId="2797"/>
    <cellStyle name="Normal 2 34 9 2 2" xfId="2798"/>
    <cellStyle name="Normal 2 34 9 3" xfId="2799"/>
    <cellStyle name="Normal 2 35" xfId="2800"/>
    <cellStyle name="Normal 2 35 10" xfId="2801"/>
    <cellStyle name="Normal 2 35 10 2" xfId="2802"/>
    <cellStyle name="Normal 2 35 10 2 2" xfId="2803"/>
    <cellStyle name="Normal 2 35 10 3" xfId="2804"/>
    <cellStyle name="Normal 2 35 11" xfId="2805"/>
    <cellStyle name="Normal 2 35 11 2" xfId="2806"/>
    <cellStyle name="Normal 2 35 11 2 2" xfId="2807"/>
    <cellStyle name="Normal 2 35 11 3" xfId="2808"/>
    <cellStyle name="Normal 2 35 12" xfId="2809"/>
    <cellStyle name="Normal 2 35 12 2" xfId="2810"/>
    <cellStyle name="Normal 2 35 12 2 2" xfId="2811"/>
    <cellStyle name="Normal 2 35 12 3" xfId="2812"/>
    <cellStyle name="Normal 2 35 13" xfId="2813"/>
    <cellStyle name="Normal 2 35 13 2" xfId="2814"/>
    <cellStyle name="Normal 2 35 13 2 2" xfId="2815"/>
    <cellStyle name="Normal 2 35 13 3" xfId="2816"/>
    <cellStyle name="Normal 2 35 14" xfId="2817"/>
    <cellStyle name="Normal 2 35 14 2" xfId="2818"/>
    <cellStyle name="Normal 2 35 14 2 2" xfId="2819"/>
    <cellStyle name="Normal 2 35 14 3" xfId="2820"/>
    <cellStyle name="Normal 2 35 15" xfId="2821"/>
    <cellStyle name="Normal 2 35 15 2" xfId="2822"/>
    <cellStyle name="Normal 2 35 15 2 2" xfId="2823"/>
    <cellStyle name="Normal 2 35 15 3" xfId="2824"/>
    <cellStyle name="Normal 2 35 16" xfId="2825"/>
    <cellStyle name="Normal 2 35 16 2" xfId="2826"/>
    <cellStyle name="Normal 2 35 16 2 2" xfId="2827"/>
    <cellStyle name="Normal 2 35 16 3" xfId="2828"/>
    <cellStyle name="Normal 2 35 17" xfId="2829"/>
    <cellStyle name="Normal 2 35 17 2" xfId="2830"/>
    <cellStyle name="Normal 2 35 17 2 2" xfId="2831"/>
    <cellStyle name="Normal 2 35 17 3" xfId="2832"/>
    <cellStyle name="Normal 2 35 18" xfId="2833"/>
    <cellStyle name="Normal 2 35 18 2" xfId="2834"/>
    <cellStyle name="Normal 2 35 18 2 2" xfId="2835"/>
    <cellStyle name="Normal 2 35 18 3" xfId="2836"/>
    <cellStyle name="Normal 2 35 19" xfId="2837"/>
    <cellStyle name="Normal 2 35 19 2" xfId="2838"/>
    <cellStyle name="Normal 2 35 19 2 2" xfId="2839"/>
    <cellStyle name="Normal 2 35 19 3" xfId="2840"/>
    <cellStyle name="Normal 2 35 2" xfId="2841"/>
    <cellStyle name="Normal 2 35 2 2" xfId="2842"/>
    <cellStyle name="Normal 2 35 2 2 2" xfId="2843"/>
    <cellStyle name="Normal 2 35 2 3" xfId="2844"/>
    <cellStyle name="Normal 2 35 20" xfId="2845"/>
    <cellStyle name="Normal 2 35 20 2" xfId="2846"/>
    <cellStyle name="Normal 2 35 20 2 2" xfId="2847"/>
    <cellStyle name="Normal 2 35 20 3" xfId="2848"/>
    <cellStyle name="Normal 2 35 21" xfId="2849"/>
    <cellStyle name="Normal 2 35 21 2" xfId="2850"/>
    <cellStyle name="Normal 2 35 21 2 2" xfId="2851"/>
    <cellStyle name="Normal 2 35 21 3" xfId="2852"/>
    <cellStyle name="Normal 2 35 22" xfId="2853"/>
    <cellStyle name="Normal 2 35 22 2" xfId="2854"/>
    <cellStyle name="Normal 2 35 22 2 2" xfId="2855"/>
    <cellStyle name="Normal 2 35 22 3" xfId="2856"/>
    <cellStyle name="Normal 2 35 23" xfId="2857"/>
    <cellStyle name="Normal 2 35 23 2" xfId="2858"/>
    <cellStyle name="Normal 2 35 23 2 2" xfId="2859"/>
    <cellStyle name="Normal 2 35 23 3" xfId="2860"/>
    <cellStyle name="Normal 2 35 24" xfId="2861"/>
    <cellStyle name="Normal 2 35 24 2" xfId="2862"/>
    <cellStyle name="Normal 2 35 25" xfId="2863"/>
    <cellStyle name="Normal 2 35 3" xfId="2864"/>
    <cellStyle name="Normal 2 35 3 2" xfId="2865"/>
    <cellStyle name="Normal 2 35 3 2 2" xfId="2866"/>
    <cellStyle name="Normal 2 35 3 3" xfId="2867"/>
    <cellStyle name="Normal 2 35 4" xfId="2868"/>
    <cellStyle name="Normal 2 35 4 2" xfId="2869"/>
    <cellStyle name="Normal 2 35 4 2 2" xfId="2870"/>
    <cellStyle name="Normal 2 35 4 3" xfId="2871"/>
    <cellStyle name="Normal 2 35 5" xfId="2872"/>
    <cellStyle name="Normal 2 35 5 2" xfId="2873"/>
    <cellStyle name="Normal 2 35 5 2 2" xfId="2874"/>
    <cellStyle name="Normal 2 35 5 3" xfId="2875"/>
    <cellStyle name="Normal 2 35 6" xfId="2876"/>
    <cellStyle name="Normal 2 35 6 2" xfId="2877"/>
    <cellStyle name="Normal 2 35 6 2 2" xfId="2878"/>
    <cellStyle name="Normal 2 35 6 3" xfId="2879"/>
    <cellStyle name="Normal 2 35 7" xfId="2880"/>
    <cellStyle name="Normal 2 35 7 2" xfId="2881"/>
    <cellStyle name="Normal 2 35 7 2 2" xfId="2882"/>
    <cellStyle name="Normal 2 35 7 3" xfId="2883"/>
    <cellStyle name="Normal 2 35 8" xfId="2884"/>
    <cellStyle name="Normal 2 35 8 2" xfId="2885"/>
    <cellStyle name="Normal 2 35 8 2 2" xfId="2886"/>
    <cellStyle name="Normal 2 35 8 3" xfId="2887"/>
    <cellStyle name="Normal 2 35 9" xfId="2888"/>
    <cellStyle name="Normal 2 35 9 2" xfId="2889"/>
    <cellStyle name="Normal 2 35 9 2 2" xfId="2890"/>
    <cellStyle name="Normal 2 35 9 3" xfId="2891"/>
    <cellStyle name="Normal 2 36" xfId="2892"/>
    <cellStyle name="Normal 2 36 10" xfId="2893"/>
    <cellStyle name="Normal 2 36 10 2" xfId="2894"/>
    <cellStyle name="Normal 2 36 10 2 2" xfId="2895"/>
    <cellStyle name="Normal 2 36 10 3" xfId="2896"/>
    <cellStyle name="Normal 2 36 11" xfId="2897"/>
    <cellStyle name="Normal 2 36 11 2" xfId="2898"/>
    <cellStyle name="Normal 2 36 11 2 2" xfId="2899"/>
    <cellStyle name="Normal 2 36 11 3" xfId="2900"/>
    <cellStyle name="Normal 2 36 12" xfId="2901"/>
    <cellStyle name="Normal 2 36 12 2" xfId="2902"/>
    <cellStyle name="Normal 2 36 12 2 2" xfId="2903"/>
    <cellStyle name="Normal 2 36 12 3" xfId="2904"/>
    <cellStyle name="Normal 2 36 13" xfId="2905"/>
    <cellStyle name="Normal 2 36 13 2" xfId="2906"/>
    <cellStyle name="Normal 2 36 13 2 2" xfId="2907"/>
    <cellStyle name="Normal 2 36 13 3" xfId="2908"/>
    <cellStyle name="Normal 2 36 14" xfId="2909"/>
    <cellStyle name="Normal 2 36 14 2" xfId="2910"/>
    <cellStyle name="Normal 2 36 14 2 2" xfId="2911"/>
    <cellStyle name="Normal 2 36 14 3" xfId="2912"/>
    <cellStyle name="Normal 2 36 15" xfId="2913"/>
    <cellStyle name="Normal 2 36 15 2" xfId="2914"/>
    <cellStyle name="Normal 2 36 15 2 2" xfId="2915"/>
    <cellStyle name="Normal 2 36 15 3" xfId="2916"/>
    <cellStyle name="Normal 2 36 16" xfId="2917"/>
    <cellStyle name="Normal 2 36 16 2" xfId="2918"/>
    <cellStyle name="Normal 2 36 16 2 2" xfId="2919"/>
    <cellStyle name="Normal 2 36 16 3" xfId="2920"/>
    <cellStyle name="Normal 2 36 17" xfId="2921"/>
    <cellStyle name="Normal 2 36 17 2" xfId="2922"/>
    <cellStyle name="Normal 2 36 17 2 2" xfId="2923"/>
    <cellStyle name="Normal 2 36 17 3" xfId="2924"/>
    <cellStyle name="Normal 2 36 18" xfId="2925"/>
    <cellStyle name="Normal 2 36 18 2" xfId="2926"/>
    <cellStyle name="Normal 2 36 18 2 2" xfId="2927"/>
    <cellStyle name="Normal 2 36 18 3" xfId="2928"/>
    <cellStyle name="Normal 2 36 19" xfId="2929"/>
    <cellStyle name="Normal 2 36 19 2" xfId="2930"/>
    <cellStyle name="Normal 2 36 19 2 2" xfId="2931"/>
    <cellStyle name="Normal 2 36 19 3" xfId="2932"/>
    <cellStyle name="Normal 2 36 2" xfId="2933"/>
    <cellStyle name="Normal 2 36 2 2" xfId="2934"/>
    <cellStyle name="Normal 2 36 2 2 2" xfId="2935"/>
    <cellStyle name="Normal 2 36 2 3" xfId="2936"/>
    <cellStyle name="Normal 2 36 20" xfId="2937"/>
    <cellStyle name="Normal 2 36 20 2" xfId="2938"/>
    <cellStyle name="Normal 2 36 20 2 2" xfId="2939"/>
    <cellStyle name="Normal 2 36 20 3" xfId="2940"/>
    <cellStyle name="Normal 2 36 21" xfId="2941"/>
    <cellStyle name="Normal 2 36 21 2" xfId="2942"/>
    <cellStyle name="Normal 2 36 21 2 2" xfId="2943"/>
    <cellStyle name="Normal 2 36 21 3" xfId="2944"/>
    <cellStyle name="Normal 2 36 22" xfId="2945"/>
    <cellStyle name="Normal 2 36 22 2" xfId="2946"/>
    <cellStyle name="Normal 2 36 22 2 2" xfId="2947"/>
    <cellStyle name="Normal 2 36 22 3" xfId="2948"/>
    <cellStyle name="Normal 2 36 23" xfId="2949"/>
    <cellStyle name="Normal 2 36 23 2" xfId="2950"/>
    <cellStyle name="Normal 2 36 23 2 2" xfId="2951"/>
    <cellStyle name="Normal 2 36 23 3" xfId="2952"/>
    <cellStyle name="Normal 2 36 24" xfId="2953"/>
    <cellStyle name="Normal 2 36 24 2" xfId="2954"/>
    <cellStyle name="Normal 2 36 25" xfId="2955"/>
    <cellStyle name="Normal 2 36 3" xfId="2956"/>
    <cellStyle name="Normal 2 36 3 2" xfId="2957"/>
    <cellStyle name="Normal 2 36 3 2 2" xfId="2958"/>
    <cellStyle name="Normal 2 36 3 3" xfId="2959"/>
    <cellStyle name="Normal 2 36 4" xfId="2960"/>
    <cellStyle name="Normal 2 36 4 2" xfId="2961"/>
    <cellStyle name="Normal 2 36 4 2 2" xfId="2962"/>
    <cellStyle name="Normal 2 36 4 3" xfId="2963"/>
    <cellStyle name="Normal 2 36 5" xfId="2964"/>
    <cellStyle name="Normal 2 36 5 2" xfId="2965"/>
    <cellStyle name="Normal 2 36 5 2 2" xfId="2966"/>
    <cellStyle name="Normal 2 36 5 3" xfId="2967"/>
    <cellStyle name="Normal 2 36 6" xfId="2968"/>
    <cellStyle name="Normal 2 36 6 2" xfId="2969"/>
    <cellStyle name="Normal 2 36 6 2 2" xfId="2970"/>
    <cellStyle name="Normal 2 36 6 3" xfId="2971"/>
    <cellStyle name="Normal 2 36 7" xfId="2972"/>
    <cellStyle name="Normal 2 36 7 2" xfId="2973"/>
    <cellStyle name="Normal 2 36 7 2 2" xfId="2974"/>
    <cellStyle name="Normal 2 36 7 3" xfId="2975"/>
    <cellStyle name="Normal 2 36 8" xfId="2976"/>
    <cellStyle name="Normal 2 36 8 2" xfId="2977"/>
    <cellStyle name="Normal 2 36 8 2 2" xfId="2978"/>
    <cellStyle name="Normal 2 36 8 3" xfId="2979"/>
    <cellStyle name="Normal 2 36 9" xfId="2980"/>
    <cellStyle name="Normal 2 36 9 2" xfId="2981"/>
    <cellStyle name="Normal 2 36 9 2 2" xfId="2982"/>
    <cellStyle name="Normal 2 36 9 3" xfId="2983"/>
    <cellStyle name="Normal 2 37" xfId="2984"/>
    <cellStyle name="Normal 2 37 10" xfId="2985"/>
    <cellStyle name="Normal 2 37 10 2" xfId="2986"/>
    <cellStyle name="Normal 2 37 10 2 2" xfId="2987"/>
    <cellStyle name="Normal 2 37 10 3" xfId="2988"/>
    <cellStyle name="Normal 2 37 11" xfId="2989"/>
    <cellStyle name="Normal 2 37 11 2" xfId="2990"/>
    <cellStyle name="Normal 2 37 11 2 2" xfId="2991"/>
    <cellStyle name="Normal 2 37 11 3" xfId="2992"/>
    <cellStyle name="Normal 2 37 12" xfId="2993"/>
    <cellStyle name="Normal 2 37 12 2" xfId="2994"/>
    <cellStyle name="Normal 2 37 12 2 2" xfId="2995"/>
    <cellStyle name="Normal 2 37 12 3" xfId="2996"/>
    <cellStyle name="Normal 2 37 13" xfId="2997"/>
    <cellStyle name="Normal 2 37 13 2" xfId="2998"/>
    <cellStyle name="Normal 2 37 13 2 2" xfId="2999"/>
    <cellStyle name="Normal 2 37 13 3" xfId="3000"/>
    <cellStyle name="Normal 2 37 14" xfId="3001"/>
    <cellStyle name="Normal 2 37 14 2" xfId="3002"/>
    <cellStyle name="Normal 2 37 14 2 2" xfId="3003"/>
    <cellStyle name="Normal 2 37 14 3" xfId="3004"/>
    <cellStyle name="Normal 2 37 15" xfId="3005"/>
    <cellStyle name="Normal 2 37 15 2" xfId="3006"/>
    <cellStyle name="Normal 2 37 15 2 2" xfId="3007"/>
    <cellStyle name="Normal 2 37 15 3" xfId="3008"/>
    <cellStyle name="Normal 2 37 16" xfId="3009"/>
    <cellStyle name="Normal 2 37 16 2" xfId="3010"/>
    <cellStyle name="Normal 2 37 16 2 2" xfId="3011"/>
    <cellStyle name="Normal 2 37 16 3" xfId="3012"/>
    <cellStyle name="Normal 2 37 17" xfId="3013"/>
    <cellStyle name="Normal 2 37 17 2" xfId="3014"/>
    <cellStyle name="Normal 2 37 17 2 2" xfId="3015"/>
    <cellStyle name="Normal 2 37 17 3" xfId="3016"/>
    <cellStyle name="Normal 2 37 18" xfId="3017"/>
    <cellStyle name="Normal 2 37 18 2" xfId="3018"/>
    <cellStyle name="Normal 2 37 18 2 2" xfId="3019"/>
    <cellStyle name="Normal 2 37 18 3" xfId="3020"/>
    <cellStyle name="Normal 2 37 19" xfId="3021"/>
    <cellStyle name="Normal 2 37 19 2" xfId="3022"/>
    <cellStyle name="Normal 2 37 19 2 2" xfId="3023"/>
    <cellStyle name="Normal 2 37 19 3" xfId="3024"/>
    <cellStyle name="Normal 2 37 2" xfId="3025"/>
    <cellStyle name="Normal 2 37 2 2" xfId="3026"/>
    <cellStyle name="Normal 2 37 2 2 2" xfId="3027"/>
    <cellStyle name="Normal 2 37 2 3" xfId="3028"/>
    <cellStyle name="Normal 2 37 20" xfId="3029"/>
    <cellStyle name="Normal 2 37 20 2" xfId="3030"/>
    <cellStyle name="Normal 2 37 20 2 2" xfId="3031"/>
    <cellStyle name="Normal 2 37 20 3" xfId="3032"/>
    <cellStyle name="Normal 2 37 21" xfId="3033"/>
    <cellStyle name="Normal 2 37 21 2" xfId="3034"/>
    <cellStyle name="Normal 2 37 21 2 2" xfId="3035"/>
    <cellStyle name="Normal 2 37 21 3" xfId="3036"/>
    <cellStyle name="Normal 2 37 22" xfId="3037"/>
    <cellStyle name="Normal 2 37 22 2" xfId="3038"/>
    <cellStyle name="Normal 2 37 22 2 2" xfId="3039"/>
    <cellStyle name="Normal 2 37 22 3" xfId="3040"/>
    <cellStyle name="Normal 2 37 23" xfId="3041"/>
    <cellStyle name="Normal 2 37 23 2" xfId="3042"/>
    <cellStyle name="Normal 2 37 23 2 2" xfId="3043"/>
    <cellStyle name="Normal 2 37 23 3" xfId="3044"/>
    <cellStyle name="Normal 2 37 24" xfId="3045"/>
    <cellStyle name="Normal 2 37 24 2" xfId="3046"/>
    <cellStyle name="Normal 2 37 25" xfId="3047"/>
    <cellStyle name="Normal 2 37 3" xfId="3048"/>
    <cellStyle name="Normal 2 37 3 2" xfId="3049"/>
    <cellStyle name="Normal 2 37 3 2 2" xfId="3050"/>
    <cellStyle name="Normal 2 37 3 3" xfId="3051"/>
    <cellStyle name="Normal 2 37 4" xfId="3052"/>
    <cellStyle name="Normal 2 37 4 2" xfId="3053"/>
    <cellStyle name="Normal 2 37 4 2 2" xfId="3054"/>
    <cellStyle name="Normal 2 37 4 3" xfId="3055"/>
    <cellStyle name="Normal 2 37 5" xfId="3056"/>
    <cellStyle name="Normal 2 37 5 2" xfId="3057"/>
    <cellStyle name="Normal 2 37 5 2 2" xfId="3058"/>
    <cellStyle name="Normal 2 37 5 3" xfId="3059"/>
    <cellStyle name="Normal 2 37 6" xfId="3060"/>
    <cellStyle name="Normal 2 37 6 2" xfId="3061"/>
    <cellStyle name="Normal 2 37 6 2 2" xfId="3062"/>
    <cellStyle name="Normal 2 37 6 3" xfId="3063"/>
    <cellStyle name="Normal 2 37 7" xfId="3064"/>
    <cellStyle name="Normal 2 37 7 2" xfId="3065"/>
    <cellStyle name="Normal 2 37 7 2 2" xfId="3066"/>
    <cellStyle name="Normal 2 37 7 3" xfId="3067"/>
    <cellStyle name="Normal 2 37 8" xfId="3068"/>
    <cellStyle name="Normal 2 37 8 2" xfId="3069"/>
    <cellStyle name="Normal 2 37 8 2 2" xfId="3070"/>
    <cellStyle name="Normal 2 37 8 3" xfId="3071"/>
    <cellStyle name="Normal 2 37 9" xfId="3072"/>
    <cellStyle name="Normal 2 37 9 2" xfId="3073"/>
    <cellStyle name="Normal 2 37 9 2 2" xfId="3074"/>
    <cellStyle name="Normal 2 37 9 3" xfId="3075"/>
    <cellStyle name="Normal 2 38" xfId="3076"/>
    <cellStyle name="Normal 2 38 10" xfId="3077"/>
    <cellStyle name="Normal 2 38 10 2" xfId="3078"/>
    <cellStyle name="Normal 2 38 10 2 2" xfId="3079"/>
    <cellStyle name="Normal 2 38 10 3" xfId="3080"/>
    <cellStyle name="Normal 2 38 11" xfId="3081"/>
    <cellStyle name="Normal 2 38 11 2" xfId="3082"/>
    <cellStyle name="Normal 2 38 11 2 2" xfId="3083"/>
    <cellStyle name="Normal 2 38 11 3" xfId="3084"/>
    <cellStyle name="Normal 2 38 12" xfId="3085"/>
    <cellStyle name="Normal 2 38 12 2" xfId="3086"/>
    <cellStyle name="Normal 2 38 12 2 2" xfId="3087"/>
    <cellStyle name="Normal 2 38 12 3" xfId="3088"/>
    <cellStyle name="Normal 2 38 13" xfId="3089"/>
    <cellStyle name="Normal 2 38 13 2" xfId="3090"/>
    <cellStyle name="Normal 2 38 13 2 2" xfId="3091"/>
    <cellStyle name="Normal 2 38 13 3" xfId="3092"/>
    <cellStyle name="Normal 2 38 14" xfId="3093"/>
    <cellStyle name="Normal 2 38 14 2" xfId="3094"/>
    <cellStyle name="Normal 2 38 14 2 2" xfId="3095"/>
    <cellStyle name="Normal 2 38 14 3" xfId="3096"/>
    <cellStyle name="Normal 2 38 15" xfId="3097"/>
    <cellStyle name="Normal 2 38 15 2" xfId="3098"/>
    <cellStyle name="Normal 2 38 15 2 2" xfId="3099"/>
    <cellStyle name="Normal 2 38 15 3" xfId="3100"/>
    <cellStyle name="Normal 2 38 16" xfId="3101"/>
    <cellStyle name="Normal 2 38 16 2" xfId="3102"/>
    <cellStyle name="Normal 2 38 16 2 2" xfId="3103"/>
    <cellStyle name="Normal 2 38 16 3" xfId="3104"/>
    <cellStyle name="Normal 2 38 17" xfId="3105"/>
    <cellStyle name="Normal 2 38 17 2" xfId="3106"/>
    <cellStyle name="Normal 2 38 17 2 2" xfId="3107"/>
    <cellStyle name="Normal 2 38 17 3" xfId="3108"/>
    <cellStyle name="Normal 2 38 18" xfId="3109"/>
    <cellStyle name="Normal 2 38 18 2" xfId="3110"/>
    <cellStyle name="Normal 2 38 18 2 2" xfId="3111"/>
    <cellStyle name="Normal 2 38 18 3" xfId="3112"/>
    <cellStyle name="Normal 2 38 19" xfId="3113"/>
    <cellStyle name="Normal 2 38 19 2" xfId="3114"/>
    <cellStyle name="Normal 2 38 19 2 2" xfId="3115"/>
    <cellStyle name="Normal 2 38 19 3" xfId="3116"/>
    <cellStyle name="Normal 2 38 2" xfId="3117"/>
    <cellStyle name="Normal 2 38 2 2" xfId="3118"/>
    <cellStyle name="Normal 2 38 2 2 2" xfId="3119"/>
    <cellStyle name="Normal 2 38 2 3" xfId="3120"/>
    <cellStyle name="Normal 2 38 20" xfId="3121"/>
    <cellStyle name="Normal 2 38 20 2" xfId="3122"/>
    <cellStyle name="Normal 2 38 20 2 2" xfId="3123"/>
    <cellStyle name="Normal 2 38 20 3" xfId="3124"/>
    <cellStyle name="Normal 2 38 21" xfId="3125"/>
    <cellStyle name="Normal 2 38 21 2" xfId="3126"/>
    <cellStyle name="Normal 2 38 21 2 2" xfId="3127"/>
    <cellStyle name="Normal 2 38 21 3" xfId="3128"/>
    <cellStyle name="Normal 2 38 22" xfId="3129"/>
    <cellStyle name="Normal 2 38 22 2" xfId="3130"/>
    <cellStyle name="Normal 2 38 22 2 2" xfId="3131"/>
    <cellStyle name="Normal 2 38 22 3" xfId="3132"/>
    <cellStyle name="Normal 2 38 23" xfId="3133"/>
    <cellStyle name="Normal 2 38 23 2" xfId="3134"/>
    <cellStyle name="Normal 2 38 23 2 2" xfId="3135"/>
    <cellStyle name="Normal 2 38 23 3" xfId="3136"/>
    <cellStyle name="Normal 2 38 24" xfId="3137"/>
    <cellStyle name="Normal 2 38 24 2" xfId="3138"/>
    <cellStyle name="Normal 2 38 25" xfId="3139"/>
    <cellStyle name="Normal 2 38 3" xfId="3140"/>
    <cellStyle name="Normal 2 38 3 2" xfId="3141"/>
    <cellStyle name="Normal 2 38 3 2 2" xfId="3142"/>
    <cellStyle name="Normal 2 38 3 3" xfId="3143"/>
    <cellStyle name="Normal 2 38 4" xfId="3144"/>
    <cellStyle name="Normal 2 38 4 2" xfId="3145"/>
    <cellStyle name="Normal 2 38 4 2 2" xfId="3146"/>
    <cellStyle name="Normal 2 38 4 3" xfId="3147"/>
    <cellStyle name="Normal 2 38 5" xfId="3148"/>
    <cellStyle name="Normal 2 38 5 2" xfId="3149"/>
    <cellStyle name="Normal 2 38 5 2 2" xfId="3150"/>
    <cellStyle name="Normal 2 38 5 3" xfId="3151"/>
    <cellStyle name="Normal 2 38 6" xfId="3152"/>
    <cellStyle name="Normal 2 38 6 2" xfId="3153"/>
    <cellStyle name="Normal 2 38 6 2 2" xfId="3154"/>
    <cellStyle name="Normal 2 38 6 3" xfId="3155"/>
    <cellStyle name="Normal 2 38 7" xfId="3156"/>
    <cellStyle name="Normal 2 38 7 2" xfId="3157"/>
    <cellStyle name="Normal 2 38 7 2 2" xfId="3158"/>
    <cellStyle name="Normal 2 38 7 3" xfId="3159"/>
    <cellStyle name="Normal 2 38 8" xfId="3160"/>
    <cellStyle name="Normal 2 38 8 2" xfId="3161"/>
    <cellStyle name="Normal 2 38 8 2 2" xfId="3162"/>
    <cellStyle name="Normal 2 38 8 3" xfId="3163"/>
    <cellStyle name="Normal 2 38 9" xfId="3164"/>
    <cellStyle name="Normal 2 38 9 2" xfId="3165"/>
    <cellStyle name="Normal 2 38 9 2 2" xfId="3166"/>
    <cellStyle name="Normal 2 38 9 3" xfId="3167"/>
    <cellStyle name="Normal 2 39" xfId="3168"/>
    <cellStyle name="Normal 2 39 10" xfId="3169"/>
    <cellStyle name="Normal 2 39 10 2" xfId="3170"/>
    <cellStyle name="Normal 2 39 10 2 2" xfId="3171"/>
    <cellStyle name="Normal 2 39 10 3" xfId="3172"/>
    <cellStyle name="Normal 2 39 11" xfId="3173"/>
    <cellStyle name="Normal 2 39 11 2" xfId="3174"/>
    <cellStyle name="Normal 2 39 11 2 2" xfId="3175"/>
    <cellStyle name="Normal 2 39 11 3" xfId="3176"/>
    <cellStyle name="Normal 2 39 12" xfId="3177"/>
    <cellStyle name="Normal 2 39 12 2" xfId="3178"/>
    <cellStyle name="Normal 2 39 12 2 2" xfId="3179"/>
    <cellStyle name="Normal 2 39 12 3" xfId="3180"/>
    <cellStyle name="Normal 2 39 13" xfId="3181"/>
    <cellStyle name="Normal 2 39 13 2" xfId="3182"/>
    <cellStyle name="Normal 2 39 13 2 2" xfId="3183"/>
    <cellStyle name="Normal 2 39 13 3" xfId="3184"/>
    <cellStyle name="Normal 2 39 14" xfId="3185"/>
    <cellStyle name="Normal 2 39 14 2" xfId="3186"/>
    <cellStyle name="Normal 2 39 14 2 2" xfId="3187"/>
    <cellStyle name="Normal 2 39 14 3" xfId="3188"/>
    <cellStyle name="Normal 2 39 15" xfId="3189"/>
    <cellStyle name="Normal 2 39 15 2" xfId="3190"/>
    <cellStyle name="Normal 2 39 15 2 2" xfId="3191"/>
    <cellStyle name="Normal 2 39 15 3" xfId="3192"/>
    <cellStyle name="Normal 2 39 16" xfId="3193"/>
    <cellStyle name="Normal 2 39 16 2" xfId="3194"/>
    <cellStyle name="Normal 2 39 16 2 2" xfId="3195"/>
    <cellStyle name="Normal 2 39 16 3" xfId="3196"/>
    <cellStyle name="Normal 2 39 17" xfId="3197"/>
    <cellStyle name="Normal 2 39 17 2" xfId="3198"/>
    <cellStyle name="Normal 2 39 17 2 2" xfId="3199"/>
    <cellStyle name="Normal 2 39 17 3" xfId="3200"/>
    <cellStyle name="Normal 2 39 18" xfId="3201"/>
    <cellStyle name="Normal 2 39 18 2" xfId="3202"/>
    <cellStyle name="Normal 2 39 18 2 2" xfId="3203"/>
    <cellStyle name="Normal 2 39 18 3" xfId="3204"/>
    <cellStyle name="Normal 2 39 19" xfId="3205"/>
    <cellStyle name="Normal 2 39 19 2" xfId="3206"/>
    <cellStyle name="Normal 2 39 19 2 2" xfId="3207"/>
    <cellStyle name="Normal 2 39 19 3" xfId="3208"/>
    <cellStyle name="Normal 2 39 2" xfId="3209"/>
    <cellStyle name="Normal 2 39 2 2" xfId="3210"/>
    <cellStyle name="Normal 2 39 2 2 2" xfId="3211"/>
    <cellStyle name="Normal 2 39 2 3" xfId="3212"/>
    <cellStyle name="Normal 2 39 20" xfId="3213"/>
    <cellStyle name="Normal 2 39 20 2" xfId="3214"/>
    <cellStyle name="Normal 2 39 20 2 2" xfId="3215"/>
    <cellStyle name="Normal 2 39 20 3" xfId="3216"/>
    <cellStyle name="Normal 2 39 21" xfId="3217"/>
    <cellStyle name="Normal 2 39 21 2" xfId="3218"/>
    <cellStyle name="Normal 2 39 21 2 2" xfId="3219"/>
    <cellStyle name="Normal 2 39 21 3" xfId="3220"/>
    <cellStyle name="Normal 2 39 22" xfId="3221"/>
    <cellStyle name="Normal 2 39 22 2" xfId="3222"/>
    <cellStyle name="Normal 2 39 22 2 2" xfId="3223"/>
    <cellStyle name="Normal 2 39 22 3" xfId="3224"/>
    <cellStyle name="Normal 2 39 23" xfId="3225"/>
    <cellStyle name="Normal 2 39 23 2" xfId="3226"/>
    <cellStyle name="Normal 2 39 23 2 2" xfId="3227"/>
    <cellStyle name="Normal 2 39 23 3" xfId="3228"/>
    <cellStyle name="Normal 2 39 24" xfId="3229"/>
    <cellStyle name="Normal 2 39 24 2" xfId="3230"/>
    <cellStyle name="Normal 2 39 25" xfId="3231"/>
    <cellStyle name="Normal 2 39 3" xfId="3232"/>
    <cellStyle name="Normal 2 39 3 2" xfId="3233"/>
    <cellStyle name="Normal 2 39 3 2 2" xfId="3234"/>
    <cellStyle name="Normal 2 39 3 3" xfId="3235"/>
    <cellStyle name="Normal 2 39 4" xfId="3236"/>
    <cellStyle name="Normal 2 39 4 2" xfId="3237"/>
    <cellStyle name="Normal 2 39 4 2 2" xfId="3238"/>
    <cellStyle name="Normal 2 39 4 3" xfId="3239"/>
    <cellStyle name="Normal 2 39 5" xfId="3240"/>
    <cellStyle name="Normal 2 39 5 2" xfId="3241"/>
    <cellStyle name="Normal 2 39 5 2 2" xfId="3242"/>
    <cellStyle name="Normal 2 39 5 3" xfId="3243"/>
    <cellStyle name="Normal 2 39 6" xfId="3244"/>
    <cellStyle name="Normal 2 39 6 2" xfId="3245"/>
    <cellStyle name="Normal 2 39 6 2 2" xfId="3246"/>
    <cellStyle name="Normal 2 39 6 3" xfId="3247"/>
    <cellStyle name="Normal 2 39 7" xfId="3248"/>
    <cellStyle name="Normal 2 39 7 2" xfId="3249"/>
    <cellStyle name="Normal 2 39 7 2 2" xfId="3250"/>
    <cellStyle name="Normal 2 39 7 3" xfId="3251"/>
    <cellStyle name="Normal 2 39 8" xfId="3252"/>
    <cellStyle name="Normal 2 39 8 2" xfId="3253"/>
    <cellStyle name="Normal 2 39 8 2 2" xfId="3254"/>
    <cellStyle name="Normal 2 39 8 3" xfId="3255"/>
    <cellStyle name="Normal 2 39 9" xfId="3256"/>
    <cellStyle name="Normal 2 39 9 2" xfId="3257"/>
    <cellStyle name="Normal 2 39 9 2 2" xfId="3258"/>
    <cellStyle name="Normal 2 39 9 3" xfId="3259"/>
    <cellStyle name="Normal 2 4" xfId="159"/>
    <cellStyle name="Normal 2 4 2" xfId="160"/>
    <cellStyle name="Normal 2 4 2 2" xfId="161"/>
    <cellStyle name="Normal 2 4 2 3" xfId="162"/>
    <cellStyle name="Normal 2 4 2 4" xfId="163"/>
    <cellStyle name="Normal 2 4 3" xfId="314"/>
    <cellStyle name="Normal 2 4 3 2" xfId="3260"/>
    <cellStyle name="Normal 2 4 4" xfId="3261"/>
    <cellStyle name="Normal 2 4 5" xfId="3262"/>
    <cellStyle name="Normal 2 4 6" xfId="3263"/>
    <cellStyle name="Normal 2 40" xfId="3264"/>
    <cellStyle name="Normal 2 40 2" xfId="3265"/>
    <cellStyle name="Normal 2 40 2 2" xfId="3266"/>
    <cellStyle name="Normal 2 40 3" xfId="3267"/>
    <cellStyle name="Normal 2 41" xfId="3268"/>
    <cellStyle name="Normal 2 41 2" xfId="3269"/>
    <cellStyle name="Normal 2 41 2 2" xfId="3270"/>
    <cellStyle name="Normal 2 41 3" xfId="3271"/>
    <cellStyle name="Normal 2 42" xfId="3272"/>
    <cellStyle name="Normal 2 42 2" xfId="3273"/>
    <cellStyle name="Normal 2 42 2 2" xfId="3274"/>
    <cellStyle name="Normal 2 42 3" xfId="3275"/>
    <cellStyle name="Normal 2 43" xfId="3276"/>
    <cellStyle name="Normal 2 43 2" xfId="3277"/>
    <cellStyle name="Normal 2 43 2 2" xfId="3278"/>
    <cellStyle name="Normal 2 43 3" xfId="3279"/>
    <cellStyle name="Normal 2 44" xfId="3280"/>
    <cellStyle name="Normal 2 44 2" xfId="3281"/>
    <cellStyle name="Normal 2 44 2 2" xfId="3282"/>
    <cellStyle name="Normal 2 44 3" xfId="3283"/>
    <cellStyle name="Normal 2 45" xfId="3284"/>
    <cellStyle name="Normal 2 45 2" xfId="3285"/>
    <cellStyle name="Normal 2 45 2 2" xfId="3286"/>
    <cellStyle name="Normal 2 45 3" xfId="3287"/>
    <cellStyle name="Normal 2 46" xfId="3288"/>
    <cellStyle name="Normal 2 46 2" xfId="3289"/>
    <cellStyle name="Normal 2 46 2 2" xfId="3290"/>
    <cellStyle name="Normal 2 46 3" xfId="3291"/>
    <cellStyle name="Normal 2 47" xfId="3292"/>
    <cellStyle name="Normal 2 47 2" xfId="3293"/>
    <cellStyle name="Normal 2 47 2 2" xfId="3294"/>
    <cellStyle name="Normal 2 47 3" xfId="3295"/>
    <cellStyle name="Normal 2 48" xfId="3296"/>
    <cellStyle name="Normal 2 48 2" xfId="3297"/>
    <cellStyle name="Normal 2 48 2 2" xfId="3298"/>
    <cellStyle name="Normal 2 48 3" xfId="3299"/>
    <cellStyle name="Normal 2 49" xfId="3300"/>
    <cellStyle name="Normal 2 49 2" xfId="3301"/>
    <cellStyle name="Normal 2 49 2 2" xfId="3302"/>
    <cellStyle name="Normal 2 49 3" xfId="3303"/>
    <cellStyle name="Normal 2 5" xfId="164"/>
    <cellStyle name="Normal 2 5 10" xfId="3304"/>
    <cellStyle name="Normal 2 5 10 2" xfId="3305"/>
    <cellStyle name="Normal 2 5 10 2 2" xfId="3306"/>
    <cellStyle name="Normal 2 5 10 3" xfId="3307"/>
    <cellStyle name="Normal 2 5 11" xfId="3308"/>
    <cellStyle name="Normal 2 5 11 2" xfId="3309"/>
    <cellStyle name="Normal 2 5 11 2 2" xfId="3310"/>
    <cellStyle name="Normal 2 5 11 3" xfId="3311"/>
    <cellStyle name="Normal 2 5 12" xfId="3312"/>
    <cellStyle name="Normal 2 5 12 2" xfId="3313"/>
    <cellStyle name="Normal 2 5 12 2 2" xfId="3314"/>
    <cellStyle name="Normal 2 5 12 3" xfId="3315"/>
    <cellStyle name="Normal 2 5 13" xfId="3316"/>
    <cellStyle name="Normal 2 5 13 2" xfId="3317"/>
    <cellStyle name="Normal 2 5 13 2 2" xfId="3318"/>
    <cellStyle name="Normal 2 5 13 3" xfId="3319"/>
    <cellStyle name="Normal 2 5 14" xfId="3320"/>
    <cellStyle name="Normal 2 5 14 2" xfId="3321"/>
    <cellStyle name="Normal 2 5 14 2 2" xfId="3322"/>
    <cellStyle name="Normal 2 5 14 3" xfId="3323"/>
    <cellStyle name="Normal 2 5 15" xfId="3324"/>
    <cellStyle name="Normal 2 5 15 2" xfId="3325"/>
    <cellStyle name="Normal 2 5 15 2 2" xfId="3326"/>
    <cellStyle name="Normal 2 5 15 3" xfId="3327"/>
    <cellStyle name="Normal 2 5 16" xfId="3328"/>
    <cellStyle name="Normal 2 5 16 2" xfId="3329"/>
    <cellStyle name="Normal 2 5 16 2 2" xfId="3330"/>
    <cellStyle name="Normal 2 5 16 3" xfId="3331"/>
    <cellStyle name="Normal 2 5 17" xfId="3332"/>
    <cellStyle name="Normal 2 5 17 2" xfId="3333"/>
    <cellStyle name="Normal 2 5 17 2 2" xfId="3334"/>
    <cellStyle name="Normal 2 5 17 3" xfId="3335"/>
    <cellStyle name="Normal 2 5 18" xfId="3336"/>
    <cellStyle name="Normal 2 5 18 2" xfId="3337"/>
    <cellStyle name="Normal 2 5 18 2 2" xfId="3338"/>
    <cellStyle name="Normal 2 5 18 3" xfId="3339"/>
    <cellStyle name="Normal 2 5 19" xfId="3340"/>
    <cellStyle name="Normal 2 5 19 2" xfId="3341"/>
    <cellStyle name="Normal 2 5 19 2 2" xfId="3342"/>
    <cellStyle name="Normal 2 5 19 3" xfId="3343"/>
    <cellStyle name="Normal 2 5 2" xfId="3344"/>
    <cellStyle name="Normal 2 5 2 10" xfId="3345"/>
    <cellStyle name="Normal 2 5 2 10 2" xfId="3346"/>
    <cellStyle name="Normal 2 5 2 10 2 2" xfId="3347"/>
    <cellStyle name="Normal 2 5 2 10 3" xfId="3348"/>
    <cellStyle name="Normal 2 5 2 11" xfId="3349"/>
    <cellStyle name="Normal 2 5 2 11 2" xfId="3350"/>
    <cellStyle name="Normal 2 5 2 11 2 2" xfId="3351"/>
    <cellStyle name="Normal 2 5 2 11 3" xfId="3352"/>
    <cellStyle name="Normal 2 5 2 12" xfId="3353"/>
    <cellStyle name="Normal 2 5 2 12 2" xfId="3354"/>
    <cellStyle name="Normal 2 5 2 12 2 2" xfId="3355"/>
    <cellStyle name="Normal 2 5 2 12 3" xfId="3356"/>
    <cellStyle name="Normal 2 5 2 13" xfId="3357"/>
    <cellStyle name="Normal 2 5 2 13 2" xfId="3358"/>
    <cellStyle name="Normal 2 5 2 13 2 2" xfId="3359"/>
    <cellStyle name="Normal 2 5 2 13 3" xfId="3360"/>
    <cellStyle name="Normal 2 5 2 14" xfId="3361"/>
    <cellStyle name="Normal 2 5 2 14 2" xfId="3362"/>
    <cellStyle name="Normal 2 5 2 14 2 2" xfId="3363"/>
    <cellStyle name="Normal 2 5 2 14 3" xfId="3364"/>
    <cellStyle name="Normal 2 5 2 15" xfId="3365"/>
    <cellStyle name="Normal 2 5 2 15 2" xfId="3366"/>
    <cellStyle name="Normal 2 5 2 15 2 2" xfId="3367"/>
    <cellStyle name="Normal 2 5 2 15 3" xfId="3368"/>
    <cellStyle name="Normal 2 5 2 16" xfId="3369"/>
    <cellStyle name="Normal 2 5 2 16 2" xfId="3370"/>
    <cellStyle name="Normal 2 5 2 16 2 2" xfId="3371"/>
    <cellStyle name="Normal 2 5 2 16 3" xfId="3372"/>
    <cellStyle name="Normal 2 5 2 17" xfId="3373"/>
    <cellStyle name="Normal 2 5 2 17 2" xfId="3374"/>
    <cellStyle name="Normal 2 5 2 17 2 2" xfId="3375"/>
    <cellStyle name="Normal 2 5 2 17 3" xfId="3376"/>
    <cellStyle name="Normal 2 5 2 18" xfId="3377"/>
    <cellStyle name="Normal 2 5 2 18 2" xfId="3378"/>
    <cellStyle name="Normal 2 5 2 18 2 2" xfId="3379"/>
    <cellStyle name="Normal 2 5 2 18 3" xfId="3380"/>
    <cellStyle name="Normal 2 5 2 19" xfId="3381"/>
    <cellStyle name="Normal 2 5 2 19 2" xfId="3382"/>
    <cellStyle name="Normal 2 5 2 19 2 2" xfId="3383"/>
    <cellStyle name="Normal 2 5 2 19 3" xfId="3384"/>
    <cellStyle name="Normal 2 5 2 2" xfId="3385"/>
    <cellStyle name="Normal 2 5 2 2 10" xfId="3386"/>
    <cellStyle name="Normal 2 5 2 2 10 2" xfId="3387"/>
    <cellStyle name="Normal 2 5 2 2 10 2 2" xfId="3388"/>
    <cellStyle name="Normal 2 5 2 2 10 3" xfId="3389"/>
    <cellStyle name="Normal 2 5 2 2 11" xfId="3390"/>
    <cellStyle name="Normal 2 5 2 2 11 2" xfId="3391"/>
    <cellStyle name="Normal 2 5 2 2 11 2 2" xfId="3392"/>
    <cellStyle name="Normal 2 5 2 2 11 3" xfId="3393"/>
    <cellStyle name="Normal 2 5 2 2 12" xfId="3394"/>
    <cellStyle name="Normal 2 5 2 2 12 2" xfId="3395"/>
    <cellStyle name="Normal 2 5 2 2 12 2 2" xfId="3396"/>
    <cellStyle name="Normal 2 5 2 2 12 3" xfId="3397"/>
    <cellStyle name="Normal 2 5 2 2 13" xfId="3398"/>
    <cellStyle name="Normal 2 5 2 2 13 2" xfId="3399"/>
    <cellStyle name="Normal 2 5 2 2 13 2 2" xfId="3400"/>
    <cellStyle name="Normal 2 5 2 2 13 3" xfId="3401"/>
    <cellStyle name="Normal 2 5 2 2 14" xfId="3402"/>
    <cellStyle name="Normal 2 5 2 2 14 2" xfId="3403"/>
    <cellStyle name="Normal 2 5 2 2 14 2 2" xfId="3404"/>
    <cellStyle name="Normal 2 5 2 2 14 3" xfId="3405"/>
    <cellStyle name="Normal 2 5 2 2 15" xfId="3406"/>
    <cellStyle name="Normal 2 5 2 2 15 2" xfId="3407"/>
    <cellStyle name="Normal 2 5 2 2 15 2 2" xfId="3408"/>
    <cellStyle name="Normal 2 5 2 2 15 3" xfId="3409"/>
    <cellStyle name="Normal 2 5 2 2 16" xfId="3410"/>
    <cellStyle name="Normal 2 5 2 2 16 2" xfId="3411"/>
    <cellStyle name="Normal 2 5 2 2 16 2 2" xfId="3412"/>
    <cellStyle name="Normal 2 5 2 2 16 3" xfId="3413"/>
    <cellStyle name="Normal 2 5 2 2 17" xfId="3414"/>
    <cellStyle name="Normal 2 5 2 2 17 2" xfId="3415"/>
    <cellStyle name="Normal 2 5 2 2 17 2 2" xfId="3416"/>
    <cellStyle name="Normal 2 5 2 2 17 3" xfId="3417"/>
    <cellStyle name="Normal 2 5 2 2 18" xfId="3418"/>
    <cellStyle name="Normal 2 5 2 2 18 2" xfId="3419"/>
    <cellStyle name="Normal 2 5 2 2 18 2 2" xfId="3420"/>
    <cellStyle name="Normal 2 5 2 2 18 3" xfId="3421"/>
    <cellStyle name="Normal 2 5 2 2 19" xfId="3422"/>
    <cellStyle name="Normal 2 5 2 2 19 2" xfId="3423"/>
    <cellStyle name="Normal 2 5 2 2 19 2 2" xfId="3424"/>
    <cellStyle name="Normal 2 5 2 2 19 3" xfId="3425"/>
    <cellStyle name="Normal 2 5 2 2 2" xfId="3426"/>
    <cellStyle name="Normal 2 5 2 2 2 2" xfId="3427"/>
    <cellStyle name="Normal 2 5 2 2 2 2 2" xfId="3428"/>
    <cellStyle name="Normal 2 5 2 2 2 3" xfId="3429"/>
    <cellStyle name="Normal 2 5 2 2 20" xfId="3430"/>
    <cellStyle name="Normal 2 5 2 2 20 2" xfId="3431"/>
    <cellStyle name="Normal 2 5 2 2 20 2 2" xfId="3432"/>
    <cellStyle name="Normal 2 5 2 2 20 3" xfId="3433"/>
    <cellStyle name="Normal 2 5 2 2 21" xfId="3434"/>
    <cellStyle name="Normal 2 5 2 2 21 2" xfId="3435"/>
    <cellStyle name="Normal 2 5 2 2 21 2 2" xfId="3436"/>
    <cellStyle name="Normal 2 5 2 2 21 3" xfId="3437"/>
    <cellStyle name="Normal 2 5 2 2 22" xfId="3438"/>
    <cellStyle name="Normal 2 5 2 2 22 2" xfId="3439"/>
    <cellStyle name="Normal 2 5 2 2 22 2 2" xfId="3440"/>
    <cellStyle name="Normal 2 5 2 2 22 3" xfId="3441"/>
    <cellStyle name="Normal 2 5 2 2 23" xfId="3442"/>
    <cellStyle name="Normal 2 5 2 2 23 2" xfId="3443"/>
    <cellStyle name="Normal 2 5 2 2 23 2 2" xfId="3444"/>
    <cellStyle name="Normal 2 5 2 2 23 3" xfId="3445"/>
    <cellStyle name="Normal 2 5 2 2 24" xfId="3446"/>
    <cellStyle name="Normal 2 5 2 2 24 2" xfId="3447"/>
    <cellStyle name="Normal 2 5 2 2 24 2 2" xfId="3448"/>
    <cellStyle name="Normal 2 5 2 2 24 3" xfId="3449"/>
    <cellStyle name="Normal 2 5 2 2 25" xfId="3450"/>
    <cellStyle name="Normal 2 5 2 2 25 2" xfId="3451"/>
    <cellStyle name="Normal 2 5 2 2 25 2 2" xfId="3452"/>
    <cellStyle name="Normal 2 5 2 2 25 3" xfId="3453"/>
    <cellStyle name="Normal 2 5 2 2 26" xfId="3454"/>
    <cellStyle name="Normal 2 5 2 2 26 2" xfId="3455"/>
    <cellStyle name="Normal 2 5 2 2 26 2 2" xfId="3456"/>
    <cellStyle name="Normal 2 5 2 2 26 3" xfId="3457"/>
    <cellStyle name="Normal 2 5 2 2 27" xfId="3458"/>
    <cellStyle name="Normal 2 5 2 2 27 2" xfId="3459"/>
    <cellStyle name="Normal 2 5 2 2 27 2 2" xfId="3460"/>
    <cellStyle name="Normal 2 5 2 2 27 3" xfId="3461"/>
    <cellStyle name="Normal 2 5 2 2 28" xfId="3462"/>
    <cellStyle name="Normal 2 5 2 2 28 2" xfId="3463"/>
    <cellStyle name="Normal 2 5 2 2 28 2 2" xfId="3464"/>
    <cellStyle name="Normal 2 5 2 2 28 3" xfId="3465"/>
    <cellStyle name="Normal 2 5 2 2 29" xfId="3466"/>
    <cellStyle name="Normal 2 5 2 2 29 2" xfId="3467"/>
    <cellStyle name="Normal 2 5 2 2 29 2 2" xfId="3468"/>
    <cellStyle name="Normal 2 5 2 2 29 3" xfId="3469"/>
    <cellStyle name="Normal 2 5 2 2 3" xfId="3470"/>
    <cellStyle name="Normal 2 5 2 2 3 2" xfId="3471"/>
    <cellStyle name="Normal 2 5 2 2 3 2 2" xfId="3472"/>
    <cellStyle name="Normal 2 5 2 2 3 3" xfId="3473"/>
    <cellStyle name="Normal 2 5 2 2 30" xfId="3474"/>
    <cellStyle name="Normal 2 5 2 2 30 2" xfId="3475"/>
    <cellStyle name="Normal 2 5 2 2 30 2 2" xfId="3476"/>
    <cellStyle name="Normal 2 5 2 2 30 3" xfId="3477"/>
    <cellStyle name="Normal 2 5 2 2 31" xfId="3478"/>
    <cellStyle name="Normal 2 5 2 2 31 2" xfId="3479"/>
    <cellStyle name="Normal 2 5 2 2 31 2 2" xfId="3480"/>
    <cellStyle name="Normal 2 5 2 2 31 3" xfId="3481"/>
    <cellStyle name="Normal 2 5 2 2 32" xfId="3482"/>
    <cellStyle name="Normal 2 5 2 2 32 2" xfId="3483"/>
    <cellStyle name="Normal 2 5 2 2 32 2 2" xfId="3484"/>
    <cellStyle name="Normal 2 5 2 2 32 3" xfId="3485"/>
    <cellStyle name="Normal 2 5 2 2 33" xfId="3486"/>
    <cellStyle name="Normal 2 5 2 2 33 2" xfId="3487"/>
    <cellStyle name="Normal 2 5 2 2 33 2 2" xfId="3488"/>
    <cellStyle name="Normal 2 5 2 2 33 3" xfId="3489"/>
    <cellStyle name="Normal 2 5 2 2 34" xfId="3490"/>
    <cellStyle name="Normal 2 5 2 2 34 2" xfId="3491"/>
    <cellStyle name="Normal 2 5 2 2 34 2 2" xfId="3492"/>
    <cellStyle name="Normal 2 5 2 2 34 3" xfId="3493"/>
    <cellStyle name="Normal 2 5 2 2 35" xfId="3494"/>
    <cellStyle name="Normal 2 5 2 2 35 2" xfId="3495"/>
    <cellStyle name="Normal 2 5 2 2 35 2 2" xfId="3496"/>
    <cellStyle name="Normal 2 5 2 2 35 3" xfId="3497"/>
    <cellStyle name="Normal 2 5 2 2 36" xfId="3498"/>
    <cellStyle name="Normal 2 5 2 2 36 2" xfId="3499"/>
    <cellStyle name="Normal 2 5 2 2 36 2 2" xfId="3500"/>
    <cellStyle name="Normal 2 5 2 2 36 3" xfId="3501"/>
    <cellStyle name="Normal 2 5 2 2 37" xfId="3502"/>
    <cellStyle name="Normal 2 5 2 2 37 2" xfId="3503"/>
    <cellStyle name="Normal 2 5 2 2 37 2 2" xfId="3504"/>
    <cellStyle name="Normal 2 5 2 2 37 3" xfId="3505"/>
    <cellStyle name="Normal 2 5 2 2 38" xfId="3506"/>
    <cellStyle name="Normal 2 5 2 2 38 2" xfId="3507"/>
    <cellStyle name="Normal 2 5 2 2 38 2 2" xfId="3508"/>
    <cellStyle name="Normal 2 5 2 2 38 3" xfId="3509"/>
    <cellStyle name="Normal 2 5 2 2 39" xfId="3510"/>
    <cellStyle name="Normal 2 5 2 2 39 2" xfId="3511"/>
    <cellStyle name="Normal 2 5 2 2 39 2 2" xfId="3512"/>
    <cellStyle name="Normal 2 5 2 2 39 3" xfId="3513"/>
    <cellStyle name="Normal 2 5 2 2 4" xfId="3514"/>
    <cellStyle name="Normal 2 5 2 2 4 2" xfId="3515"/>
    <cellStyle name="Normal 2 5 2 2 4 2 2" xfId="3516"/>
    <cellStyle name="Normal 2 5 2 2 4 3" xfId="3517"/>
    <cellStyle name="Normal 2 5 2 2 40" xfId="3518"/>
    <cellStyle name="Normal 2 5 2 2 40 2" xfId="3519"/>
    <cellStyle name="Normal 2 5 2 2 40 2 2" xfId="3520"/>
    <cellStyle name="Normal 2 5 2 2 40 3" xfId="3521"/>
    <cellStyle name="Normal 2 5 2 2 41" xfId="3522"/>
    <cellStyle name="Normal 2 5 2 2 41 2" xfId="3523"/>
    <cellStyle name="Normal 2 5 2 2 41 2 2" xfId="3524"/>
    <cellStyle name="Normal 2 5 2 2 41 3" xfId="3525"/>
    <cellStyle name="Normal 2 5 2 2 42" xfId="3526"/>
    <cellStyle name="Normal 2 5 2 2 42 2" xfId="3527"/>
    <cellStyle name="Normal 2 5 2 2 42 2 2" xfId="3528"/>
    <cellStyle name="Normal 2 5 2 2 42 3" xfId="3529"/>
    <cellStyle name="Normal 2 5 2 2 43" xfId="3530"/>
    <cellStyle name="Normal 2 5 2 2 43 2" xfId="3531"/>
    <cellStyle name="Normal 2 5 2 2 43 2 2" xfId="3532"/>
    <cellStyle name="Normal 2 5 2 2 43 3" xfId="3533"/>
    <cellStyle name="Normal 2 5 2 2 44" xfId="3534"/>
    <cellStyle name="Normal 2 5 2 2 44 2" xfId="3535"/>
    <cellStyle name="Normal 2 5 2 2 44 2 2" xfId="3536"/>
    <cellStyle name="Normal 2 5 2 2 44 3" xfId="3537"/>
    <cellStyle name="Normal 2 5 2 2 45" xfId="3538"/>
    <cellStyle name="Normal 2 5 2 2 45 2" xfId="3539"/>
    <cellStyle name="Normal 2 5 2 2 45 2 2" xfId="3540"/>
    <cellStyle name="Normal 2 5 2 2 45 3" xfId="3541"/>
    <cellStyle name="Normal 2 5 2 2 46" xfId="3542"/>
    <cellStyle name="Normal 2 5 2 2 46 2" xfId="3543"/>
    <cellStyle name="Normal 2 5 2 2 46 2 2" xfId="3544"/>
    <cellStyle name="Normal 2 5 2 2 46 3" xfId="3545"/>
    <cellStyle name="Normal 2 5 2 2 47" xfId="3546"/>
    <cellStyle name="Normal 2 5 2 2 47 2" xfId="3547"/>
    <cellStyle name="Normal 2 5 2 2 47 2 2" xfId="3548"/>
    <cellStyle name="Normal 2 5 2 2 47 3" xfId="3549"/>
    <cellStyle name="Normal 2 5 2 2 48" xfId="3550"/>
    <cellStyle name="Normal 2 5 2 2 48 2" xfId="3551"/>
    <cellStyle name="Normal 2 5 2 2 48 2 2" xfId="3552"/>
    <cellStyle name="Normal 2 5 2 2 48 3" xfId="3553"/>
    <cellStyle name="Normal 2 5 2 2 49" xfId="3554"/>
    <cellStyle name="Normal 2 5 2 2 49 2" xfId="3555"/>
    <cellStyle name="Normal 2 5 2 2 49 2 2" xfId="3556"/>
    <cellStyle name="Normal 2 5 2 2 49 3" xfId="3557"/>
    <cellStyle name="Normal 2 5 2 2 5" xfId="3558"/>
    <cellStyle name="Normal 2 5 2 2 5 2" xfId="3559"/>
    <cellStyle name="Normal 2 5 2 2 5 2 2" xfId="3560"/>
    <cellStyle name="Normal 2 5 2 2 5 3" xfId="3561"/>
    <cellStyle name="Normal 2 5 2 2 50" xfId="3562"/>
    <cellStyle name="Normal 2 5 2 2 50 2" xfId="3563"/>
    <cellStyle name="Normal 2 5 2 2 50 2 2" xfId="3564"/>
    <cellStyle name="Normal 2 5 2 2 50 3" xfId="3565"/>
    <cellStyle name="Normal 2 5 2 2 51" xfId="3566"/>
    <cellStyle name="Normal 2 5 2 2 51 2" xfId="3567"/>
    <cellStyle name="Normal 2 5 2 2 51 2 2" xfId="3568"/>
    <cellStyle name="Normal 2 5 2 2 51 3" xfId="3569"/>
    <cellStyle name="Normal 2 5 2 2 52" xfId="3570"/>
    <cellStyle name="Normal 2 5 2 2 52 2" xfId="3571"/>
    <cellStyle name="Normal 2 5 2 2 52 2 2" xfId="3572"/>
    <cellStyle name="Normal 2 5 2 2 52 3" xfId="3573"/>
    <cellStyle name="Normal 2 5 2 2 53" xfId="3574"/>
    <cellStyle name="Normal 2 5 2 2 53 2" xfId="3575"/>
    <cellStyle name="Normal 2 5 2 2 53 2 2" xfId="3576"/>
    <cellStyle name="Normal 2 5 2 2 53 3" xfId="3577"/>
    <cellStyle name="Normal 2 5 2 2 54" xfId="3578"/>
    <cellStyle name="Normal 2 5 2 2 54 2" xfId="3579"/>
    <cellStyle name="Normal 2 5 2 2 54 2 2" xfId="3580"/>
    <cellStyle name="Normal 2 5 2 2 54 3" xfId="3581"/>
    <cellStyle name="Normal 2 5 2 2 55" xfId="3582"/>
    <cellStyle name="Normal 2 5 2 2 55 2" xfId="3583"/>
    <cellStyle name="Normal 2 5 2 2 55 2 2" xfId="3584"/>
    <cellStyle name="Normal 2 5 2 2 55 3" xfId="3585"/>
    <cellStyle name="Normal 2 5 2 2 56" xfId="3586"/>
    <cellStyle name="Normal 2 5 2 2 56 2" xfId="3587"/>
    <cellStyle name="Normal 2 5 2 2 57" xfId="3588"/>
    <cellStyle name="Normal 2 5 2 2 6" xfId="3589"/>
    <cellStyle name="Normal 2 5 2 2 6 2" xfId="3590"/>
    <cellStyle name="Normal 2 5 2 2 6 2 2" xfId="3591"/>
    <cellStyle name="Normal 2 5 2 2 6 3" xfId="3592"/>
    <cellStyle name="Normal 2 5 2 2 7" xfId="3593"/>
    <cellStyle name="Normal 2 5 2 2 7 2" xfId="3594"/>
    <cellStyle name="Normal 2 5 2 2 7 2 2" xfId="3595"/>
    <cellStyle name="Normal 2 5 2 2 7 3" xfId="3596"/>
    <cellStyle name="Normal 2 5 2 2 8" xfId="3597"/>
    <cellStyle name="Normal 2 5 2 2 8 2" xfId="3598"/>
    <cellStyle name="Normal 2 5 2 2 8 2 2" xfId="3599"/>
    <cellStyle name="Normal 2 5 2 2 8 3" xfId="3600"/>
    <cellStyle name="Normal 2 5 2 2 9" xfId="3601"/>
    <cellStyle name="Normal 2 5 2 2 9 2" xfId="3602"/>
    <cellStyle name="Normal 2 5 2 2 9 2 2" xfId="3603"/>
    <cellStyle name="Normal 2 5 2 2 9 3" xfId="3604"/>
    <cellStyle name="Normal 2 5 2 20" xfId="3605"/>
    <cellStyle name="Normal 2 5 2 20 2" xfId="3606"/>
    <cellStyle name="Normal 2 5 2 20 2 2" xfId="3607"/>
    <cellStyle name="Normal 2 5 2 20 3" xfId="3608"/>
    <cellStyle name="Normal 2 5 2 21" xfId="3609"/>
    <cellStyle name="Normal 2 5 2 21 2" xfId="3610"/>
    <cellStyle name="Normal 2 5 2 21 2 2" xfId="3611"/>
    <cellStyle name="Normal 2 5 2 21 3" xfId="3612"/>
    <cellStyle name="Normal 2 5 2 22" xfId="3613"/>
    <cellStyle name="Normal 2 5 2 22 2" xfId="3614"/>
    <cellStyle name="Normal 2 5 2 22 2 2" xfId="3615"/>
    <cellStyle name="Normal 2 5 2 22 3" xfId="3616"/>
    <cellStyle name="Normal 2 5 2 23" xfId="3617"/>
    <cellStyle name="Normal 2 5 2 23 2" xfId="3618"/>
    <cellStyle name="Normal 2 5 2 23 2 2" xfId="3619"/>
    <cellStyle name="Normal 2 5 2 23 3" xfId="3620"/>
    <cellStyle name="Normal 2 5 2 24" xfId="3621"/>
    <cellStyle name="Normal 2 5 2 24 2" xfId="3622"/>
    <cellStyle name="Normal 2 5 2 24 2 2" xfId="3623"/>
    <cellStyle name="Normal 2 5 2 24 3" xfId="3624"/>
    <cellStyle name="Normal 2 5 2 25" xfId="3625"/>
    <cellStyle name="Normal 2 5 2 25 2" xfId="3626"/>
    <cellStyle name="Normal 2 5 2 25 2 2" xfId="3627"/>
    <cellStyle name="Normal 2 5 2 25 3" xfId="3628"/>
    <cellStyle name="Normal 2 5 2 26" xfId="3629"/>
    <cellStyle name="Normal 2 5 2 26 2" xfId="3630"/>
    <cellStyle name="Normal 2 5 2 26 2 2" xfId="3631"/>
    <cellStyle name="Normal 2 5 2 26 3" xfId="3632"/>
    <cellStyle name="Normal 2 5 2 27" xfId="3633"/>
    <cellStyle name="Normal 2 5 2 27 2" xfId="3634"/>
    <cellStyle name="Normal 2 5 2 27 2 2" xfId="3635"/>
    <cellStyle name="Normal 2 5 2 27 3" xfId="3636"/>
    <cellStyle name="Normal 2 5 2 28" xfId="3637"/>
    <cellStyle name="Normal 2 5 2 28 2" xfId="3638"/>
    <cellStyle name="Normal 2 5 2 28 2 2" xfId="3639"/>
    <cellStyle name="Normal 2 5 2 28 3" xfId="3640"/>
    <cellStyle name="Normal 2 5 2 29" xfId="3641"/>
    <cellStyle name="Normal 2 5 2 29 2" xfId="3642"/>
    <cellStyle name="Normal 2 5 2 29 2 2" xfId="3643"/>
    <cellStyle name="Normal 2 5 2 29 3" xfId="3644"/>
    <cellStyle name="Normal 2 5 2 3" xfId="3645"/>
    <cellStyle name="Normal 2 5 2 3 2" xfId="3646"/>
    <cellStyle name="Normal 2 5 2 3 2 2" xfId="3647"/>
    <cellStyle name="Normal 2 5 2 3 3" xfId="3648"/>
    <cellStyle name="Normal 2 5 2 30" xfId="3649"/>
    <cellStyle name="Normal 2 5 2 30 2" xfId="3650"/>
    <cellStyle name="Normal 2 5 2 30 2 2" xfId="3651"/>
    <cellStyle name="Normal 2 5 2 30 3" xfId="3652"/>
    <cellStyle name="Normal 2 5 2 31" xfId="3653"/>
    <cellStyle name="Normal 2 5 2 31 2" xfId="3654"/>
    <cellStyle name="Normal 2 5 2 31 2 2" xfId="3655"/>
    <cellStyle name="Normal 2 5 2 31 3" xfId="3656"/>
    <cellStyle name="Normal 2 5 2 32" xfId="3657"/>
    <cellStyle name="Normal 2 5 2 32 2" xfId="3658"/>
    <cellStyle name="Normal 2 5 2 32 2 2" xfId="3659"/>
    <cellStyle name="Normal 2 5 2 32 3" xfId="3660"/>
    <cellStyle name="Normal 2 5 2 33" xfId="3661"/>
    <cellStyle name="Normal 2 5 2 33 2" xfId="3662"/>
    <cellStyle name="Normal 2 5 2 33 2 2" xfId="3663"/>
    <cellStyle name="Normal 2 5 2 33 3" xfId="3664"/>
    <cellStyle name="Normal 2 5 2 34" xfId="3665"/>
    <cellStyle name="Normal 2 5 2 34 2" xfId="3666"/>
    <cellStyle name="Normal 2 5 2 35" xfId="3667"/>
    <cellStyle name="Normal 2 5 2 4" xfId="3668"/>
    <cellStyle name="Normal 2 5 2 4 2" xfId="3669"/>
    <cellStyle name="Normal 2 5 2 4 2 2" xfId="3670"/>
    <cellStyle name="Normal 2 5 2 4 3" xfId="3671"/>
    <cellStyle name="Normal 2 5 2 5" xfId="3672"/>
    <cellStyle name="Normal 2 5 2 5 2" xfId="3673"/>
    <cellStyle name="Normal 2 5 2 5 2 2" xfId="3674"/>
    <cellStyle name="Normal 2 5 2 5 3" xfId="3675"/>
    <cellStyle name="Normal 2 5 2 6" xfId="3676"/>
    <cellStyle name="Normal 2 5 2 6 2" xfId="3677"/>
    <cellStyle name="Normal 2 5 2 6 2 2" xfId="3678"/>
    <cellStyle name="Normal 2 5 2 6 3" xfId="3679"/>
    <cellStyle name="Normal 2 5 2 7" xfId="3680"/>
    <cellStyle name="Normal 2 5 2 7 2" xfId="3681"/>
    <cellStyle name="Normal 2 5 2 7 2 2" xfId="3682"/>
    <cellStyle name="Normal 2 5 2 7 3" xfId="3683"/>
    <cellStyle name="Normal 2 5 2 8" xfId="3684"/>
    <cellStyle name="Normal 2 5 2 8 2" xfId="3685"/>
    <cellStyle name="Normal 2 5 2 8 2 2" xfId="3686"/>
    <cellStyle name="Normal 2 5 2 8 3" xfId="3687"/>
    <cellStyle name="Normal 2 5 2 9" xfId="3688"/>
    <cellStyle name="Normal 2 5 2 9 2" xfId="3689"/>
    <cellStyle name="Normal 2 5 2 9 2 2" xfId="3690"/>
    <cellStyle name="Normal 2 5 2 9 3" xfId="3691"/>
    <cellStyle name="Normal 2 5 20" xfId="3692"/>
    <cellStyle name="Normal 2 5 20 2" xfId="3693"/>
    <cellStyle name="Normal 2 5 20 2 2" xfId="3694"/>
    <cellStyle name="Normal 2 5 20 3" xfId="3695"/>
    <cellStyle name="Normal 2 5 21" xfId="3696"/>
    <cellStyle name="Normal 2 5 21 2" xfId="3697"/>
    <cellStyle name="Normal 2 5 21 2 2" xfId="3698"/>
    <cellStyle name="Normal 2 5 21 3" xfId="3699"/>
    <cellStyle name="Normal 2 5 22" xfId="3700"/>
    <cellStyle name="Normal 2 5 22 2" xfId="3701"/>
    <cellStyle name="Normal 2 5 22 2 2" xfId="3702"/>
    <cellStyle name="Normal 2 5 22 3" xfId="3703"/>
    <cellStyle name="Normal 2 5 23" xfId="3704"/>
    <cellStyle name="Normal 2 5 23 2" xfId="3705"/>
    <cellStyle name="Normal 2 5 23 2 2" xfId="3706"/>
    <cellStyle name="Normal 2 5 23 3" xfId="3707"/>
    <cellStyle name="Normal 2 5 24" xfId="3708"/>
    <cellStyle name="Normal 2 5 24 2" xfId="3709"/>
    <cellStyle name="Normal 2 5 24 2 2" xfId="3710"/>
    <cellStyle name="Normal 2 5 24 3" xfId="3711"/>
    <cellStyle name="Normal 2 5 25" xfId="3712"/>
    <cellStyle name="Normal 2 5 25 2" xfId="3713"/>
    <cellStyle name="Normal 2 5 25 2 2" xfId="3714"/>
    <cellStyle name="Normal 2 5 25 3" xfId="3715"/>
    <cellStyle name="Normal 2 5 26" xfId="3716"/>
    <cellStyle name="Normal 2 5 26 2" xfId="3717"/>
    <cellStyle name="Normal 2 5 26 2 2" xfId="3718"/>
    <cellStyle name="Normal 2 5 26 3" xfId="3719"/>
    <cellStyle name="Normal 2 5 27" xfId="3720"/>
    <cellStyle name="Normal 2 5 27 2" xfId="3721"/>
    <cellStyle name="Normal 2 5 27 2 2" xfId="3722"/>
    <cellStyle name="Normal 2 5 27 3" xfId="3723"/>
    <cellStyle name="Normal 2 5 28" xfId="3724"/>
    <cellStyle name="Normal 2 5 28 2" xfId="3725"/>
    <cellStyle name="Normal 2 5 28 2 2" xfId="3726"/>
    <cellStyle name="Normal 2 5 28 3" xfId="3727"/>
    <cellStyle name="Normal 2 5 29" xfId="3728"/>
    <cellStyle name="Normal 2 5 29 2" xfId="3729"/>
    <cellStyle name="Normal 2 5 29 2 2" xfId="3730"/>
    <cellStyle name="Normal 2 5 29 3" xfId="3731"/>
    <cellStyle name="Normal 2 5 3" xfId="3732"/>
    <cellStyle name="Normal 2 5 3 2" xfId="3733"/>
    <cellStyle name="Normal 2 5 3 2 2" xfId="3734"/>
    <cellStyle name="Normal 2 5 3 3" xfId="3735"/>
    <cellStyle name="Normal 2 5 30" xfId="3736"/>
    <cellStyle name="Normal 2 5 30 2" xfId="3737"/>
    <cellStyle name="Normal 2 5 30 2 2" xfId="3738"/>
    <cellStyle name="Normal 2 5 30 3" xfId="3739"/>
    <cellStyle name="Normal 2 5 31" xfId="3740"/>
    <cellStyle name="Normal 2 5 31 2" xfId="3741"/>
    <cellStyle name="Normal 2 5 31 2 2" xfId="3742"/>
    <cellStyle name="Normal 2 5 31 3" xfId="3743"/>
    <cellStyle name="Normal 2 5 32" xfId="3744"/>
    <cellStyle name="Normal 2 5 32 2" xfId="3745"/>
    <cellStyle name="Normal 2 5 32 2 2" xfId="3746"/>
    <cellStyle name="Normal 2 5 32 3" xfId="3747"/>
    <cellStyle name="Normal 2 5 33" xfId="3748"/>
    <cellStyle name="Normal 2 5 33 2" xfId="3749"/>
    <cellStyle name="Normal 2 5 33 2 2" xfId="3750"/>
    <cellStyle name="Normal 2 5 33 3" xfId="3751"/>
    <cellStyle name="Normal 2 5 34" xfId="3752"/>
    <cellStyle name="Normal 2 5 34 2" xfId="3753"/>
    <cellStyle name="Normal 2 5 34 2 2" xfId="3754"/>
    <cellStyle name="Normal 2 5 34 3" xfId="3755"/>
    <cellStyle name="Normal 2 5 35" xfId="3756"/>
    <cellStyle name="Normal 2 5 35 2" xfId="3757"/>
    <cellStyle name="Normal 2 5 35 2 2" xfId="3758"/>
    <cellStyle name="Normal 2 5 35 3" xfId="3759"/>
    <cellStyle name="Normal 2 5 36" xfId="3760"/>
    <cellStyle name="Normal 2 5 36 2" xfId="3761"/>
    <cellStyle name="Normal 2 5 36 2 2" xfId="3762"/>
    <cellStyle name="Normal 2 5 36 3" xfId="3763"/>
    <cellStyle name="Normal 2 5 37" xfId="3764"/>
    <cellStyle name="Normal 2 5 37 2" xfId="3765"/>
    <cellStyle name="Normal 2 5 37 2 2" xfId="3766"/>
    <cellStyle name="Normal 2 5 37 3" xfId="3767"/>
    <cellStyle name="Normal 2 5 38" xfId="3768"/>
    <cellStyle name="Normal 2 5 38 2" xfId="3769"/>
    <cellStyle name="Normal 2 5 38 2 2" xfId="3770"/>
    <cellStyle name="Normal 2 5 38 3" xfId="3771"/>
    <cellStyle name="Normal 2 5 39" xfId="3772"/>
    <cellStyle name="Normal 2 5 39 2" xfId="3773"/>
    <cellStyle name="Normal 2 5 39 2 2" xfId="3774"/>
    <cellStyle name="Normal 2 5 39 3" xfId="3775"/>
    <cellStyle name="Normal 2 5 4" xfId="3776"/>
    <cellStyle name="Normal 2 5 4 2" xfId="3777"/>
    <cellStyle name="Normal 2 5 4 2 2" xfId="3778"/>
    <cellStyle name="Normal 2 5 4 3" xfId="3779"/>
    <cellStyle name="Normal 2 5 40" xfId="3780"/>
    <cellStyle name="Normal 2 5 40 2" xfId="3781"/>
    <cellStyle name="Normal 2 5 40 2 2" xfId="3782"/>
    <cellStyle name="Normal 2 5 40 3" xfId="3783"/>
    <cellStyle name="Normal 2 5 41" xfId="3784"/>
    <cellStyle name="Normal 2 5 41 2" xfId="3785"/>
    <cellStyle name="Normal 2 5 41 2 2" xfId="3786"/>
    <cellStyle name="Normal 2 5 41 3" xfId="3787"/>
    <cellStyle name="Normal 2 5 42" xfId="3788"/>
    <cellStyle name="Normal 2 5 42 2" xfId="3789"/>
    <cellStyle name="Normal 2 5 42 2 2" xfId="3790"/>
    <cellStyle name="Normal 2 5 42 3" xfId="3791"/>
    <cellStyle name="Normal 2 5 43" xfId="3792"/>
    <cellStyle name="Normal 2 5 43 2" xfId="3793"/>
    <cellStyle name="Normal 2 5 43 2 2" xfId="3794"/>
    <cellStyle name="Normal 2 5 43 3" xfId="3795"/>
    <cellStyle name="Normal 2 5 44" xfId="3796"/>
    <cellStyle name="Normal 2 5 44 2" xfId="3797"/>
    <cellStyle name="Normal 2 5 44 2 2" xfId="3798"/>
    <cellStyle name="Normal 2 5 44 3" xfId="3799"/>
    <cellStyle name="Normal 2 5 45" xfId="3800"/>
    <cellStyle name="Normal 2 5 45 2" xfId="3801"/>
    <cellStyle name="Normal 2 5 45 2 2" xfId="3802"/>
    <cellStyle name="Normal 2 5 45 3" xfId="3803"/>
    <cellStyle name="Normal 2 5 46" xfId="3804"/>
    <cellStyle name="Normal 2 5 46 2" xfId="3805"/>
    <cellStyle name="Normal 2 5 46 2 2" xfId="3806"/>
    <cellStyle name="Normal 2 5 46 3" xfId="3807"/>
    <cellStyle name="Normal 2 5 47" xfId="3808"/>
    <cellStyle name="Normal 2 5 47 2" xfId="3809"/>
    <cellStyle name="Normal 2 5 47 2 2" xfId="3810"/>
    <cellStyle name="Normal 2 5 47 3" xfId="3811"/>
    <cellStyle name="Normal 2 5 48" xfId="3812"/>
    <cellStyle name="Normal 2 5 48 2" xfId="3813"/>
    <cellStyle name="Normal 2 5 48 2 2" xfId="3814"/>
    <cellStyle name="Normal 2 5 48 3" xfId="3815"/>
    <cellStyle name="Normal 2 5 49" xfId="3816"/>
    <cellStyle name="Normal 2 5 49 2" xfId="3817"/>
    <cellStyle name="Normal 2 5 49 2 2" xfId="3818"/>
    <cellStyle name="Normal 2 5 49 3" xfId="3819"/>
    <cellStyle name="Normal 2 5 5" xfId="3820"/>
    <cellStyle name="Normal 2 5 5 2" xfId="3821"/>
    <cellStyle name="Normal 2 5 5 2 2" xfId="3822"/>
    <cellStyle name="Normal 2 5 5 3" xfId="3823"/>
    <cellStyle name="Normal 2 5 50" xfId="3824"/>
    <cellStyle name="Normal 2 5 50 2" xfId="3825"/>
    <cellStyle name="Normal 2 5 50 2 2" xfId="3826"/>
    <cellStyle name="Normal 2 5 50 3" xfId="3827"/>
    <cellStyle name="Normal 2 5 51" xfId="3828"/>
    <cellStyle name="Normal 2 5 51 2" xfId="3829"/>
    <cellStyle name="Normal 2 5 51 2 2" xfId="3830"/>
    <cellStyle name="Normal 2 5 51 3" xfId="3831"/>
    <cellStyle name="Normal 2 5 52" xfId="3832"/>
    <cellStyle name="Normal 2 5 52 2" xfId="3833"/>
    <cellStyle name="Normal 2 5 52 2 2" xfId="3834"/>
    <cellStyle name="Normal 2 5 52 3" xfId="3835"/>
    <cellStyle name="Normal 2 5 53" xfId="3836"/>
    <cellStyle name="Normal 2 5 53 2" xfId="3837"/>
    <cellStyle name="Normal 2 5 53 2 2" xfId="3838"/>
    <cellStyle name="Normal 2 5 53 3" xfId="3839"/>
    <cellStyle name="Normal 2 5 54" xfId="3840"/>
    <cellStyle name="Normal 2 5 54 2" xfId="3841"/>
    <cellStyle name="Normal 2 5 54 2 2" xfId="3842"/>
    <cellStyle name="Normal 2 5 54 3" xfId="3843"/>
    <cellStyle name="Normal 2 5 55" xfId="3844"/>
    <cellStyle name="Normal 2 5 55 2" xfId="3845"/>
    <cellStyle name="Normal 2 5 55 2 2" xfId="3846"/>
    <cellStyle name="Normal 2 5 55 3" xfId="3847"/>
    <cellStyle name="Normal 2 5 56" xfId="3848"/>
    <cellStyle name="Normal 2 5 56 2" xfId="3849"/>
    <cellStyle name="Normal 2 5 56 2 2" xfId="3850"/>
    <cellStyle name="Normal 2 5 56 3" xfId="3851"/>
    <cellStyle name="Normal 2 5 57" xfId="3852"/>
    <cellStyle name="Normal 2 5 57 2" xfId="3853"/>
    <cellStyle name="Normal 2 5 57 2 2" xfId="3854"/>
    <cellStyle name="Normal 2 5 57 3" xfId="3855"/>
    <cellStyle name="Normal 2 5 58" xfId="3856"/>
    <cellStyle name="Normal 2 5 58 2" xfId="3857"/>
    <cellStyle name="Normal 2 5 58 2 2" xfId="3858"/>
    <cellStyle name="Normal 2 5 58 3" xfId="3859"/>
    <cellStyle name="Normal 2 5 59" xfId="3860"/>
    <cellStyle name="Normal 2 5 59 2" xfId="3861"/>
    <cellStyle name="Normal 2 5 59 2 2" xfId="3862"/>
    <cellStyle name="Normal 2 5 59 3" xfId="3863"/>
    <cellStyle name="Normal 2 5 6" xfId="3864"/>
    <cellStyle name="Normal 2 5 6 2" xfId="3865"/>
    <cellStyle name="Normal 2 5 6 2 2" xfId="3866"/>
    <cellStyle name="Normal 2 5 6 3" xfId="3867"/>
    <cellStyle name="Normal 2 5 60" xfId="3868"/>
    <cellStyle name="Normal 2 5 60 2" xfId="3869"/>
    <cellStyle name="Normal 2 5 60 2 2" xfId="3870"/>
    <cellStyle name="Normal 2 5 60 3" xfId="3871"/>
    <cellStyle name="Normal 2 5 61" xfId="3872"/>
    <cellStyle name="Normal 2 5 61 2" xfId="3873"/>
    <cellStyle name="Normal 2 5 61 2 2" xfId="3874"/>
    <cellStyle name="Normal 2 5 61 3" xfId="3875"/>
    <cellStyle name="Normal 2 5 62" xfId="3876"/>
    <cellStyle name="Normal 2 5 62 2" xfId="3877"/>
    <cellStyle name="Normal 2 5 62 2 2" xfId="3878"/>
    <cellStyle name="Normal 2 5 62 3" xfId="3879"/>
    <cellStyle name="Normal 2 5 63" xfId="3880"/>
    <cellStyle name="Normal 2 5 63 2" xfId="3881"/>
    <cellStyle name="Normal 2 5 63 2 2" xfId="3882"/>
    <cellStyle name="Normal 2 5 63 3" xfId="3883"/>
    <cellStyle name="Normal 2 5 64" xfId="3884"/>
    <cellStyle name="Normal 2 5 64 2" xfId="3885"/>
    <cellStyle name="Normal 2 5 64 2 2" xfId="3886"/>
    <cellStyle name="Normal 2 5 64 3" xfId="3887"/>
    <cellStyle name="Normal 2 5 65" xfId="3888"/>
    <cellStyle name="Normal 2 5 65 2" xfId="3889"/>
    <cellStyle name="Normal 2 5 65 2 2" xfId="3890"/>
    <cellStyle name="Normal 2 5 65 3" xfId="3891"/>
    <cellStyle name="Normal 2 5 66" xfId="3892"/>
    <cellStyle name="Normal 2 5 66 2" xfId="3893"/>
    <cellStyle name="Normal 2 5 66 2 2" xfId="3894"/>
    <cellStyle name="Normal 2 5 66 3" xfId="3895"/>
    <cellStyle name="Normal 2 5 67" xfId="3896"/>
    <cellStyle name="Normal 2 5 67 2" xfId="3897"/>
    <cellStyle name="Normal 2 5 67 2 2" xfId="3898"/>
    <cellStyle name="Normal 2 5 67 3" xfId="3899"/>
    <cellStyle name="Normal 2 5 68" xfId="3900"/>
    <cellStyle name="Normal 2 5 68 2" xfId="3901"/>
    <cellStyle name="Normal 2 5 68 2 2" xfId="3902"/>
    <cellStyle name="Normal 2 5 68 3" xfId="3903"/>
    <cellStyle name="Normal 2 5 69" xfId="3904"/>
    <cellStyle name="Normal 2 5 69 2" xfId="3905"/>
    <cellStyle name="Normal 2 5 69 2 2" xfId="3906"/>
    <cellStyle name="Normal 2 5 69 3" xfId="3907"/>
    <cellStyle name="Normal 2 5 7" xfId="3908"/>
    <cellStyle name="Normal 2 5 7 2" xfId="3909"/>
    <cellStyle name="Normal 2 5 7 2 2" xfId="3910"/>
    <cellStyle name="Normal 2 5 7 3" xfId="3911"/>
    <cellStyle name="Normal 2 5 70" xfId="3912"/>
    <cellStyle name="Normal 2 5 70 2" xfId="3913"/>
    <cellStyle name="Normal 2 5 70 2 2" xfId="3914"/>
    <cellStyle name="Normal 2 5 70 3" xfId="3915"/>
    <cellStyle name="Normal 2 5 71" xfId="3916"/>
    <cellStyle name="Normal 2 5 71 2" xfId="3917"/>
    <cellStyle name="Normal 2 5 71 2 2" xfId="3918"/>
    <cellStyle name="Normal 2 5 71 3" xfId="3919"/>
    <cellStyle name="Normal 2 5 72" xfId="3920"/>
    <cellStyle name="Normal 2 5 72 2" xfId="3921"/>
    <cellStyle name="Normal 2 5 72 2 2" xfId="3922"/>
    <cellStyle name="Normal 2 5 72 3" xfId="3923"/>
    <cellStyle name="Normal 2 5 73" xfId="3924"/>
    <cellStyle name="Normal 2 5 73 2" xfId="3925"/>
    <cellStyle name="Normal 2 5 73 2 2" xfId="3926"/>
    <cellStyle name="Normal 2 5 73 3" xfId="3927"/>
    <cellStyle name="Normal 2 5 74" xfId="3928"/>
    <cellStyle name="Normal 2 5 74 2" xfId="3929"/>
    <cellStyle name="Normal 2 5 74 2 2" xfId="3930"/>
    <cellStyle name="Normal 2 5 74 3" xfId="3931"/>
    <cellStyle name="Normal 2 5 75" xfId="3932"/>
    <cellStyle name="Normal 2 5 75 2" xfId="3933"/>
    <cellStyle name="Normal 2 5 75 2 2" xfId="3934"/>
    <cellStyle name="Normal 2 5 75 3" xfId="3935"/>
    <cellStyle name="Normal 2 5 76" xfId="3936"/>
    <cellStyle name="Normal 2 5 76 2" xfId="3937"/>
    <cellStyle name="Normal 2 5 76 2 2" xfId="3938"/>
    <cellStyle name="Normal 2 5 76 3" xfId="3939"/>
    <cellStyle name="Normal 2 5 77" xfId="3940"/>
    <cellStyle name="Normal 2 5 77 2" xfId="3941"/>
    <cellStyle name="Normal 2 5 77 2 2" xfId="3942"/>
    <cellStyle name="Normal 2 5 77 3" xfId="3943"/>
    <cellStyle name="Normal 2 5 78" xfId="3944"/>
    <cellStyle name="Normal 2 5 78 2" xfId="3945"/>
    <cellStyle name="Normal 2 5 78 2 2" xfId="3946"/>
    <cellStyle name="Normal 2 5 78 3" xfId="3947"/>
    <cellStyle name="Normal 2 5 79" xfId="3948"/>
    <cellStyle name="Normal 2 5 79 2" xfId="3949"/>
    <cellStyle name="Normal 2 5 79 2 2" xfId="3950"/>
    <cellStyle name="Normal 2 5 79 3" xfId="3951"/>
    <cellStyle name="Normal 2 5 8" xfId="3952"/>
    <cellStyle name="Normal 2 5 8 2" xfId="3953"/>
    <cellStyle name="Normal 2 5 8 2 2" xfId="3954"/>
    <cellStyle name="Normal 2 5 8 3" xfId="3955"/>
    <cellStyle name="Normal 2 5 80" xfId="3956"/>
    <cellStyle name="Normal 2 5 80 2" xfId="3957"/>
    <cellStyle name="Normal 2 5 80 2 2" xfId="3958"/>
    <cellStyle name="Normal 2 5 80 3" xfId="3959"/>
    <cellStyle name="Normal 2 5 81" xfId="3960"/>
    <cellStyle name="Normal 2 5 81 2" xfId="3961"/>
    <cellStyle name="Normal 2 5 81 2 2" xfId="3962"/>
    <cellStyle name="Normal 2 5 81 3" xfId="3963"/>
    <cellStyle name="Normal 2 5 82" xfId="3964"/>
    <cellStyle name="Normal 2 5 82 2" xfId="3965"/>
    <cellStyle name="Normal 2 5 82 2 2" xfId="3966"/>
    <cellStyle name="Normal 2 5 82 3" xfId="3967"/>
    <cellStyle name="Normal 2 5 83" xfId="3968"/>
    <cellStyle name="Normal 2 5 83 2" xfId="3969"/>
    <cellStyle name="Normal 2 5 83 2 2" xfId="3970"/>
    <cellStyle name="Normal 2 5 83 3" xfId="3971"/>
    <cellStyle name="Normal 2 5 84" xfId="3972"/>
    <cellStyle name="Normal 2 5 84 2" xfId="3973"/>
    <cellStyle name="Normal 2 5 84 2 2" xfId="3974"/>
    <cellStyle name="Normal 2 5 84 3" xfId="3975"/>
    <cellStyle name="Normal 2 5 85" xfId="3976"/>
    <cellStyle name="Normal 2 5 85 2" xfId="3977"/>
    <cellStyle name="Normal 2 5 85 2 2" xfId="3978"/>
    <cellStyle name="Normal 2 5 85 3" xfId="3979"/>
    <cellStyle name="Normal 2 5 86" xfId="3980"/>
    <cellStyle name="Normal 2 5 86 2" xfId="3981"/>
    <cellStyle name="Normal 2 5 86 2 2" xfId="3982"/>
    <cellStyle name="Normal 2 5 86 3" xfId="3983"/>
    <cellStyle name="Normal 2 5 87" xfId="3984"/>
    <cellStyle name="Normal 2 5 87 2" xfId="3985"/>
    <cellStyle name="Normal 2 5 87 2 2" xfId="3986"/>
    <cellStyle name="Normal 2 5 87 3" xfId="3987"/>
    <cellStyle name="Normal 2 5 88" xfId="3988"/>
    <cellStyle name="Normal 2 5 89" xfId="3989"/>
    <cellStyle name="Normal 2 5 89 2" xfId="3990"/>
    <cellStyle name="Normal 2 5 9" xfId="3991"/>
    <cellStyle name="Normal 2 5 9 2" xfId="3992"/>
    <cellStyle name="Normal 2 5 9 2 2" xfId="3993"/>
    <cellStyle name="Normal 2 5 9 3" xfId="3994"/>
    <cellStyle name="Normal 2 5 90" xfId="3995"/>
    <cellStyle name="Normal 2 5_DEER 032008 Cost Summary Delivery - Rev 4 (2)" xfId="3996"/>
    <cellStyle name="Normal 2 50" xfId="3997"/>
    <cellStyle name="Normal 2 50 2" xfId="3998"/>
    <cellStyle name="Normal 2 50 2 2" xfId="3999"/>
    <cellStyle name="Normal 2 50 3" xfId="4000"/>
    <cellStyle name="Normal 2 51" xfId="4001"/>
    <cellStyle name="Normal 2 51 2" xfId="4002"/>
    <cellStyle name="Normal 2 51 2 2" xfId="4003"/>
    <cellStyle name="Normal 2 51 3" xfId="4004"/>
    <cellStyle name="Normal 2 52" xfId="4005"/>
    <cellStyle name="Normal 2 52 2" xfId="4006"/>
    <cellStyle name="Normal 2 52 2 2" xfId="4007"/>
    <cellStyle name="Normal 2 52 3" xfId="4008"/>
    <cellStyle name="Normal 2 53" xfId="4009"/>
    <cellStyle name="Normal 2 53 2" xfId="4010"/>
    <cellStyle name="Normal 2 53 2 2" xfId="4011"/>
    <cellStyle name="Normal 2 53 3" xfId="4012"/>
    <cellStyle name="Normal 2 54" xfId="4013"/>
    <cellStyle name="Normal 2 54 2" xfId="4014"/>
    <cellStyle name="Normal 2 54 2 2" xfId="4015"/>
    <cellStyle name="Normal 2 54 3" xfId="4016"/>
    <cellStyle name="Normal 2 55" xfId="4017"/>
    <cellStyle name="Normal 2 55 2" xfId="4018"/>
    <cellStyle name="Normal 2 55 2 2" xfId="4019"/>
    <cellStyle name="Normal 2 55 3" xfId="4020"/>
    <cellStyle name="Normal 2 56" xfId="4021"/>
    <cellStyle name="Normal 2 56 2" xfId="4022"/>
    <cellStyle name="Normal 2 56 2 2" xfId="4023"/>
    <cellStyle name="Normal 2 56 3" xfId="4024"/>
    <cellStyle name="Normal 2 57" xfId="4025"/>
    <cellStyle name="Normal 2 57 2" xfId="4026"/>
    <cellStyle name="Normal 2 57 2 2" xfId="4027"/>
    <cellStyle name="Normal 2 57 3" xfId="4028"/>
    <cellStyle name="Normal 2 58" xfId="4029"/>
    <cellStyle name="Normal 2 58 2" xfId="4030"/>
    <cellStyle name="Normal 2 58 2 2" xfId="4031"/>
    <cellStyle name="Normal 2 58 3" xfId="4032"/>
    <cellStyle name="Normal 2 59" xfId="4033"/>
    <cellStyle name="Normal 2 59 2" xfId="4034"/>
    <cellStyle name="Normal 2 59 2 2" xfId="4035"/>
    <cellStyle name="Normal 2 59 3" xfId="4036"/>
    <cellStyle name="Normal 2 6" xfId="165"/>
    <cellStyle name="Normal 2 6 2" xfId="10"/>
    <cellStyle name="Normal 2 6 2 2" xfId="166"/>
    <cellStyle name="Normal 2 6 2 3" xfId="167"/>
    <cellStyle name="Normal 2 6 3" xfId="168"/>
    <cellStyle name="Normal 2 6 3 2" xfId="169"/>
    <cellStyle name="Normal 2 6 4" xfId="170"/>
    <cellStyle name="Normal 2 6 4 2" xfId="171"/>
    <cellStyle name="Normal 2 6 5" xfId="172"/>
    <cellStyle name="Normal 2 6 6" xfId="173"/>
    <cellStyle name="Normal 2 60" xfId="4037"/>
    <cellStyle name="Normal 2 60 2" xfId="4038"/>
    <cellStyle name="Normal 2 60 2 2" xfId="4039"/>
    <cellStyle name="Normal 2 60 3" xfId="4040"/>
    <cellStyle name="Normal 2 61" xfId="4041"/>
    <cellStyle name="Normal 2 61 2" xfId="4042"/>
    <cellStyle name="Normal 2 61 2 2" xfId="4043"/>
    <cellStyle name="Normal 2 61 3" xfId="4044"/>
    <cellStyle name="Normal 2 62" xfId="4045"/>
    <cellStyle name="Normal 2 62 2" xfId="4046"/>
    <cellStyle name="Normal 2 62 2 2" xfId="4047"/>
    <cellStyle name="Normal 2 62 3" xfId="4048"/>
    <cellStyle name="Normal 2 63" xfId="4049"/>
    <cellStyle name="Normal 2 63 2" xfId="4050"/>
    <cellStyle name="Normal 2 63 2 2" xfId="4051"/>
    <cellStyle name="Normal 2 63 3" xfId="4052"/>
    <cellStyle name="Normal 2 64" xfId="4053"/>
    <cellStyle name="Normal 2 64 2" xfId="4054"/>
    <cellStyle name="Normal 2 64 2 2" xfId="4055"/>
    <cellStyle name="Normal 2 64 3" xfId="4056"/>
    <cellStyle name="Normal 2 65" xfId="4057"/>
    <cellStyle name="Normal 2 65 2" xfId="4058"/>
    <cellStyle name="Normal 2 65 2 2" xfId="4059"/>
    <cellStyle name="Normal 2 65 3" xfId="4060"/>
    <cellStyle name="Normal 2 66" xfId="4061"/>
    <cellStyle name="Normal 2 66 2" xfId="4062"/>
    <cellStyle name="Normal 2 66 2 2" xfId="4063"/>
    <cellStyle name="Normal 2 66 3" xfId="4064"/>
    <cellStyle name="Normal 2 67" xfId="4065"/>
    <cellStyle name="Normal 2 67 2" xfId="4066"/>
    <cellStyle name="Normal 2 67 2 2" xfId="4067"/>
    <cellStyle name="Normal 2 67 3" xfId="4068"/>
    <cellStyle name="Normal 2 68" xfId="4069"/>
    <cellStyle name="Normal 2 68 2" xfId="4070"/>
    <cellStyle name="Normal 2 68 2 2" xfId="4071"/>
    <cellStyle name="Normal 2 68 3" xfId="4072"/>
    <cellStyle name="Normal 2 69" xfId="4073"/>
    <cellStyle name="Normal 2 69 2" xfId="4074"/>
    <cellStyle name="Normal 2 69 2 2" xfId="4075"/>
    <cellStyle name="Normal 2 69 3" xfId="4076"/>
    <cellStyle name="Normal 2 7" xfId="174"/>
    <cellStyle name="Normal 2 7 2" xfId="175"/>
    <cellStyle name="Normal 2 7 2 2" xfId="176"/>
    <cellStyle name="Normal 2 7 3" xfId="177"/>
    <cellStyle name="Normal 2 7 4" xfId="4077"/>
    <cellStyle name="Normal 2 7 5" xfId="4078"/>
    <cellStyle name="Normal 2 70" xfId="4079"/>
    <cellStyle name="Normal 2 70 2" xfId="4080"/>
    <cellStyle name="Normal 2 70 2 2" xfId="4081"/>
    <cellStyle name="Normal 2 70 3" xfId="4082"/>
    <cellStyle name="Normal 2 71" xfId="4083"/>
    <cellStyle name="Normal 2 71 2" xfId="4084"/>
    <cellStyle name="Normal 2 71 2 2" xfId="4085"/>
    <cellStyle name="Normal 2 71 3" xfId="4086"/>
    <cellStyle name="Normal 2 72" xfId="4087"/>
    <cellStyle name="Normal 2 72 2" xfId="4088"/>
    <cellStyle name="Normal 2 72 2 2" xfId="4089"/>
    <cellStyle name="Normal 2 72 3" xfId="4090"/>
    <cellStyle name="Normal 2 73" xfId="4091"/>
    <cellStyle name="Normal 2 73 2" xfId="4092"/>
    <cellStyle name="Normal 2 73 2 2" xfId="4093"/>
    <cellStyle name="Normal 2 73 3" xfId="4094"/>
    <cellStyle name="Normal 2 74" xfId="4095"/>
    <cellStyle name="Normal 2 74 2" xfId="4096"/>
    <cellStyle name="Normal 2 74 2 2" xfId="4097"/>
    <cellStyle name="Normal 2 74 3" xfId="4098"/>
    <cellStyle name="Normal 2 75" xfId="4099"/>
    <cellStyle name="Normal 2 75 2" xfId="4100"/>
    <cellStyle name="Normal 2 75 2 2" xfId="4101"/>
    <cellStyle name="Normal 2 75 3" xfId="4102"/>
    <cellStyle name="Normal 2 76" xfId="4103"/>
    <cellStyle name="Normal 2 76 2" xfId="4104"/>
    <cellStyle name="Normal 2 76 2 2" xfId="4105"/>
    <cellStyle name="Normal 2 76 3" xfId="4106"/>
    <cellStyle name="Normal 2 77" xfId="4107"/>
    <cellStyle name="Normal 2 77 2" xfId="4108"/>
    <cellStyle name="Normal 2 77 2 2" xfId="4109"/>
    <cellStyle name="Normal 2 77 3" xfId="4110"/>
    <cellStyle name="Normal 2 78" xfId="4111"/>
    <cellStyle name="Normal 2 78 2" xfId="4112"/>
    <cellStyle name="Normal 2 78 2 2" xfId="4113"/>
    <cellStyle name="Normal 2 78 3" xfId="4114"/>
    <cellStyle name="Normal 2 79" xfId="4115"/>
    <cellStyle name="Normal 2 79 2" xfId="4116"/>
    <cellStyle name="Normal 2 79 2 2" xfId="4117"/>
    <cellStyle name="Normal 2 79 3" xfId="4118"/>
    <cellStyle name="Normal 2 8" xfId="178"/>
    <cellStyle name="Normal 2 8 10" xfId="4119"/>
    <cellStyle name="Normal 2 8 10 2" xfId="4120"/>
    <cellStyle name="Normal 2 8 10 2 2" xfId="4121"/>
    <cellStyle name="Normal 2 8 10 3" xfId="4122"/>
    <cellStyle name="Normal 2 8 11" xfId="4123"/>
    <cellStyle name="Normal 2 8 11 2" xfId="4124"/>
    <cellStyle name="Normal 2 8 11 2 2" xfId="4125"/>
    <cellStyle name="Normal 2 8 11 3" xfId="4126"/>
    <cellStyle name="Normal 2 8 12" xfId="4127"/>
    <cellStyle name="Normal 2 8 12 2" xfId="4128"/>
    <cellStyle name="Normal 2 8 12 2 2" xfId="4129"/>
    <cellStyle name="Normal 2 8 12 3" xfId="4130"/>
    <cellStyle name="Normal 2 8 13" xfId="4131"/>
    <cellStyle name="Normal 2 8 13 2" xfId="4132"/>
    <cellStyle name="Normal 2 8 13 2 2" xfId="4133"/>
    <cellStyle name="Normal 2 8 13 3" xfId="4134"/>
    <cellStyle name="Normal 2 8 14" xfId="4135"/>
    <cellStyle name="Normal 2 8 14 2" xfId="4136"/>
    <cellStyle name="Normal 2 8 14 2 2" xfId="4137"/>
    <cellStyle name="Normal 2 8 14 3" xfId="4138"/>
    <cellStyle name="Normal 2 8 15" xfId="4139"/>
    <cellStyle name="Normal 2 8 15 2" xfId="4140"/>
    <cellStyle name="Normal 2 8 15 2 2" xfId="4141"/>
    <cellStyle name="Normal 2 8 15 3" xfId="4142"/>
    <cellStyle name="Normal 2 8 16" xfId="4143"/>
    <cellStyle name="Normal 2 8 16 2" xfId="4144"/>
    <cellStyle name="Normal 2 8 16 2 2" xfId="4145"/>
    <cellStyle name="Normal 2 8 16 3" xfId="4146"/>
    <cellStyle name="Normal 2 8 17" xfId="4147"/>
    <cellStyle name="Normal 2 8 17 2" xfId="4148"/>
    <cellStyle name="Normal 2 8 17 2 2" xfId="4149"/>
    <cellStyle name="Normal 2 8 17 3" xfId="4150"/>
    <cellStyle name="Normal 2 8 18" xfId="4151"/>
    <cellStyle name="Normal 2 8 18 2" xfId="4152"/>
    <cellStyle name="Normal 2 8 18 2 2" xfId="4153"/>
    <cellStyle name="Normal 2 8 18 3" xfId="4154"/>
    <cellStyle name="Normal 2 8 19" xfId="4155"/>
    <cellStyle name="Normal 2 8 19 2" xfId="4156"/>
    <cellStyle name="Normal 2 8 19 2 2" xfId="4157"/>
    <cellStyle name="Normal 2 8 19 3" xfId="4158"/>
    <cellStyle name="Normal 2 8 2" xfId="4159"/>
    <cellStyle name="Normal 2 8 2 2" xfId="4160"/>
    <cellStyle name="Normal 2 8 2 2 2" xfId="4161"/>
    <cellStyle name="Normal 2 8 2 3" xfId="4162"/>
    <cellStyle name="Normal 2 8 20" xfId="4163"/>
    <cellStyle name="Normal 2 8 20 2" xfId="4164"/>
    <cellStyle name="Normal 2 8 20 2 2" xfId="4165"/>
    <cellStyle name="Normal 2 8 20 3" xfId="4166"/>
    <cellStyle name="Normal 2 8 21" xfId="4167"/>
    <cellStyle name="Normal 2 8 21 2" xfId="4168"/>
    <cellStyle name="Normal 2 8 21 2 2" xfId="4169"/>
    <cellStyle name="Normal 2 8 21 3" xfId="4170"/>
    <cellStyle name="Normal 2 8 22" xfId="4171"/>
    <cellStyle name="Normal 2 8 22 2" xfId="4172"/>
    <cellStyle name="Normal 2 8 22 2 2" xfId="4173"/>
    <cellStyle name="Normal 2 8 22 3" xfId="4174"/>
    <cellStyle name="Normal 2 8 23" xfId="4175"/>
    <cellStyle name="Normal 2 8 23 2" xfId="4176"/>
    <cellStyle name="Normal 2 8 23 2 2" xfId="4177"/>
    <cellStyle name="Normal 2 8 23 3" xfId="4178"/>
    <cellStyle name="Normal 2 8 24" xfId="4179"/>
    <cellStyle name="Normal 2 8 24 2" xfId="4180"/>
    <cellStyle name="Normal 2 8 25" xfId="4181"/>
    <cellStyle name="Normal 2 8 3" xfId="4182"/>
    <cellStyle name="Normal 2 8 3 2" xfId="4183"/>
    <cellStyle name="Normal 2 8 3 2 2" xfId="4184"/>
    <cellStyle name="Normal 2 8 3 3" xfId="4185"/>
    <cellStyle name="Normal 2 8 4" xfId="4186"/>
    <cellStyle name="Normal 2 8 4 2" xfId="4187"/>
    <cellStyle name="Normal 2 8 4 2 2" xfId="4188"/>
    <cellStyle name="Normal 2 8 4 3" xfId="4189"/>
    <cellStyle name="Normal 2 8 5" xfId="4190"/>
    <cellStyle name="Normal 2 8 5 2" xfId="4191"/>
    <cellStyle name="Normal 2 8 5 2 2" xfId="4192"/>
    <cellStyle name="Normal 2 8 5 3" xfId="4193"/>
    <cellStyle name="Normal 2 8 6" xfId="4194"/>
    <cellStyle name="Normal 2 8 6 2" xfId="4195"/>
    <cellStyle name="Normal 2 8 6 2 2" xfId="4196"/>
    <cellStyle name="Normal 2 8 6 3" xfId="4197"/>
    <cellStyle name="Normal 2 8 7" xfId="4198"/>
    <cellStyle name="Normal 2 8 7 2" xfId="4199"/>
    <cellStyle name="Normal 2 8 7 2 2" xfId="4200"/>
    <cellStyle name="Normal 2 8 7 3" xfId="4201"/>
    <cellStyle name="Normal 2 8 8" xfId="4202"/>
    <cellStyle name="Normal 2 8 8 2" xfId="4203"/>
    <cellStyle name="Normal 2 8 8 2 2" xfId="4204"/>
    <cellStyle name="Normal 2 8 8 3" xfId="4205"/>
    <cellStyle name="Normal 2 8 9" xfId="4206"/>
    <cellStyle name="Normal 2 8 9 2" xfId="4207"/>
    <cellStyle name="Normal 2 8 9 2 2" xfId="4208"/>
    <cellStyle name="Normal 2 8 9 3" xfId="4209"/>
    <cellStyle name="Normal 2 80" xfId="4210"/>
    <cellStyle name="Normal 2 80 2" xfId="4211"/>
    <cellStyle name="Normal 2 80 2 2" xfId="4212"/>
    <cellStyle name="Normal 2 80 3" xfId="4213"/>
    <cellStyle name="Normal 2 81" xfId="4214"/>
    <cellStyle name="Normal 2 81 2" xfId="4215"/>
    <cellStyle name="Normal 2 81 2 2" xfId="4216"/>
    <cellStyle name="Normal 2 81 3" xfId="4217"/>
    <cellStyle name="Normal 2 82" xfId="4218"/>
    <cellStyle name="Normal 2 82 2" xfId="4219"/>
    <cellStyle name="Normal 2 82 2 2" xfId="4220"/>
    <cellStyle name="Normal 2 82 3" xfId="4221"/>
    <cellStyle name="Normal 2 83" xfId="4222"/>
    <cellStyle name="Normal 2 83 2" xfId="4223"/>
    <cellStyle name="Normal 2 83 2 2" xfId="4224"/>
    <cellStyle name="Normal 2 83 3" xfId="4225"/>
    <cellStyle name="Normal 2 84" xfId="4226"/>
    <cellStyle name="Normal 2 84 2" xfId="4227"/>
    <cellStyle name="Normal 2 84 2 2" xfId="4228"/>
    <cellStyle name="Normal 2 84 3" xfId="4229"/>
    <cellStyle name="Normal 2 85" xfId="4230"/>
    <cellStyle name="Normal 2 85 2" xfId="4231"/>
    <cellStyle name="Normal 2 85 2 2" xfId="4232"/>
    <cellStyle name="Normal 2 85 3" xfId="4233"/>
    <cellStyle name="Normal 2 86" xfId="4234"/>
    <cellStyle name="Normal 2 86 2" xfId="4235"/>
    <cellStyle name="Normal 2 86 2 2" xfId="4236"/>
    <cellStyle name="Normal 2 86 3" xfId="4237"/>
    <cellStyle name="Normal 2 87" xfId="4238"/>
    <cellStyle name="Normal 2 87 2" xfId="4239"/>
    <cellStyle name="Normal 2 87 2 2" xfId="4240"/>
    <cellStyle name="Normal 2 87 3" xfId="4241"/>
    <cellStyle name="Normal 2 88" xfId="4242"/>
    <cellStyle name="Normal 2 88 2" xfId="4243"/>
    <cellStyle name="Normal 2 88 2 2" xfId="4244"/>
    <cellStyle name="Normal 2 88 3" xfId="4245"/>
    <cellStyle name="Normal 2 89" xfId="4246"/>
    <cellStyle name="Normal 2 89 2" xfId="4247"/>
    <cellStyle name="Normal 2 89 2 2" xfId="4248"/>
    <cellStyle name="Normal 2 89 3" xfId="4249"/>
    <cellStyle name="Normal 2 9" xfId="179"/>
    <cellStyle name="Normal 2 9 10" xfId="4250"/>
    <cellStyle name="Normal 2 9 10 2" xfId="4251"/>
    <cellStyle name="Normal 2 9 10 2 2" xfId="4252"/>
    <cellStyle name="Normal 2 9 10 3" xfId="4253"/>
    <cellStyle name="Normal 2 9 11" xfId="4254"/>
    <cellStyle name="Normal 2 9 11 2" xfId="4255"/>
    <cellStyle name="Normal 2 9 11 2 2" xfId="4256"/>
    <cellStyle name="Normal 2 9 11 3" xfId="4257"/>
    <cellStyle name="Normal 2 9 12" xfId="4258"/>
    <cellStyle name="Normal 2 9 12 2" xfId="4259"/>
    <cellStyle name="Normal 2 9 12 2 2" xfId="4260"/>
    <cellStyle name="Normal 2 9 12 3" xfId="4261"/>
    <cellStyle name="Normal 2 9 13" xfId="4262"/>
    <cellStyle name="Normal 2 9 13 2" xfId="4263"/>
    <cellStyle name="Normal 2 9 13 2 2" xfId="4264"/>
    <cellStyle name="Normal 2 9 13 3" xfId="4265"/>
    <cellStyle name="Normal 2 9 14" xfId="4266"/>
    <cellStyle name="Normal 2 9 14 2" xfId="4267"/>
    <cellStyle name="Normal 2 9 14 2 2" xfId="4268"/>
    <cellStyle name="Normal 2 9 14 3" xfId="4269"/>
    <cellStyle name="Normal 2 9 15" xfId="4270"/>
    <cellStyle name="Normal 2 9 15 2" xfId="4271"/>
    <cellStyle name="Normal 2 9 15 2 2" xfId="4272"/>
    <cellStyle name="Normal 2 9 15 3" xfId="4273"/>
    <cellStyle name="Normal 2 9 16" xfId="4274"/>
    <cellStyle name="Normal 2 9 16 2" xfId="4275"/>
    <cellStyle name="Normal 2 9 16 2 2" xfId="4276"/>
    <cellStyle name="Normal 2 9 16 3" xfId="4277"/>
    <cellStyle name="Normal 2 9 17" xfId="4278"/>
    <cellStyle name="Normal 2 9 17 2" xfId="4279"/>
    <cellStyle name="Normal 2 9 17 2 2" xfId="4280"/>
    <cellStyle name="Normal 2 9 17 3" xfId="4281"/>
    <cellStyle name="Normal 2 9 18" xfId="4282"/>
    <cellStyle name="Normal 2 9 18 2" xfId="4283"/>
    <cellStyle name="Normal 2 9 18 2 2" xfId="4284"/>
    <cellStyle name="Normal 2 9 18 3" xfId="4285"/>
    <cellStyle name="Normal 2 9 19" xfId="4286"/>
    <cellStyle name="Normal 2 9 19 2" xfId="4287"/>
    <cellStyle name="Normal 2 9 19 2 2" xfId="4288"/>
    <cellStyle name="Normal 2 9 19 3" xfId="4289"/>
    <cellStyle name="Normal 2 9 2" xfId="4290"/>
    <cellStyle name="Normal 2 9 2 2" xfId="4291"/>
    <cellStyle name="Normal 2 9 2 2 2" xfId="4292"/>
    <cellStyle name="Normal 2 9 2 3" xfId="4293"/>
    <cellStyle name="Normal 2 9 20" xfId="4294"/>
    <cellStyle name="Normal 2 9 20 2" xfId="4295"/>
    <cellStyle name="Normal 2 9 20 2 2" xfId="4296"/>
    <cellStyle name="Normal 2 9 20 3" xfId="4297"/>
    <cellStyle name="Normal 2 9 21" xfId="4298"/>
    <cellStyle name="Normal 2 9 21 2" xfId="4299"/>
    <cellStyle name="Normal 2 9 21 2 2" xfId="4300"/>
    <cellStyle name="Normal 2 9 21 3" xfId="4301"/>
    <cellStyle name="Normal 2 9 22" xfId="4302"/>
    <cellStyle name="Normal 2 9 22 2" xfId="4303"/>
    <cellStyle name="Normal 2 9 22 2 2" xfId="4304"/>
    <cellStyle name="Normal 2 9 22 3" xfId="4305"/>
    <cellStyle name="Normal 2 9 23" xfId="4306"/>
    <cellStyle name="Normal 2 9 23 2" xfId="4307"/>
    <cellStyle name="Normal 2 9 23 2 2" xfId="4308"/>
    <cellStyle name="Normal 2 9 23 3" xfId="4309"/>
    <cellStyle name="Normal 2 9 24" xfId="4310"/>
    <cellStyle name="Normal 2 9 24 2" xfId="4311"/>
    <cellStyle name="Normal 2 9 25" xfId="4312"/>
    <cellStyle name="Normal 2 9 3" xfId="4313"/>
    <cellStyle name="Normal 2 9 3 2" xfId="4314"/>
    <cellStyle name="Normal 2 9 3 2 2" xfId="4315"/>
    <cellStyle name="Normal 2 9 3 3" xfId="4316"/>
    <cellStyle name="Normal 2 9 4" xfId="4317"/>
    <cellStyle name="Normal 2 9 4 2" xfId="4318"/>
    <cellStyle name="Normal 2 9 4 2 2" xfId="4319"/>
    <cellStyle name="Normal 2 9 4 3" xfId="4320"/>
    <cellStyle name="Normal 2 9 5" xfId="4321"/>
    <cellStyle name="Normal 2 9 5 2" xfId="4322"/>
    <cellStyle name="Normal 2 9 5 2 2" xfId="4323"/>
    <cellStyle name="Normal 2 9 5 3" xfId="4324"/>
    <cellStyle name="Normal 2 9 6" xfId="4325"/>
    <cellStyle name="Normal 2 9 6 2" xfId="4326"/>
    <cellStyle name="Normal 2 9 6 2 2" xfId="4327"/>
    <cellStyle name="Normal 2 9 6 3" xfId="4328"/>
    <cellStyle name="Normal 2 9 7" xfId="4329"/>
    <cellStyle name="Normal 2 9 7 2" xfId="4330"/>
    <cellStyle name="Normal 2 9 7 2 2" xfId="4331"/>
    <cellStyle name="Normal 2 9 7 3" xfId="4332"/>
    <cellStyle name="Normal 2 9 8" xfId="4333"/>
    <cellStyle name="Normal 2 9 8 2" xfId="4334"/>
    <cellStyle name="Normal 2 9 8 2 2" xfId="4335"/>
    <cellStyle name="Normal 2 9 8 3" xfId="4336"/>
    <cellStyle name="Normal 2 9 9" xfId="4337"/>
    <cellStyle name="Normal 2 9 9 2" xfId="4338"/>
    <cellStyle name="Normal 2 9 9 2 2" xfId="4339"/>
    <cellStyle name="Normal 2 9 9 3" xfId="4340"/>
    <cellStyle name="Normal 2 90" xfId="4341"/>
    <cellStyle name="Normal 2 90 2" xfId="4342"/>
    <cellStyle name="Normal 2 90 2 2" xfId="4343"/>
    <cellStyle name="Normal 2 90 3" xfId="4344"/>
    <cellStyle name="Normal 2 91" xfId="4345"/>
    <cellStyle name="Normal 2 91 2" xfId="4346"/>
    <cellStyle name="Normal 2 91 2 2" xfId="4347"/>
    <cellStyle name="Normal 2 91 3" xfId="4348"/>
    <cellStyle name="Normal 2 92" xfId="4349"/>
    <cellStyle name="Normal 2 92 2" xfId="4350"/>
    <cellStyle name="Normal 2 92 2 2" xfId="4351"/>
    <cellStyle name="Normal 2 92 3" xfId="4352"/>
    <cellStyle name="Normal 2 93" xfId="4353"/>
    <cellStyle name="Normal 2 93 2" xfId="4354"/>
    <cellStyle name="Normal 2 93 2 2" xfId="4355"/>
    <cellStyle name="Normal 2 93 3" xfId="4356"/>
    <cellStyle name="Normal 2 94" xfId="4357"/>
    <cellStyle name="Normal 2 94 2" xfId="4358"/>
    <cellStyle name="Normal 2 94 3" xfId="4359"/>
    <cellStyle name="Normal 2 95" xfId="4360"/>
    <cellStyle name="Normal 2 95 2" xfId="4361"/>
    <cellStyle name="Normal 2 95 3" xfId="4362"/>
    <cellStyle name="Normal 2 96" xfId="4363"/>
    <cellStyle name="Normal 2 96 2" xfId="4364"/>
    <cellStyle name="Normal 2 96 3" xfId="4365"/>
    <cellStyle name="Normal 2 97" xfId="4366"/>
    <cellStyle name="Normal 2 97 2" xfId="4367"/>
    <cellStyle name="Normal 2 97 3" xfId="4368"/>
    <cellStyle name="Normal 2 98" xfId="4369"/>
    <cellStyle name="Normal 2 98 2" xfId="4370"/>
    <cellStyle name="Normal 2 98 3" xfId="4371"/>
    <cellStyle name="Normal 2 99" xfId="4372"/>
    <cellStyle name="Normal 2 99 2" xfId="4373"/>
    <cellStyle name="Normal 2 99 3" xfId="4374"/>
    <cellStyle name="Normal 2_DEER 032008 Cost Summary Delivery - Rev 4 (2)" xfId="4375"/>
    <cellStyle name="Normal 20" xfId="315"/>
    <cellStyle name="Normal 21" xfId="316"/>
    <cellStyle name="Normal 22" xfId="317"/>
    <cellStyle name="Normal 23" xfId="318"/>
    <cellStyle name="Normal 24" xfId="319"/>
    <cellStyle name="Normal 24 2" xfId="4376"/>
    <cellStyle name="Normal 25" xfId="320"/>
    <cellStyle name="Normal 26" xfId="321"/>
    <cellStyle name="Normal 27" xfId="322"/>
    <cellStyle name="Normal 28" xfId="323"/>
    <cellStyle name="Normal 29" xfId="324"/>
    <cellStyle name="Normal 3" xfId="180"/>
    <cellStyle name="Normal 3 10" xfId="4377"/>
    <cellStyle name="Normal 3 10 10" xfId="4378"/>
    <cellStyle name="Normal 3 10 10 2" xfId="4379"/>
    <cellStyle name="Normal 3 10 10 2 2" xfId="4380"/>
    <cellStyle name="Normal 3 10 10 3" xfId="4381"/>
    <cellStyle name="Normal 3 10 11" xfId="4382"/>
    <cellStyle name="Normal 3 10 11 2" xfId="4383"/>
    <cellStyle name="Normal 3 10 11 2 2" xfId="4384"/>
    <cellStyle name="Normal 3 10 11 3" xfId="4385"/>
    <cellStyle name="Normal 3 10 12" xfId="4386"/>
    <cellStyle name="Normal 3 10 12 2" xfId="4387"/>
    <cellStyle name="Normal 3 10 12 2 2" xfId="4388"/>
    <cellStyle name="Normal 3 10 12 3" xfId="4389"/>
    <cellStyle name="Normal 3 10 13" xfId="4390"/>
    <cellStyle name="Normal 3 10 13 2" xfId="4391"/>
    <cellStyle name="Normal 3 10 13 2 2" xfId="4392"/>
    <cellStyle name="Normal 3 10 13 3" xfId="4393"/>
    <cellStyle name="Normal 3 10 14" xfId="4394"/>
    <cellStyle name="Normal 3 10 14 2" xfId="4395"/>
    <cellStyle name="Normal 3 10 14 2 2" xfId="4396"/>
    <cellStyle name="Normal 3 10 14 3" xfId="4397"/>
    <cellStyle name="Normal 3 10 15" xfId="4398"/>
    <cellStyle name="Normal 3 10 15 2" xfId="4399"/>
    <cellStyle name="Normal 3 10 15 2 2" xfId="4400"/>
    <cellStyle name="Normal 3 10 15 3" xfId="4401"/>
    <cellStyle name="Normal 3 10 16" xfId="4402"/>
    <cellStyle name="Normal 3 10 16 2" xfId="4403"/>
    <cellStyle name="Normal 3 10 16 2 2" xfId="4404"/>
    <cellStyle name="Normal 3 10 16 3" xfId="4405"/>
    <cellStyle name="Normal 3 10 17" xfId="4406"/>
    <cellStyle name="Normal 3 10 17 2" xfId="4407"/>
    <cellStyle name="Normal 3 10 17 2 2" xfId="4408"/>
    <cellStyle name="Normal 3 10 17 3" xfId="4409"/>
    <cellStyle name="Normal 3 10 18" xfId="4410"/>
    <cellStyle name="Normal 3 10 18 2" xfId="4411"/>
    <cellStyle name="Normal 3 10 18 2 2" xfId="4412"/>
    <cellStyle name="Normal 3 10 18 3" xfId="4413"/>
    <cellStyle name="Normal 3 10 19" xfId="4414"/>
    <cellStyle name="Normal 3 10 19 2" xfId="4415"/>
    <cellStyle name="Normal 3 10 19 2 2" xfId="4416"/>
    <cellStyle name="Normal 3 10 19 3" xfId="4417"/>
    <cellStyle name="Normal 3 10 2" xfId="4418"/>
    <cellStyle name="Normal 3 10 2 2" xfId="4419"/>
    <cellStyle name="Normal 3 10 2 2 2" xfId="4420"/>
    <cellStyle name="Normal 3 10 2 3" xfId="4421"/>
    <cellStyle name="Normal 3 10 20" xfId="4422"/>
    <cellStyle name="Normal 3 10 20 2" xfId="4423"/>
    <cellStyle name="Normal 3 10 20 2 2" xfId="4424"/>
    <cellStyle name="Normal 3 10 20 3" xfId="4425"/>
    <cellStyle name="Normal 3 10 21" xfId="4426"/>
    <cellStyle name="Normal 3 10 21 2" xfId="4427"/>
    <cellStyle name="Normal 3 10 21 2 2" xfId="4428"/>
    <cellStyle name="Normal 3 10 21 3" xfId="4429"/>
    <cellStyle name="Normal 3 10 22" xfId="4430"/>
    <cellStyle name="Normal 3 10 22 2" xfId="4431"/>
    <cellStyle name="Normal 3 10 22 2 2" xfId="4432"/>
    <cellStyle name="Normal 3 10 22 3" xfId="4433"/>
    <cellStyle name="Normal 3 10 23" xfId="4434"/>
    <cellStyle name="Normal 3 10 23 2" xfId="4435"/>
    <cellStyle name="Normal 3 10 23 2 2" xfId="4436"/>
    <cellStyle name="Normal 3 10 23 3" xfId="4437"/>
    <cellStyle name="Normal 3 10 24" xfId="4438"/>
    <cellStyle name="Normal 3 10 24 2" xfId="4439"/>
    <cellStyle name="Normal 3 10 25" xfId="4440"/>
    <cellStyle name="Normal 3 10 3" xfId="4441"/>
    <cellStyle name="Normal 3 10 3 2" xfId="4442"/>
    <cellStyle name="Normal 3 10 3 2 2" xfId="4443"/>
    <cellStyle name="Normal 3 10 3 3" xfId="4444"/>
    <cellStyle name="Normal 3 10 4" xfId="4445"/>
    <cellStyle name="Normal 3 10 4 2" xfId="4446"/>
    <cellStyle name="Normal 3 10 4 2 2" xfId="4447"/>
    <cellStyle name="Normal 3 10 4 3" xfId="4448"/>
    <cellStyle name="Normal 3 10 5" xfId="4449"/>
    <cellStyle name="Normal 3 10 5 2" xfId="4450"/>
    <cellStyle name="Normal 3 10 5 2 2" xfId="4451"/>
    <cellStyle name="Normal 3 10 5 3" xfId="4452"/>
    <cellStyle name="Normal 3 10 6" xfId="4453"/>
    <cellStyle name="Normal 3 10 6 2" xfId="4454"/>
    <cellStyle name="Normal 3 10 6 2 2" xfId="4455"/>
    <cellStyle name="Normal 3 10 6 3" xfId="4456"/>
    <cellStyle name="Normal 3 10 7" xfId="4457"/>
    <cellStyle name="Normal 3 10 7 2" xfId="4458"/>
    <cellStyle name="Normal 3 10 7 2 2" xfId="4459"/>
    <cellStyle name="Normal 3 10 7 3" xfId="4460"/>
    <cellStyle name="Normal 3 10 8" xfId="4461"/>
    <cellStyle name="Normal 3 10 8 2" xfId="4462"/>
    <cellStyle name="Normal 3 10 8 2 2" xfId="4463"/>
    <cellStyle name="Normal 3 10 8 3" xfId="4464"/>
    <cellStyle name="Normal 3 10 9" xfId="4465"/>
    <cellStyle name="Normal 3 10 9 2" xfId="4466"/>
    <cellStyle name="Normal 3 10 9 2 2" xfId="4467"/>
    <cellStyle name="Normal 3 10 9 3" xfId="4468"/>
    <cellStyle name="Normal 3 11" xfId="4469"/>
    <cellStyle name="Normal 3 11 10" xfId="4470"/>
    <cellStyle name="Normal 3 11 10 2" xfId="4471"/>
    <cellStyle name="Normal 3 11 10 2 2" xfId="4472"/>
    <cellStyle name="Normal 3 11 10 3" xfId="4473"/>
    <cellStyle name="Normal 3 11 11" xfId="4474"/>
    <cellStyle name="Normal 3 11 11 2" xfId="4475"/>
    <cellStyle name="Normal 3 11 11 2 2" xfId="4476"/>
    <cellStyle name="Normal 3 11 11 3" xfId="4477"/>
    <cellStyle name="Normal 3 11 12" xfId="4478"/>
    <cellStyle name="Normal 3 11 12 2" xfId="4479"/>
    <cellStyle name="Normal 3 11 12 2 2" xfId="4480"/>
    <cellStyle name="Normal 3 11 12 3" xfId="4481"/>
    <cellStyle name="Normal 3 11 13" xfId="4482"/>
    <cellStyle name="Normal 3 11 13 2" xfId="4483"/>
    <cellStyle name="Normal 3 11 13 2 2" xfId="4484"/>
    <cellStyle name="Normal 3 11 13 3" xfId="4485"/>
    <cellStyle name="Normal 3 11 14" xfId="4486"/>
    <cellStyle name="Normal 3 11 14 2" xfId="4487"/>
    <cellStyle name="Normal 3 11 14 2 2" xfId="4488"/>
    <cellStyle name="Normal 3 11 14 3" xfId="4489"/>
    <cellStyle name="Normal 3 11 15" xfId="4490"/>
    <cellStyle name="Normal 3 11 15 2" xfId="4491"/>
    <cellStyle name="Normal 3 11 15 2 2" xfId="4492"/>
    <cellStyle name="Normal 3 11 15 3" xfId="4493"/>
    <cellStyle name="Normal 3 11 16" xfId="4494"/>
    <cellStyle name="Normal 3 11 16 2" xfId="4495"/>
    <cellStyle name="Normal 3 11 16 2 2" xfId="4496"/>
    <cellStyle name="Normal 3 11 16 3" xfId="4497"/>
    <cellStyle name="Normal 3 11 17" xfId="4498"/>
    <cellStyle name="Normal 3 11 17 2" xfId="4499"/>
    <cellStyle name="Normal 3 11 17 2 2" xfId="4500"/>
    <cellStyle name="Normal 3 11 17 3" xfId="4501"/>
    <cellStyle name="Normal 3 11 18" xfId="4502"/>
    <cellStyle name="Normal 3 11 18 2" xfId="4503"/>
    <cellStyle name="Normal 3 11 18 2 2" xfId="4504"/>
    <cellStyle name="Normal 3 11 18 3" xfId="4505"/>
    <cellStyle name="Normal 3 11 19" xfId="4506"/>
    <cellStyle name="Normal 3 11 19 2" xfId="4507"/>
    <cellStyle name="Normal 3 11 19 2 2" xfId="4508"/>
    <cellStyle name="Normal 3 11 19 3" xfId="4509"/>
    <cellStyle name="Normal 3 11 2" xfId="4510"/>
    <cellStyle name="Normal 3 11 2 2" xfId="4511"/>
    <cellStyle name="Normal 3 11 2 2 2" xfId="4512"/>
    <cellStyle name="Normal 3 11 2 3" xfId="4513"/>
    <cellStyle name="Normal 3 11 20" xfId="4514"/>
    <cellStyle name="Normal 3 11 20 2" xfId="4515"/>
    <cellStyle name="Normal 3 11 20 2 2" xfId="4516"/>
    <cellStyle name="Normal 3 11 20 3" xfId="4517"/>
    <cellStyle name="Normal 3 11 21" xfId="4518"/>
    <cellStyle name="Normal 3 11 21 2" xfId="4519"/>
    <cellStyle name="Normal 3 11 21 2 2" xfId="4520"/>
    <cellStyle name="Normal 3 11 21 3" xfId="4521"/>
    <cellStyle name="Normal 3 11 22" xfId="4522"/>
    <cellStyle name="Normal 3 11 22 2" xfId="4523"/>
    <cellStyle name="Normal 3 11 22 2 2" xfId="4524"/>
    <cellStyle name="Normal 3 11 22 3" xfId="4525"/>
    <cellStyle name="Normal 3 11 23" xfId="4526"/>
    <cellStyle name="Normal 3 11 23 2" xfId="4527"/>
    <cellStyle name="Normal 3 11 23 2 2" xfId="4528"/>
    <cellStyle name="Normal 3 11 23 3" xfId="4529"/>
    <cellStyle name="Normal 3 11 24" xfId="4530"/>
    <cellStyle name="Normal 3 11 24 2" xfId="4531"/>
    <cellStyle name="Normal 3 11 25" xfId="4532"/>
    <cellStyle name="Normal 3 11 3" xfId="4533"/>
    <cellStyle name="Normal 3 11 3 2" xfId="4534"/>
    <cellStyle name="Normal 3 11 3 2 2" xfId="4535"/>
    <cellStyle name="Normal 3 11 3 3" xfId="4536"/>
    <cellStyle name="Normal 3 11 4" xfId="4537"/>
    <cellStyle name="Normal 3 11 4 2" xfId="4538"/>
    <cellStyle name="Normal 3 11 4 2 2" xfId="4539"/>
    <cellStyle name="Normal 3 11 4 3" xfId="4540"/>
    <cellStyle name="Normal 3 11 5" xfId="4541"/>
    <cellStyle name="Normal 3 11 5 2" xfId="4542"/>
    <cellStyle name="Normal 3 11 5 2 2" xfId="4543"/>
    <cellStyle name="Normal 3 11 5 3" xfId="4544"/>
    <cellStyle name="Normal 3 11 6" xfId="4545"/>
    <cellStyle name="Normal 3 11 6 2" xfId="4546"/>
    <cellStyle name="Normal 3 11 6 2 2" xfId="4547"/>
    <cellStyle name="Normal 3 11 6 3" xfId="4548"/>
    <cellStyle name="Normal 3 11 7" xfId="4549"/>
    <cellStyle name="Normal 3 11 7 2" xfId="4550"/>
    <cellStyle name="Normal 3 11 7 2 2" xfId="4551"/>
    <cellStyle name="Normal 3 11 7 3" xfId="4552"/>
    <cellStyle name="Normal 3 11 8" xfId="4553"/>
    <cellStyle name="Normal 3 11 8 2" xfId="4554"/>
    <cellStyle name="Normal 3 11 8 2 2" xfId="4555"/>
    <cellStyle name="Normal 3 11 8 3" xfId="4556"/>
    <cellStyle name="Normal 3 11 9" xfId="4557"/>
    <cellStyle name="Normal 3 11 9 2" xfId="4558"/>
    <cellStyle name="Normal 3 11 9 2 2" xfId="4559"/>
    <cellStyle name="Normal 3 11 9 3" xfId="4560"/>
    <cellStyle name="Normal 3 12" xfId="4561"/>
    <cellStyle name="Normal 3 12 10" xfId="4562"/>
    <cellStyle name="Normal 3 12 10 2" xfId="4563"/>
    <cellStyle name="Normal 3 12 10 2 2" xfId="4564"/>
    <cellStyle name="Normal 3 12 10 3" xfId="4565"/>
    <cellStyle name="Normal 3 12 11" xfId="4566"/>
    <cellStyle name="Normal 3 12 11 2" xfId="4567"/>
    <cellStyle name="Normal 3 12 11 2 2" xfId="4568"/>
    <cellStyle name="Normal 3 12 11 3" xfId="4569"/>
    <cellStyle name="Normal 3 12 12" xfId="4570"/>
    <cellStyle name="Normal 3 12 12 2" xfId="4571"/>
    <cellStyle name="Normal 3 12 12 2 2" xfId="4572"/>
    <cellStyle name="Normal 3 12 12 3" xfId="4573"/>
    <cellStyle name="Normal 3 12 13" xfId="4574"/>
    <cellStyle name="Normal 3 12 13 2" xfId="4575"/>
    <cellStyle name="Normal 3 12 13 2 2" xfId="4576"/>
    <cellStyle name="Normal 3 12 13 3" xfId="4577"/>
    <cellStyle name="Normal 3 12 14" xfId="4578"/>
    <cellStyle name="Normal 3 12 14 2" xfId="4579"/>
    <cellStyle name="Normal 3 12 14 2 2" xfId="4580"/>
    <cellStyle name="Normal 3 12 14 3" xfId="4581"/>
    <cellStyle name="Normal 3 12 15" xfId="4582"/>
    <cellStyle name="Normal 3 12 15 2" xfId="4583"/>
    <cellStyle name="Normal 3 12 15 2 2" xfId="4584"/>
    <cellStyle name="Normal 3 12 15 3" xfId="4585"/>
    <cellStyle name="Normal 3 12 16" xfId="4586"/>
    <cellStyle name="Normal 3 12 16 2" xfId="4587"/>
    <cellStyle name="Normal 3 12 16 2 2" xfId="4588"/>
    <cellStyle name="Normal 3 12 16 3" xfId="4589"/>
    <cellStyle name="Normal 3 12 17" xfId="4590"/>
    <cellStyle name="Normal 3 12 17 2" xfId="4591"/>
    <cellStyle name="Normal 3 12 17 2 2" xfId="4592"/>
    <cellStyle name="Normal 3 12 17 3" xfId="4593"/>
    <cellStyle name="Normal 3 12 18" xfId="4594"/>
    <cellStyle name="Normal 3 12 18 2" xfId="4595"/>
    <cellStyle name="Normal 3 12 18 2 2" xfId="4596"/>
    <cellStyle name="Normal 3 12 18 3" xfId="4597"/>
    <cellStyle name="Normal 3 12 19" xfId="4598"/>
    <cellStyle name="Normal 3 12 19 2" xfId="4599"/>
    <cellStyle name="Normal 3 12 19 2 2" xfId="4600"/>
    <cellStyle name="Normal 3 12 19 3" xfId="4601"/>
    <cellStyle name="Normal 3 12 2" xfId="4602"/>
    <cellStyle name="Normal 3 12 2 2" xfId="4603"/>
    <cellStyle name="Normal 3 12 2 2 2" xfId="4604"/>
    <cellStyle name="Normal 3 12 2 3" xfId="4605"/>
    <cellStyle name="Normal 3 12 20" xfId="4606"/>
    <cellStyle name="Normal 3 12 20 2" xfId="4607"/>
    <cellStyle name="Normal 3 12 20 2 2" xfId="4608"/>
    <cellStyle name="Normal 3 12 20 3" xfId="4609"/>
    <cellStyle name="Normal 3 12 21" xfId="4610"/>
    <cellStyle name="Normal 3 12 21 2" xfId="4611"/>
    <cellStyle name="Normal 3 12 21 2 2" xfId="4612"/>
    <cellStyle name="Normal 3 12 21 3" xfId="4613"/>
    <cellStyle name="Normal 3 12 22" xfId="4614"/>
    <cellStyle name="Normal 3 12 22 2" xfId="4615"/>
    <cellStyle name="Normal 3 12 22 2 2" xfId="4616"/>
    <cellStyle name="Normal 3 12 22 3" xfId="4617"/>
    <cellStyle name="Normal 3 12 23" xfId="4618"/>
    <cellStyle name="Normal 3 12 23 2" xfId="4619"/>
    <cellStyle name="Normal 3 12 23 2 2" xfId="4620"/>
    <cellStyle name="Normal 3 12 23 3" xfId="4621"/>
    <cellStyle name="Normal 3 12 24" xfId="4622"/>
    <cellStyle name="Normal 3 12 24 2" xfId="4623"/>
    <cellStyle name="Normal 3 12 25" xfId="4624"/>
    <cellStyle name="Normal 3 12 3" xfId="4625"/>
    <cellStyle name="Normal 3 12 3 2" xfId="4626"/>
    <cellStyle name="Normal 3 12 3 2 2" xfId="4627"/>
    <cellStyle name="Normal 3 12 3 3" xfId="4628"/>
    <cellStyle name="Normal 3 12 4" xfId="4629"/>
    <cellStyle name="Normal 3 12 4 2" xfId="4630"/>
    <cellStyle name="Normal 3 12 4 2 2" xfId="4631"/>
    <cellStyle name="Normal 3 12 4 3" xfId="4632"/>
    <cellStyle name="Normal 3 12 5" xfId="4633"/>
    <cellStyle name="Normal 3 12 5 2" xfId="4634"/>
    <cellStyle name="Normal 3 12 5 2 2" xfId="4635"/>
    <cellStyle name="Normal 3 12 5 3" xfId="4636"/>
    <cellStyle name="Normal 3 12 6" xfId="4637"/>
    <cellStyle name="Normal 3 12 6 2" xfId="4638"/>
    <cellStyle name="Normal 3 12 6 2 2" xfId="4639"/>
    <cellStyle name="Normal 3 12 6 3" xfId="4640"/>
    <cellStyle name="Normal 3 12 7" xfId="4641"/>
    <cellStyle name="Normal 3 12 7 2" xfId="4642"/>
    <cellStyle name="Normal 3 12 7 2 2" xfId="4643"/>
    <cellStyle name="Normal 3 12 7 3" xfId="4644"/>
    <cellStyle name="Normal 3 12 8" xfId="4645"/>
    <cellStyle name="Normal 3 12 8 2" xfId="4646"/>
    <cellStyle name="Normal 3 12 8 2 2" xfId="4647"/>
    <cellStyle name="Normal 3 12 8 3" xfId="4648"/>
    <cellStyle name="Normal 3 12 9" xfId="4649"/>
    <cellStyle name="Normal 3 12 9 2" xfId="4650"/>
    <cellStyle name="Normal 3 12 9 2 2" xfId="4651"/>
    <cellStyle name="Normal 3 12 9 3" xfId="4652"/>
    <cellStyle name="Normal 3 13" xfId="4653"/>
    <cellStyle name="Normal 3 13 10" xfId="4654"/>
    <cellStyle name="Normal 3 13 10 2" xfId="4655"/>
    <cellStyle name="Normal 3 13 10 2 2" xfId="4656"/>
    <cellStyle name="Normal 3 13 10 3" xfId="4657"/>
    <cellStyle name="Normal 3 13 11" xfId="4658"/>
    <cellStyle name="Normal 3 13 11 2" xfId="4659"/>
    <cellStyle name="Normal 3 13 11 2 2" xfId="4660"/>
    <cellStyle name="Normal 3 13 11 3" xfId="4661"/>
    <cellStyle name="Normal 3 13 12" xfId="4662"/>
    <cellStyle name="Normal 3 13 12 2" xfId="4663"/>
    <cellStyle name="Normal 3 13 12 2 2" xfId="4664"/>
    <cellStyle name="Normal 3 13 12 3" xfId="4665"/>
    <cellStyle name="Normal 3 13 13" xfId="4666"/>
    <cellStyle name="Normal 3 13 13 2" xfId="4667"/>
    <cellStyle name="Normal 3 13 13 2 2" xfId="4668"/>
    <cellStyle name="Normal 3 13 13 3" xfId="4669"/>
    <cellStyle name="Normal 3 13 14" xfId="4670"/>
    <cellStyle name="Normal 3 13 14 2" xfId="4671"/>
    <cellStyle name="Normal 3 13 14 2 2" xfId="4672"/>
    <cellStyle name="Normal 3 13 14 3" xfId="4673"/>
    <cellStyle name="Normal 3 13 15" xfId="4674"/>
    <cellStyle name="Normal 3 13 15 2" xfId="4675"/>
    <cellStyle name="Normal 3 13 15 2 2" xfId="4676"/>
    <cellStyle name="Normal 3 13 15 3" xfId="4677"/>
    <cellStyle name="Normal 3 13 16" xfId="4678"/>
    <cellStyle name="Normal 3 13 16 2" xfId="4679"/>
    <cellStyle name="Normal 3 13 16 2 2" xfId="4680"/>
    <cellStyle name="Normal 3 13 16 3" xfId="4681"/>
    <cellStyle name="Normal 3 13 17" xfId="4682"/>
    <cellStyle name="Normal 3 13 17 2" xfId="4683"/>
    <cellStyle name="Normal 3 13 17 2 2" xfId="4684"/>
    <cellStyle name="Normal 3 13 17 3" xfId="4685"/>
    <cellStyle name="Normal 3 13 18" xfId="4686"/>
    <cellStyle name="Normal 3 13 18 2" xfId="4687"/>
    <cellStyle name="Normal 3 13 18 2 2" xfId="4688"/>
    <cellStyle name="Normal 3 13 18 3" xfId="4689"/>
    <cellStyle name="Normal 3 13 19" xfId="4690"/>
    <cellStyle name="Normal 3 13 19 2" xfId="4691"/>
    <cellStyle name="Normal 3 13 19 2 2" xfId="4692"/>
    <cellStyle name="Normal 3 13 19 3" xfId="4693"/>
    <cellStyle name="Normal 3 13 2" xfId="4694"/>
    <cellStyle name="Normal 3 13 2 2" xfId="4695"/>
    <cellStyle name="Normal 3 13 2 2 2" xfId="4696"/>
    <cellStyle name="Normal 3 13 2 3" xfId="4697"/>
    <cellStyle name="Normal 3 13 20" xfId="4698"/>
    <cellStyle name="Normal 3 13 20 2" xfId="4699"/>
    <cellStyle name="Normal 3 13 20 2 2" xfId="4700"/>
    <cellStyle name="Normal 3 13 20 3" xfId="4701"/>
    <cellStyle name="Normal 3 13 21" xfId="4702"/>
    <cellStyle name="Normal 3 13 21 2" xfId="4703"/>
    <cellStyle name="Normal 3 13 21 2 2" xfId="4704"/>
    <cellStyle name="Normal 3 13 21 3" xfId="4705"/>
    <cellStyle name="Normal 3 13 22" xfId="4706"/>
    <cellStyle name="Normal 3 13 22 2" xfId="4707"/>
    <cellStyle name="Normal 3 13 22 2 2" xfId="4708"/>
    <cellStyle name="Normal 3 13 22 3" xfId="4709"/>
    <cellStyle name="Normal 3 13 23" xfId="4710"/>
    <cellStyle name="Normal 3 13 23 2" xfId="4711"/>
    <cellStyle name="Normal 3 13 23 2 2" xfId="4712"/>
    <cellStyle name="Normal 3 13 23 3" xfId="4713"/>
    <cellStyle name="Normal 3 13 24" xfId="4714"/>
    <cellStyle name="Normal 3 13 24 2" xfId="4715"/>
    <cellStyle name="Normal 3 13 25" xfId="4716"/>
    <cellStyle name="Normal 3 13 3" xfId="4717"/>
    <cellStyle name="Normal 3 13 3 2" xfId="4718"/>
    <cellStyle name="Normal 3 13 3 2 2" xfId="4719"/>
    <cellStyle name="Normal 3 13 3 3" xfId="4720"/>
    <cellStyle name="Normal 3 13 4" xfId="4721"/>
    <cellStyle name="Normal 3 13 4 2" xfId="4722"/>
    <cellStyle name="Normal 3 13 4 2 2" xfId="4723"/>
    <cellStyle name="Normal 3 13 4 3" xfId="4724"/>
    <cellStyle name="Normal 3 13 5" xfId="4725"/>
    <cellStyle name="Normal 3 13 5 2" xfId="4726"/>
    <cellStyle name="Normal 3 13 5 2 2" xfId="4727"/>
    <cellStyle name="Normal 3 13 5 3" xfId="4728"/>
    <cellStyle name="Normal 3 13 6" xfId="4729"/>
    <cellStyle name="Normal 3 13 6 2" xfId="4730"/>
    <cellStyle name="Normal 3 13 6 2 2" xfId="4731"/>
    <cellStyle name="Normal 3 13 6 3" xfId="4732"/>
    <cellStyle name="Normal 3 13 7" xfId="4733"/>
    <cellStyle name="Normal 3 13 7 2" xfId="4734"/>
    <cellStyle name="Normal 3 13 7 2 2" xfId="4735"/>
    <cellStyle name="Normal 3 13 7 3" xfId="4736"/>
    <cellStyle name="Normal 3 13 8" xfId="4737"/>
    <cellStyle name="Normal 3 13 8 2" xfId="4738"/>
    <cellStyle name="Normal 3 13 8 2 2" xfId="4739"/>
    <cellStyle name="Normal 3 13 8 3" xfId="4740"/>
    <cellStyle name="Normal 3 13 9" xfId="4741"/>
    <cellStyle name="Normal 3 13 9 2" xfId="4742"/>
    <cellStyle name="Normal 3 13 9 2 2" xfId="4743"/>
    <cellStyle name="Normal 3 13 9 3" xfId="4744"/>
    <cellStyle name="Normal 3 14" xfId="4745"/>
    <cellStyle name="Normal 3 14 10" xfId="4746"/>
    <cellStyle name="Normal 3 14 10 2" xfId="4747"/>
    <cellStyle name="Normal 3 14 10 2 2" xfId="4748"/>
    <cellStyle name="Normal 3 14 10 3" xfId="4749"/>
    <cellStyle name="Normal 3 14 11" xfId="4750"/>
    <cellStyle name="Normal 3 14 11 2" xfId="4751"/>
    <cellStyle name="Normal 3 14 11 2 2" xfId="4752"/>
    <cellStyle name="Normal 3 14 11 3" xfId="4753"/>
    <cellStyle name="Normal 3 14 12" xfId="4754"/>
    <cellStyle name="Normal 3 14 12 2" xfId="4755"/>
    <cellStyle name="Normal 3 14 12 2 2" xfId="4756"/>
    <cellStyle name="Normal 3 14 12 3" xfId="4757"/>
    <cellStyle name="Normal 3 14 13" xfId="4758"/>
    <cellStyle name="Normal 3 14 13 2" xfId="4759"/>
    <cellStyle name="Normal 3 14 13 2 2" xfId="4760"/>
    <cellStyle name="Normal 3 14 13 3" xfId="4761"/>
    <cellStyle name="Normal 3 14 14" xfId="4762"/>
    <cellStyle name="Normal 3 14 14 2" xfId="4763"/>
    <cellStyle name="Normal 3 14 14 2 2" xfId="4764"/>
    <cellStyle name="Normal 3 14 14 3" xfId="4765"/>
    <cellStyle name="Normal 3 14 15" xfId="4766"/>
    <cellStyle name="Normal 3 14 15 2" xfId="4767"/>
    <cellStyle name="Normal 3 14 15 2 2" xfId="4768"/>
    <cellStyle name="Normal 3 14 15 3" xfId="4769"/>
    <cellStyle name="Normal 3 14 16" xfId="4770"/>
    <cellStyle name="Normal 3 14 16 2" xfId="4771"/>
    <cellStyle name="Normal 3 14 16 2 2" xfId="4772"/>
    <cellStyle name="Normal 3 14 16 3" xfId="4773"/>
    <cellStyle name="Normal 3 14 17" xfId="4774"/>
    <cellStyle name="Normal 3 14 17 2" xfId="4775"/>
    <cellStyle name="Normal 3 14 17 2 2" xfId="4776"/>
    <cellStyle name="Normal 3 14 17 3" xfId="4777"/>
    <cellStyle name="Normal 3 14 18" xfId="4778"/>
    <cellStyle name="Normal 3 14 18 2" xfId="4779"/>
    <cellStyle name="Normal 3 14 18 2 2" xfId="4780"/>
    <cellStyle name="Normal 3 14 18 3" xfId="4781"/>
    <cellStyle name="Normal 3 14 19" xfId="4782"/>
    <cellStyle name="Normal 3 14 19 2" xfId="4783"/>
    <cellStyle name="Normal 3 14 19 2 2" xfId="4784"/>
    <cellStyle name="Normal 3 14 19 3" xfId="4785"/>
    <cellStyle name="Normal 3 14 2" xfId="4786"/>
    <cellStyle name="Normal 3 14 2 2" xfId="4787"/>
    <cellStyle name="Normal 3 14 2 2 2" xfId="4788"/>
    <cellStyle name="Normal 3 14 2 3" xfId="4789"/>
    <cellStyle name="Normal 3 14 20" xfId="4790"/>
    <cellStyle name="Normal 3 14 20 2" xfId="4791"/>
    <cellStyle name="Normal 3 14 20 2 2" xfId="4792"/>
    <cellStyle name="Normal 3 14 20 3" xfId="4793"/>
    <cellStyle name="Normal 3 14 21" xfId="4794"/>
    <cellStyle name="Normal 3 14 21 2" xfId="4795"/>
    <cellStyle name="Normal 3 14 21 2 2" xfId="4796"/>
    <cellStyle name="Normal 3 14 21 3" xfId="4797"/>
    <cellStyle name="Normal 3 14 22" xfId="4798"/>
    <cellStyle name="Normal 3 14 22 2" xfId="4799"/>
    <cellStyle name="Normal 3 14 22 2 2" xfId="4800"/>
    <cellStyle name="Normal 3 14 22 3" xfId="4801"/>
    <cellStyle name="Normal 3 14 23" xfId="4802"/>
    <cellStyle name="Normal 3 14 23 2" xfId="4803"/>
    <cellStyle name="Normal 3 14 23 2 2" xfId="4804"/>
    <cellStyle name="Normal 3 14 23 3" xfId="4805"/>
    <cellStyle name="Normal 3 14 24" xfId="4806"/>
    <cellStyle name="Normal 3 14 24 2" xfId="4807"/>
    <cellStyle name="Normal 3 14 25" xfId="4808"/>
    <cellStyle name="Normal 3 14 3" xfId="4809"/>
    <cellStyle name="Normal 3 14 3 2" xfId="4810"/>
    <cellStyle name="Normal 3 14 3 2 2" xfId="4811"/>
    <cellStyle name="Normal 3 14 3 3" xfId="4812"/>
    <cellStyle name="Normal 3 14 4" xfId="4813"/>
    <cellStyle name="Normal 3 14 4 2" xfId="4814"/>
    <cellStyle name="Normal 3 14 4 2 2" xfId="4815"/>
    <cellStyle name="Normal 3 14 4 3" xfId="4816"/>
    <cellStyle name="Normal 3 14 5" xfId="4817"/>
    <cellStyle name="Normal 3 14 5 2" xfId="4818"/>
    <cellStyle name="Normal 3 14 5 2 2" xfId="4819"/>
    <cellStyle name="Normal 3 14 5 3" xfId="4820"/>
    <cellStyle name="Normal 3 14 6" xfId="4821"/>
    <cellStyle name="Normal 3 14 6 2" xfId="4822"/>
    <cellStyle name="Normal 3 14 6 2 2" xfId="4823"/>
    <cellStyle name="Normal 3 14 6 3" xfId="4824"/>
    <cellStyle name="Normal 3 14 7" xfId="4825"/>
    <cellStyle name="Normal 3 14 7 2" xfId="4826"/>
    <cellStyle name="Normal 3 14 7 2 2" xfId="4827"/>
    <cellStyle name="Normal 3 14 7 3" xfId="4828"/>
    <cellStyle name="Normal 3 14 8" xfId="4829"/>
    <cellStyle name="Normal 3 14 8 2" xfId="4830"/>
    <cellStyle name="Normal 3 14 8 2 2" xfId="4831"/>
    <cellStyle name="Normal 3 14 8 3" xfId="4832"/>
    <cellStyle name="Normal 3 14 9" xfId="4833"/>
    <cellStyle name="Normal 3 14 9 2" xfId="4834"/>
    <cellStyle name="Normal 3 14 9 2 2" xfId="4835"/>
    <cellStyle name="Normal 3 14 9 3" xfId="4836"/>
    <cellStyle name="Normal 3 15" xfId="4837"/>
    <cellStyle name="Normal 3 15 10" xfId="4838"/>
    <cellStyle name="Normal 3 15 10 2" xfId="4839"/>
    <cellStyle name="Normal 3 15 10 2 2" xfId="4840"/>
    <cellStyle name="Normal 3 15 10 3" xfId="4841"/>
    <cellStyle name="Normal 3 15 11" xfId="4842"/>
    <cellStyle name="Normal 3 15 11 2" xfId="4843"/>
    <cellStyle name="Normal 3 15 11 2 2" xfId="4844"/>
    <cellStyle name="Normal 3 15 11 3" xfId="4845"/>
    <cellStyle name="Normal 3 15 12" xfId="4846"/>
    <cellStyle name="Normal 3 15 12 2" xfId="4847"/>
    <cellStyle name="Normal 3 15 12 2 2" xfId="4848"/>
    <cellStyle name="Normal 3 15 12 3" xfId="4849"/>
    <cellStyle name="Normal 3 15 13" xfId="4850"/>
    <cellStyle name="Normal 3 15 13 2" xfId="4851"/>
    <cellStyle name="Normal 3 15 13 2 2" xfId="4852"/>
    <cellStyle name="Normal 3 15 13 3" xfId="4853"/>
    <cellStyle name="Normal 3 15 14" xfId="4854"/>
    <cellStyle name="Normal 3 15 14 2" xfId="4855"/>
    <cellStyle name="Normal 3 15 14 2 2" xfId="4856"/>
    <cellStyle name="Normal 3 15 14 3" xfId="4857"/>
    <cellStyle name="Normal 3 15 15" xfId="4858"/>
    <cellStyle name="Normal 3 15 15 2" xfId="4859"/>
    <cellStyle name="Normal 3 15 15 2 2" xfId="4860"/>
    <cellStyle name="Normal 3 15 15 3" xfId="4861"/>
    <cellStyle name="Normal 3 15 16" xfId="4862"/>
    <cellStyle name="Normal 3 15 16 2" xfId="4863"/>
    <cellStyle name="Normal 3 15 16 2 2" xfId="4864"/>
    <cellStyle name="Normal 3 15 16 3" xfId="4865"/>
    <cellStyle name="Normal 3 15 17" xfId="4866"/>
    <cellStyle name="Normal 3 15 17 2" xfId="4867"/>
    <cellStyle name="Normal 3 15 17 2 2" xfId="4868"/>
    <cellStyle name="Normal 3 15 17 3" xfId="4869"/>
    <cellStyle name="Normal 3 15 18" xfId="4870"/>
    <cellStyle name="Normal 3 15 18 2" xfId="4871"/>
    <cellStyle name="Normal 3 15 18 2 2" xfId="4872"/>
    <cellStyle name="Normal 3 15 18 3" xfId="4873"/>
    <cellStyle name="Normal 3 15 19" xfId="4874"/>
    <cellStyle name="Normal 3 15 19 2" xfId="4875"/>
    <cellStyle name="Normal 3 15 19 2 2" xfId="4876"/>
    <cellStyle name="Normal 3 15 19 3" xfId="4877"/>
    <cellStyle name="Normal 3 15 2" xfId="4878"/>
    <cellStyle name="Normal 3 15 2 2" xfId="4879"/>
    <cellStyle name="Normal 3 15 2 2 2" xfId="4880"/>
    <cellStyle name="Normal 3 15 2 3" xfId="4881"/>
    <cellStyle name="Normal 3 15 20" xfId="4882"/>
    <cellStyle name="Normal 3 15 20 2" xfId="4883"/>
    <cellStyle name="Normal 3 15 20 2 2" xfId="4884"/>
    <cellStyle name="Normal 3 15 20 3" xfId="4885"/>
    <cellStyle name="Normal 3 15 21" xfId="4886"/>
    <cellStyle name="Normal 3 15 21 2" xfId="4887"/>
    <cellStyle name="Normal 3 15 21 2 2" xfId="4888"/>
    <cellStyle name="Normal 3 15 21 3" xfId="4889"/>
    <cellStyle name="Normal 3 15 22" xfId="4890"/>
    <cellStyle name="Normal 3 15 22 2" xfId="4891"/>
    <cellStyle name="Normal 3 15 22 2 2" xfId="4892"/>
    <cellStyle name="Normal 3 15 22 3" xfId="4893"/>
    <cellStyle name="Normal 3 15 23" xfId="4894"/>
    <cellStyle name="Normal 3 15 23 2" xfId="4895"/>
    <cellStyle name="Normal 3 15 23 2 2" xfId="4896"/>
    <cellStyle name="Normal 3 15 23 3" xfId="4897"/>
    <cellStyle name="Normal 3 15 24" xfId="4898"/>
    <cellStyle name="Normal 3 15 24 2" xfId="4899"/>
    <cellStyle name="Normal 3 15 25" xfId="4900"/>
    <cellStyle name="Normal 3 15 3" xfId="4901"/>
    <cellStyle name="Normal 3 15 3 2" xfId="4902"/>
    <cellStyle name="Normal 3 15 3 2 2" xfId="4903"/>
    <cellStyle name="Normal 3 15 3 3" xfId="4904"/>
    <cellStyle name="Normal 3 15 4" xfId="4905"/>
    <cellStyle name="Normal 3 15 4 2" xfId="4906"/>
    <cellStyle name="Normal 3 15 4 2 2" xfId="4907"/>
    <cellStyle name="Normal 3 15 4 3" xfId="4908"/>
    <cellStyle name="Normal 3 15 5" xfId="4909"/>
    <cellStyle name="Normal 3 15 5 2" xfId="4910"/>
    <cellStyle name="Normal 3 15 5 2 2" xfId="4911"/>
    <cellStyle name="Normal 3 15 5 3" xfId="4912"/>
    <cellStyle name="Normal 3 15 6" xfId="4913"/>
    <cellStyle name="Normal 3 15 6 2" xfId="4914"/>
    <cellStyle name="Normal 3 15 6 2 2" xfId="4915"/>
    <cellStyle name="Normal 3 15 6 3" xfId="4916"/>
    <cellStyle name="Normal 3 15 7" xfId="4917"/>
    <cellStyle name="Normal 3 15 7 2" xfId="4918"/>
    <cellStyle name="Normal 3 15 7 2 2" xfId="4919"/>
    <cellStyle name="Normal 3 15 7 3" xfId="4920"/>
    <cellStyle name="Normal 3 15 8" xfId="4921"/>
    <cellStyle name="Normal 3 15 8 2" xfId="4922"/>
    <cellStyle name="Normal 3 15 8 2 2" xfId="4923"/>
    <cellStyle name="Normal 3 15 8 3" xfId="4924"/>
    <cellStyle name="Normal 3 15 9" xfId="4925"/>
    <cellStyle name="Normal 3 15 9 2" xfId="4926"/>
    <cellStyle name="Normal 3 15 9 2 2" xfId="4927"/>
    <cellStyle name="Normal 3 15 9 3" xfId="4928"/>
    <cellStyle name="Normal 3 16" xfId="4929"/>
    <cellStyle name="Normal 3 16 10" xfId="4930"/>
    <cellStyle name="Normal 3 16 10 2" xfId="4931"/>
    <cellStyle name="Normal 3 16 10 2 2" xfId="4932"/>
    <cellStyle name="Normal 3 16 10 3" xfId="4933"/>
    <cellStyle name="Normal 3 16 11" xfId="4934"/>
    <cellStyle name="Normal 3 16 11 2" xfId="4935"/>
    <cellStyle name="Normal 3 16 11 2 2" xfId="4936"/>
    <cellStyle name="Normal 3 16 11 3" xfId="4937"/>
    <cellStyle name="Normal 3 16 12" xfId="4938"/>
    <cellStyle name="Normal 3 16 12 2" xfId="4939"/>
    <cellStyle name="Normal 3 16 12 2 2" xfId="4940"/>
    <cellStyle name="Normal 3 16 12 3" xfId="4941"/>
    <cellStyle name="Normal 3 16 13" xfId="4942"/>
    <cellStyle name="Normal 3 16 13 2" xfId="4943"/>
    <cellStyle name="Normal 3 16 13 2 2" xfId="4944"/>
    <cellStyle name="Normal 3 16 13 3" xfId="4945"/>
    <cellStyle name="Normal 3 16 14" xfId="4946"/>
    <cellStyle name="Normal 3 16 14 2" xfId="4947"/>
    <cellStyle name="Normal 3 16 14 2 2" xfId="4948"/>
    <cellStyle name="Normal 3 16 14 3" xfId="4949"/>
    <cellStyle name="Normal 3 16 15" xfId="4950"/>
    <cellStyle name="Normal 3 16 15 2" xfId="4951"/>
    <cellStyle name="Normal 3 16 15 2 2" xfId="4952"/>
    <cellStyle name="Normal 3 16 15 3" xfId="4953"/>
    <cellStyle name="Normal 3 16 16" xfId="4954"/>
    <cellStyle name="Normal 3 16 16 2" xfId="4955"/>
    <cellStyle name="Normal 3 16 16 2 2" xfId="4956"/>
    <cellStyle name="Normal 3 16 16 3" xfId="4957"/>
    <cellStyle name="Normal 3 16 17" xfId="4958"/>
    <cellStyle name="Normal 3 16 17 2" xfId="4959"/>
    <cellStyle name="Normal 3 16 17 2 2" xfId="4960"/>
    <cellStyle name="Normal 3 16 17 3" xfId="4961"/>
    <cellStyle name="Normal 3 16 18" xfId="4962"/>
    <cellStyle name="Normal 3 16 18 2" xfId="4963"/>
    <cellStyle name="Normal 3 16 18 2 2" xfId="4964"/>
    <cellStyle name="Normal 3 16 18 3" xfId="4965"/>
    <cellStyle name="Normal 3 16 19" xfId="4966"/>
    <cellStyle name="Normal 3 16 19 2" xfId="4967"/>
    <cellStyle name="Normal 3 16 19 2 2" xfId="4968"/>
    <cellStyle name="Normal 3 16 19 3" xfId="4969"/>
    <cellStyle name="Normal 3 16 2" xfId="4970"/>
    <cellStyle name="Normal 3 16 2 2" xfId="4971"/>
    <cellStyle name="Normal 3 16 2 2 2" xfId="4972"/>
    <cellStyle name="Normal 3 16 2 3" xfId="4973"/>
    <cellStyle name="Normal 3 16 20" xfId="4974"/>
    <cellStyle name="Normal 3 16 20 2" xfId="4975"/>
    <cellStyle name="Normal 3 16 20 2 2" xfId="4976"/>
    <cellStyle name="Normal 3 16 20 3" xfId="4977"/>
    <cellStyle name="Normal 3 16 21" xfId="4978"/>
    <cellStyle name="Normal 3 16 21 2" xfId="4979"/>
    <cellStyle name="Normal 3 16 21 2 2" xfId="4980"/>
    <cellStyle name="Normal 3 16 21 3" xfId="4981"/>
    <cellStyle name="Normal 3 16 22" xfId="4982"/>
    <cellStyle name="Normal 3 16 22 2" xfId="4983"/>
    <cellStyle name="Normal 3 16 22 2 2" xfId="4984"/>
    <cellStyle name="Normal 3 16 22 3" xfId="4985"/>
    <cellStyle name="Normal 3 16 23" xfId="4986"/>
    <cellStyle name="Normal 3 16 23 2" xfId="4987"/>
    <cellStyle name="Normal 3 16 23 2 2" xfId="4988"/>
    <cellStyle name="Normal 3 16 23 3" xfId="4989"/>
    <cellStyle name="Normal 3 16 24" xfId="4990"/>
    <cellStyle name="Normal 3 16 24 2" xfId="4991"/>
    <cellStyle name="Normal 3 16 25" xfId="4992"/>
    <cellStyle name="Normal 3 16 3" xfId="4993"/>
    <cellStyle name="Normal 3 16 3 2" xfId="4994"/>
    <cellStyle name="Normal 3 16 3 2 2" xfId="4995"/>
    <cellStyle name="Normal 3 16 3 3" xfId="4996"/>
    <cellStyle name="Normal 3 16 4" xfId="4997"/>
    <cellStyle name="Normal 3 16 4 2" xfId="4998"/>
    <cellStyle name="Normal 3 16 4 2 2" xfId="4999"/>
    <cellStyle name="Normal 3 16 4 3" xfId="5000"/>
    <cellStyle name="Normal 3 16 5" xfId="5001"/>
    <cellStyle name="Normal 3 16 5 2" xfId="5002"/>
    <cellStyle name="Normal 3 16 5 2 2" xfId="5003"/>
    <cellStyle name="Normal 3 16 5 3" xfId="5004"/>
    <cellStyle name="Normal 3 16 6" xfId="5005"/>
    <cellStyle name="Normal 3 16 6 2" xfId="5006"/>
    <cellStyle name="Normal 3 16 6 2 2" xfId="5007"/>
    <cellStyle name="Normal 3 16 6 3" xfId="5008"/>
    <cellStyle name="Normal 3 16 7" xfId="5009"/>
    <cellStyle name="Normal 3 16 7 2" xfId="5010"/>
    <cellStyle name="Normal 3 16 7 2 2" xfId="5011"/>
    <cellStyle name="Normal 3 16 7 3" xfId="5012"/>
    <cellStyle name="Normal 3 16 8" xfId="5013"/>
    <cellStyle name="Normal 3 16 8 2" xfId="5014"/>
    <cellStyle name="Normal 3 16 8 2 2" xfId="5015"/>
    <cellStyle name="Normal 3 16 8 3" xfId="5016"/>
    <cellStyle name="Normal 3 16 9" xfId="5017"/>
    <cellStyle name="Normal 3 16 9 2" xfId="5018"/>
    <cellStyle name="Normal 3 16 9 2 2" xfId="5019"/>
    <cellStyle name="Normal 3 16 9 3" xfId="5020"/>
    <cellStyle name="Normal 3 17" xfId="5021"/>
    <cellStyle name="Normal 3 17 10" xfId="5022"/>
    <cellStyle name="Normal 3 17 10 2" xfId="5023"/>
    <cellStyle name="Normal 3 17 10 2 2" xfId="5024"/>
    <cellStyle name="Normal 3 17 10 3" xfId="5025"/>
    <cellStyle name="Normal 3 17 11" xfId="5026"/>
    <cellStyle name="Normal 3 17 11 2" xfId="5027"/>
    <cellStyle name="Normal 3 17 11 2 2" xfId="5028"/>
    <cellStyle name="Normal 3 17 11 3" xfId="5029"/>
    <cellStyle name="Normal 3 17 12" xfId="5030"/>
    <cellStyle name="Normal 3 17 12 2" xfId="5031"/>
    <cellStyle name="Normal 3 17 12 2 2" xfId="5032"/>
    <cellStyle name="Normal 3 17 12 3" xfId="5033"/>
    <cellStyle name="Normal 3 17 13" xfId="5034"/>
    <cellStyle name="Normal 3 17 13 2" xfId="5035"/>
    <cellStyle name="Normal 3 17 13 2 2" xfId="5036"/>
    <cellStyle name="Normal 3 17 13 3" xfId="5037"/>
    <cellStyle name="Normal 3 17 14" xfId="5038"/>
    <cellStyle name="Normal 3 17 14 2" xfId="5039"/>
    <cellStyle name="Normal 3 17 14 2 2" xfId="5040"/>
    <cellStyle name="Normal 3 17 14 3" xfId="5041"/>
    <cellStyle name="Normal 3 17 15" xfId="5042"/>
    <cellStyle name="Normal 3 17 15 2" xfId="5043"/>
    <cellStyle name="Normal 3 17 15 2 2" xfId="5044"/>
    <cellStyle name="Normal 3 17 15 3" xfId="5045"/>
    <cellStyle name="Normal 3 17 16" xfId="5046"/>
    <cellStyle name="Normal 3 17 16 2" xfId="5047"/>
    <cellStyle name="Normal 3 17 16 2 2" xfId="5048"/>
    <cellStyle name="Normal 3 17 16 3" xfId="5049"/>
    <cellStyle name="Normal 3 17 17" xfId="5050"/>
    <cellStyle name="Normal 3 17 17 2" xfId="5051"/>
    <cellStyle name="Normal 3 17 17 2 2" xfId="5052"/>
    <cellStyle name="Normal 3 17 17 3" xfId="5053"/>
    <cellStyle name="Normal 3 17 18" xfId="5054"/>
    <cellStyle name="Normal 3 17 18 2" xfId="5055"/>
    <cellStyle name="Normal 3 17 18 2 2" xfId="5056"/>
    <cellStyle name="Normal 3 17 18 3" xfId="5057"/>
    <cellStyle name="Normal 3 17 19" xfId="5058"/>
    <cellStyle name="Normal 3 17 19 2" xfId="5059"/>
    <cellStyle name="Normal 3 17 19 2 2" xfId="5060"/>
    <cellStyle name="Normal 3 17 19 3" xfId="5061"/>
    <cellStyle name="Normal 3 17 2" xfId="5062"/>
    <cellStyle name="Normal 3 17 2 2" xfId="5063"/>
    <cellStyle name="Normal 3 17 2 2 2" xfId="5064"/>
    <cellStyle name="Normal 3 17 2 3" xfId="5065"/>
    <cellStyle name="Normal 3 17 20" xfId="5066"/>
    <cellStyle name="Normal 3 17 20 2" xfId="5067"/>
    <cellStyle name="Normal 3 17 20 2 2" xfId="5068"/>
    <cellStyle name="Normal 3 17 20 3" xfId="5069"/>
    <cellStyle name="Normal 3 17 21" xfId="5070"/>
    <cellStyle name="Normal 3 17 21 2" xfId="5071"/>
    <cellStyle name="Normal 3 17 21 2 2" xfId="5072"/>
    <cellStyle name="Normal 3 17 21 3" xfId="5073"/>
    <cellStyle name="Normal 3 17 22" xfId="5074"/>
    <cellStyle name="Normal 3 17 22 2" xfId="5075"/>
    <cellStyle name="Normal 3 17 22 2 2" xfId="5076"/>
    <cellStyle name="Normal 3 17 22 3" xfId="5077"/>
    <cellStyle name="Normal 3 17 23" xfId="5078"/>
    <cellStyle name="Normal 3 17 23 2" xfId="5079"/>
    <cellStyle name="Normal 3 17 23 2 2" xfId="5080"/>
    <cellStyle name="Normal 3 17 23 3" xfId="5081"/>
    <cellStyle name="Normal 3 17 24" xfId="5082"/>
    <cellStyle name="Normal 3 17 24 2" xfId="5083"/>
    <cellStyle name="Normal 3 17 25" xfId="5084"/>
    <cellStyle name="Normal 3 17 3" xfId="5085"/>
    <cellStyle name="Normal 3 17 3 2" xfId="5086"/>
    <cellStyle name="Normal 3 17 3 2 2" xfId="5087"/>
    <cellStyle name="Normal 3 17 3 3" xfId="5088"/>
    <cellStyle name="Normal 3 17 4" xfId="5089"/>
    <cellStyle name="Normal 3 17 4 2" xfId="5090"/>
    <cellStyle name="Normal 3 17 4 2 2" xfId="5091"/>
    <cellStyle name="Normal 3 17 4 3" xfId="5092"/>
    <cellStyle name="Normal 3 17 5" xfId="5093"/>
    <cellStyle name="Normal 3 17 5 2" xfId="5094"/>
    <cellStyle name="Normal 3 17 5 2 2" xfId="5095"/>
    <cellStyle name="Normal 3 17 5 3" xfId="5096"/>
    <cellStyle name="Normal 3 17 6" xfId="5097"/>
    <cellStyle name="Normal 3 17 6 2" xfId="5098"/>
    <cellStyle name="Normal 3 17 6 2 2" xfId="5099"/>
    <cellStyle name="Normal 3 17 6 3" xfId="5100"/>
    <cellStyle name="Normal 3 17 7" xfId="5101"/>
    <cellStyle name="Normal 3 17 7 2" xfId="5102"/>
    <cellStyle name="Normal 3 17 7 2 2" xfId="5103"/>
    <cellStyle name="Normal 3 17 7 3" xfId="5104"/>
    <cellStyle name="Normal 3 17 8" xfId="5105"/>
    <cellStyle name="Normal 3 17 8 2" xfId="5106"/>
    <cellStyle name="Normal 3 17 8 2 2" xfId="5107"/>
    <cellStyle name="Normal 3 17 8 3" xfId="5108"/>
    <cellStyle name="Normal 3 17 9" xfId="5109"/>
    <cellStyle name="Normal 3 17 9 2" xfId="5110"/>
    <cellStyle name="Normal 3 17 9 2 2" xfId="5111"/>
    <cellStyle name="Normal 3 17 9 3" xfId="5112"/>
    <cellStyle name="Normal 3 18" xfId="5113"/>
    <cellStyle name="Normal 3 18 10" xfId="5114"/>
    <cellStyle name="Normal 3 18 10 2" xfId="5115"/>
    <cellStyle name="Normal 3 18 10 2 2" xfId="5116"/>
    <cellStyle name="Normal 3 18 10 3" xfId="5117"/>
    <cellStyle name="Normal 3 18 11" xfId="5118"/>
    <cellStyle name="Normal 3 18 11 2" xfId="5119"/>
    <cellStyle name="Normal 3 18 11 2 2" xfId="5120"/>
    <cellStyle name="Normal 3 18 11 3" xfId="5121"/>
    <cellStyle name="Normal 3 18 12" xfId="5122"/>
    <cellStyle name="Normal 3 18 12 2" xfId="5123"/>
    <cellStyle name="Normal 3 18 12 2 2" xfId="5124"/>
    <cellStyle name="Normal 3 18 12 3" xfId="5125"/>
    <cellStyle name="Normal 3 18 13" xfId="5126"/>
    <cellStyle name="Normal 3 18 13 2" xfId="5127"/>
    <cellStyle name="Normal 3 18 13 2 2" xfId="5128"/>
    <cellStyle name="Normal 3 18 13 3" xfId="5129"/>
    <cellStyle name="Normal 3 18 14" xfId="5130"/>
    <cellStyle name="Normal 3 18 14 2" xfId="5131"/>
    <cellStyle name="Normal 3 18 14 2 2" xfId="5132"/>
    <cellStyle name="Normal 3 18 14 3" xfId="5133"/>
    <cellStyle name="Normal 3 18 15" xfId="5134"/>
    <cellStyle name="Normal 3 18 15 2" xfId="5135"/>
    <cellStyle name="Normal 3 18 15 2 2" xfId="5136"/>
    <cellStyle name="Normal 3 18 15 3" xfId="5137"/>
    <cellStyle name="Normal 3 18 16" xfId="5138"/>
    <cellStyle name="Normal 3 18 16 2" xfId="5139"/>
    <cellStyle name="Normal 3 18 16 2 2" xfId="5140"/>
    <cellStyle name="Normal 3 18 16 3" xfId="5141"/>
    <cellStyle name="Normal 3 18 17" xfId="5142"/>
    <cellStyle name="Normal 3 18 17 2" xfId="5143"/>
    <cellStyle name="Normal 3 18 17 2 2" xfId="5144"/>
    <cellStyle name="Normal 3 18 17 3" xfId="5145"/>
    <cellStyle name="Normal 3 18 18" xfId="5146"/>
    <cellStyle name="Normal 3 18 18 2" xfId="5147"/>
    <cellStyle name="Normal 3 18 18 2 2" xfId="5148"/>
    <cellStyle name="Normal 3 18 18 3" xfId="5149"/>
    <cellStyle name="Normal 3 18 19" xfId="5150"/>
    <cellStyle name="Normal 3 18 19 2" xfId="5151"/>
    <cellStyle name="Normal 3 18 19 2 2" xfId="5152"/>
    <cellStyle name="Normal 3 18 19 3" xfId="5153"/>
    <cellStyle name="Normal 3 18 2" xfId="5154"/>
    <cellStyle name="Normal 3 18 2 2" xfId="5155"/>
    <cellStyle name="Normal 3 18 2 2 2" xfId="5156"/>
    <cellStyle name="Normal 3 18 2 3" xfId="5157"/>
    <cellStyle name="Normal 3 18 20" xfId="5158"/>
    <cellStyle name="Normal 3 18 20 2" xfId="5159"/>
    <cellStyle name="Normal 3 18 20 2 2" xfId="5160"/>
    <cellStyle name="Normal 3 18 20 3" xfId="5161"/>
    <cellStyle name="Normal 3 18 21" xfId="5162"/>
    <cellStyle name="Normal 3 18 21 2" xfId="5163"/>
    <cellStyle name="Normal 3 18 21 2 2" xfId="5164"/>
    <cellStyle name="Normal 3 18 21 3" xfId="5165"/>
    <cellStyle name="Normal 3 18 22" xfId="5166"/>
    <cellStyle name="Normal 3 18 22 2" xfId="5167"/>
    <cellStyle name="Normal 3 18 22 2 2" xfId="5168"/>
    <cellStyle name="Normal 3 18 22 3" xfId="5169"/>
    <cellStyle name="Normal 3 18 23" xfId="5170"/>
    <cellStyle name="Normal 3 18 23 2" xfId="5171"/>
    <cellStyle name="Normal 3 18 23 2 2" xfId="5172"/>
    <cellStyle name="Normal 3 18 23 3" xfId="5173"/>
    <cellStyle name="Normal 3 18 24" xfId="5174"/>
    <cellStyle name="Normal 3 18 24 2" xfId="5175"/>
    <cellStyle name="Normal 3 18 25" xfId="5176"/>
    <cellStyle name="Normal 3 18 3" xfId="5177"/>
    <cellStyle name="Normal 3 18 3 2" xfId="5178"/>
    <cellStyle name="Normal 3 18 3 2 2" xfId="5179"/>
    <cellStyle name="Normal 3 18 3 3" xfId="5180"/>
    <cellStyle name="Normal 3 18 4" xfId="5181"/>
    <cellStyle name="Normal 3 18 4 2" xfId="5182"/>
    <cellStyle name="Normal 3 18 4 2 2" xfId="5183"/>
    <cellStyle name="Normal 3 18 4 3" xfId="5184"/>
    <cellStyle name="Normal 3 18 5" xfId="5185"/>
    <cellStyle name="Normal 3 18 5 2" xfId="5186"/>
    <cellStyle name="Normal 3 18 5 2 2" xfId="5187"/>
    <cellStyle name="Normal 3 18 5 3" xfId="5188"/>
    <cellStyle name="Normal 3 18 6" xfId="5189"/>
    <cellStyle name="Normal 3 18 6 2" xfId="5190"/>
    <cellStyle name="Normal 3 18 6 2 2" xfId="5191"/>
    <cellStyle name="Normal 3 18 6 3" xfId="5192"/>
    <cellStyle name="Normal 3 18 7" xfId="5193"/>
    <cellStyle name="Normal 3 18 7 2" xfId="5194"/>
    <cellStyle name="Normal 3 18 7 2 2" xfId="5195"/>
    <cellStyle name="Normal 3 18 7 3" xfId="5196"/>
    <cellStyle name="Normal 3 18 8" xfId="5197"/>
    <cellStyle name="Normal 3 18 8 2" xfId="5198"/>
    <cellStyle name="Normal 3 18 8 2 2" xfId="5199"/>
    <cellStyle name="Normal 3 18 8 3" xfId="5200"/>
    <cellStyle name="Normal 3 18 9" xfId="5201"/>
    <cellStyle name="Normal 3 18 9 2" xfId="5202"/>
    <cellStyle name="Normal 3 18 9 2 2" xfId="5203"/>
    <cellStyle name="Normal 3 18 9 3" xfId="5204"/>
    <cellStyle name="Normal 3 19" xfId="5205"/>
    <cellStyle name="Normal 3 19 10" xfId="5206"/>
    <cellStyle name="Normal 3 19 10 2" xfId="5207"/>
    <cellStyle name="Normal 3 19 10 2 2" xfId="5208"/>
    <cellStyle name="Normal 3 19 10 3" xfId="5209"/>
    <cellStyle name="Normal 3 19 11" xfId="5210"/>
    <cellStyle name="Normal 3 19 11 2" xfId="5211"/>
    <cellStyle name="Normal 3 19 11 2 2" xfId="5212"/>
    <cellStyle name="Normal 3 19 11 3" xfId="5213"/>
    <cellStyle name="Normal 3 19 12" xfId="5214"/>
    <cellStyle name="Normal 3 19 12 2" xfId="5215"/>
    <cellStyle name="Normal 3 19 12 2 2" xfId="5216"/>
    <cellStyle name="Normal 3 19 12 3" xfId="5217"/>
    <cellStyle name="Normal 3 19 13" xfId="5218"/>
    <cellStyle name="Normal 3 19 13 2" xfId="5219"/>
    <cellStyle name="Normal 3 19 13 2 2" xfId="5220"/>
    <cellStyle name="Normal 3 19 13 3" xfId="5221"/>
    <cellStyle name="Normal 3 19 14" xfId="5222"/>
    <cellStyle name="Normal 3 19 14 2" xfId="5223"/>
    <cellStyle name="Normal 3 19 14 2 2" xfId="5224"/>
    <cellStyle name="Normal 3 19 14 3" xfId="5225"/>
    <cellStyle name="Normal 3 19 15" xfId="5226"/>
    <cellStyle name="Normal 3 19 15 2" xfId="5227"/>
    <cellStyle name="Normal 3 19 15 2 2" xfId="5228"/>
    <cellStyle name="Normal 3 19 15 3" xfId="5229"/>
    <cellStyle name="Normal 3 19 16" xfId="5230"/>
    <cellStyle name="Normal 3 19 16 2" xfId="5231"/>
    <cellStyle name="Normal 3 19 16 2 2" xfId="5232"/>
    <cellStyle name="Normal 3 19 16 3" xfId="5233"/>
    <cellStyle name="Normal 3 19 17" xfId="5234"/>
    <cellStyle name="Normal 3 19 17 2" xfId="5235"/>
    <cellStyle name="Normal 3 19 17 2 2" xfId="5236"/>
    <cellStyle name="Normal 3 19 17 3" xfId="5237"/>
    <cellStyle name="Normal 3 19 18" xfId="5238"/>
    <cellStyle name="Normal 3 19 18 2" xfId="5239"/>
    <cellStyle name="Normal 3 19 18 2 2" xfId="5240"/>
    <cellStyle name="Normal 3 19 18 3" xfId="5241"/>
    <cellStyle name="Normal 3 19 19" xfId="5242"/>
    <cellStyle name="Normal 3 19 19 2" xfId="5243"/>
    <cellStyle name="Normal 3 19 19 2 2" xfId="5244"/>
    <cellStyle name="Normal 3 19 19 3" xfId="5245"/>
    <cellStyle name="Normal 3 19 2" xfId="5246"/>
    <cellStyle name="Normal 3 19 2 2" xfId="5247"/>
    <cellStyle name="Normal 3 19 2 2 2" xfId="5248"/>
    <cellStyle name="Normal 3 19 2 3" xfId="5249"/>
    <cellStyle name="Normal 3 19 20" xfId="5250"/>
    <cellStyle name="Normal 3 19 20 2" xfId="5251"/>
    <cellStyle name="Normal 3 19 20 2 2" xfId="5252"/>
    <cellStyle name="Normal 3 19 20 3" xfId="5253"/>
    <cellStyle name="Normal 3 19 21" xfId="5254"/>
    <cellStyle name="Normal 3 19 21 2" xfId="5255"/>
    <cellStyle name="Normal 3 19 21 2 2" xfId="5256"/>
    <cellStyle name="Normal 3 19 21 3" xfId="5257"/>
    <cellStyle name="Normal 3 19 22" xfId="5258"/>
    <cellStyle name="Normal 3 19 22 2" xfId="5259"/>
    <cellStyle name="Normal 3 19 22 2 2" xfId="5260"/>
    <cellStyle name="Normal 3 19 22 3" xfId="5261"/>
    <cellStyle name="Normal 3 19 23" xfId="5262"/>
    <cellStyle name="Normal 3 19 23 2" xfId="5263"/>
    <cellStyle name="Normal 3 19 23 2 2" xfId="5264"/>
    <cellStyle name="Normal 3 19 23 3" xfId="5265"/>
    <cellStyle name="Normal 3 19 24" xfId="5266"/>
    <cellStyle name="Normal 3 19 24 2" xfId="5267"/>
    <cellStyle name="Normal 3 19 25" xfId="5268"/>
    <cellStyle name="Normal 3 19 3" xfId="5269"/>
    <cellStyle name="Normal 3 19 3 2" xfId="5270"/>
    <cellStyle name="Normal 3 19 3 2 2" xfId="5271"/>
    <cellStyle name="Normal 3 19 3 3" xfId="5272"/>
    <cellStyle name="Normal 3 19 4" xfId="5273"/>
    <cellStyle name="Normal 3 19 4 2" xfId="5274"/>
    <cellStyle name="Normal 3 19 4 2 2" xfId="5275"/>
    <cellStyle name="Normal 3 19 4 3" xfId="5276"/>
    <cellStyle name="Normal 3 19 5" xfId="5277"/>
    <cellStyle name="Normal 3 19 5 2" xfId="5278"/>
    <cellStyle name="Normal 3 19 5 2 2" xfId="5279"/>
    <cellStyle name="Normal 3 19 5 3" xfId="5280"/>
    <cellStyle name="Normal 3 19 6" xfId="5281"/>
    <cellStyle name="Normal 3 19 6 2" xfId="5282"/>
    <cellStyle name="Normal 3 19 6 2 2" xfId="5283"/>
    <cellStyle name="Normal 3 19 6 3" xfId="5284"/>
    <cellStyle name="Normal 3 19 7" xfId="5285"/>
    <cellStyle name="Normal 3 19 7 2" xfId="5286"/>
    <cellStyle name="Normal 3 19 7 2 2" xfId="5287"/>
    <cellStyle name="Normal 3 19 7 3" xfId="5288"/>
    <cellStyle name="Normal 3 19 8" xfId="5289"/>
    <cellStyle name="Normal 3 19 8 2" xfId="5290"/>
    <cellStyle name="Normal 3 19 8 2 2" xfId="5291"/>
    <cellStyle name="Normal 3 19 8 3" xfId="5292"/>
    <cellStyle name="Normal 3 19 9" xfId="5293"/>
    <cellStyle name="Normal 3 19 9 2" xfId="5294"/>
    <cellStyle name="Normal 3 19 9 2 2" xfId="5295"/>
    <cellStyle name="Normal 3 19 9 3" xfId="5296"/>
    <cellStyle name="Normal 3 2" xfId="181"/>
    <cellStyle name="Normal 3 2 10" xfId="5297"/>
    <cellStyle name="Normal 3 2 10 2" xfId="5298"/>
    <cellStyle name="Normal 3 2 10 2 2" xfId="5299"/>
    <cellStyle name="Normal 3 2 10 3" xfId="5300"/>
    <cellStyle name="Normal 3 2 11" xfId="5301"/>
    <cellStyle name="Normal 3 2 11 2" xfId="5302"/>
    <cellStyle name="Normal 3 2 11 2 2" xfId="5303"/>
    <cellStyle name="Normal 3 2 11 3" xfId="5304"/>
    <cellStyle name="Normal 3 2 12" xfId="5305"/>
    <cellStyle name="Normal 3 2 12 2" xfId="5306"/>
    <cellStyle name="Normal 3 2 12 2 2" xfId="5307"/>
    <cellStyle name="Normal 3 2 12 3" xfId="5308"/>
    <cellStyle name="Normal 3 2 13" xfId="5309"/>
    <cellStyle name="Normal 3 2 13 2" xfId="5310"/>
    <cellStyle name="Normal 3 2 13 2 2" xfId="5311"/>
    <cellStyle name="Normal 3 2 13 3" xfId="5312"/>
    <cellStyle name="Normal 3 2 14" xfId="5313"/>
    <cellStyle name="Normal 3 2 14 2" xfId="5314"/>
    <cellStyle name="Normal 3 2 14 2 2" xfId="5315"/>
    <cellStyle name="Normal 3 2 14 3" xfId="5316"/>
    <cellStyle name="Normal 3 2 15" xfId="5317"/>
    <cellStyle name="Normal 3 2 15 2" xfId="5318"/>
    <cellStyle name="Normal 3 2 15 2 2" xfId="5319"/>
    <cellStyle name="Normal 3 2 15 3" xfId="5320"/>
    <cellStyle name="Normal 3 2 16" xfId="5321"/>
    <cellStyle name="Normal 3 2 16 2" xfId="5322"/>
    <cellStyle name="Normal 3 2 16 2 2" xfId="5323"/>
    <cellStyle name="Normal 3 2 16 3" xfId="5324"/>
    <cellStyle name="Normal 3 2 17" xfId="5325"/>
    <cellStyle name="Normal 3 2 17 2" xfId="5326"/>
    <cellStyle name="Normal 3 2 17 2 2" xfId="5327"/>
    <cellStyle name="Normal 3 2 17 3" xfId="5328"/>
    <cellStyle name="Normal 3 2 18" xfId="5329"/>
    <cellStyle name="Normal 3 2 18 2" xfId="5330"/>
    <cellStyle name="Normal 3 2 18 2 2" xfId="5331"/>
    <cellStyle name="Normal 3 2 18 3" xfId="5332"/>
    <cellStyle name="Normal 3 2 19" xfId="5333"/>
    <cellStyle name="Normal 3 2 19 2" xfId="5334"/>
    <cellStyle name="Normal 3 2 19 2 2" xfId="5335"/>
    <cellStyle name="Normal 3 2 19 3" xfId="5336"/>
    <cellStyle name="Normal 3 2 2" xfId="182"/>
    <cellStyle name="Normal 3 2 2 10" xfId="5337"/>
    <cellStyle name="Normal 3 2 2 10 2" xfId="5338"/>
    <cellStyle name="Normal 3 2 2 10 2 2" xfId="5339"/>
    <cellStyle name="Normal 3 2 2 10 3" xfId="5340"/>
    <cellStyle name="Normal 3 2 2 11" xfId="5341"/>
    <cellStyle name="Normal 3 2 2 11 2" xfId="5342"/>
    <cellStyle name="Normal 3 2 2 11 2 2" xfId="5343"/>
    <cellStyle name="Normal 3 2 2 11 3" xfId="5344"/>
    <cellStyle name="Normal 3 2 2 12" xfId="5345"/>
    <cellStyle name="Normal 3 2 2 12 2" xfId="5346"/>
    <cellStyle name="Normal 3 2 2 12 2 2" xfId="5347"/>
    <cellStyle name="Normal 3 2 2 12 3" xfId="5348"/>
    <cellStyle name="Normal 3 2 2 13" xfId="5349"/>
    <cellStyle name="Normal 3 2 2 13 2" xfId="5350"/>
    <cellStyle name="Normal 3 2 2 13 2 2" xfId="5351"/>
    <cellStyle name="Normal 3 2 2 13 3" xfId="5352"/>
    <cellStyle name="Normal 3 2 2 14" xfId="5353"/>
    <cellStyle name="Normal 3 2 2 14 2" xfId="5354"/>
    <cellStyle name="Normal 3 2 2 14 2 2" xfId="5355"/>
    <cellStyle name="Normal 3 2 2 14 3" xfId="5356"/>
    <cellStyle name="Normal 3 2 2 15" xfId="5357"/>
    <cellStyle name="Normal 3 2 2 15 2" xfId="5358"/>
    <cellStyle name="Normal 3 2 2 15 2 2" xfId="5359"/>
    <cellStyle name="Normal 3 2 2 15 3" xfId="5360"/>
    <cellStyle name="Normal 3 2 2 16" xfId="5361"/>
    <cellStyle name="Normal 3 2 2 16 2" xfId="5362"/>
    <cellStyle name="Normal 3 2 2 16 2 2" xfId="5363"/>
    <cellStyle name="Normal 3 2 2 16 3" xfId="5364"/>
    <cellStyle name="Normal 3 2 2 17" xfId="5365"/>
    <cellStyle name="Normal 3 2 2 17 2" xfId="5366"/>
    <cellStyle name="Normal 3 2 2 17 2 2" xfId="5367"/>
    <cellStyle name="Normal 3 2 2 17 3" xfId="5368"/>
    <cellStyle name="Normal 3 2 2 18" xfId="5369"/>
    <cellStyle name="Normal 3 2 2 18 2" xfId="5370"/>
    <cellStyle name="Normal 3 2 2 18 2 2" xfId="5371"/>
    <cellStyle name="Normal 3 2 2 18 3" xfId="5372"/>
    <cellStyle name="Normal 3 2 2 19" xfId="5373"/>
    <cellStyle name="Normal 3 2 2 19 2" xfId="5374"/>
    <cellStyle name="Normal 3 2 2 19 2 2" xfId="5375"/>
    <cellStyle name="Normal 3 2 2 19 3" xfId="5376"/>
    <cellStyle name="Normal 3 2 2 2" xfId="5377"/>
    <cellStyle name="Normal 3 2 2 2 2" xfId="5378"/>
    <cellStyle name="Normal 3 2 2 2 2 2" xfId="5379"/>
    <cellStyle name="Normal 3 2 2 2 3" xfId="5380"/>
    <cellStyle name="Normal 3 2 2 20" xfId="5381"/>
    <cellStyle name="Normal 3 2 2 20 2" xfId="5382"/>
    <cellStyle name="Normal 3 2 2 20 2 2" xfId="5383"/>
    <cellStyle name="Normal 3 2 2 20 3" xfId="5384"/>
    <cellStyle name="Normal 3 2 2 21" xfId="5385"/>
    <cellStyle name="Normal 3 2 2 21 2" xfId="5386"/>
    <cellStyle name="Normal 3 2 2 21 2 2" xfId="5387"/>
    <cellStyle name="Normal 3 2 2 21 3" xfId="5388"/>
    <cellStyle name="Normal 3 2 2 22" xfId="5389"/>
    <cellStyle name="Normal 3 2 2 22 2" xfId="5390"/>
    <cellStyle name="Normal 3 2 2 22 2 2" xfId="5391"/>
    <cellStyle name="Normal 3 2 2 22 3" xfId="5392"/>
    <cellStyle name="Normal 3 2 2 23" xfId="5393"/>
    <cellStyle name="Normal 3 2 2 23 2" xfId="5394"/>
    <cellStyle name="Normal 3 2 2 23 2 2" xfId="5395"/>
    <cellStyle name="Normal 3 2 2 23 3" xfId="5396"/>
    <cellStyle name="Normal 3 2 2 24" xfId="5397"/>
    <cellStyle name="Normal 3 2 2 24 2" xfId="5398"/>
    <cellStyle name="Normal 3 2 2 24 2 2" xfId="5399"/>
    <cellStyle name="Normal 3 2 2 24 3" xfId="5400"/>
    <cellStyle name="Normal 3 2 2 25" xfId="5401"/>
    <cellStyle name="Normal 3 2 2 25 2" xfId="5402"/>
    <cellStyle name="Normal 3 2 2 25 2 2" xfId="5403"/>
    <cellStyle name="Normal 3 2 2 25 3" xfId="5404"/>
    <cellStyle name="Normal 3 2 2 26" xfId="5405"/>
    <cellStyle name="Normal 3 2 2 26 2" xfId="5406"/>
    <cellStyle name="Normal 3 2 2 26 2 2" xfId="5407"/>
    <cellStyle name="Normal 3 2 2 26 3" xfId="5408"/>
    <cellStyle name="Normal 3 2 2 27" xfId="5409"/>
    <cellStyle name="Normal 3 2 2 27 2" xfId="5410"/>
    <cellStyle name="Normal 3 2 2 27 2 2" xfId="5411"/>
    <cellStyle name="Normal 3 2 2 27 3" xfId="5412"/>
    <cellStyle name="Normal 3 2 2 28" xfId="5413"/>
    <cellStyle name="Normal 3 2 2 28 2" xfId="5414"/>
    <cellStyle name="Normal 3 2 2 28 2 2" xfId="5415"/>
    <cellStyle name="Normal 3 2 2 28 3" xfId="5416"/>
    <cellStyle name="Normal 3 2 2 29" xfId="5417"/>
    <cellStyle name="Normal 3 2 2 29 2" xfId="5418"/>
    <cellStyle name="Normal 3 2 2 29 2 2" xfId="5419"/>
    <cellStyle name="Normal 3 2 2 29 3" xfId="5420"/>
    <cellStyle name="Normal 3 2 2 3" xfId="5421"/>
    <cellStyle name="Normal 3 2 2 3 2" xfId="5422"/>
    <cellStyle name="Normal 3 2 2 3 2 2" xfId="5423"/>
    <cellStyle name="Normal 3 2 2 3 3" xfId="5424"/>
    <cellStyle name="Normal 3 2 2 30" xfId="5425"/>
    <cellStyle name="Normal 3 2 2 30 2" xfId="5426"/>
    <cellStyle name="Normal 3 2 2 30 2 2" xfId="5427"/>
    <cellStyle name="Normal 3 2 2 30 3" xfId="5428"/>
    <cellStyle name="Normal 3 2 2 31" xfId="5429"/>
    <cellStyle name="Normal 3 2 2 31 2" xfId="5430"/>
    <cellStyle name="Normal 3 2 2 31 2 2" xfId="5431"/>
    <cellStyle name="Normal 3 2 2 31 3" xfId="5432"/>
    <cellStyle name="Normal 3 2 2 32" xfId="5433"/>
    <cellStyle name="Normal 3 2 2 32 2" xfId="5434"/>
    <cellStyle name="Normal 3 2 2 32 2 2" xfId="5435"/>
    <cellStyle name="Normal 3 2 2 32 3" xfId="5436"/>
    <cellStyle name="Normal 3 2 2 33" xfId="5437"/>
    <cellStyle name="Normal 3 2 2 33 2" xfId="5438"/>
    <cellStyle name="Normal 3 2 2 33 2 2" xfId="5439"/>
    <cellStyle name="Normal 3 2 2 33 3" xfId="5440"/>
    <cellStyle name="Normal 3 2 2 34" xfId="5441"/>
    <cellStyle name="Normal 3 2 2 34 2" xfId="5442"/>
    <cellStyle name="Normal 3 2 2 35" xfId="5443"/>
    <cellStyle name="Normal 3 2 2 4" xfId="5444"/>
    <cellStyle name="Normal 3 2 2 4 2" xfId="5445"/>
    <cellStyle name="Normal 3 2 2 4 2 2" xfId="5446"/>
    <cellStyle name="Normal 3 2 2 4 3" xfId="5447"/>
    <cellStyle name="Normal 3 2 2 5" xfId="5448"/>
    <cellStyle name="Normal 3 2 2 5 2" xfId="5449"/>
    <cellStyle name="Normal 3 2 2 5 2 2" xfId="5450"/>
    <cellStyle name="Normal 3 2 2 5 3" xfId="5451"/>
    <cellStyle name="Normal 3 2 2 6" xfId="5452"/>
    <cellStyle name="Normal 3 2 2 6 2" xfId="5453"/>
    <cellStyle name="Normal 3 2 2 6 2 2" xfId="5454"/>
    <cellStyle name="Normal 3 2 2 6 3" xfId="5455"/>
    <cellStyle name="Normal 3 2 2 7" xfId="5456"/>
    <cellStyle name="Normal 3 2 2 7 2" xfId="5457"/>
    <cellStyle name="Normal 3 2 2 7 2 2" xfId="5458"/>
    <cellStyle name="Normal 3 2 2 7 3" xfId="5459"/>
    <cellStyle name="Normal 3 2 2 8" xfId="5460"/>
    <cellStyle name="Normal 3 2 2 8 2" xfId="5461"/>
    <cellStyle name="Normal 3 2 2 8 2 2" xfId="5462"/>
    <cellStyle name="Normal 3 2 2 8 3" xfId="5463"/>
    <cellStyle name="Normal 3 2 2 9" xfId="5464"/>
    <cellStyle name="Normal 3 2 2 9 2" xfId="5465"/>
    <cellStyle name="Normal 3 2 2 9 2 2" xfId="5466"/>
    <cellStyle name="Normal 3 2 2 9 3" xfId="5467"/>
    <cellStyle name="Normal 3 2 20" xfId="5468"/>
    <cellStyle name="Normal 3 2 20 2" xfId="5469"/>
    <cellStyle name="Normal 3 2 20 2 2" xfId="5470"/>
    <cellStyle name="Normal 3 2 20 3" xfId="5471"/>
    <cellStyle name="Normal 3 2 21" xfId="5472"/>
    <cellStyle name="Normal 3 2 21 2" xfId="5473"/>
    <cellStyle name="Normal 3 2 21 2 2" xfId="5474"/>
    <cellStyle name="Normal 3 2 21 3" xfId="5475"/>
    <cellStyle name="Normal 3 2 22" xfId="5476"/>
    <cellStyle name="Normal 3 2 22 2" xfId="5477"/>
    <cellStyle name="Normal 3 2 22 2 2" xfId="5478"/>
    <cellStyle name="Normal 3 2 22 3" xfId="5479"/>
    <cellStyle name="Normal 3 2 23" xfId="5480"/>
    <cellStyle name="Normal 3 2 23 2" xfId="5481"/>
    <cellStyle name="Normal 3 2 23 2 2" xfId="5482"/>
    <cellStyle name="Normal 3 2 23 3" xfId="5483"/>
    <cellStyle name="Normal 3 2 24" xfId="5484"/>
    <cellStyle name="Normal 3 2 24 2" xfId="5485"/>
    <cellStyle name="Normal 3 2 24 2 2" xfId="5486"/>
    <cellStyle name="Normal 3 2 24 3" xfId="5487"/>
    <cellStyle name="Normal 3 2 25" xfId="5488"/>
    <cellStyle name="Normal 3 2 25 2" xfId="5489"/>
    <cellStyle name="Normal 3 2 25 2 2" xfId="5490"/>
    <cellStyle name="Normal 3 2 25 3" xfId="5491"/>
    <cellStyle name="Normal 3 2 26" xfId="5492"/>
    <cellStyle name="Normal 3 2 26 2" xfId="5493"/>
    <cellStyle name="Normal 3 2 26 2 2" xfId="5494"/>
    <cellStyle name="Normal 3 2 26 3" xfId="5495"/>
    <cellStyle name="Normal 3 2 27" xfId="5496"/>
    <cellStyle name="Normal 3 2 27 2" xfId="5497"/>
    <cellStyle name="Normal 3 2 27 2 2" xfId="5498"/>
    <cellStyle name="Normal 3 2 27 3" xfId="5499"/>
    <cellStyle name="Normal 3 2 28" xfId="5500"/>
    <cellStyle name="Normal 3 2 28 2" xfId="5501"/>
    <cellStyle name="Normal 3 2 28 2 2" xfId="5502"/>
    <cellStyle name="Normal 3 2 28 3" xfId="5503"/>
    <cellStyle name="Normal 3 2 29" xfId="5504"/>
    <cellStyle name="Normal 3 2 29 2" xfId="5505"/>
    <cellStyle name="Normal 3 2 29 2 2" xfId="5506"/>
    <cellStyle name="Normal 3 2 29 3" xfId="5507"/>
    <cellStyle name="Normal 3 2 3" xfId="325"/>
    <cellStyle name="Normal 3 2 3 2" xfId="5508"/>
    <cellStyle name="Normal 3 2 3 2 2" xfId="5509"/>
    <cellStyle name="Normal 3 2 3 3" xfId="5510"/>
    <cellStyle name="Normal 3 2 30" xfId="5511"/>
    <cellStyle name="Normal 3 2 30 2" xfId="5512"/>
    <cellStyle name="Normal 3 2 30 2 2" xfId="5513"/>
    <cellStyle name="Normal 3 2 30 3" xfId="5514"/>
    <cellStyle name="Normal 3 2 31" xfId="5515"/>
    <cellStyle name="Normal 3 2 31 2" xfId="5516"/>
    <cellStyle name="Normal 3 2 31 2 2" xfId="5517"/>
    <cellStyle name="Normal 3 2 31 3" xfId="5518"/>
    <cellStyle name="Normal 3 2 32" xfId="5519"/>
    <cellStyle name="Normal 3 2 32 2" xfId="5520"/>
    <cellStyle name="Normal 3 2 32 2 2" xfId="5521"/>
    <cellStyle name="Normal 3 2 32 3" xfId="5522"/>
    <cellStyle name="Normal 3 2 33" xfId="5523"/>
    <cellStyle name="Normal 3 2 33 2" xfId="5524"/>
    <cellStyle name="Normal 3 2 33 2 2" xfId="5525"/>
    <cellStyle name="Normal 3 2 33 3" xfId="5526"/>
    <cellStyle name="Normal 3 2 34" xfId="5527"/>
    <cellStyle name="Normal 3 2 34 2" xfId="5528"/>
    <cellStyle name="Normal 3 2 34 2 2" xfId="5529"/>
    <cellStyle name="Normal 3 2 34 3" xfId="5530"/>
    <cellStyle name="Normal 3 2 35" xfId="5531"/>
    <cellStyle name="Normal 3 2 35 2" xfId="5532"/>
    <cellStyle name="Normal 3 2 35 2 2" xfId="5533"/>
    <cellStyle name="Normal 3 2 35 3" xfId="5534"/>
    <cellStyle name="Normal 3 2 36" xfId="5535"/>
    <cellStyle name="Normal 3 2 36 2" xfId="5536"/>
    <cellStyle name="Normal 3 2 36 2 2" xfId="5537"/>
    <cellStyle name="Normal 3 2 36 3" xfId="5538"/>
    <cellStyle name="Normal 3 2 37" xfId="5539"/>
    <cellStyle name="Normal 3 2 37 2" xfId="5540"/>
    <cellStyle name="Normal 3 2 37 2 2" xfId="5541"/>
    <cellStyle name="Normal 3 2 37 3" xfId="5542"/>
    <cellStyle name="Normal 3 2 38" xfId="5543"/>
    <cellStyle name="Normal 3 2 38 2" xfId="5544"/>
    <cellStyle name="Normal 3 2 38 2 2" xfId="5545"/>
    <cellStyle name="Normal 3 2 38 3" xfId="5546"/>
    <cellStyle name="Normal 3 2 39" xfId="5547"/>
    <cellStyle name="Normal 3 2 39 2" xfId="5548"/>
    <cellStyle name="Normal 3 2 39 2 2" xfId="5549"/>
    <cellStyle name="Normal 3 2 39 3" xfId="5550"/>
    <cellStyle name="Normal 3 2 4" xfId="5551"/>
    <cellStyle name="Normal 3 2 4 2" xfId="5552"/>
    <cellStyle name="Normal 3 2 4 2 2" xfId="5553"/>
    <cellStyle name="Normal 3 2 4 3" xfId="5554"/>
    <cellStyle name="Normal 3 2 40" xfId="5555"/>
    <cellStyle name="Normal 3 2 40 2" xfId="5556"/>
    <cellStyle name="Normal 3 2 40 2 2" xfId="5557"/>
    <cellStyle name="Normal 3 2 40 3" xfId="5558"/>
    <cellStyle name="Normal 3 2 41" xfId="5559"/>
    <cellStyle name="Normal 3 2 41 2" xfId="5560"/>
    <cellStyle name="Normal 3 2 41 2 2" xfId="5561"/>
    <cellStyle name="Normal 3 2 41 3" xfId="5562"/>
    <cellStyle name="Normal 3 2 42" xfId="5563"/>
    <cellStyle name="Normal 3 2 42 2" xfId="5564"/>
    <cellStyle name="Normal 3 2 42 2 2" xfId="5565"/>
    <cellStyle name="Normal 3 2 42 3" xfId="5566"/>
    <cellStyle name="Normal 3 2 43" xfId="5567"/>
    <cellStyle name="Normal 3 2 43 2" xfId="5568"/>
    <cellStyle name="Normal 3 2 43 2 2" xfId="5569"/>
    <cellStyle name="Normal 3 2 43 3" xfId="5570"/>
    <cellStyle name="Normal 3 2 44" xfId="5571"/>
    <cellStyle name="Normal 3 2 44 2" xfId="5572"/>
    <cellStyle name="Normal 3 2 44 2 2" xfId="5573"/>
    <cellStyle name="Normal 3 2 44 3" xfId="5574"/>
    <cellStyle name="Normal 3 2 45" xfId="5575"/>
    <cellStyle name="Normal 3 2 45 2" xfId="5576"/>
    <cellStyle name="Normal 3 2 45 2 2" xfId="5577"/>
    <cellStyle name="Normal 3 2 45 3" xfId="5578"/>
    <cellStyle name="Normal 3 2 46" xfId="5579"/>
    <cellStyle name="Normal 3 2 46 2" xfId="5580"/>
    <cellStyle name="Normal 3 2 46 2 2" xfId="5581"/>
    <cellStyle name="Normal 3 2 46 3" xfId="5582"/>
    <cellStyle name="Normal 3 2 47" xfId="5583"/>
    <cellStyle name="Normal 3 2 47 2" xfId="5584"/>
    <cellStyle name="Normal 3 2 47 2 2" xfId="5585"/>
    <cellStyle name="Normal 3 2 47 3" xfId="5586"/>
    <cellStyle name="Normal 3 2 48" xfId="5587"/>
    <cellStyle name="Normal 3 2 48 2" xfId="5588"/>
    <cellStyle name="Normal 3 2 48 2 2" xfId="5589"/>
    <cellStyle name="Normal 3 2 48 3" xfId="5590"/>
    <cellStyle name="Normal 3 2 49" xfId="5591"/>
    <cellStyle name="Normal 3 2 49 2" xfId="5592"/>
    <cellStyle name="Normal 3 2 49 2 2" xfId="5593"/>
    <cellStyle name="Normal 3 2 49 3" xfId="5594"/>
    <cellStyle name="Normal 3 2 5" xfId="5595"/>
    <cellStyle name="Normal 3 2 5 2" xfId="5596"/>
    <cellStyle name="Normal 3 2 5 2 2" xfId="5597"/>
    <cellStyle name="Normal 3 2 5 3" xfId="5598"/>
    <cellStyle name="Normal 3 2 50" xfId="5599"/>
    <cellStyle name="Normal 3 2 50 2" xfId="5600"/>
    <cellStyle name="Normal 3 2 50 2 2" xfId="5601"/>
    <cellStyle name="Normal 3 2 50 3" xfId="5602"/>
    <cellStyle name="Normal 3 2 51" xfId="5603"/>
    <cellStyle name="Normal 3 2 51 2" xfId="5604"/>
    <cellStyle name="Normal 3 2 51 2 2" xfId="5605"/>
    <cellStyle name="Normal 3 2 51 3" xfId="5606"/>
    <cellStyle name="Normal 3 2 52" xfId="5607"/>
    <cellStyle name="Normal 3 2 52 2" xfId="5608"/>
    <cellStyle name="Normal 3 2 52 2 2" xfId="5609"/>
    <cellStyle name="Normal 3 2 52 3" xfId="5610"/>
    <cellStyle name="Normal 3 2 53" xfId="5611"/>
    <cellStyle name="Normal 3 2 53 2" xfId="5612"/>
    <cellStyle name="Normal 3 2 53 2 2" xfId="5613"/>
    <cellStyle name="Normal 3 2 53 3" xfId="5614"/>
    <cellStyle name="Normal 3 2 54" xfId="5615"/>
    <cellStyle name="Normal 3 2 54 2" xfId="5616"/>
    <cellStyle name="Normal 3 2 54 2 2" xfId="5617"/>
    <cellStyle name="Normal 3 2 54 3" xfId="5618"/>
    <cellStyle name="Normal 3 2 55" xfId="5619"/>
    <cellStyle name="Normal 3 2 55 2" xfId="5620"/>
    <cellStyle name="Normal 3 2 55 2 2" xfId="5621"/>
    <cellStyle name="Normal 3 2 55 3" xfId="5622"/>
    <cellStyle name="Normal 3 2 56" xfId="5623"/>
    <cellStyle name="Normal 3 2 57" xfId="5624"/>
    <cellStyle name="Normal 3 2 57 2" xfId="5625"/>
    <cellStyle name="Normal 3 2 58" xfId="5626"/>
    <cellStyle name="Normal 3 2 59" xfId="5627"/>
    <cellStyle name="Normal 3 2 6" xfId="5628"/>
    <cellStyle name="Normal 3 2 6 2" xfId="5629"/>
    <cellStyle name="Normal 3 2 6 2 2" xfId="5630"/>
    <cellStyle name="Normal 3 2 6 3" xfId="5631"/>
    <cellStyle name="Normal 3 2 60" xfId="5632"/>
    <cellStyle name="Normal 3 2 7" xfId="5633"/>
    <cellStyle name="Normal 3 2 7 2" xfId="5634"/>
    <cellStyle name="Normal 3 2 7 2 2" xfId="5635"/>
    <cellStyle name="Normal 3 2 7 3" xfId="5636"/>
    <cellStyle name="Normal 3 2 8" xfId="5637"/>
    <cellStyle name="Normal 3 2 8 2" xfId="5638"/>
    <cellStyle name="Normal 3 2 8 2 2" xfId="5639"/>
    <cellStyle name="Normal 3 2 8 3" xfId="5640"/>
    <cellStyle name="Normal 3 2 9" xfId="5641"/>
    <cellStyle name="Normal 3 2 9 2" xfId="5642"/>
    <cellStyle name="Normal 3 2 9 2 2" xfId="5643"/>
    <cellStyle name="Normal 3 2 9 3" xfId="5644"/>
    <cellStyle name="Normal 3 20" xfId="5645"/>
    <cellStyle name="Normal 3 20 10" xfId="5646"/>
    <cellStyle name="Normal 3 20 10 2" xfId="5647"/>
    <cellStyle name="Normal 3 20 10 2 2" xfId="5648"/>
    <cellStyle name="Normal 3 20 10 3" xfId="5649"/>
    <cellStyle name="Normal 3 20 11" xfId="5650"/>
    <cellStyle name="Normal 3 20 11 2" xfId="5651"/>
    <cellStyle name="Normal 3 20 11 2 2" xfId="5652"/>
    <cellStyle name="Normal 3 20 11 3" xfId="5653"/>
    <cellStyle name="Normal 3 20 12" xfId="5654"/>
    <cellStyle name="Normal 3 20 12 2" xfId="5655"/>
    <cellStyle name="Normal 3 20 12 2 2" xfId="5656"/>
    <cellStyle name="Normal 3 20 12 3" xfId="5657"/>
    <cellStyle name="Normal 3 20 13" xfId="5658"/>
    <cellStyle name="Normal 3 20 13 2" xfId="5659"/>
    <cellStyle name="Normal 3 20 13 2 2" xfId="5660"/>
    <cellStyle name="Normal 3 20 13 3" xfId="5661"/>
    <cellStyle name="Normal 3 20 14" xfId="5662"/>
    <cellStyle name="Normal 3 20 14 2" xfId="5663"/>
    <cellStyle name="Normal 3 20 14 2 2" xfId="5664"/>
    <cellStyle name="Normal 3 20 14 3" xfId="5665"/>
    <cellStyle name="Normal 3 20 15" xfId="5666"/>
    <cellStyle name="Normal 3 20 15 2" xfId="5667"/>
    <cellStyle name="Normal 3 20 15 2 2" xfId="5668"/>
    <cellStyle name="Normal 3 20 15 3" xfId="5669"/>
    <cellStyle name="Normal 3 20 16" xfId="5670"/>
    <cellStyle name="Normal 3 20 16 2" xfId="5671"/>
    <cellStyle name="Normal 3 20 16 2 2" xfId="5672"/>
    <cellStyle name="Normal 3 20 16 3" xfId="5673"/>
    <cellStyle name="Normal 3 20 17" xfId="5674"/>
    <cellStyle name="Normal 3 20 17 2" xfId="5675"/>
    <cellStyle name="Normal 3 20 17 2 2" xfId="5676"/>
    <cellStyle name="Normal 3 20 17 3" xfId="5677"/>
    <cellStyle name="Normal 3 20 18" xfId="5678"/>
    <cellStyle name="Normal 3 20 18 2" xfId="5679"/>
    <cellStyle name="Normal 3 20 18 2 2" xfId="5680"/>
    <cellStyle name="Normal 3 20 18 3" xfId="5681"/>
    <cellStyle name="Normal 3 20 19" xfId="5682"/>
    <cellStyle name="Normal 3 20 19 2" xfId="5683"/>
    <cellStyle name="Normal 3 20 19 2 2" xfId="5684"/>
    <cellStyle name="Normal 3 20 19 3" xfId="5685"/>
    <cellStyle name="Normal 3 20 2" xfId="5686"/>
    <cellStyle name="Normal 3 20 2 2" xfId="5687"/>
    <cellStyle name="Normal 3 20 2 2 2" xfId="5688"/>
    <cellStyle name="Normal 3 20 2 3" xfId="5689"/>
    <cellStyle name="Normal 3 20 20" xfId="5690"/>
    <cellStyle name="Normal 3 20 20 2" xfId="5691"/>
    <cellStyle name="Normal 3 20 20 2 2" xfId="5692"/>
    <cellStyle name="Normal 3 20 20 3" xfId="5693"/>
    <cellStyle name="Normal 3 20 21" xfId="5694"/>
    <cellStyle name="Normal 3 20 21 2" xfId="5695"/>
    <cellStyle name="Normal 3 20 21 2 2" xfId="5696"/>
    <cellStyle name="Normal 3 20 21 3" xfId="5697"/>
    <cellStyle name="Normal 3 20 22" xfId="5698"/>
    <cellStyle name="Normal 3 20 22 2" xfId="5699"/>
    <cellStyle name="Normal 3 20 22 2 2" xfId="5700"/>
    <cellStyle name="Normal 3 20 22 3" xfId="5701"/>
    <cellStyle name="Normal 3 20 23" xfId="5702"/>
    <cellStyle name="Normal 3 20 23 2" xfId="5703"/>
    <cellStyle name="Normal 3 20 23 2 2" xfId="5704"/>
    <cellStyle name="Normal 3 20 23 3" xfId="5705"/>
    <cellStyle name="Normal 3 20 24" xfId="5706"/>
    <cellStyle name="Normal 3 20 24 2" xfId="5707"/>
    <cellStyle name="Normal 3 20 25" xfId="5708"/>
    <cellStyle name="Normal 3 20 3" xfId="5709"/>
    <cellStyle name="Normal 3 20 3 2" xfId="5710"/>
    <cellStyle name="Normal 3 20 3 2 2" xfId="5711"/>
    <cellStyle name="Normal 3 20 3 3" xfId="5712"/>
    <cellStyle name="Normal 3 20 4" xfId="5713"/>
    <cellStyle name="Normal 3 20 4 2" xfId="5714"/>
    <cellStyle name="Normal 3 20 4 2 2" xfId="5715"/>
    <cellStyle name="Normal 3 20 4 3" xfId="5716"/>
    <cellStyle name="Normal 3 20 5" xfId="5717"/>
    <cellStyle name="Normal 3 20 5 2" xfId="5718"/>
    <cellStyle name="Normal 3 20 5 2 2" xfId="5719"/>
    <cellStyle name="Normal 3 20 5 3" xfId="5720"/>
    <cellStyle name="Normal 3 20 6" xfId="5721"/>
    <cellStyle name="Normal 3 20 6 2" xfId="5722"/>
    <cellStyle name="Normal 3 20 6 2 2" xfId="5723"/>
    <cellStyle name="Normal 3 20 6 3" xfId="5724"/>
    <cellStyle name="Normal 3 20 7" xfId="5725"/>
    <cellStyle name="Normal 3 20 7 2" xfId="5726"/>
    <cellStyle name="Normal 3 20 7 2 2" xfId="5727"/>
    <cellStyle name="Normal 3 20 7 3" xfId="5728"/>
    <cellStyle name="Normal 3 20 8" xfId="5729"/>
    <cellStyle name="Normal 3 20 8 2" xfId="5730"/>
    <cellStyle name="Normal 3 20 8 2 2" xfId="5731"/>
    <cellStyle name="Normal 3 20 8 3" xfId="5732"/>
    <cellStyle name="Normal 3 20 9" xfId="5733"/>
    <cellStyle name="Normal 3 20 9 2" xfId="5734"/>
    <cellStyle name="Normal 3 20 9 2 2" xfId="5735"/>
    <cellStyle name="Normal 3 20 9 3" xfId="5736"/>
    <cellStyle name="Normal 3 21" xfId="5737"/>
    <cellStyle name="Normal 3 21 10" xfId="5738"/>
    <cellStyle name="Normal 3 21 10 2" xfId="5739"/>
    <cellStyle name="Normal 3 21 10 2 2" xfId="5740"/>
    <cellStyle name="Normal 3 21 10 3" xfId="5741"/>
    <cellStyle name="Normal 3 21 11" xfId="5742"/>
    <cellStyle name="Normal 3 21 11 2" xfId="5743"/>
    <cellStyle name="Normal 3 21 11 2 2" xfId="5744"/>
    <cellStyle name="Normal 3 21 11 3" xfId="5745"/>
    <cellStyle name="Normal 3 21 12" xfId="5746"/>
    <cellStyle name="Normal 3 21 12 2" xfId="5747"/>
    <cellStyle name="Normal 3 21 12 2 2" xfId="5748"/>
    <cellStyle name="Normal 3 21 12 3" xfId="5749"/>
    <cellStyle name="Normal 3 21 13" xfId="5750"/>
    <cellStyle name="Normal 3 21 13 2" xfId="5751"/>
    <cellStyle name="Normal 3 21 13 2 2" xfId="5752"/>
    <cellStyle name="Normal 3 21 13 3" xfId="5753"/>
    <cellStyle name="Normal 3 21 14" xfId="5754"/>
    <cellStyle name="Normal 3 21 14 2" xfId="5755"/>
    <cellStyle name="Normal 3 21 14 2 2" xfId="5756"/>
    <cellStyle name="Normal 3 21 14 3" xfId="5757"/>
    <cellStyle name="Normal 3 21 15" xfId="5758"/>
    <cellStyle name="Normal 3 21 15 2" xfId="5759"/>
    <cellStyle name="Normal 3 21 15 2 2" xfId="5760"/>
    <cellStyle name="Normal 3 21 15 3" xfId="5761"/>
    <cellStyle name="Normal 3 21 16" xfId="5762"/>
    <cellStyle name="Normal 3 21 16 2" xfId="5763"/>
    <cellStyle name="Normal 3 21 16 2 2" xfId="5764"/>
    <cellStyle name="Normal 3 21 16 3" xfId="5765"/>
    <cellStyle name="Normal 3 21 17" xfId="5766"/>
    <cellStyle name="Normal 3 21 17 2" xfId="5767"/>
    <cellStyle name="Normal 3 21 17 2 2" xfId="5768"/>
    <cellStyle name="Normal 3 21 17 3" xfId="5769"/>
    <cellStyle name="Normal 3 21 18" xfId="5770"/>
    <cellStyle name="Normal 3 21 18 2" xfId="5771"/>
    <cellStyle name="Normal 3 21 18 2 2" xfId="5772"/>
    <cellStyle name="Normal 3 21 18 3" xfId="5773"/>
    <cellStyle name="Normal 3 21 19" xfId="5774"/>
    <cellStyle name="Normal 3 21 19 2" xfId="5775"/>
    <cellStyle name="Normal 3 21 19 2 2" xfId="5776"/>
    <cellStyle name="Normal 3 21 19 3" xfId="5777"/>
    <cellStyle name="Normal 3 21 2" xfId="5778"/>
    <cellStyle name="Normal 3 21 2 2" xfId="5779"/>
    <cellStyle name="Normal 3 21 2 2 2" xfId="5780"/>
    <cellStyle name="Normal 3 21 2 3" xfId="5781"/>
    <cellStyle name="Normal 3 21 20" xfId="5782"/>
    <cellStyle name="Normal 3 21 20 2" xfId="5783"/>
    <cellStyle name="Normal 3 21 20 2 2" xfId="5784"/>
    <cellStyle name="Normal 3 21 20 3" xfId="5785"/>
    <cellStyle name="Normal 3 21 21" xfId="5786"/>
    <cellStyle name="Normal 3 21 21 2" xfId="5787"/>
    <cellStyle name="Normal 3 21 21 2 2" xfId="5788"/>
    <cellStyle name="Normal 3 21 21 3" xfId="5789"/>
    <cellStyle name="Normal 3 21 22" xfId="5790"/>
    <cellStyle name="Normal 3 21 22 2" xfId="5791"/>
    <cellStyle name="Normal 3 21 22 2 2" xfId="5792"/>
    <cellStyle name="Normal 3 21 22 3" xfId="5793"/>
    <cellStyle name="Normal 3 21 23" xfId="5794"/>
    <cellStyle name="Normal 3 21 23 2" xfId="5795"/>
    <cellStyle name="Normal 3 21 23 2 2" xfId="5796"/>
    <cellStyle name="Normal 3 21 23 3" xfId="5797"/>
    <cellStyle name="Normal 3 21 24" xfId="5798"/>
    <cellStyle name="Normal 3 21 24 2" xfId="5799"/>
    <cellStyle name="Normal 3 21 25" xfId="5800"/>
    <cellStyle name="Normal 3 21 3" xfId="5801"/>
    <cellStyle name="Normal 3 21 3 2" xfId="5802"/>
    <cellStyle name="Normal 3 21 3 2 2" xfId="5803"/>
    <cellStyle name="Normal 3 21 3 3" xfId="5804"/>
    <cellStyle name="Normal 3 21 4" xfId="5805"/>
    <cellStyle name="Normal 3 21 4 2" xfId="5806"/>
    <cellStyle name="Normal 3 21 4 2 2" xfId="5807"/>
    <cellStyle name="Normal 3 21 4 3" xfId="5808"/>
    <cellStyle name="Normal 3 21 5" xfId="5809"/>
    <cellStyle name="Normal 3 21 5 2" xfId="5810"/>
    <cellStyle name="Normal 3 21 5 2 2" xfId="5811"/>
    <cellStyle name="Normal 3 21 5 3" xfId="5812"/>
    <cellStyle name="Normal 3 21 6" xfId="5813"/>
    <cellStyle name="Normal 3 21 6 2" xfId="5814"/>
    <cellStyle name="Normal 3 21 6 2 2" xfId="5815"/>
    <cellStyle name="Normal 3 21 6 3" xfId="5816"/>
    <cellStyle name="Normal 3 21 7" xfId="5817"/>
    <cellStyle name="Normal 3 21 7 2" xfId="5818"/>
    <cellStyle name="Normal 3 21 7 2 2" xfId="5819"/>
    <cellStyle name="Normal 3 21 7 3" xfId="5820"/>
    <cellStyle name="Normal 3 21 8" xfId="5821"/>
    <cellStyle name="Normal 3 21 8 2" xfId="5822"/>
    <cellStyle name="Normal 3 21 8 2 2" xfId="5823"/>
    <cellStyle name="Normal 3 21 8 3" xfId="5824"/>
    <cellStyle name="Normal 3 21 9" xfId="5825"/>
    <cellStyle name="Normal 3 21 9 2" xfId="5826"/>
    <cellStyle name="Normal 3 21 9 2 2" xfId="5827"/>
    <cellStyle name="Normal 3 21 9 3" xfId="5828"/>
    <cellStyle name="Normal 3 22" xfId="5829"/>
    <cellStyle name="Normal 3 22 10" xfId="5830"/>
    <cellStyle name="Normal 3 22 10 2" xfId="5831"/>
    <cellStyle name="Normal 3 22 10 2 2" xfId="5832"/>
    <cellStyle name="Normal 3 22 10 3" xfId="5833"/>
    <cellStyle name="Normal 3 22 11" xfId="5834"/>
    <cellStyle name="Normal 3 22 11 2" xfId="5835"/>
    <cellStyle name="Normal 3 22 11 2 2" xfId="5836"/>
    <cellStyle name="Normal 3 22 11 3" xfId="5837"/>
    <cellStyle name="Normal 3 22 12" xfId="5838"/>
    <cellStyle name="Normal 3 22 12 2" xfId="5839"/>
    <cellStyle name="Normal 3 22 12 2 2" xfId="5840"/>
    <cellStyle name="Normal 3 22 12 3" xfId="5841"/>
    <cellStyle name="Normal 3 22 13" xfId="5842"/>
    <cellStyle name="Normal 3 22 13 2" xfId="5843"/>
    <cellStyle name="Normal 3 22 13 2 2" xfId="5844"/>
    <cellStyle name="Normal 3 22 13 3" xfId="5845"/>
    <cellStyle name="Normal 3 22 14" xfId="5846"/>
    <cellStyle name="Normal 3 22 14 2" xfId="5847"/>
    <cellStyle name="Normal 3 22 14 2 2" xfId="5848"/>
    <cellStyle name="Normal 3 22 14 3" xfId="5849"/>
    <cellStyle name="Normal 3 22 15" xfId="5850"/>
    <cellStyle name="Normal 3 22 15 2" xfId="5851"/>
    <cellStyle name="Normal 3 22 15 2 2" xfId="5852"/>
    <cellStyle name="Normal 3 22 15 3" xfId="5853"/>
    <cellStyle name="Normal 3 22 16" xfId="5854"/>
    <cellStyle name="Normal 3 22 16 2" xfId="5855"/>
    <cellStyle name="Normal 3 22 16 2 2" xfId="5856"/>
    <cellStyle name="Normal 3 22 16 3" xfId="5857"/>
    <cellStyle name="Normal 3 22 17" xfId="5858"/>
    <cellStyle name="Normal 3 22 17 2" xfId="5859"/>
    <cellStyle name="Normal 3 22 17 2 2" xfId="5860"/>
    <cellStyle name="Normal 3 22 17 3" xfId="5861"/>
    <cellStyle name="Normal 3 22 18" xfId="5862"/>
    <cellStyle name="Normal 3 22 18 2" xfId="5863"/>
    <cellStyle name="Normal 3 22 18 2 2" xfId="5864"/>
    <cellStyle name="Normal 3 22 18 3" xfId="5865"/>
    <cellStyle name="Normal 3 22 19" xfId="5866"/>
    <cellStyle name="Normal 3 22 19 2" xfId="5867"/>
    <cellStyle name="Normal 3 22 19 2 2" xfId="5868"/>
    <cellStyle name="Normal 3 22 19 3" xfId="5869"/>
    <cellStyle name="Normal 3 22 2" xfId="5870"/>
    <cellStyle name="Normal 3 22 2 2" xfId="5871"/>
    <cellStyle name="Normal 3 22 2 2 2" xfId="5872"/>
    <cellStyle name="Normal 3 22 2 3" xfId="5873"/>
    <cellStyle name="Normal 3 22 20" xfId="5874"/>
    <cellStyle name="Normal 3 22 20 2" xfId="5875"/>
    <cellStyle name="Normal 3 22 20 2 2" xfId="5876"/>
    <cellStyle name="Normal 3 22 20 3" xfId="5877"/>
    <cellStyle name="Normal 3 22 21" xfId="5878"/>
    <cellStyle name="Normal 3 22 21 2" xfId="5879"/>
    <cellStyle name="Normal 3 22 21 2 2" xfId="5880"/>
    <cellStyle name="Normal 3 22 21 3" xfId="5881"/>
    <cellStyle name="Normal 3 22 22" xfId="5882"/>
    <cellStyle name="Normal 3 22 22 2" xfId="5883"/>
    <cellStyle name="Normal 3 22 22 2 2" xfId="5884"/>
    <cellStyle name="Normal 3 22 22 3" xfId="5885"/>
    <cellStyle name="Normal 3 22 23" xfId="5886"/>
    <cellStyle name="Normal 3 22 23 2" xfId="5887"/>
    <cellStyle name="Normal 3 22 23 2 2" xfId="5888"/>
    <cellStyle name="Normal 3 22 23 3" xfId="5889"/>
    <cellStyle name="Normal 3 22 24" xfId="5890"/>
    <cellStyle name="Normal 3 22 24 2" xfId="5891"/>
    <cellStyle name="Normal 3 22 25" xfId="5892"/>
    <cellStyle name="Normal 3 22 3" xfId="5893"/>
    <cellStyle name="Normal 3 22 3 2" xfId="5894"/>
    <cellStyle name="Normal 3 22 3 2 2" xfId="5895"/>
    <cellStyle name="Normal 3 22 3 3" xfId="5896"/>
    <cellStyle name="Normal 3 22 4" xfId="5897"/>
    <cellStyle name="Normal 3 22 4 2" xfId="5898"/>
    <cellStyle name="Normal 3 22 4 2 2" xfId="5899"/>
    <cellStyle name="Normal 3 22 4 3" xfId="5900"/>
    <cellStyle name="Normal 3 22 5" xfId="5901"/>
    <cellStyle name="Normal 3 22 5 2" xfId="5902"/>
    <cellStyle name="Normal 3 22 5 2 2" xfId="5903"/>
    <cellStyle name="Normal 3 22 5 3" xfId="5904"/>
    <cellStyle name="Normal 3 22 6" xfId="5905"/>
    <cellStyle name="Normal 3 22 6 2" xfId="5906"/>
    <cellStyle name="Normal 3 22 6 2 2" xfId="5907"/>
    <cellStyle name="Normal 3 22 6 3" xfId="5908"/>
    <cellStyle name="Normal 3 22 7" xfId="5909"/>
    <cellStyle name="Normal 3 22 7 2" xfId="5910"/>
    <cellStyle name="Normal 3 22 7 2 2" xfId="5911"/>
    <cellStyle name="Normal 3 22 7 3" xfId="5912"/>
    <cellStyle name="Normal 3 22 8" xfId="5913"/>
    <cellStyle name="Normal 3 22 8 2" xfId="5914"/>
    <cellStyle name="Normal 3 22 8 2 2" xfId="5915"/>
    <cellStyle name="Normal 3 22 8 3" xfId="5916"/>
    <cellStyle name="Normal 3 22 9" xfId="5917"/>
    <cellStyle name="Normal 3 22 9 2" xfId="5918"/>
    <cellStyle name="Normal 3 22 9 2 2" xfId="5919"/>
    <cellStyle name="Normal 3 22 9 3" xfId="5920"/>
    <cellStyle name="Normal 3 23" xfId="5921"/>
    <cellStyle name="Normal 3 23 10" xfId="5922"/>
    <cellStyle name="Normal 3 23 10 2" xfId="5923"/>
    <cellStyle name="Normal 3 23 10 2 2" xfId="5924"/>
    <cellStyle name="Normal 3 23 10 3" xfId="5925"/>
    <cellStyle name="Normal 3 23 11" xfId="5926"/>
    <cellStyle name="Normal 3 23 11 2" xfId="5927"/>
    <cellStyle name="Normal 3 23 11 2 2" xfId="5928"/>
    <cellStyle name="Normal 3 23 11 3" xfId="5929"/>
    <cellStyle name="Normal 3 23 12" xfId="5930"/>
    <cellStyle name="Normal 3 23 12 2" xfId="5931"/>
    <cellStyle name="Normal 3 23 12 2 2" xfId="5932"/>
    <cellStyle name="Normal 3 23 12 3" xfId="5933"/>
    <cellStyle name="Normal 3 23 13" xfId="5934"/>
    <cellStyle name="Normal 3 23 13 2" xfId="5935"/>
    <cellStyle name="Normal 3 23 13 2 2" xfId="5936"/>
    <cellStyle name="Normal 3 23 13 3" xfId="5937"/>
    <cellStyle name="Normal 3 23 14" xfId="5938"/>
    <cellStyle name="Normal 3 23 14 2" xfId="5939"/>
    <cellStyle name="Normal 3 23 14 2 2" xfId="5940"/>
    <cellStyle name="Normal 3 23 14 3" xfId="5941"/>
    <cellStyle name="Normal 3 23 15" xfId="5942"/>
    <cellStyle name="Normal 3 23 15 2" xfId="5943"/>
    <cellStyle name="Normal 3 23 15 2 2" xfId="5944"/>
    <cellStyle name="Normal 3 23 15 3" xfId="5945"/>
    <cellStyle name="Normal 3 23 16" xfId="5946"/>
    <cellStyle name="Normal 3 23 16 2" xfId="5947"/>
    <cellStyle name="Normal 3 23 16 2 2" xfId="5948"/>
    <cellStyle name="Normal 3 23 16 3" xfId="5949"/>
    <cellStyle name="Normal 3 23 17" xfId="5950"/>
    <cellStyle name="Normal 3 23 17 2" xfId="5951"/>
    <cellStyle name="Normal 3 23 17 2 2" xfId="5952"/>
    <cellStyle name="Normal 3 23 17 3" xfId="5953"/>
    <cellStyle name="Normal 3 23 18" xfId="5954"/>
    <cellStyle name="Normal 3 23 18 2" xfId="5955"/>
    <cellStyle name="Normal 3 23 18 2 2" xfId="5956"/>
    <cellStyle name="Normal 3 23 18 3" xfId="5957"/>
    <cellStyle name="Normal 3 23 19" xfId="5958"/>
    <cellStyle name="Normal 3 23 19 2" xfId="5959"/>
    <cellStyle name="Normal 3 23 19 2 2" xfId="5960"/>
    <cellStyle name="Normal 3 23 19 3" xfId="5961"/>
    <cellStyle name="Normal 3 23 2" xfId="5962"/>
    <cellStyle name="Normal 3 23 2 2" xfId="5963"/>
    <cellStyle name="Normal 3 23 2 2 2" xfId="5964"/>
    <cellStyle name="Normal 3 23 2 3" xfId="5965"/>
    <cellStyle name="Normal 3 23 20" xfId="5966"/>
    <cellStyle name="Normal 3 23 20 2" xfId="5967"/>
    <cellStyle name="Normal 3 23 20 2 2" xfId="5968"/>
    <cellStyle name="Normal 3 23 20 3" xfId="5969"/>
    <cellStyle name="Normal 3 23 21" xfId="5970"/>
    <cellStyle name="Normal 3 23 21 2" xfId="5971"/>
    <cellStyle name="Normal 3 23 21 2 2" xfId="5972"/>
    <cellStyle name="Normal 3 23 21 3" xfId="5973"/>
    <cellStyle name="Normal 3 23 22" xfId="5974"/>
    <cellStyle name="Normal 3 23 22 2" xfId="5975"/>
    <cellStyle name="Normal 3 23 22 2 2" xfId="5976"/>
    <cellStyle name="Normal 3 23 22 3" xfId="5977"/>
    <cellStyle name="Normal 3 23 23" xfId="5978"/>
    <cellStyle name="Normal 3 23 23 2" xfId="5979"/>
    <cellStyle name="Normal 3 23 23 2 2" xfId="5980"/>
    <cellStyle name="Normal 3 23 23 3" xfId="5981"/>
    <cellStyle name="Normal 3 23 24" xfId="5982"/>
    <cellStyle name="Normal 3 23 24 2" xfId="5983"/>
    <cellStyle name="Normal 3 23 25" xfId="5984"/>
    <cellStyle name="Normal 3 23 3" xfId="5985"/>
    <cellStyle name="Normal 3 23 3 2" xfId="5986"/>
    <cellStyle name="Normal 3 23 3 2 2" xfId="5987"/>
    <cellStyle name="Normal 3 23 3 3" xfId="5988"/>
    <cellStyle name="Normal 3 23 4" xfId="5989"/>
    <cellStyle name="Normal 3 23 4 2" xfId="5990"/>
    <cellStyle name="Normal 3 23 4 2 2" xfId="5991"/>
    <cellStyle name="Normal 3 23 4 3" xfId="5992"/>
    <cellStyle name="Normal 3 23 5" xfId="5993"/>
    <cellStyle name="Normal 3 23 5 2" xfId="5994"/>
    <cellStyle name="Normal 3 23 5 2 2" xfId="5995"/>
    <cellStyle name="Normal 3 23 5 3" xfId="5996"/>
    <cellStyle name="Normal 3 23 6" xfId="5997"/>
    <cellStyle name="Normal 3 23 6 2" xfId="5998"/>
    <cellStyle name="Normal 3 23 6 2 2" xfId="5999"/>
    <cellStyle name="Normal 3 23 6 3" xfId="6000"/>
    <cellStyle name="Normal 3 23 7" xfId="6001"/>
    <cellStyle name="Normal 3 23 7 2" xfId="6002"/>
    <cellStyle name="Normal 3 23 7 2 2" xfId="6003"/>
    <cellStyle name="Normal 3 23 7 3" xfId="6004"/>
    <cellStyle name="Normal 3 23 8" xfId="6005"/>
    <cellStyle name="Normal 3 23 8 2" xfId="6006"/>
    <cellStyle name="Normal 3 23 8 2 2" xfId="6007"/>
    <cellStyle name="Normal 3 23 8 3" xfId="6008"/>
    <cellStyle name="Normal 3 23 9" xfId="6009"/>
    <cellStyle name="Normal 3 23 9 2" xfId="6010"/>
    <cellStyle name="Normal 3 23 9 2 2" xfId="6011"/>
    <cellStyle name="Normal 3 23 9 3" xfId="6012"/>
    <cellStyle name="Normal 3 24" xfId="6013"/>
    <cellStyle name="Normal 3 24 10" xfId="6014"/>
    <cellStyle name="Normal 3 24 10 2" xfId="6015"/>
    <cellStyle name="Normal 3 24 10 2 2" xfId="6016"/>
    <cellStyle name="Normal 3 24 10 3" xfId="6017"/>
    <cellStyle name="Normal 3 24 11" xfId="6018"/>
    <cellStyle name="Normal 3 24 11 2" xfId="6019"/>
    <cellStyle name="Normal 3 24 11 2 2" xfId="6020"/>
    <cellStyle name="Normal 3 24 11 3" xfId="6021"/>
    <cellStyle name="Normal 3 24 12" xfId="6022"/>
    <cellStyle name="Normal 3 24 12 2" xfId="6023"/>
    <cellStyle name="Normal 3 24 12 2 2" xfId="6024"/>
    <cellStyle name="Normal 3 24 12 3" xfId="6025"/>
    <cellStyle name="Normal 3 24 13" xfId="6026"/>
    <cellStyle name="Normal 3 24 13 2" xfId="6027"/>
    <cellStyle name="Normal 3 24 13 2 2" xfId="6028"/>
    <cellStyle name="Normal 3 24 13 3" xfId="6029"/>
    <cellStyle name="Normal 3 24 14" xfId="6030"/>
    <cellStyle name="Normal 3 24 14 2" xfId="6031"/>
    <cellStyle name="Normal 3 24 14 2 2" xfId="6032"/>
    <cellStyle name="Normal 3 24 14 3" xfId="6033"/>
    <cellStyle name="Normal 3 24 15" xfId="6034"/>
    <cellStyle name="Normal 3 24 15 2" xfId="6035"/>
    <cellStyle name="Normal 3 24 15 2 2" xfId="6036"/>
    <cellStyle name="Normal 3 24 15 3" xfId="6037"/>
    <cellStyle name="Normal 3 24 16" xfId="6038"/>
    <cellStyle name="Normal 3 24 16 2" xfId="6039"/>
    <cellStyle name="Normal 3 24 16 2 2" xfId="6040"/>
    <cellStyle name="Normal 3 24 16 3" xfId="6041"/>
    <cellStyle name="Normal 3 24 17" xfId="6042"/>
    <cellStyle name="Normal 3 24 17 2" xfId="6043"/>
    <cellStyle name="Normal 3 24 17 2 2" xfId="6044"/>
    <cellStyle name="Normal 3 24 17 3" xfId="6045"/>
    <cellStyle name="Normal 3 24 18" xfId="6046"/>
    <cellStyle name="Normal 3 24 18 2" xfId="6047"/>
    <cellStyle name="Normal 3 24 18 2 2" xfId="6048"/>
    <cellStyle name="Normal 3 24 18 3" xfId="6049"/>
    <cellStyle name="Normal 3 24 19" xfId="6050"/>
    <cellStyle name="Normal 3 24 19 2" xfId="6051"/>
    <cellStyle name="Normal 3 24 19 2 2" xfId="6052"/>
    <cellStyle name="Normal 3 24 19 3" xfId="6053"/>
    <cellStyle name="Normal 3 24 2" xfId="6054"/>
    <cellStyle name="Normal 3 24 2 2" xfId="6055"/>
    <cellStyle name="Normal 3 24 2 2 2" xfId="6056"/>
    <cellStyle name="Normal 3 24 2 3" xfId="6057"/>
    <cellStyle name="Normal 3 24 20" xfId="6058"/>
    <cellStyle name="Normal 3 24 20 2" xfId="6059"/>
    <cellStyle name="Normal 3 24 20 2 2" xfId="6060"/>
    <cellStyle name="Normal 3 24 20 3" xfId="6061"/>
    <cellStyle name="Normal 3 24 21" xfId="6062"/>
    <cellStyle name="Normal 3 24 21 2" xfId="6063"/>
    <cellStyle name="Normal 3 24 21 2 2" xfId="6064"/>
    <cellStyle name="Normal 3 24 21 3" xfId="6065"/>
    <cellStyle name="Normal 3 24 22" xfId="6066"/>
    <cellStyle name="Normal 3 24 22 2" xfId="6067"/>
    <cellStyle name="Normal 3 24 22 2 2" xfId="6068"/>
    <cellStyle name="Normal 3 24 22 3" xfId="6069"/>
    <cellStyle name="Normal 3 24 23" xfId="6070"/>
    <cellStyle name="Normal 3 24 23 2" xfId="6071"/>
    <cellStyle name="Normal 3 24 23 2 2" xfId="6072"/>
    <cellStyle name="Normal 3 24 23 3" xfId="6073"/>
    <cellStyle name="Normal 3 24 24" xfId="6074"/>
    <cellStyle name="Normal 3 24 24 2" xfId="6075"/>
    <cellStyle name="Normal 3 24 25" xfId="6076"/>
    <cellStyle name="Normal 3 24 3" xfId="6077"/>
    <cellStyle name="Normal 3 24 3 2" xfId="6078"/>
    <cellStyle name="Normal 3 24 3 2 2" xfId="6079"/>
    <cellStyle name="Normal 3 24 3 3" xfId="6080"/>
    <cellStyle name="Normal 3 24 4" xfId="6081"/>
    <cellStyle name="Normal 3 24 4 2" xfId="6082"/>
    <cellStyle name="Normal 3 24 4 2 2" xfId="6083"/>
    <cellStyle name="Normal 3 24 4 3" xfId="6084"/>
    <cellStyle name="Normal 3 24 5" xfId="6085"/>
    <cellStyle name="Normal 3 24 5 2" xfId="6086"/>
    <cellStyle name="Normal 3 24 5 2 2" xfId="6087"/>
    <cellStyle name="Normal 3 24 5 3" xfId="6088"/>
    <cellStyle name="Normal 3 24 6" xfId="6089"/>
    <cellStyle name="Normal 3 24 6 2" xfId="6090"/>
    <cellStyle name="Normal 3 24 6 2 2" xfId="6091"/>
    <cellStyle name="Normal 3 24 6 3" xfId="6092"/>
    <cellStyle name="Normal 3 24 7" xfId="6093"/>
    <cellStyle name="Normal 3 24 7 2" xfId="6094"/>
    <cellStyle name="Normal 3 24 7 2 2" xfId="6095"/>
    <cellStyle name="Normal 3 24 7 3" xfId="6096"/>
    <cellStyle name="Normal 3 24 8" xfId="6097"/>
    <cellStyle name="Normal 3 24 8 2" xfId="6098"/>
    <cellStyle name="Normal 3 24 8 2 2" xfId="6099"/>
    <cellStyle name="Normal 3 24 8 3" xfId="6100"/>
    <cellStyle name="Normal 3 24 9" xfId="6101"/>
    <cellStyle name="Normal 3 24 9 2" xfId="6102"/>
    <cellStyle name="Normal 3 24 9 2 2" xfId="6103"/>
    <cellStyle name="Normal 3 24 9 3" xfId="6104"/>
    <cellStyle name="Normal 3 25" xfId="6105"/>
    <cellStyle name="Normal 3 25 10" xfId="6106"/>
    <cellStyle name="Normal 3 25 10 2" xfId="6107"/>
    <cellStyle name="Normal 3 25 10 2 2" xfId="6108"/>
    <cellStyle name="Normal 3 25 10 3" xfId="6109"/>
    <cellStyle name="Normal 3 25 11" xfId="6110"/>
    <cellStyle name="Normal 3 25 11 2" xfId="6111"/>
    <cellStyle name="Normal 3 25 11 2 2" xfId="6112"/>
    <cellStyle name="Normal 3 25 11 3" xfId="6113"/>
    <cellStyle name="Normal 3 25 12" xfId="6114"/>
    <cellStyle name="Normal 3 25 12 2" xfId="6115"/>
    <cellStyle name="Normal 3 25 12 2 2" xfId="6116"/>
    <cellStyle name="Normal 3 25 12 3" xfId="6117"/>
    <cellStyle name="Normal 3 25 13" xfId="6118"/>
    <cellStyle name="Normal 3 25 13 2" xfId="6119"/>
    <cellStyle name="Normal 3 25 13 2 2" xfId="6120"/>
    <cellStyle name="Normal 3 25 13 3" xfId="6121"/>
    <cellStyle name="Normal 3 25 14" xfId="6122"/>
    <cellStyle name="Normal 3 25 14 2" xfId="6123"/>
    <cellStyle name="Normal 3 25 14 2 2" xfId="6124"/>
    <cellStyle name="Normal 3 25 14 3" xfId="6125"/>
    <cellStyle name="Normal 3 25 15" xfId="6126"/>
    <cellStyle name="Normal 3 25 15 2" xfId="6127"/>
    <cellStyle name="Normal 3 25 15 2 2" xfId="6128"/>
    <cellStyle name="Normal 3 25 15 3" xfId="6129"/>
    <cellStyle name="Normal 3 25 16" xfId="6130"/>
    <cellStyle name="Normal 3 25 16 2" xfId="6131"/>
    <cellStyle name="Normal 3 25 16 2 2" xfId="6132"/>
    <cellStyle name="Normal 3 25 16 3" xfId="6133"/>
    <cellStyle name="Normal 3 25 17" xfId="6134"/>
    <cellStyle name="Normal 3 25 17 2" xfId="6135"/>
    <cellStyle name="Normal 3 25 17 2 2" xfId="6136"/>
    <cellStyle name="Normal 3 25 17 3" xfId="6137"/>
    <cellStyle name="Normal 3 25 18" xfId="6138"/>
    <cellStyle name="Normal 3 25 18 2" xfId="6139"/>
    <cellStyle name="Normal 3 25 18 2 2" xfId="6140"/>
    <cellStyle name="Normal 3 25 18 3" xfId="6141"/>
    <cellStyle name="Normal 3 25 19" xfId="6142"/>
    <cellStyle name="Normal 3 25 19 2" xfId="6143"/>
    <cellStyle name="Normal 3 25 19 2 2" xfId="6144"/>
    <cellStyle name="Normal 3 25 19 3" xfId="6145"/>
    <cellStyle name="Normal 3 25 2" xfId="6146"/>
    <cellStyle name="Normal 3 25 2 2" xfId="6147"/>
    <cellStyle name="Normal 3 25 2 2 2" xfId="6148"/>
    <cellStyle name="Normal 3 25 2 3" xfId="6149"/>
    <cellStyle name="Normal 3 25 20" xfId="6150"/>
    <cellStyle name="Normal 3 25 20 2" xfId="6151"/>
    <cellStyle name="Normal 3 25 20 2 2" xfId="6152"/>
    <cellStyle name="Normal 3 25 20 3" xfId="6153"/>
    <cellStyle name="Normal 3 25 21" xfId="6154"/>
    <cellStyle name="Normal 3 25 21 2" xfId="6155"/>
    <cellStyle name="Normal 3 25 21 2 2" xfId="6156"/>
    <cellStyle name="Normal 3 25 21 3" xfId="6157"/>
    <cellStyle name="Normal 3 25 22" xfId="6158"/>
    <cellStyle name="Normal 3 25 22 2" xfId="6159"/>
    <cellStyle name="Normal 3 25 22 2 2" xfId="6160"/>
    <cellStyle name="Normal 3 25 22 3" xfId="6161"/>
    <cellStyle name="Normal 3 25 23" xfId="6162"/>
    <cellStyle name="Normal 3 25 23 2" xfId="6163"/>
    <cellStyle name="Normal 3 25 23 2 2" xfId="6164"/>
    <cellStyle name="Normal 3 25 23 3" xfId="6165"/>
    <cellStyle name="Normal 3 25 24" xfId="6166"/>
    <cellStyle name="Normal 3 25 24 2" xfId="6167"/>
    <cellStyle name="Normal 3 25 25" xfId="6168"/>
    <cellStyle name="Normal 3 25 3" xfId="6169"/>
    <cellStyle name="Normal 3 25 3 2" xfId="6170"/>
    <cellStyle name="Normal 3 25 3 2 2" xfId="6171"/>
    <cellStyle name="Normal 3 25 3 3" xfId="6172"/>
    <cellStyle name="Normal 3 25 4" xfId="6173"/>
    <cellStyle name="Normal 3 25 4 2" xfId="6174"/>
    <cellStyle name="Normal 3 25 4 2 2" xfId="6175"/>
    <cellStyle name="Normal 3 25 4 3" xfId="6176"/>
    <cellStyle name="Normal 3 25 5" xfId="6177"/>
    <cellStyle name="Normal 3 25 5 2" xfId="6178"/>
    <cellStyle name="Normal 3 25 5 2 2" xfId="6179"/>
    <cellStyle name="Normal 3 25 5 3" xfId="6180"/>
    <cellStyle name="Normal 3 25 6" xfId="6181"/>
    <cellStyle name="Normal 3 25 6 2" xfId="6182"/>
    <cellStyle name="Normal 3 25 6 2 2" xfId="6183"/>
    <cellStyle name="Normal 3 25 6 3" xfId="6184"/>
    <cellStyle name="Normal 3 25 7" xfId="6185"/>
    <cellStyle name="Normal 3 25 7 2" xfId="6186"/>
    <cellStyle name="Normal 3 25 7 2 2" xfId="6187"/>
    <cellStyle name="Normal 3 25 7 3" xfId="6188"/>
    <cellStyle name="Normal 3 25 8" xfId="6189"/>
    <cellStyle name="Normal 3 25 8 2" xfId="6190"/>
    <cellStyle name="Normal 3 25 8 2 2" xfId="6191"/>
    <cellStyle name="Normal 3 25 8 3" xfId="6192"/>
    <cellStyle name="Normal 3 25 9" xfId="6193"/>
    <cellStyle name="Normal 3 25 9 2" xfId="6194"/>
    <cellStyle name="Normal 3 25 9 2 2" xfId="6195"/>
    <cellStyle name="Normal 3 25 9 3" xfId="6196"/>
    <cellStyle name="Normal 3 26" xfId="6197"/>
    <cellStyle name="Normal 3 26 10" xfId="6198"/>
    <cellStyle name="Normal 3 26 10 2" xfId="6199"/>
    <cellStyle name="Normal 3 26 10 2 2" xfId="6200"/>
    <cellStyle name="Normal 3 26 10 3" xfId="6201"/>
    <cellStyle name="Normal 3 26 11" xfId="6202"/>
    <cellStyle name="Normal 3 26 11 2" xfId="6203"/>
    <cellStyle name="Normal 3 26 11 2 2" xfId="6204"/>
    <cellStyle name="Normal 3 26 11 3" xfId="6205"/>
    <cellStyle name="Normal 3 26 12" xfId="6206"/>
    <cellStyle name="Normal 3 26 12 2" xfId="6207"/>
    <cellStyle name="Normal 3 26 12 2 2" xfId="6208"/>
    <cellStyle name="Normal 3 26 12 3" xfId="6209"/>
    <cellStyle name="Normal 3 26 13" xfId="6210"/>
    <cellStyle name="Normal 3 26 13 2" xfId="6211"/>
    <cellStyle name="Normal 3 26 13 2 2" xfId="6212"/>
    <cellStyle name="Normal 3 26 13 3" xfId="6213"/>
    <cellStyle name="Normal 3 26 14" xfId="6214"/>
    <cellStyle name="Normal 3 26 14 2" xfId="6215"/>
    <cellStyle name="Normal 3 26 14 2 2" xfId="6216"/>
    <cellStyle name="Normal 3 26 14 3" xfId="6217"/>
    <cellStyle name="Normal 3 26 15" xfId="6218"/>
    <cellStyle name="Normal 3 26 15 2" xfId="6219"/>
    <cellStyle name="Normal 3 26 15 2 2" xfId="6220"/>
    <cellStyle name="Normal 3 26 15 3" xfId="6221"/>
    <cellStyle name="Normal 3 26 16" xfId="6222"/>
    <cellStyle name="Normal 3 26 16 2" xfId="6223"/>
    <cellStyle name="Normal 3 26 16 2 2" xfId="6224"/>
    <cellStyle name="Normal 3 26 16 3" xfId="6225"/>
    <cellStyle name="Normal 3 26 17" xfId="6226"/>
    <cellStyle name="Normal 3 26 17 2" xfId="6227"/>
    <cellStyle name="Normal 3 26 17 2 2" xfId="6228"/>
    <cellStyle name="Normal 3 26 17 3" xfId="6229"/>
    <cellStyle name="Normal 3 26 18" xfId="6230"/>
    <cellStyle name="Normal 3 26 18 2" xfId="6231"/>
    <cellStyle name="Normal 3 26 18 2 2" xfId="6232"/>
    <cellStyle name="Normal 3 26 18 3" xfId="6233"/>
    <cellStyle name="Normal 3 26 19" xfId="6234"/>
    <cellStyle name="Normal 3 26 19 2" xfId="6235"/>
    <cellStyle name="Normal 3 26 19 2 2" xfId="6236"/>
    <cellStyle name="Normal 3 26 19 3" xfId="6237"/>
    <cellStyle name="Normal 3 26 2" xfId="6238"/>
    <cellStyle name="Normal 3 26 2 2" xfId="6239"/>
    <cellStyle name="Normal 3 26 2 2 2" xfId="6240"/>
    <cellStyle name="Normal 3 26 2 3" xfId="6241"/>
    <cellStyle name="Normal 3 26 20" xfId="6242"/>
    <cellStyle name="Normal 3 26 20 2" xfId="6243"/>
    <cellStyle name="Normal 3 26 20 2 2" xfId="6244"/>
    <cellStyle name="Normal 3 26 20 3" xfId="6245"/>
    <cellStyle name="Normal 3 26 21" xfId="6246"/>
    <cellStyle name="Normal 3 26 21 2" xfId="6247"/>
    <cellStyle name="Normal 3 26 21 2 2" xfId="6248"/>
    <cellStyle name="Normal 3 26 21 3" xfId="6249"/>
    <cellStyle name="Normal 3 26 22" xfId="6250"/>
    <cellStyle name="Normal 3 26 22 2" xfId="6251"/>
    <cellStyle name="Normal 3 26 22 2 2" xfId="6252"/>
    <cellStyle name="Normal 3 26 22 3" xfId="6253"/>
    <cellStyle name="Normal 3 26 23" xfId="6254"/>
    <cellStyle name="Normal 3 26 23 2" xfId="6255"/>
    <cellStyle name="Normal 3 26 23 2 2" xfId="6256"/>
    <cellStyle name="Normal 3 26 23 3" xfId="6257"/>
    <cellStyle name="Normal 3 26 24" xfId="6258"/>
    <cellStyle name="Normal 3 26 24 2" xfId="6259"/>
    <cellStyle name="Normal 3 26 25" xfId="6260"/>
    <cellStyle name="Normal 3 26 3" xfId="6261"/>
    <cellStyle name="Normal 3 26 3 2" xfId="6262"/>
    <cellStyle name="Normal 3 26 3 2 2" xfId="6263"/>
    <cellStyle name="Normal 3 26 3 3" xfId="6264"/>
    <cellStyle name="Normal 3 26 4" xfId="6265"/>
    <cellStyle name="Normal 3 26 4 2" xfId="6266"/>
    <cellStyle name="Normal 3 26 4 2 2" xfId="6267"/>
    <cellStyle name="Normal 3 26 4 3" xfId="6268"/>
    <cellStyle name="Normal 3 26 5" xfId="6269"/>
    <cellStyle name="Normal 3 26 5 2" xfId="6270"/>
    <cellStyle name="Normal 3 26 5 2 2" xfId="6271"/>
    <cellStyle name="Normal 3 26 5 3" xfId="6272"/>
    <cellStyle name="Normal 3 26 6" xfId="6273"/>
    <cellStyle name="Normal 3 26 6 2" xfId="6274"/>
    <cellStyle name="Normal 3 26 6 2 2" xfId="6275"/>
    <cellStyle name="Normal 3 26 6 3" xfId="6276"/>
    <cellStyle name="Normal 3 26 7" xfId="6277"/>
    <cellStyle name="Normal 3 26 7 2" xfId="6278"/>
    <cellStyle name="Normal 3 26 7 2 2" xfId="6279"/>
    <cellStyle name="Normal 3 26 7 3" xfId="6280"/>
    <cellStyle name="Normal 3 26 8" xfId="6281"/>
    <cellStyle name="Normal 3 26 8 2" xfId="6282"/>
    <cellStyle name="Normal 3 26 8 2 2" xfId="6283"/>
    <cellStyle name="Normal 3 26 8 3" xfId="6284"/>
    <cellStyle name="Normal 3 26 9" xfId="6285"/>
    <cellStyle name="Normal 3 26 9 2" xfId="6286"/>
    <cellStyle name="Normal 3 26 9 2 2" xfId="6287"/>
    <cellStyle name="Normal 3 26 9 3" xfId="6288"/>
    <cellStyle name="Normal 3 27" xfId="6289"/>
    <cellStyle name="Normal 3 27 10" xfId="6290"/>
    <cellStyle name="Normal 3 27 10 2" xfId="6291"/>
    <cellStyle name="Normal 3 27 10 2 2" xfId="6292"/>
    <cellStyle name="Normal 3 27 10 3" xfId="6293"/>
    <cellStyle name="Normal 3 27 11" xfId="6294"/>
    <cellStyle name="Normal 3 27 11 2" xfId="6295"/>
    <cellStyle name="Normal 3 27 11 2 2" xfId="6296"/>
    <cellStyle name="Normal 3 27 11 3" xfId="6297"/>
    <cellStyle name="Normal 3 27 12" xfId="6298"/>
    <cellStyle name="Normal 3 27 12 2" xfId="6299"/>
    <cellStyle name="Normal 3 27 12 2 2" xfId="6300"/>
    <cellStyle name="Normal 3 27 12 3" xfId="6301"/>
    <cellStyle name="Normal 3 27 13" xfId="6302"/>
    <cellStyle name="Normal 3 27 13 2" xfId="6303"/>
    <cellStyle name="Normal 3 27 13 2 2" xfId="6304"/>
    <cellStyle name="Normal 3 27 13 3" xfId="6305"/>
    <cellStyle name="Normal 3 27 14" xfId="6306"/>
    <cellStyle name="Normal 3 27 14 2" xfId="6307"/>
    <cellStyle name="Normal 3 27 14 2 2" xfId="6308"/>
    <cellStyle name="Normal 3 27 14 3" xfId="6309"/>
    <cellStyle name="Normal 3 27 15" xfId="6310"/>
    <cellStyle name="Normal 3 27 15 2" xfId="6311"/>
    <cellStyle name="Normal 3 27 15 2 2" xfId="6312"/>
    <cellStyle name="Normal 3 27 15 3" xfId="6313"/>
    <cellStyle name="Normal 3 27 16" xfId="6314"/>
    <cellStyle name="Normal 3 27 16 2" xfId="6315"/>
    <cellStyle name="Normal 3 27 16 2 2" xfId="6316"/>
    <cellStyle name="Normal 3 27 16 3" xfId="6317"/>
    <cellStyle name="Normal 3 27 17" xfId="6318"/>
    <cellStyle name="Normal 3 27 17 2" xfId="6319"/>
    <cellStyle name="Normal 3 27 17 2 2" xfId="6320"/>
    <cellStyle name="Normal 3 27 17 3" xfId="6321"/>
    <cellStyle name="Normal 3 27 18" xfId="6322"/>
    <cellStyle name="Normal 3 27 18 2" xfId="6323"/>
    <cellStyle name="Normal 3 27 18 2 2" xfId="6324"/>
    <cellStyle name="Normal 3 27 18 3" xfId="6325"/>
    <cellStyle name="Normal 3 27 19" xfId="6326"/>
    <cellStyle name="Normal 3 27 19 2" xfId="6327"/>
    <cellStyle name="Normal 3 27 19 2 2" xfId="6328"/>
    <cellStyle name="Normal 3 27 19 3" xfId="6329"/>
    <cellStyle name="Normal 3 27 2" xfId="6330"/>
    <cellStyle name="Normal 3 27 2 2" xfId="6331"/>
    <cellStyle name="Normal 3 27 2 2 2" xfId="6332"/>
    <cellStyle name="Normal 3 27 2 3" xfId="6333"/>
    <cellStyle name="Normal 3 27 20" xfId="6334"/>
    <cellStyle name="Normal 3 27 20 2" xfId="6335"/>
    <cellStyle name="Normal 3 27 20 2 2" xfId="6336"/>
    <cellStyle name="Normal 3 27 20 3" xfId="6337"/>
    <cellStyle name="Normal 3 27 21" xfId="6338"/>
    <cellStyle name="Normal 3 27 21 2" xfId="6339"/>
    <cellStyle name="Normal 3 27 21 2 2" xfId="6340"/>
    <cellStyle name="Normal 3 27 21 3" xfId="6341"/>
    <cellStyle name="Normal 3 27 22" xfId="6342"/>
    <cellStyle name="Normal 3 27 22 2" xfId="6343"/>
    <cellStyle name="Normal 3 27 22 2 2" xfId="6344"/>
    <cellStyle name="Normal 3 27 22 3" xfId="6345"/>
    <cellStyle name="Normal 3 27 23" xfId="6346"/>
    <cellStyle name="Normal 3 27 23 2" xfId="6347"/>
    <cellStyle name="Normal 3 27 23 2 2" xfId="6348"/>
    <cellStyle name="Normal 3 27 23 3" xfId="6349"/>
    <cellStyle name="Normal 3 27 24" xfId="6350"/>
    <cellStyle name="Normal 3 27 24 2" xfId="6351"/>
    <cellStyle name="Normal 3 27 25" xfId="6352"/>
    <cellStyle name="Normal 3 27 3" xfId="6353"/>
    <cellStyle name="Normal 3 27 3 2" xfId="6354"/>
    <cellStyle name="Normal 3 27 3 2 2" xfId="6355"/>
    <cellStyle name="Normal 3 27 3 3" xfId="6356"/>
    <cellStyle name="Normal 3 27 4" xfId="6357"/>
    <cellStyle name="Normal 3 27 4 2" xfId="6358"/>
    <cellStyle name="Normal 3 27 4 2 2" xfId="6359"/>
    <cellStyle name="Normal 3 27 4 3" xfId="6360"/>
    <cellStyle name="Normal 3 27 5" xfId="6361"/>
    <cellStyle name="Normal 3 27 5 2" xfId="6362"/>
    <cellStyle name="Normal 3 27 5 2 2" xfId="6363"/>
    <cellStyle name="Normal 3 27 5 3" xfId="6364"/>
    <cellStyle name="Normal 3 27 6" xfId="6365"/>
    <cellStyle name="Normal 3 27 6 2" xfId="6366"/>
    <cellStyle name="Normal 3 27 6 2 2" xfId="6367"/>
    <cellStyle name="Normal 3 27 6 3" xfId="6368"/>
    <cellStyle name="Normal 3 27 7" xfId="6369"/>
    <cellStyle name="Normal 3 27 7 2" xfId="6370"/>
    <cellStyle name="Normal 3 27 7 2 2" xfId="6371"/>
    <cellStyle name="Normal 3 27 7 3" xfId="6372"/>
    <cellStyle name="Normal 3 27 8" xfId="6373"/>
    <cellStyle name="Normal 3 27 8 2" xfId="6374"/>
    <cellStyle name="Normal 3 27 8 2 2" xfId="6375"/>
    <cellStyle name="Normal 3 27 8 3" xfId="6376"/>
    <cellStyle name="Normal 3 27 9" xfId="6377"/>
    <cellStyle name="Normal 3 27 9 2" xfId="6378"/>
    <cellStyle name="Normal 3 27 9 2 2" xfId="6379"/>
    <cellStyle name="Normal 3 27 9 3" xfId="6380"/>
    <cellStyle name="Normal 3 28" xfId="6381"/>
    <cellStyle name="Normal 3 28 10" xfId="6382"/>
    <cellStyle name="Normal 3 28 10 2" xfId="6383"/>
    <cellStyle name="Normal 3 28 10 2 2" xfId="6384"/>
    <cellStyle name="Normal 3 28 10 3" xfId="6385"/>
    <cellStyle name="Normal 3 28 11" xfId="6386"/>
    <cellStyle name="Normal 3 28 11 2" xfId="6387"/>
    <cellStyle name="Normal 3 28 11 2 2" xfId="6388"/>
    <cellStyle name="Normal 3 28 11 3" xfId="6389"/>
    <cellStyle name="Normal 3 28 12" xfId="6390"/>
    <cellStyle name="Normal 3 28 12 2" xfId="6391"/>
    <cellStyle name="Normal 3 28 12 2 2" xfId="6392"/>
    <cellStyle name="Normal 3 28 12 3" xfId="6393"/>
    <cellStyle name="Normal 3 28 13" xfId="6394"/>
    <cellStyle name="Normal 3 28 13 2" xfId="6395"/>
    <cellStyle name="Normal 3 28 13 2 2" xfId="6396"/>
    <cellStyle name="Normal 3 28 13 3" xfId="6397"/>
    <cellStyle name="Normal 3 28 14" xfId="6398"/>
    <cellStyle name="Normal 3 28 14 2" xfId="6399"/>
    <cellStyle name="Normal 3 28 14 2 2" xfId="6400"/>
    <cellStyle name="Normal 3 28 14 3" xfId="6401"/>
    <cellStyle name="Normal 3 28 15" xfId="6402"/>
    <cellStyle name="Normal 3 28 15 2" xfId="6403"/>
    <cellStyle name="Normal 3 28 15 2 2" xfId="6404"/>
    <cellStyle name="Normal 3 28 15 3" xfId="6405"/>
    <cellStyle name="Normal 3 28 16" xfId="6406"/>
    <cellStyle name="Normal 3 28 16 2" xfId="6407"/>
    <cellStyle name="Normal 3 28 16 2 2" xfId="6408"/>
    <cellStyle name="Normal 3 28 16 3" xfId="6409"/>
    <cellStyle name="Normal 3 28 17" xfId="6410"/>
    <cellStyle name="Normal 3 28 17 2" xfId="6411"/>
    <cellStyle name="Normal 3 28 17 2 2" xfId="6412"/>
    <cellStyle name="Normal 3 28 17 3" xfId="6413"/>
    <cellStyle name="Normal 3 28 18" xfId="6414"/>
    <cellStyle name="Normal 3 28 18 2" xfId="6415"/>
    <cellStyle name="Normal 3 28 18 2 2" xfId="6416"/>
    <cellStyle name="Normal 3 28 18 3" xfId="6417"/>
    <cellStyle name="Normal 3 28 19" xfId="6418"/>
    <cellStyle name="Normal 3 28 19 2" xfId="6419"/>
    <cellStyle name="Normal 3 28 19 2 2" xfId="6420"/>
    <cellStyle name="Normal 3 28 19 3" xfId="6421"/>
    <cellStyle name="Normal 3 28 2" xfId="6422"/>
    <cellStyle name="Normal 3 28 2 2" xfId="6423"/>
    <cellStyle name="Normal 3 28 2 2 2" xfId="6424"/>
    <cellStyle name="Normal 3 28 2 3" xfId="6425"/>
    <cellStyle name="Normal 3 28 20" xfId="6426"/>
    <cellStyle name="Normal 3 28 20 2" xfId="6427"/>
    <cellStyle name="Normal 3 28 20 2 2" xfId="6428"/>
    <cellStyle name="Normal 3 28 20 3" xfId="6429"/>
    <cellStyle name="Normal 3 28 21" xfId="6430"/>
    <cellStyle name="Normal 3 28 21 2" xfId="6431"/>
    <cellStyle name="Normal 3 28 21 2 2" xfId="6432"/>
    <cellStyle name="Normal 3 28 21 3" xfId="6433"/>
    <cellStyle name="Normal 3 28 22" xfId="6434"/>
    <cellStyle name="Normal 3 28 22 2" xfId="6435"/>
    <cellStyle name="Normal 3 28 22 2 2" xfId="6436"/>
    <cellStyle name="Normal 3 28 22 3" xfId="6437"/>
    <cellStyle name="Normal 3 28 23" xfId="6438"/>
    <cellStyle name="Normal 3 28 23 2" xfId="6439"/>
    <cellStyle name="Normal 3 28 23 2 2" xfId="6440"/>
    <cellStyle name="Normal 3 28 23 3" xfId="6441"/>
    <cellStyle name="Normal 3 28 24" xfId="6442"/>
    <cellStyle name="Normal 3 28 24 2" xfId="6443"/>
    <cellStyle name="Normal 3 28 25" xfId="6444"/>
    <cellStyle name="Normal 3 28 3" xfId="6445"/>
    <cellStyle name="Normal 3 28 3 2" xfId="6446"/>
    <cellStyle name="Normal 3 28 3 2 2" xfId="6447"/>
    <cellStyle name="Normal 3 28 3 3" xfId="6448"/>
    <cellStyle name="Normal 3 28 4" xfId="6449"/>
    <cellStyle name="Normal 3 28 4 2" xfId="6450"/>
    <cellStyle name="Normal 3 28 4 2 2" xfId="6451"/>
    <cellStyle name="Normal 3 28 4 3" xfId="6452"/>
    <cellStyle name="Normal 3 28 5" xfId="6453"/>
    <cellStyle name="Normal 3 28 5 2" xfId="6454"/>
    <cellStyle name="Normal 3 28 5 2 2" xfId="6455"/>
    <cellStyle name="Normal 3 28 5 3" xfId="6456"/>
    <cellStyle name="Normal 3 28 6" xfId="6457"/>
    <cellStyle name="Normal 3 28 6 2" xfId="6458"/>
    <cellStyle name="Normal 3 28 6 2 2" xfId="6459"/>
    <cellStyle name="Normal 3 28 6 3" xfId="6460"/>
    <cellStyle name="Normal 3 28 7" xfId="6461"/>
    <cellStyle name="Normal 3 28 7 2" xfId="6462"/>
    <cellStyle name="Normal 3 28 7 2 2" xfId="6463"/>
    <cellStyle name="Normal 3 28 7 3" xfId="6464"/>
    <cellStyle name="Normal 3 28 8" xfId="6465"/>
    <cellStyle name="Normal 3 28 8 2" xfId="6466"/>
    <cellStyle name="Normal 3 28 8 2 2" xfId="6467"/>
    <cellStyle name="Normal 3 28 8 3" xfId="6468"/>
    <cellStyle name="Normal 3 28 9" xfId="6469"/>
    <cellStyle name="Normal 3 28 9 2" xfId="6470"/>
    <cellStyle name="Normal 3 28 9 2 2" xfId="6471"/>
    <cellStyle name="Normal 3 28 9 3" xfId="6472"/>
    <cellStyle name="Normal 3 29" xfId="6473"/>
    <cellStyle name="Normal 3 29 10" xfId="6474"/>
    <cellStyle name="Normal 3 29 10 2" xfId="6475"/>
    <cellStyle name="Normal 3 29 10 2 2" xfId="6476"/>
    <cellStyle name="Normal 3 29 10 3" xfId="6477"/>
    <cellStyle name="Normal 3 29 11" xfId="6478"/>
    <cellStyle name="Normal 3 29 11 2" xfId="6479"/>
    <cellStyle name="Normal 3 29 11 2 2" xfId="6480"/>
    <cellStyle name="Normal 3 29 11 3" xfId="6481"/>
    <cellStyle name="Normal 3 29 12" xfId="6482"/>
    <cellStyle name="Normal 3 29 12 2" xfId="6483"/>
    <cellStyle name="Normal 3 29 12 2 2" xfId="6484"/>
    <cellStyle name="Normal 3 29 12 3" xfId="6485"/>
    <cellStyle name="Normal 3 29 13" xfId="6486"/>
    <cellStyle name="Normal 3 29 13 2" xfId="6487"/>
    <cellStyle name="Normal 3 29 13 2 2" xfId="6488"/>
    <cellStyle name="Normal 3 29 13 3" xfId="6489"/>
    <cellStyle name="Normal 3 29 14" xfId="6490"/>
    <cellStyle name="Normal 3 29 14 2" xfId="6491"/>
    <cellStyle name="Normal 3 29 14 2 2" xfId="6492"/>
    <cellStyle name="Normal 3 29 14 3" xfId="6493"/>
    <cellStyle name="Normal 3 29 15" xfId="6494"/>
    <cellStyle name="Normal 3 29 15 2" xfId="6495"/>
    <cellStyle name="Normal 3 29 15 2 2" xfId="6496"/>
    <cellStyle name="Normal 3 29 15 3" xfId="6497"/>
    <cellStyle name="Normal 3 29 16" xfId="6498"/>
    <cellStyle name="Normal 3 29 16 2" xfId="6499"/>
    <cellStyle name="Normal 3 29 16 2 2" xfId="6500"/>
    <cellStyle name="Normal 3 29 16 3" xfId="6501"/>
    <cellStyle name="Normal 3 29 17" xfId="6502"/>
    <cellStyle name="Normal 3 29 17 2" xfId="6503"/>
    <cellStyle name="Normal 3 29 17 2 2" xfId="6504"/>
    <cellStyle name="Normal 3 29 17 3" xfId="6505"/>
    <cellStyle name="Normal 3 29 18" xfId="6506"/>
    <cellStyle name="Normal 3 29 18 2" xfId="6507"/>
    <cellStyle name="Normal 3 29 18 2 2" xfId="6508"/>
    <cellStyle name="Normal 3 29 18 3" xfId="6509"/>
    <cellStyle name="Normal 3 29 19" xfId="6510"/>
    <cellStyle name="Normal 3 29 19 2" xfId="6511"/>
    <cellStyle name="Normal 3 29 19 2 2" xfId="6512"/>
    <cellStyle name="Normal 3 29 19 3" xfId="6513"/>
    <cellStyle name="Normal 3 29 2" xfId="6514"/>
    <cellStyle name="Normal 3 29 2 2" xfId="6515"/>
    <cellStyle name="Normal 3 29 2 2 2" xfId="6516"/>
    <cellStyle name="Normal 3 29 2 3" xfId="6517"/>
    <cellStyle name="Normal 3 29 20" xfId="6518"/>
    <cellStyle name="Normal 3 29 20 2" xfId="6519"/>
    <cellStyle name="Normal 3 29 20 2 2" xfId="6520"/>
    <cellStyle name="Normal 3 29 20 3" xfId="6521"/>
    <cellStyle name="Normal 3 29 21" xfId="6522"/>
    <cellStyle name="Normal 3 29 21 2" xfId="6523"/>
    <cellStyle name="Normal 3 29 21 2 2" xfId="6524"/>
    <cellStyle name="Normal 3 29 21 3" xfId="6525"/>
    <cellStyle name="Normal 3 29 22" xfId="6526"/>
    <cellStyle name="Normal 3 29 22 2" xfId="6527"/>
    <cellStyle name="Normal 3 29 22 2 2" xfId="6528"/>
    <cellStyle name="Normal 3 29 22 3" xfId="6529"/>
    <cellStyle name="Normal 3 29 23" xfId="6530"/>
    <cellStyle name="Normal 3 29 23 2" xfId="6531"/>
    <cellStyle name="Normal 3 29 23 2 2" xfId="6532"/>
    <cellStyle name="Normal 3 29 23 3" xfId="6533"/>
    <cellStyle name="Normal 3 29 24" xfId="6534"/>
    <cellStyle name="Normal 3 29 24 2" xfId="6535"/>
    <cellStyle name="Normal 3 29 25" xfId="6536"/>
    <cellStyle name="Normal 3 29 3" xfId="6537"/>
    <cellStyle name="Normal 3 29 3 2" xfId="6538"/>
    <cellStyle name="Normal 3 29 3 2 2" xfId="6539"/>
    <cellStyle name="Normal 3 29 3 3" xfId="6540"/>
    <cellStyle name="Normal 3 29 4" xfId="6541"/>
    <cellStyle name="Normal 3 29 4 2" xfId="6542"/>
    <cellStyle name="Normal 3 29 4 2 2" xfId="6543"/>
    <cellStyle name="Normal 3 29 4 3" xfId="6544"/>
    <cellStyle name="Normal 3 29 5" xfId="6545"/>
    <cellStyle name="Normal 3 29 5 2" xfId="6546"/>
    <cellStyle name="Normal 3 29 5 2 2" xfId="6547"/>
    <cellStyle name="Normal 3 29 5 3" xfId="6548"/>
    <cellStyle name="Normal 3 29 6" xfId="6549"/>
    <cellStyle name="Normal 3 29 6 2" xfId="6550"/>
    <cellStyle name="Normal 3 29 6 2 2" xfId="6551"/>
    <cellStyle name="Normal 3 29 6 3" xfId="6552"/>
    <cellStyle name="Normal 3 29 7" xfId="6553"/>
    <cellStyle name="Normal 3 29 7 2" xfId="6554"/>
    <cellStyle name="Normal 3 29 7 2 2" xfId="6555"/>
    <cellStyle name="Normal 3 29 7 3" xfId="6556"/>
    <cellStyle name="Normal 3 29 8" xfId="6557"/>
    <cellStyle name="Normal 3 29 8 2" xfId="6558"/>
    <cellStyle name="Normal 3 29 8 2 2" xfId="6559"/>
    <cellStyle name="Normal 3 29 8 3" xfId="6560"/>
    <cellStyle name="Normal 3 29 9" xfId="6561"/>
    <cellStyle name="Normal 3 29 9 2" xfId="6562"/>
    <cellStyle name="Normal 3 29 9 2 2" xfId="6563"/>
    <cellStyle name="Normal 3 29 9 3" xfId="6564"/>
    <cellStyle name="Normal 3 3" xfId="183"/>
    <cellStyle name="Normal 3 3 10" xfId="6565"/>
    <cellStyle name="Normal 3 3 10 2" xfId="6566"/>
    <cellStyle name="Normal 3 3 10 2 2" xfId="6567"/>
    <cellStyle name="Normal 3 3 10 3" xfId="6568"/>
    <cellStyle name="Normal 3 3 11" xfId="6569"/>
    <cellStyle name="Normal 3 3 11 2" xfId="6570"/>
    <cellStyle name="Normal 3 3 11 2 2" xfId="6571"/>
    <cellStyle name="Normal 3 3 11 3" xfId="6572"/>
    <cellStyle name="Normal 3 3 12" xfId="6573"/>
    <cellStyle name="Normal 3 3 12 2" xfId="6574"/>
    <cellStyle name="Normal 3 3 12 2 2" xfId="6575"/>
    <cellStyle name="Normal 3 3 12 3" xfId="6576"/>
    <cellStyle name="Normal 3 3 13" xfId="6577"/>
    <cellStyle name="Normal 3 3 13 2" xfId="6578"/>
    <cellStyle name="Normal 3 3 13 2 2" xfId="6579"/>
    <cellStyle name="Normal 3 3 13 3" xfId="6580"/>
    <cellStyle name="Normal 3 3 14" xfId="6581"/>
    <cellStyle name="Normal 3 3 14 2" xfId="6582"/>
    <cellStyle name="Normal 3 3 14 2 2" xfId="6583"/>
    <cellStyle name="Normal 3 3 14 3" xfId="6584"/>
    <cellStyle name="Normal 3 3 15" xfId="6585"/>
    <cellStyle name="Normal 3 3 15 2" xfId="6586"/>
    <cellStyle name="Normal 3 3 15 2 2" xfId="6587"/>
    <cellStyle name="Normal 3 3 15 3" xfId="6588"/>
    <cellStyle name="Normal 3 3 16" xfId="6589"/>
    <cellStyle name="Normal 3 3 16 2" xfId="6590"/>
    <cellStyle name="Normal 3 3 16 2 2" xfId="6591"/>
    <cellStyle name="Normal 3 3 16 3" xfId="6592"/>
    <cellStyle name="Normal 3 3 17" xfId="6593"/>
    <cellStyle name="Normal 3 3 17 2" xfId="6594"/>
    <cellStyle name="Normal 3 3 17 2 2" xfId="6595"/>
    <cellStyle name="Normal 3 3 17 3" xfId="6596"/>
    <cellStyle name="Normal 3 3 18" xfId="6597"/>
    <cellStyle name="Normal 3 3 18 2" xfId="6598"/>
    <cellStyle name="Normal 3 3 18 2 2" xfId="6599"/>
    <cellStyle name="Normal 3 3 18 3" xfId="6600"/>
    <cellStyle name="Normal 3 3 19" xfId="6601"/>
    <cellStyle name="Normal 3 3 19 2" xfId="6602"/>
    <cellStyle name="Normal 3 3 19 2 2" xfId="6603"/>
    <cellStyle name="Normal 3 3 19 3" xfId="6604"/>
    <cellStyle name="Normal 3 3 2" xfId="184"/>
    <cellStyle name="Normal 3 3 2 2" xfId="185"/>
    <cellStyle name="Normal 3 3 2 2 2" xfId="6605"/>
    <cellStyle name="Normal 3 3 2 3" xfId="6606"/>
    <cellStyle name="Normal 3 3 20" xfId="6607"/>
    <cellStyle name="Normal 3 3 20 2" xfId="6608"/>
    <cellStyle name="Normal 3 3 20 2 2" xfId="6609"/>
    <cellStyle name="Normal 3 3 20 3" xfId="6610"/>
    <cellStyle name="Normal 3 3 21" xfId="6611"/>
    <cellStyle name="Normal 3 3 21 2" xfId="6612"/>
    <cellStyle name="Normal 3 3 21 2 2" xfId="6613"/>
    <cellStyle name="Normal 3 3 21 3" xfId="6614"/>
    <cellStyle name="Normal 3 3 22" xfId="6615"/>
    <cellStyle name="Normal 3 3 22 2" xfId="6616"/>
    <cellStyle name="Normal 3 3 22 2 2" xfId="6617"/>
    <cellStyle name="Normal 3 3 22 3" xfId="6618"/>
    <cellStyle name="Normal 3 3 23" xfId="6619"/>
    <cellStyle name="Normal 3 3 23 2" xfId="6620"/>
    <cellStyle name="Normal 3 3 23 2 2" xfId="6621"/>
    <cellStyle name="Normal 3 3 23 3" xfId="6622"/>
    <cellStyle name="Normal 3 3 24" xfId="6623"/>
    <cellStyle name="Normal 3 3 24 2" xfId="6624"/>
    <cellStyle name="Normal 3 3 25" xfId="6625"/>
    <cellStyle name="Normal 3 3 3" xfId="6626"/>
    <cellStyle name="Normal 3 3 3 2" xfId="6627"/>
    <cellStyle name="Normal 3 3 3 2 2" xfId="6628"/>
    <cellStyle name="Normal 3 3 3 3" xfId="6629"/>
    <cellStyle name="Normal 3 3 4" xfId="6630"/>
    <cellStyle name="Normal 3 3 4 2" xfId="6631"/>
    <cellStyle name="Normal 3 3 4 2 2" xfId="6632"/>
    <cellStyle name="Normal 3 3 4 3" xfId="6633"/>
    <cellStyle name="Normal 3 3 5" xfId="6634"/>
    <cellStyle name="Normal 3 3 5 2" xfId="6635"/>
    <cellStyle name="Normal 3 3 5 2 2" xfId="6636"/>
    <cellStyle name="Normal 3 3 5 3" xfId="6637"/>
    <cellStyle name="Normal 3 3 6" xfId="6638"/>
    <cellStyle name="Normal 3 3 6 2" xfId="6639"/>
    <cellStyle name="Normal 3 3 6 2 2" xfId="6640"/>
    <cellStyle name="Normal 3 3 6 3" xfId="6641"/>
    <cellStyle name="Normal 3 3 7" xfId="6642"/>
    <cellStyle name="Normal 3 3 7 2" xfId="6643"/>
    <cellStyle name="Normal 3 3 7 2 2" xfId="6644"/>
    <cellStyle name="Normal 3 3 7 3" xfId="6645"/>
    <cellStyle name="Normal 3 3 8" xfId="6646"/>
    <cellStyle name="Normal 3 3 8 2" xfId="6647"/>
    <cellStyle name="Normal 3 3 8 2 2" xfId="6648"/>
    <cellStyle name="Normal 3 3 8 3" xfId="6649"/>
    <cellStyle name="Normal 3 3 9" xfId="6650"/>
    <cellStyle name="Normal 3 3 9 2" xfId="6651"/>
    <cellStyle name="Normal 3 3 9 2 2" xfId="6652"/>
    <cellStyle name="Normal 3 3 9 3" xfId="6653"/>
    <cellStyle name="Normal 3 30" xfId="6654"/>
    <cellStyle name="Normal 3 30 10" xfId="6655"/>
    <cellStyle name="Normal 3 30 10 2" xfId="6656"/>
    <cellStyle name="Normal 3 30 10 2 2" xfId="6657"/>
    <cellStyle name="Normal 3 30 10 3" xfId="6658"/>
    <cellStyle name="Normal 3 30 11" xfId="6659"/>
    <cellStyle name="Normal 3 30 11 2" xfId="6660"/>
    <cellStyle name="Normal 3 30 11 2 2" xfId="6661"/>
    <cellStyle name="Normal 3 30 11 3" xfId="6662"/>
    <cellStyle name="Normal 3 30 12" xfId="6663"/>
    <cellStyle name="Normal 3 30 12 2" xfId="6664"/>
    <cellStyle name="Normal 3 30 12 2 2" xfId="6665"/>
    <cellStyle name="Normal 3 30 12 3" xfId="6666"/>
    <cellStyle name="Normal 3 30 13" xfId="6667"/>
    <cellStyle name="Normal 3 30 13 2" xfId="6668"/>
    <cellStyle name="Normal 3 30 13 2 2" xfId="6669"/>
    <cellStyle name="Normal 3 30 13 3" xfId="6670"/>
    <cellStyle name="Normal 3 30 14" xfId="6671"/>
    <cellStyle name="Normal 3 30 14 2" xfId="6672"/>
    <cellStyle name="Normal 3 30 14 2 2" xfId="6673"/>
    <cellStyle name="Normal 3 30 14 3" xfId="6674"/>
    <cellStyle name="Normal 3 30 15" xfId="6675"/>
    <cellStyle name="Normal 3 30 15 2" xfId="6676"/>
    <cellStyle name="Normal 3 30 15 2 2" xfId="6677"/>
    <cellStyle name="Normal 3 30 15 3" xfId="6678"/>
    <cellStyle name="Normal 3 30 16" xfId="6679"/>
    <cellStyle name="Normal 3 30 16 2" xfId="6680"/>
    <cellStyle name="Normal 3 30 16 2 2" xfId="6681"/>
    <cellStyle name="Normal 3 30 16 3" xfId="6682"/>
    <cellStyle name="Normal 3 30 17" xfId="6683"/>
    <cellStyle name="Normal 3 30 17 2" xfId="6684"/>
    <cellStyle name="Normal 3 30 17 2 2" xfId="6685"/>
    <cellStyle name="Normal 3 30 17 3" xfId="6686"/>
    <cellStyle name="Normal 3 30 18" xfId="6687"/>
    <cellStyle name="Normal 3 30 18 2" xfId="6688"/>
    <cellStyle name="Normal 3 30 18 2 2" xfId="6689"/>
    <cellStyle name="Normal 3 30 18 3" xfId="6690"/>
    <cellStyle name="Normal 3 30 19" xfId="6691"/>
    <cellStyle name="Normal 3 30 19 2" xfId="6692"/>
    <cellStyle name="Normal 3 30 19 2 2" xfId="6693"/>
    <cellStyle name="Normal 3 30 19 3" xfId="6694"/>
    <cellStyle name="Normal 3 30 2" xfId="6695"/>
    <cellStyle name="Normal 3 30 2 2" xfId="6696"/>
    <cellStyle name="Normal 3 30 2 2 2" xfId="6697"/>
    <cellStyle name="Normal 3 30 2 3" xfId="6698"/>
    <cellStyle name="Normal 3 30 20" xfId="6699"/>
    <cellStyle name="Normal 3 30 20 2" xfId="6700"/>
    <cellStyle name="Normal 3 30 20 2 2" xfId="6701"/>
    <cellStyle name="Normal 3 30 20 3" xfId="6702"/>
    <cellStyle name="Normal 3 30 21" xfId="6703"/>
    <cellStyle name="Normal 3 30 21 2" xfId="6704"/>
    <cellStyle name="Normal 3 30 21 2 2" xfId="6705"/>
    <cellStyle name="Normal 3 30 21 3" xfId="6706"/>
    <cellStyle name="Normal 3 30 22" xfId="6707"/>
    <cellStyle name="Normal 3 30 22 2" xfId="6708"/>
    <cellStyle name="Normal 3 30 22 2 2" xfId="6709"/>
    <cellStyle name="Normal 3 30 22 3" xfId="6710"/>
    <cellStyle name="Normal 3 30 23" xfId="6711"/>
    <cellStyle name="Normal 3 30 23 2" xfId="6712"/>
    <cellStyle name="Normal 3 30 23 2 2" xfId="6713"/>
    <cellStyle name="Normal 3 30 23 3" xfId="6714"/>
    <cellStyle name="Normal 3 30 24" xfId="6715"/>
    <cellStyle name="Normal 3 30 24 2" xfId="6716"/>
    <cellStyle name="Normal 3 30 25" xfId="6717"/>
    <cellStyle name="Normal 3 30 3" xfId="6718"/>
    <cellStyle name="Normal 3 30 3 2" xfId="6719"/>
    <cellStyle name="Normal 3 30 3 2 2" xfId="6720"/>
    <cellStyle name="Normal 3 30 3 3" xfId="6721"/>
    <cellStyle name="Normal 3 30 4" xfId="6722"/>
    <cellStyle name="Normal 3 30 4 2" xfId="6723"/>
    <cellStyle name="Normal 3 30 4 2 2" xfId="6724"/>
    <cellStyle name="Normal 3 30 4 3" xfId="6725"/>
    <cellStyle name="Normal 3 30 5" xfId="6726"/>
    <cellStyle name="Normal 3 30 5 2" xfId="6727"/>
    <cellStyle name="Normal 3 30 5 2 2" xfId="6728"/>
    <cellStyle name="Normal 3 30 5 3" xfId="6729"/>
    <cellStyle name="Normal 3 30 6" xfId="6730"/>
    <cellStyle name="Normal 3 30 6 2" xfId="6731"/>
    <cellStyle name="Normal 3 30 6 2 2" xfId="6732"/>
    <cellStyle name="Normal 3 30 6 3" xfId="6733"/>
    <cellStyle name="Normal 3 30 7" xfId="6734"/>
    <cellStyle name="Normal 3 30 7 2" xfId="6735"/>
    <cellStyle name="Normal 3 30 7 2 2" xfId="6736"/>
    <cellStyle name="Normal 3 30 7 3" xfId="6737"/>
    <cellStyle name="Normal 3 30 8" xfId="6738"/>
    <cellStyle name="Normal 3 30 8 2" xfId="6739"/>
    <cellStyle name="Normal 3 30 8 2 2" xfId="6740"/>
    <cellStyle name="Normal 3 30 8 3" xfId="6741"/>
    <cellStyle name="Normal 3 30 9" xfId="6742"/>
    <cellStyle name="Normal 3 30 9 2" xfId="6743"/>
    <cellStyle name="Normal 3 30 9 2 2" xfId="6744"/>
    <cellStyle name="Normal 3 30 9 3" xfId="6745"/>
    <cellStyle name="Normal 3 31" xfId="6746"/>
    <cellStyle name="Normal 3 31 10" xfId="6747"/>
    <cellStyle name="Normal 3 31 10 2" xfId="6748"/>
    <cellStyle name="Normal 3 31 10 2 2" xfId="6749"/>
    <cellStyle name="Normal 3 31 10 3" xfId="6750"/>
    <cellStyle name="Normal 3 31 11" xfId="6751"/>
    <cellStyle name="Normal 3 31 11 2" xfId="6752"/>
    <cellStyle name="Normal 3 31 11 2 2" xfId="6753"/>
    <cellStyle name="Normal 3 31 11 3" xfId="6754"/>
    <cellStyle name="Normal 3 31 12" xfId="6755"/>
    <cellStyle name="Normal 3 31 12 2" xfId="6756"/>
    <cellStyle name="Normal 3 31 12 2 2" xfId="6757"/>
    <cellStyle name="Normal 3 31 12 3" xfId="6758"/>
    <cellStyle name="Normal 3 31 13" xfId="6759"/>
    <cellStyle name="Normal 3 31 13 2" xfId="6760"/>
    <cellStyle name="Normal 3 31 13 2 2" xfId="6761"/>
    <cellStyle name="Normal 3 31 13 3" xfId="6762"/>
    <cellStyle name="Normal 3 31 14" xfId="6763"/>
    <cellStyle name="Normal 3 31 14 2" xfId="6764"/>
    <cellStyle name="Normal 3 31 14 2 2" xfId="6765"/>
    <cellStyle name="Normal 3 31 14 3" xfId="6766"/>
    <cellStyle name="Normal 3 31 15" xfId="6767"/>
    <cellStyle name="Normal 3 31 15 2" xfId="6768"/>
    <cellStyle name="Normal 3 31 15 2 2" xfId="6769"/>
    <cellStyle name="Normal 3 31 15 3" xfId="6770"/>
    <cellStyle name="Normal 3 31 16" xfId="6771"/>
    <cellStyle name="Normal 3 31 16 2" xfId="6772"/>
    <cellStyle name="Normal 3 31 16 2 2" xfId="6773"/>
    <cellStyle name="Normal 3 31 16 3" xfId="6774"/>
    <cellStyle name="Normal 3 31 17" xfId="6775"/>
    <cellStyle name="Normal 3 31 17 2" xfId="6776"/>
    <cellStyle name="Normal 3 31 17 2 2" xfId="6777"/>
    <cellStyle name="Normal 3 31 17 3" xfId="6778"/>
    <cellStyle name="Normal 3 31 18" xfId="6779"/>
    <cellStyle name="Normal 3 31 18 2" xfId="6780"/>
    <cellStyle name="Normal 3 31 18 2 2" xfId="6781"/>
    <cellStyle name="Normal 3 31 18 3" xfId="6782"/>
    <cellStyle name="Normal 3 31 19" xfId="6783"/>
    <cellStyle name="Normal 3 31 19 2" xfId="6784"/>
    <cellStyle name="Normal 3 31 19 2 2" xfId="6785"/>
    <cellStyle name="Normal 3 31 19 3" xfId="6786"/>
    <cellStyle name="Normal 3 31 2" xfId="6787"/>
    <cellStyle name="Normal 3 31 2 2" xfId="6788"/>
    <cellStyle name="Normal 3 31 2 2 2" xfId="6789"/>
    <cellStyle name="Normal 3 31 2 3" xfId="6790"/>
    <cellStyle name="Normal 3 31 20" xfId="6791"/>
    <cellStyle name="Normal 3 31 20 2" xfId="6792"/>
    <cellStyle name="Normal 3 31 20 2 2" xfId="6793"/>
    <cellStyle name="Normal 3 31 20 3" xfId="6794"/>
    <cellStyle name="Normal 3 31 21" xfId="6795"/>
    <cellStyle name="Normal 3 31 21 2" xfId="6796"/>
    <cellStyle name="Normal 3 31 21 2 2" xfId="6797"/>
    <cellStyle name="Normal 3 31 21 3" xfId="6798"/>
    <cellStyle name="Normal 3 31 22" xfId="6799"/>
    <cellStyle name="Normal 3 31 22 2" xfId="6800"/>
    <cellStyle name="Normal 3 31 22 2 2" xfId="6801"/>
    <cellStyle name="Normal 3 31 22 3" xfId="6802"/>
    <cellStyle name="Normal 3 31 23" xfId="6803"/>
    <cellStyle name="Normal 3 31 23 2" xfId="6804"/>
    <cellStyle name="Normal 3 31 23 2 2" xfId="6805"/>
    <cellStyle name="Normal 3 31 23 3" xfId="6806"/>
    <cellStyle name="Normal 3 31 24" xfId="6807"/>
    <cellStyle name="Normal 3 31 24 2" xfId="6808"/>
    <cellStyle name="Normal 3 31 25" xfId="6809"/>
    <cellStyle name="Normal 3 31 3" xfId="6810"/>
    <cellStyle name="Normal 3 31 3 2" xfId="6811"/>
    <cellStyle name="Normal 3 31 3 2 2" xfId="6812"/>
    <cellStyle name="Normal 3 31 3 3" xfId="6813"/>
    <cellStyle name="Normal 3 31 4" xfId="6814"/>
    <cellStyle name="Normal 3 31 4 2" xfId="6815"/>
    <cellStyle name="Normal 3 31 4 2 2" xfId="6816"/>
    <cellStyle name="Normal 3 31 4 3" xfId="6817"/>
    <cellStyle name="Normal 3 31 5" xfId="6818"/>
    <cellStyle name="Normal 3 31 5 2" xfId="6819"/>
    <cellStyle name="Normal 3 31 5 2 2" xfId="6820"/>
    <cellStyle name="Normal 3 31 5 3" xfId="6821"/>
    <cellStyle name="Normal 3 31 6" xfId="6822"/>
    <cellStyle name="Normal 3 31 6 2" xfId="6823"/>
    <cellStyle name="Normal 3 31 6 2 2" xfId="6824"/>
    <cellStyle name="Normal 3 31 6 3" xfId="6825"/>
    <cellStyle name="Normal 3 31 7" xfId="6826"/>
    <cellStyle name="Normal 3 31 7 2" xfId="6827"/>
    <cellStyle name="Normal 3 31 7 2 2" xfId="6828"/>
    <cellStyle name="Normal 3 31 7 3" xfId="6829"/>
    <cellStyle name="Normal 3 31 8" xfId="6830"/>
    <cellStyle name="Normal 3 31 8 2" xfId="6831"/>
    <cellStyle name="Normal 3 31 8 2 2" xfId="6832"/>
    <cellStyle name="Normal 3 31 8 3" xfId="6833"/>
    <cellStyle name="Normal 3 31 9" xfId="6834"/>
    <cellStyle name="Normal 3 31 9 2" xfId="6835"/>
    <cellStyle name="Normal 3 31 9 2 2" xfId="6836"/>
    <cellStyle name="Normal 3 31 9 3" xfId="6837"/>
    <cellStyle name="Normal 3 32" xfId="6838"/>
    <cellStyle name="Normal 3 32 10" xfId="6839"/>
    <cellStyle name="Normal 3 32 10 2" xfId="6840"/>
    <cellStyle name="Normal 3 32 10 2 2" xfId="6841"/>
    <cellStyle name="Normal 3 32 10 3" xfId="6842"/>
    <cellStyle name="Normal 3 32 11" xfId="6843"/>
    <cellStyle name="Normal 3 32 11 2" xfId="6844"/>
    <cellStyle name="Normal 3 32 11 2 2" xfId="6845"/>
    <cellStyle name="Normal 3 32 11 3" xfId="6846"/>
    <cellStyle name="Normal 3 32 12" xfId="6847"/>
    <cellStyle name="Normal 3 32 12 2" xfId="6848"/>
    <cellStyle name="Normal 3 32 12 2 2" xfId="6849"/>
    <cellStyle name="Normal 3 32 12 3" xfId="6850"/>
    <cellStyle name="Normal 3 32 13" xfId="6851"/>
    <cellStyle name="Normal 3 32 13 2" xfId="6852"/>
    <cellStyle name="Normal 3 32 13 2 2" xfId="6853"/>
    <cellStyle name="Normal 3 32 13 3" xfId="6854"/>
    <cellStyle name="Normal 3 32 14" xfId="6855"/>
    <cellStyle name="Normal 3 32 14 2" xfId="6856"/>
    <cellStyle name="Normal 3 32 14 2 2" xfId="6857"/>
    <cellStyle name="Normal 3 32 14 3" xfId="6858"/>
    <cellStyle name="Normal 3 32 15" xfId="6859"/>
    <cellStyle name="Normal 3 32 15 2" xfId="6860"/>
    <cellStyle name="Normal 3 32 15 2 2" xfId="6861"/>
    <cellStyle name="Normal 3 32 15 3" xfId="6862"/>
    <cellStyle name="Normal 3 32 16" xfId="6863"/>
    <cellStyle name="Normal 3 32 16 2" xfId="6864"/>
    <cellStyle name="Normal 3 32 16 2 2" xfId="6865"/>
    <cellStyle name="Normal 3 32 16 3" xfId="6866"/>
    <cellStyle name="Normal 3 32 17" xfId="6867"/>
    <cellStyle name="Normal 3 32 17 2" xfId="6868"/>
    <cellStyle name="Normal 3 32 17 2 2" xfId="6869"/>
    <cellStyle name="Normal 3 32 17 3" xfId="6870"/>
    <cellStyle name="Normal 3 32 18" xfId="6871"/>
    <cellStyle name="Normal 3 32 18 2" xfId="6872"/>
    <cellStyle name="Normal 3 32 18 2 2" xfId="6873"/>
    <cellStyle name="Normal 3 32 18 3" xfId="6874"/>
    <cellStyle name="Normal 3 32 19" xfId="6875"/>
    <cellStyle name="Normal 3 32 19 2" xfId="6876"/>
    <cellStyle name="Normal 3 32 19 2 2" xfId="6877"/>
    <cellStyle name="Normal 3 32 19 3" xfId="6878"/>
    <cellStyle name="Normal 3 32 2" xfId="6879"/>
    <cellStyle name="Normal 3 32 2 2" xfId="6880"/>
    <cellStyle name="Normal 3 32 2 2 2" xfId="6881"/>
    <cellStyle name="Normal 3 32 2 3" xfId="6882"/>
    <cellStyle name="Normal 3 32 20" xfId="6883"/>
    <cellStyle name="Normal 3 32 20 2" xfId="6884"/>
    <cellStyle name="Normal 3 32 20 2 2" xfId="6885"/>
    <cellStyle name="Normal 3 32 20 3" xfId="6886"/>
    <cellStyle name="Normal 3 32 21" xfId="6887"/>
    <cellStyle name="Normal 3 32 21 2" xfId="6888"/>
    <cellStyle name="Normal 3 32 21 2 2" xfId="6889"/>
    <cellStyle name="Normal 3 32 21 3" xfId="6890"/>
    <cellStyle name="Normal 3 32 22" xfId="6891"/>
    <cellStyle name="Normal 3 32 22 2" xfId="6892"/>
    <cellStyle name="Normal 3 32 22 2 2" xfId="6893"/>
    <cellStyle name="Normal 3 32 22 3" xfId="6894"/>
    <cellStyle name="Normal 3 32 23" xfId="6895"/>
    <cellStyle name="Normal 3 32 23 2" xfId="6896"/>
    <cellStyle name="Normal 3 32 23 2 2" xfId="6897"/>
    <cellStyle name="Normal 3 32 23 3" xfId="6898"/>
    <cellStyle name="Normal 3 32 24" xfId="6899"/>
    <cellStyle name="Normal 3 32 24 2" xfId="6900"/>
    <cellStyle name="Normal 3 32 25" xfId="6901"/>
    <cellStyle name="Normal 3 32 3" xfId="6902"/>
    <cellStyle name="Normal 3 32 3 2" xfId="6903"/>
    <cellStyle name="Normal 3 32 3 2 2" xfId="6904"/>
    <cellStyle name="Normal 3 32 3 3" xfId="6905"/>
    <cellStyle name="Normal 3 32 4" xfId="6906"/>
    <cellStyle name="Normal 3 32 4 2" xfId="6907"/>
    <cellStyle name="Normal 3 32 4 2 2" xfId="6908"/>
    <cellStyle name="Normal 3 32 4 3" xfId="6909"/>
    <cellStyle name="Normal 3 32 5" xfId="6910"/>
    <cellStyle name="Normal 3 32 5 2" xfId="6911"/>
    <cellStyle name="Normal 3 32 5 2 2" xfId="6912"/>
    <cellStyle name="Normal 3 32 5 3" xfId="6913"/>
    <cellStyle name="Normal 3 32 6" xfId="6914"/>
    <cellStyle name="Normal 3 32 6 2" xfId="6915"/>
    <cellStyle name="Normal 3 32 6 2 2" xfId="6916"/>
    <cellStyle name="Normal 3 32 6 3" xfId="6917"/>
    <cellStyle name="Normal 3 32 7" xfId="6918"/>
    <cellStyle name="Normal 3 32 7 2" xfId="6919"/>
    <cellStyle name="Normal 3 32 7 2 2" xfId="6920"/>
    <cellStyle name="Normal 3 32 7 3" xfId="6921"/>
    <cellStyle name="Normal 3 32 8" xfId="6922"/>
    <cellStyle name="Normal 3 32 8 2" xfId="6923"/>
    <cellStyle name="Normal 3 32 8 2 2" xfId="6924"/>
    <cellStyle name="Normal 3 32 8 3" xfId="6925"/>
    <cellStyle name="Normal 3 32 9" xfId="6926"/>
    <cellStyle name="Normal 3 32 9 2" xfId="6927"/>
    <cellStyle name="Normal 3 32 9 2 2" xfId="6928"/>
    <cellStyle name="Normal 3 32 9 3" xfId="6929"/>
    <cellStyle name="Normal 3 33" xfId="6930"/>
    <cellStyle name="Normal 3 33 10" xfId="6931"/>
    <cellStyle name="Normal 3 33 10 2" xfId="6932"/>
    <cellStyle name="Normal 3 33 10 2 2" xfId="6933"/>
    <cellStyle name="Normal 3 33 10 3" xfId="6934"/>
    <cellStyle name="Normal 3 33 11" xfId="6935"/>
    <cellStyle name="Normal 3 33 11 2" xfId="6936"/>
    <cellStyle name="Normal 3 33 11 2 2" xfId="6937"/>
    <cellStyle name="Normal 3 33 11 3" xfId="6938"/>
    <cellStyle name="Normal 3 33 12" xfId="6939"/>
    <cellStyle name="Normal 3 33 12 2" xfId="6940"/>
    <cellStyle name="Normal 3 33 12 2 2" xfId="6941"/>
    <cellStyle name="Normal 3 33 12 3" xfId="6942"/>
    <cellStyle name="Normal 3 33 13" xfId="6943"/>
    <cellStyle name="Normal 3 33 13 2" xfId="6944"/>
    <cellStyle name="Normal 3 33 13 2 2" xfId="6945"/>
    <cellStyle name="Normal 3 33 13 3" xfId="6946"/>
    <cellStyle name="Normal 3 33 14" xfId="6947"/>
    <cellStyle name="Normal 3 33 14 2" xfId="6948"/>
    <cellStyle name="Normal 3 33 14 2 2" xfId="6949"/>
    <cellStyle name="Normal 3 33 14 3" xfId="6950"/>
    <cellStyle name="Normal 3 33 15" xfId="6951"/>
    <cellStyle name="Normal 3 33 15 2" xfId="6952"/>
    <cellStyle name="Normal 3 33 15 2 2" xfId="6953"/>
    <cellStyle name="Normal 3 33 15 3" xfId="6954"/>
    <cellStyle name="Normal 3 33 16" xfId="6955"/>
    <cellStyle name="Normal 3 33 16 2" xfId="6956"/>
    <cellStyle name="Normal 3 33 16 2 2" xfId="6957"/>
    <cellStyle name="Normal 3 33 16 3" xfId="6958"/>
    <cellStyle name="Normal 3 33 17" xfId="6959"/>
    <cellStyle name="Normal 3 33 17 2" xfId="6960"/>
    <cellStyle name="Normal 3 33 17 2 2" xfId="6961"/>
    <cellStyle name="Normal 3 33 17 3" xfId="6962"/>
    <cellStyle name="Normal 3 33 18" xfId="6963"/>
    <cellStyle name="Normal 3 33 18 2" xfId="6964"/>
    <cellStyle name="Normal 3 33 18 2 2" xfId="6965"/>
    <cellStyle name="Normal 3 33 18 3" xfId="6966"/>
    <cellStyle name="Normal 3 33 19" xfId="6967"/>
    <cellStyle name="Normal 3 33 19 2" xfId="6968"/>
    <cellStyle name="Normal 3 33 19 2 2" xfId="6969"/>
    <cellStyle name="Normal 3 33 19 3" xfId="6970"/>
    <cellStyle name="Normal 3 33 2" xfId="6971"/>
    <cellStyle name="Normal 3 33 2 2" xfId="6972"/>
    <cellStyle name="Normal 3 33 2 2 2" xfId="6973"/>
    <cellStyle name="Normal 3 33 2 3" xfId="6974"/>
    <cellStyle name="Normal 3 33 20" xfId="6975"/>
    <cellStyle name="Normal 3 33 20 2" xfId="6976"/>
    <cellStyle name="Normal 3 33 20 2 2" xfId="6977"/>
    <cellStyle name="Normal 3 33 20 3" xfId="6978"/>
    <cellStyle name="Normal 3 33 21" xfId="6979"/>
    <cellStyle name="Normal 3 33 21 2" xfId="6980"/>
    <cellStyle name="Normal 3 33 21 2 2" xfId="6981"/>
    <cellStyle name="Normal 3 33 21 3" xfId="6982"/>
    <cellStyle name="Normal 3 33 22" xfId="6983"/>
    <cellStyle name="Normal 3 33 22 2" xfId="6984"/>
    <cellStyle name="Normal 3 33 22 2 2" xfId="6985"/>
    <cellStyle name="Normal 3 33 22 3" xfId="6986"/>
    <cellStyle name="Normal 3 33 23" xfId="6987"/>
    <cellStyle name="Normal 3 33 23 2" xfId="6988"/>
    <cellStyle name="Normal 3 33 23 2 2" xfId="6989"/>
    <cellStyle name="Normal 3 33 23 3" xfId="6990"/>
    <cellStyle name="Normal 3 33 24" xfId="6991"/>
    <cellStyle name="Normal 3 33 24 2" xfId="6992"/>
    <cellStyle name="Normal 3 33 25" xfId="6993"/>
    <cellStyle name="Normal 3 33 3" xfId="6994"/>
    <cellStyle name="Normal 3 33 3 2" xfId="6995"/>
    <cellStyle name="Normal 3 33 3 2 2" xfId="6996"/>
    <cellStyle name="Normal 3 33 3 3" xfId="6997"/>
    <cellStyle name="Normal 3 33 4" xfId="6998"/>
    <cellStyle name="Normal 3 33 4 2" xfId="6999"/>
    <cellStyle name="Normal 3 33 4 2 2" xfId="7000"/>
    <cellStyle name="Normal 3 33 4 3" xfId="7001"/>
    <cellStyle name="Normal 3 33 5" xfId="7002"/>
    <cellStyle name="Normal 3 33 5 2" xfId="7003"/>
    <cellStyle name="Normal 3 33 5 2 2" xfId="7004"/>
    <cellStyle name="Normal 3 33 5 3" xfId="7005"/>
    <cellStyle name="Normal 3 33 6" xfId="7006"/>
    <cellStyle name="Normal 3 33 6 2" xfId="7007"/>
    <cellStyle name="Normal 3 33 6 2 2" xfId="7008"/>
    <cellStyle name="Normal 3 33 6 3" xfId="7009"/>
    <cellStyle name="Normal 3 33 7" xfId="7010"/>
    <cellStyle name="Normal 3 33 7 2" xfId="7011"/>
    <cellStyle name="Normal 3 33 7 2 2" xfId="7012"/>
    <cellStyle name="Normal 3 33 7 3" xfId="7013"/>
    <cellStyle name="Normal 3 33 8" xfId="7014"/>
    <cellStyle name="Normal 3 33 8 2" xfId="7015"/>
    <cellStyle name="Normal 3 33 8 2 2" xfId="7016"/>
    <cellStyle name="Normal 3 33 8 3" xfId="7017"/>
    <cellStyle name="Normal 3 33 9" xfId="7018"/>
    <cellStyle name="Normal 3 33 9 2" xfId="7019"/>
    <cellStyle name="Normal 3 33 9 2 2" xfId="7020"/>
    <cellStyle name="Normal 3 33 9 3" xfId="7021"/>
    <cellStyle name="Normal 3 34" xfId="7022"/>
    <cellStyle name="Normal 3 34 2" xfId="7023"/>
    <cellStyle name="Normal 3 34 2 2" xfId="7024"/>
    <cellStyle name="Normal 3 34 3" xfId="7025"/>
    <cellStyle name="Normal 3 35" xfId="7026"/>
    <cellStyle name="Normal 3 35 2" xfId="7027"/>
    <cellStyle name="Normal 3 35 2 2" xfId="7028"/>
    <cellStyle name="Normal 3 35 3" xfId="7029"/>
    <cellStyle name="Normal 3 36" xfId="7030"/>
    <cellStyle name="Normal 3 36 2" xfId="7031"/>
    <cellStyle name="Normal 3 36 2 2" xfId="7032"/>
    <cellStyle name="Normal 3 36 3" xfId="7033"/>
    <cellStyle name="Normal 3 37" xfId="7034"/>
    <cellStyle name="Normal 3 37 2" xfId="7035"/>
    <cellStyle name="Normal 3 37 2 2" xfId="7036"/>
    <cellStyle name="Normal 3 37 3" xfId="7037"/>
    <cellStyle name="Normal 3 38" xfId="7038"/>
    <cellStyle name="Normal 3 38 2" xfId="7039"/>
    <cellStyle name="Normal 3 38 2 2" xfId="7040"/>
    <cellStyle name="Normal 3 38 3" xfId="7041"/>
    <cellStyle name="Normal 3 39" xfId="7042"/>
    <cellStyle name="Normal 3 39 2" xfId="7043"/>
    <cellStyle name="Normal 3 39 2 2" xfId="7044"/>
    <cellStyle name="Normal 3 39 3" xfId="7045"/>
    <cellStyle name="Normal 3 4" xfId="186"/>
    <cellStyle name="Normal 3 4 10" xfId="7046"/>
    <cellStyle name="Normal 3 4 10 2" xfId="7047"/>
    <cellStyle name="Normal 3 4 10 2 2" xfId="7048"/>
    <cellStyle name="Normal 3 4 10 3" xfId="7049"/>
    <cellStyle name="Normal 3 4 11" xfId="7050"/>
    <cellStyle name="Normal 3 4 11 2" xfId="7051"/>
    <cellStyle name="Normal 3 4 11 2 2" xfId="7052"/>
    <cellStyle name="Normal 3 4 11 3" xfId="7053"/>
    <cellStyle name="Normal 3 4 12" xfId="7054"/>
    <cellStyle name="Normal 3 4 12 2" xfId="7055"/>
    <cellStyle name="Normal 3 4 12 2 2" xfId="7056"/>
    <cellStyle name="Normal 3 4 12 3" xfId="7057"/>
    <cellStyle name="Normal 3 4 13" xfId="7058"/>
    <cellStyle name="Normal 3 4 13 2" xfId="7059"/>
    <cellStyle name="Normal 3 4 13 2 2" xfId="7060"/>
    <cellStyle name="Normal 3 4 13 3" xfId="7061"/>
    <cellStyle name="Normal 3 4 14" xfId="7062"/>
    <cellStyle name="Normal 3 4 14 2" xfId="7063"/>
    <cellStyle name="Normal 3 4 14 2 2" xfId="7064"/>
    <cellStyle name="Normal 3 4 14 3" xfId="7065"/>
    <cellStyle name="Normal 3 4 15" xfId="7066"/>
    <cellStyle name="Normal 3 4 15 2" xfId="7067"/>
    <cellStyle name="Normal 3 4 15 2 2" xfId="7068"/>
    <cellStyle name="Normal 3 4 15 3" xfId="7069"/>
    <cellStyle name="Normal 3 4 16" xfId="7070"/>
    <cellStyle name="Normal 3 4 16 2" xfId="7071"/>
    <cellStyle name="Normal 3 4 16 2 2" xfId="7072"/>
    <cellStyle name="Normal 3 4 16 3" xfId="7073"/>
    <cellStyle name="Normal 3 4 17" xfId="7074"/>
    <cellStyle name="Normal 3 4 17 2" xfId="7075"/>
    <cellStyle name="Normal 3 4 17 2 2" xfId="7076"/>
    <cellStyle name="Normal 3 4 17 3" xfId="7077"/>
    <cellStyle name="Normal 3 4 18" xfId="7078"/>
    <cellStyle name="Normal 3 4 18 2" xfId="7079"/>
    <cellStyle name="Normal 3 4 18 2 2" xfId="7080"/>
    <cellStyle name="Normal 3 4 18 3" xfId="7081"/>
    <cellStyle name="Normal 3 4 19" xfId="7082"/>
    <cellStyle name="Normal 3 4 19 2" xfId="7083"/>
    <cellStyle name="Normal 3 4 19 2 2" xfId="7084"/>
    <cellStyle name="Normal 3 4 19 3" xfId="7085"/>
    <cellStyle name="Normal 3 4 2" xfId="7086"/>
    <cellStyle name="Normal 3 4 2 2" xfId="7087"/>
    <cellStyle name="Normal 3 4 2 2 2" xfId="7088"/>
    <cellStyle name="Normal 3 4 2 3" xfId="7089"/>
    <cellStyle name="Normal 3 4 20" xfId="7090"/>
    <cellStyle name="Normal 3 4 20 2" xfId="7091"/>
    <cellStyle name="Normal 3 4 20 2 2" xfId="7092"/>
    <cellStyle name="Normal 3 4 20 3" xfId="7093"/>
    <cellStyle name="Normal 3 4 21" xfId="7094"/>
    <cellStyle name="Normal 3 4 21 2" xfId="7095"/>
    <cellStyle name="Normal 3 4 21 2 2" xfId="7096"/>
    <cellStyle name="Normal 3 4 21 3" xfId="7097"/>
    <cellStyle name="Normal 3 4 22" xfId="7098"/>
    <cellStyle name="Normal 3 4 22 2" xfId="7099"/>
    <cellStyle name="Normal 3 4 22 2 2" xfId="7100"/>
    <cellStyle name="Normal 3 4 22 3" xfId="7101"/>
    <cellStyle name="Normal 3 4 23" xfId="7102"/>
    <cellStyle name="Normal 3 4 23 2" xfId="7103"/>
    <cellStyle name="Normal 3 4 23 2 2" xfId="7104"/>
    <cellStyle name="Normal 3 4 23 3" xfId="7105"/>
    <cellStyle name="Normal 3 4 24" xfId="7106"/>
    <cellStyle name="Normal 3 4 24 2" xfId="7107"/>
    <cellStyle name="Normal 3 4 25" xfId="7108"/>
    <cellStyle name="Normal 3 4 3" xfId="7109"/>
    <cellStyle name="Normal 3 4 3 2" xfId="7110"/>
    <cellStyle name="Normal 3 4 3 2 2" xfId="7111"/>
    <cellStyle name="Normal 3 4 3 3" xfId="7112"/>
    <cellStyle name="Normal 3 4 4" xfId="7113"/>
    <cellStyle name="Normal 3 4 4 2" xfId="7114"/>
    <cellStyle name="Normal 3 4 4 2 2" xfId="7115"/>
    <cellStyle name="Normal 3 4 4 3" xfId="7116"/>
    <cellStyle name="Normal 3 4 5" xfId="7117"/>
    <cellStyle name="Normal 3 4 5 2" xfId="7118"/>
    <cellStyle name="Normal 3 4 5 2 2" xfId="7119"/>
    <cellStyle name="Normal 3 4 5 3" xfId="7120"/>
    <cellStyle name="Normal 3 4 6" xfId="7121"/>
    <cellStyle name="Normal 3 4 6 2" xfId="7122"/>
    <cellStyle name="Normal 3 4 6 2 2" xfId="7123"/>
    <cellStyle name="Normal 3 4 6 3" xfId="7124"/>
    <cellStyle name="Normal 3 4 7" xfId="7125"/>
    <cellStyle name="Normal 3 4 7 2" xfId="7126"/>
    <cellStyle name="Normal 3 4 7 2 2" xfId="7127"/>
    <cellStyle name="Normal 3 4 7 3" xfId="7128"/>
    <cellStyle name="Normal 3 4 8" xfId="7129"/>
    <cellStyle name="Normal 3 4 8 2" xfId="7130"/>
    <cellStyle name="Normal 3 4 8 2 2" xfId="7131"/>
    <cellStyle name="Normal 3 4 8 3" xfId="7132"/>
    <cellStyle name="Normal 3 4 9" xfId="7133"/>
    <cellStyle name="Normal 3 4 9 2" xfId="7134"/>
    <cellStyle name="Normal 3 4 9 2 2" xfId="7135"/>
    <cellStyle name="Normal 3 4 9 3" xfId="7136"/>
    <cellStyle name="Normal 3 40" xfId="7137"/>
    <cellStyle name="Normal 3 40 2" xfId="7138"/>
    <cellStyle name="Normal 3 40 2 2" xfId="7139"/>
    <cellStyle name="Normal 3 40 3" xfId="7140"/>
    <cellStyle name="Normal 3 41" xfId="7141"/>
    <cellStyle name="Normal 3 41 2" xfId="7142"/>
    <cellStyle name="Normal 3 41 2 2" xfId="7143"/>
    <cellStyle name="Normal 3 41 3" xfId="7144"/>
    <cellStyle name="Normal 3 42" xfId="7145"/>
    <cellStyle name="Normal 3 42 2" xfId="7146"/>
    <cellStyle name="Normal 3 42 2 2" xfId="7147"/>
    <cellStyle name="Normal 3 42 3" xfId="7148"/>
    <cellStyle name="Normal 3 43" xfId="7149"/>
    <cellStyle name="Normal 3 43 2" xfId="7150"/>
    <cellStyle name="Normal 3 43 2 2" xfId="7151"/>
    <cellStyle name="Normal 3 43 3" xfId="7152"/>
    <cellStyle name="Normal 3 44" xfId="7153"/>
    <cellStyle name="Normal 3 44 2" xfId="7154"/>
    <cellStyle name="Normal 3 44 2 2" xfId="7155"/>
    <cellStyle name="Normal 3 44 3" xfId="7156"/>
    <cellStyle name="Normal 3 45" xfId="7157"/>
    <cellStyle name="Normal 3 45 2" xfId="7158"/>
    <cellStyle name="Normal 3 45 2 2" xfId="7159"/>
    <cellStyle name="Normal 3 45 3" xfId="7160"/>
    <cellStyle name="Normal 3 46" xfId="7161"/>
    <cellStyle name="Normal 3 46 2" xfId="7162"/>
    <cellStyle name="Normal 3 46 2 2" xfId="7163"/>
    <cellStyle name="Normal 3 46 3" xfId="7164"/>
    <cellStyle name="Normal 3 47" xfId="7165"/>
    <cellStyle name="Normal 3 47 2" xfId="7166"/>
    <cellStyle name="Normal 3 47 2 2" xfId="7167"/>
    <cellStyle name="Normal 3 47 3" xfId="7168"/>
    <cellStyle name="Normal 3 48" xfId="7169"/>
    <cellStyle name="Normal 3 48 2" xfId="7170"/>
    <cellStyle name="Normal 3 48 2 2" xfId="7171"/>
    <cellStyle name="Normal 3 48 3" xfId="7172"/>
    <cellStyle name="Normal 3 49" xfId="7173"/>
    <cellStyle name="Normal 3 49 2" xfId="7174"/>
    <cellStyle name="Normal 3 49 2 2" xfId="7175"/>
    <cellStyle name="Normal 3 49 3" xfId="7176"/>
    <cellStyle name="Normal 3 5" xfId="7177"/>
    <cellStyle name="Normal 3 5 10" xfId="7178"/>
    <cellStyle name="Normal 3 5 10 2" xfId="7179"/>
    <cellStyle name="Normal 3 5 10 2 2" xfId="7180"/>
    <cellStyle name="Normal 3 5 10 3" xfId="7181"/>
    <cellStyle name="Normal 3 5 11" xfId="7182"/>
    <cellStyle name="Normal 3 5 11 2" xfId="7183"/>
    <cellStyle name="Normal 3 5 11 2 2" xfId="7184"/>
    <cellStyle name="Normal 3 5 11 3" xfId="7185"/>
    <cellStyle name="Normal 3 5 12" xfId="7186"/>
    <cellStyle name="Normal 3 5 12 2" xfId="7187"/>
    <cellStyle name="Normal 3 5 12 2 2" xfId="7188"/>
    <cellStyle name="Normal 3 5 12 3" xfId="7189"/>
    <cellStyle name="Normal 3 5 13" xfId="7190"/>
    <cellStyle name="Normal 3 5 13 2" xfId="7191"/>
    <cellStyle name="Normal 3 5 13 2 2" xfId="7192"/>
    <cellStyle name="Normal 3 5 13 3" xfId="7193"/>
    <cellStyle name="Normal 3 5 14" xfId="7194"/>
    <cellStyle name="Normal 3 5 14 2" xfId="7195"/>
    <cellStyle name="Normal 3 5 14 2 2" xfId="7196"/>
    <cellStyle name="Normal 3 5 14 3" xfId="7197"/>
    <cellStyle name="Normal 3 5 15" xfId="7198"/>
    <cellStyle name="Normal 3 5 15 2" xfId="7199"/>
    <cellStyle name="Normal 3 5 15 2 2" xfId="7200"/>
    <cellStyle name="Normal 3 5 15 3" xfId="7201"/>
    <cellStyle name="Normal 3 5 16" xfId="7202"/>
    <cellStyle name="Normal 3 5 16 2" xfId="7203"/>
    <cellStyle name="Normal 3 5 16 2 2" xfId="7204"/>
    <cellStyle name="Normal 3 5 16 3" xfId="7205"/>
    <cellStyle name="Normal 3 5 17" xfId="7206"/>
    <cellStyle name="Normal 3 5 17 2" xfId="7207"/>
    <cellStyle name="Normal 3 5 17 2 2" xfId="7208"/>
    <cellStyle name="Normal 3 5 17 3" xfId="7209"/>
    <cellStyle name="Normal 3 5 18" xfId="7210"/>
    <cellStyle name="Normal 3 5 18 2" xfId="7211"/>
    <cellStyle name="Normal 3 5 18 2 2" xfId="7212"/>
    <cellStyle name="Normal 3 5 18 3" xfId="7213"/>
    <cellStyle name="Normal 3 5 19" xfId="7214"/>
    <cellStyle name="Normal 3 5 19 2" xfId="7215"/>
    <cellStyle name="Normal 3 5 19 2 2" xfId="7216"/>
    <cellStyle name="Normal 3 5 19 3" xfId="7217"/>
    <cellStyle name="Normal 3 5 2" xfId="7218"/>
    <cellStyle name="Normal 3 5 2 2" xfId="7219"/>
    <cellStyle name="Normal 3 5 2 2 2" xfId="7220"/>
    <cellStyle name="Normal 3 5 2 3" xfId="7221"/>
    <cellStyle name="Normal 3 5 20" xfId="7222"/>
    <cellStyle name="Normal 3 5 20 2" xfId="7223"/>
    <cellStyle name="Normal 3 5 20 2 2" xfId="7224"/>
    <cellStyle name="Normal 3 5 20 3" xfId="7225"/>
    <cellStyle name="Normal 3 5 21" xfId="7226"/>
    <cellStyle name="Normal 3 5 21 2" xfId="7227"/>
    <cellStyle name="Normal 3 5 21 2 2" xfId="7228"/>
    <cellStyle name="Normal 3 5 21 3" xfId="7229"/>
    <cellStyle name="Normal 3 5 22" xfId="7230"/>
    <cellStyle name="Normal 3 5 22 2" xfId="7231"/>
    <cellStyle name="Normal 3 5 22 2 2" xfId="7232"/>
    <cellStyle name="Normal 3 5 22 3" xfId="7233"/>
    <cellStyle name="Normal 3 5 23" xfId="7234"/>
    <cellStyle name="Normal 3 5 23 2" xfId="7235"/>
    <cellStyle name="Normal 3 5 23 2 2" xfId="7236"/>
    <cellStyle name="Normal 3 5 23 3" xfId="7237"/>
    <cellStyle name="Normal 3 5 24" xfId="7238"/>
    <cellStyle name="Normal 3 5 24 2" xfId="7239"/>
    <cellStyle name="Normal 3 5 25" xfId="7240"/>
    <cellStyle name="Normal 3 5 3" xfId="7241"/>
    <cellStyle name="Normal 3 5 3 2" xfId="7242"/>
    <cellStyle name="Normal 3 5 3 2 2" xfId="7243"/>
    <cellStyle name="Normal 3 5 3 3" xfId="7244"/>
    <cellStyle name="Normal 3 5 4" xfId="7245"/>
    <cellStyle name="Normal 3 5 4 2" xfId="7246"/>
    <cellStyle name="Normal 3 5 4 2 2" xfId="7247"/>
    <cellStyle name="Normal 3 5 4 3" xfId="7248"/>
    <cellStyle name="Normal 3 5 5" xfId="7249"/>
    <cellStyle name="Normal 3 5 5 2" xfId="7250"/>
    <cellStyle name="Normal 3 5 5 2 2" xfId="7251"/>
    <cellStyle name="Normal 3 5 5 3" xfId="7252"/>
    <cellStyle name="Normal 3 5 6" xfId="7253"/>
    <cellStyle name="Normal 3 5 6 2" xfId="7254"/>
    <cellStyle name="Normal 3 5 6 2 2" xfId="7255"/>
    <cellStyle name="Normal 3 5 6 3" xfId="7256"/>
    <cellStyle name="Normal 3 5 7" xfId="7257"/>
    <cellStyle name="Normal 3 5 7 2" xfId="7258"/>
    <cellStyle name="Normal 3 5 7 2 2" xfId="7259"/>
    <cellStyle name="Normal 3 5 7 3" xfId="7260"/>
    <cellStyle name="Normal 3 5 8" xfId="7261"/>
    <cellStyle name="Normal 3 5 8 2" xfId="7262"/>
    <cellStyle name="Normal 3 5 8 2 2" xfId="7263"/>
    <cellStyle name="Normal 3 5 8 3" xfId="7264"/>
    <cellStyle name="Normal 3 5 9" xfId="7265"/>
    <cellStyle name="Normal 3 5 9 2" xfId="7266"/>
    <cellStyle name="Normal 3 5 9 2 2" xfId="7267"/>
    <cellStyle name="Normal 3 5 9 3" xfId="7268"/>
    <cellStyle name="Normal 3 50" xfId="7269"/>
    <cellStyle name="Normal 3 50 2" xfId="7270"/>
    <cellStyle name="Normal 3 50 2 2" xfId="7271"/>
    <cellStyle name="Normal 3 50 3" xfId="7272"/>
    <cellStyle name="Normal 3 51" xfId="7273"/>
    <cellStyle name="Normal 3 51 2" xfId="7274"/>
    <cellStyle name="Normal 3 51 2 2" xfId="7275"/>
    <cellStyle name="Normal 3 51 3" xfId="7276"/>
    <cellStyle name="Normal 3 52" xfId="7277"/>
    <cellStyle name="Normal 3 52 2" xfId="7278"/>
    <cellStyle name="Normal 3 52 2 2" xfId="7279"/>
    <cellStyle name="Normal 3 52 3" xfId="7280"/>
    <cellStyle name="Normal 3 53" xfId="7281"/>
    <cellStyle name="Normal 3 53 2" xfId="7282"/>
    <cellStyle name="Normal 3 53 2 2" xfId="7283"/>
    <cellStyle name="Normal 3 53 3" xfId="7284"/>
    <cellStyle name="Normal 3 54" xfId="7285"/>
    <cellStyle name="Normal 3 54 2" xfId="7286"/>
    <cellStyle name="Normal 3 54 2 2" xfId="7287"/>
    <cellStyle name="Normal 3 54 3" xfId="7288"/>
    <cellStyle name="Normal 3 55" xfId="7289"/>
    <cellStyle name="Normal 3 55 2" xfId="7290"/>
    <cellStyle name="Normal 3 55 2 2" xfId="7291"/>
    <cellStyle name="Normal 3 55 3" xfId="7292"/>
    <cellStyle name="Normal 3 56" xfId="7293"/>
    <cellStyle name="Normal 3 56 2" xfId="7294"/>
    <cellStyle name="Normal 3 56 2 2" xfId="7295"/>
    <cellStyle name="Normal 3 56 3" xfId="7296"/>
    <cellStyle name="Normal 3 57" xfId="7297"/>
    <cellStyle name="Normal 3 57 2" xfId="7298"/>
    <cellStyle name="Normal 3 57 2 2" xfId="7299"/>
    <cellStyle name="Normal 3 57 3" xfId="7300"/>
    <cellStyle name="Normal 3 58" xfId="7301"/>
    <cellStyle name="Normal 3 58 2" xfId="7302"/>
    <cellStyle name="Normal 3 58 2 2" xfId="7303"/>
    <cellStyle name="Normal 3 58 3" xfId="7304"/>
    <cellStyle name="Normal 3 59" xfId="7305"/>
    <cellStyle name="Normal 3 59 2" xfId="7306"/>
    <cellStyle name="Normal 3 59 2 2" xfId="7307"/>
    <cellStyle name="Normal 3 59 3" xfId="7308"/>
    <cellStyle name="Normal 3 6" xfId="7309"/>
    <cellStyle name="Normal 3 6 10" xfId="7310"/>
    <cellStyle name="Normal 3 6 10 2" xfId="7311"/>
    <cellStyle name="Normal 3 6 10 2 2" xfId="7312"/>
    <cellStyle name="Normal 3 6 10 3" xfId="7313"/>
    <cellStyle name="Normal 3 6 11" xfId="7314"/>
    <cellStyle name="Normal 3 6 11 2" xfId="7315"/>
    <cellStyle name="Normal 3 6 11 2 2" xfId="7316"/>
    <cellStyle name="Normal 3 6 11 3" xfId="7317"/>
    <cellStyle name="Normal 3 6 12" xfId="7318"/>
    <cellStyle name="Normal 3 6 12 2" xfId="7319"/>
    <cellStyle name="Normal 3 6 12 2 2" xfId="7320"/>
    <cellStyle name="Normal 3 6 12 3" xfId="7321"/>
    <cellStyle name="Normal 3 6 13" xfId="7322"/>
    <cellStyle name="Normal 3 6 13 2" xfId="7323"/>
    <cellStyle name="Normal 3 6 13 2 2" xfId="7324"/>
    <cellStyle name="Normal 3 6 13 3" xfId="7325"/>
    <cellStyle name="Normal 3 6 14" xfId="7326"/>
    <cellStyle name="Normal 3 6 14 2" xfId="7327"/>
    <cellStyle name="Normal 3 6 14 2 2" xfId="7328"/>
    <cellStyle name="Normal 3 6 14 3" xfId="7329"/>
    <cellStyle name="Normal 3 6 15" xfId="7330"/>
    <cellStyle name="Normal 3 6 15 2" xfId="7331"/>
    <cellStyle name="Normal 3 6 15 2 2" xfId="7332"/>
    <cellStyle name="Normal 3 6 15 3" xfId="7333"/>
    <cellStyle name="Normal 3 6 16" xfId="7334"/>
    <cellStyle name="Normal 3 6 16 2" xfId="7335"/>
    <cellStyle name="Normal 3 6 16 2 2" xfId="7336"/>
    <cellStyle name="Normal 3 6 16 3" xfId="7337"/>
    <cellStyle name="Normal 3 6 17" xfId="7338"/>
    <cellStyle name="Normal 3 6 17 2" xfId="7339"/>
    <cellStyle name="Normal 3 6 17 2 2" xfId="7340"/>
    <cellStyle name="Normal 3 6 17 3" xfId="7341"/>
    <cellStyle name="Normal 3 6 18" xfId="7342"/>
    <cellStyle name="Normal 3 6 18 2" xfId="7343"/>
    <cellStyle name="Normal 3 6 18 2 2" xfId="7344"/>
    <cellStyle name="Normal 3 6 18 3" xfId="7345"/>
    <cellStyle name="Normal 3 6 19" xfId="7346"/>
    <cellStyle name="Normal 3 6 19 2" xfId="7347"/>
    <cellStyle name="Normal 3 6 19 2 2" xfId="7348"/>
    <cellStyle name="Normal 3 6 19 3" xfId="7349"/>
    <cellStyle name="Normal 3 6 2" xfId="7350"/>
    <cellStyle name="Normal 3 6 2 2" xfId="7351"/>
    <cellStyle name="Normal 3 6 2 2 2" xfId="7352"/>
    <cellStyle name="Normal 3 6 2 3" xfId="7353"/>
    <cellStyle name="Normal 3 6 20" xfId="7354"/>
    <cellStyle name="Normal 3 6 20 2" xfId="7355"/>
    <cellStyle name="Normal 3 6 20 2 2" xfId="7356"/>
    <cellStyle name="Normal 3 6 20 3" xfId="7357"/>
    <cellStyle name="Normal 3 6 21" xfId="7358"/>
    <cellStyle name="Normal 3 6 21 2" xfId="7359"/>
    <cellStyle name="Normal 3 6 21 2 2" xfId="7360"/>
    <cellStyle name="Normal 3 6 21 3" xfId="7361"/>
    <cellStyle name="Normal 3 6 22" xfId="7362"/>
    <cellStyle name="Normal 3 6 22 2" xfId="7363"/>
    <cellStyle name="Normal 3 6 22 2 2" xfId="7364"/>
    <cellStyle name="Normal 3 6 22 3" xfId="7365"/>
    <cellStyle name="Normal 3 6 23" xfId="7366"/>
    <cellStyle name="Normal 3 6 23 2" xfId="7367"/>
    <cellStyle name="Normal 3 6 23 2 2" xfId="7368"/>
    <cellStyle name="Normal 3 6 23 3" xfId="7369"/>
    <cellStyle name="Normal 3 6 24" xfId="7370"/>
    <cellStyle name="Normal 3 6 24 2" xfId="7371"/>
    <cellStyle name="Normal 3 6 25" xfId="7372"/>
    <cellStyle name="Normal 3 6 3" xfId="7373"/>
    <cellStyle name="Normal 3 6 3 2" xfId="7374"/>
    <cellStyle name="Normal 3 6 3 2 2" xfId="7375"/>
    <cellStyle name="Normal 3 6 3 3" xfId="7376"/>
    <cellStyle name="Normal 3 6 4" xfId="7377"/>
    <cellStyle name="Normal 3 6 4 2" xfId="7378"/>
    <cellStyle name="Normal 3 6 4 2 2" xfId="7379"/>
    <cellStyle name="Normal 3 6 4 3" xfId="7380"/>
    <cellStyle name="Normal 3 6 5" xfId="7381"/>
    <cellStyle name="Normal 3 6 5 2" xfId="7382"/>
    <cellStyle name="Normal 3 6 5 2 2" xfId="7383"/>
    <cellStyle name="Normal 3 6 5 3" xfId="7384"/>
    <cellStyle name="Normal 3 6 6" xfId="7385"/>
    <cellStyle name="Normal 3 6 6 2" xfId="7386"/>
    <cellStyle name="Normal 3 6 6 2 2" xfId="7387"/>
    <cellStyle name="Normal 3 6 6 3" xfId="7388"/>
    <cellStyle name="Normal 3 6 7" xfId="7389"/>
    <cellStyle name="Normal 3 6 7 2" xfId="7390"/>
    <cellStyle name="Normal 3 6 7 2 2" xfId="7391"/>
    <cellStyle name="Normal 3 6 7 3" xfId="7392"/>
    <cellStyle name="Normal 3 6 8" xfId="7393"/>
    <cellStyle name="Normal 3 6 8 2" xfId="7394"/>
    <cellStyle name="Normal 3 6 8 2 2" xfId="7395"/>
    <cellStyle name="Normal 3 6 8 3" xfId="7396"/>
    <cellStyle name="Normal 3 6 9" xfId="7397"/>
    <cellStyle name="Normal 3 6 9 2" xfId="7398"/>
    <cellStyle name="Normal 3 6 9 2 2" xfId="7399"/>
    <cellStyle name="Normal 3 6 9 3" xfId="7400"/>
    <cellStyle name="Normal 3 60" xfId="7401"/>
    <cellStyle name="Normal 3 60 2" xfId="7402"/>
    <cellStyle name="Normal 3 60 2 2" xfId="7403"/>
    <cellStyle name="Normal 3 60 3" xfId="7404"/>
    <cellStyle name="Normal 3 61" xfId="7405"/>
    <cellStyle name="Normal 3 61 2" xfId="7406"/>
    <cellStyle name="Normal 3 61 2 2" xfId="7407"/>
    <cellStyle name="Normal 3 61 3" xfId="7408"/>
    <cellStyle name="Normal 3 62" xfId="7409"/>
    <cellStyle name="Normal 3 62 2" xfId="7410"/>
    <cellStyle name="Normal 3 62 2 2" xfId="7411"/>
    <cellStyle name="Normal 3 62 3" xfId="7412"/>
    <cellStyle name="Normal 3 63" xfId="7413"/>
    <cellStyle name="Normal 3 63 2" xfId="7414"/>
    <cellStyle name="Normal 3 63 2 2" xfId="7415"/>
    <cellStyle name="Normal 3 63 3" xfId="7416"/>
    <cellStyle name="Normal 3 64" xfId="7417"/>
    <cellStyle name="Normal 3 64 2" xfId="7418"/>
    <cellStyle name="Normal 3 64 2 2" xfId="7419"/>
    <cellStyle name="Normal 3 64 3" xfId="7420"/>
    <cellStyle name="Normal 3 65" xfId="7421"/>
    <cellStyle name="Normal 3 65 2" xfId="7422"/>
    <cellStyle name="Normal 3 65 2 2" xfId="7423"/>
    <cellStyle name="Normal 3 65 3" xfId="7424"/>
    <cellStyle name="Normal 3 66" xfId="187"/>
    <cellStyle name="Normal 3 67" xfId="7425"/>
    <cellStyle name="Normal 3 68" xfId="7426"/>
    <cellStyle name="Normal 3 7" xfId="7427"/>
    <cellStyle name="Normal 3 7 10" xfId="7428"/>
    <cellStyle name="Normal 3 7 10 2" xfId="7429"/>
    <cellStyle name="Normal 3 7 10 2 2" xfId="7430"/>
    <cellStyle name="Normal 3 7 10 3" xfId="7431"/>
    <cellStyle name="Normal 3 7 11" xfId="7432"/>
    <cellStyle name="Normal 3 7 11 2" xfId="7433"/>
    <cellStyle name="Normal 3 7 11 2 2" xfId="7434"/>
    <cellStyle name="Normal 3 7 11 3" xfId="7435"/>
    <cellStyle name="Normal 3 7 12" xfId="7436"/>
    <cellStyle name="Normal 3 7 12 2" xfId="7437"/>
    <cellStyle name="Normal 3 7 12 2 2" xfId="7438"/>
    <cellStyle name="Normal 3 7 12 3" xfId="7439"/>
    <cellStyle name="Normal 3 7 13" xfId="7440"/>
    <cellStyle name="Normal 3 7 13 2" xfId="7441"/>
    <cellStyle name="Normal 3 7 13 2 2" xfId="7442"/>
    <cellStyle name="Normal 3 7 13 3" xfId="7443"/>
    <cellStyle name="Normal 3 7 14" xfId="7444"/>
    <cellStyle name="Normal 3 7 14 2" xfId="7445"/>
    <cellStyle name="Normal 3 7 14 2 2" xfId="7446"/>
    <cellStyle name="Normal 3 7 14 3" xfId="7447"/>
    <cellStyle name="Normal 3 7 15" xfId="7448"/>
    <cellStyle name="Normal 3 7 15 2" xfId="7449"/>
    <cellStyle name="Normal 3 7 15 2 2" xfId="7450"/>
    <cellStyle name="Normal 3 7 15 3" xfId="7451"/>
    <cellStyle name="Normal 3 7 16" xfId="7452"/>
    <cellStyle name="Normal 3 7 16 2" xfId="7453"/>
    <cellStyle name="Normal 3 7 16 2 2" xfId="7454"/>
    <cellStyle name="Normal 3 7 16 3" xfId="7455"/>
    <cellStyle name="Normal 3 7 17" xfId="7456"/>
    <cellStyle name="Normal 3 7 17 2" xfId="7457"/>
    <cellStyle name="Normal 3 7 17 2 2" xfId="7458"/>
    <cellStyle name="Normal 3 7 17 3" xfId="7459"/>
    <cellStyle name="Normal 3 7 18" xfId="7460"/>
    <cellStyle name="Normal 3 7 18 2" xfId="7461"/>
    <cellStyle name="Normal 3 7 18 2 2" xfId="7462"/>
    <cellStyle name="Normal 3 7 18 3" xfId="7463"/>
    <cellStyle name="Normal 3 7 19" xfId="7464"/>
    <cellStyle name="Normal 3 7 19 2" xfId="7465"/>
    <cellStyle name="Normal 3 7 19 2 2" xfId="7466"/>
    <cellStyle name="Normal 3 7 19 3" xfId="7467"/>
    <cellStyle name="Normal 3 7 2" xfId="7468"/>
    <cellStyle name="Normal 3 7 2 2" xfId="7469"/>
    <cellStyle name="Normal 3 7 2 2 2" xfId="7470"/>
    <cellStyle name="Normal 3 7 2 3" xfId="7471"/>
    <cellStyle name="Normal 3 7 20" xfId="7472"/>
    <cellStyle name="Normal 3 7 20 2" xfId="7473"/>
    <cellStyle name="Normal 3 7 20 2 2" xfId="7474"/>
    <cellStyle name="Normal 3 7 20 3" xfId="7475"/>
    <cellStyle name="Normal 3 7 21" xfId="7476"/>
    <cellStyle name="Normal 3 7 21 2" xfId="7477"/>
    <cellStyle name="Normal 3 7 21 2 2" xfId="7478"/>
    <cellStyle name="Normal 3 7 21 3" xfId="7479"/>
    <cellStyle name="Normal 3 7 22" xfId="7480"/>
    <cellStyle name="Normal 3 7 22 2" xfId="7481"/>
    <cellStyle name="Normal 3 7 22 2 2" xfId="7482"/>
    <cellStyle name="Normal 3 7 22 3" xfId="7483"/>
    <cellStyle name="Normal 3 7 23" xfId="7484"/>
    <cellStyle name="Normal 3 7 23 2" xfId="7485"/>
    <cellStyle name="Normal 3 7 23 2 2" xfId="7486"/>
    <cellStyle name="Normal 3 7 23 3" xfId="7487"/>
    <cellStyle name="Normal 3 7 24" xfId="7488"/>
    <cellStyle name="Normal 3 7 24 2" xfId="7489"/>
    <cellStyle name="Normal 3 7 25" xfId="7490"/>
    <cellStyle name="Normal 3 7 3" xfId="7491"/>
    <cellStyle name="Normal 3 7 3 2" xfId="7492"/>
    <cellStyle name="Normal 3 7 3 2 2" xfId="7493"/>
    <cellStyle name="Normal 3 7 3 3" xfId="7494"/>
    <cellStyle name="Normal 3 7 4" xfId="7495"/>
    <cellStyle name="Normal 3 7 4 2" xfId="7496"/>
    <cellStyle name="Normal 3 7 4 2 2" xfId="7497"/>
    <cellStyle name="Normal 3 7 4 3" xfId="7498"/>
    <cellStyle name="Normal 3 7 5" xfId="7499"/>
    <cellStyle name="Normal 3 7 5 2" xfId="7500"/>
    <cellStyle name="Normal 3 7 5 2 2" xfId="7501"/>
    <cellStyle name="Normal 3 7 5 3" xfId="7502"/>
    <cellStyle name="Normal 3 7 6" xfId="7503"/>
    <cellStyle name="Normal 3 7 6 2" xfId="7504"/>
    <cellStyle name="Normal 3 7 6 2 2" xfId="7505"/>
    <cellStyle name="Normal 3 7 6 3" xfId="7506"/>
    <cellStyle name="Normal 3 7 7" xfId="7507"/>
    <cellStyle name="Normal 3 7 7 2" xfId="7508"/>
    <cellStyle name="Normal 3 7 7 2 2" xfId="7509"/>
    <cellStyle name="Normal 3 7 7 3" xfId="7510"/>
    <cellStyle name="Normal 3 7 8" xfId="7511"/>
    <cellStyle name="Normal 3 7 8 2" xfId="7512"/>
    <cellStyle name="Normal 3 7 8 2 2" xfId="7513"/>
    <cellStyle name="Normal 3 7 8 3" xfId="7514"/>
    <cellStyle name="Normal 3 7 9" xfId="7515"/>
    <cellStyle name="Normal 3 7 9 2" xfId="7516"/>
    <cellStyle name="Normal 3 7 9 2 2" xfId="7517"/>
    <cellStyle name="Normal 3 7 9 3" xfId="7518"/>
    <cellStyle name="Normal 3 8" xfId="7519"/>
    <cellStyle name="Normal 3 8 10" xfId="7520"/>
    <cellStyle name="Normal 3 8 10 2" xfId="7521"/>
    <cellStyle name="Normal 3 8 10 2 2" xfId="7522"/>
    <cellStyle name="Normal 3 8 10 3" xfId="7523"/>
    <cellStyle name="Normal 3 8 11" xfId="7524"/>
    <cellStyle name="Normal 3 8 11 2" xfId="7525"/>
    <cellStyle name="Normal 3 8 11 2 2" xfId="7526"/>
    <cellStyle name="Normal 3 8 11 3" xfId="7527"/>
    <cellStyle name="Normal 3 8 12" xfId="7528"/>
    <cellStyle name="Normal 3 8 12 2" xfId="7529"/>
    <cellStyle name="Normal 3 8 12 2 2" xfId="7530"/>
    <cellStyle name="Normal 3 8 12 3" xfId="7531"/>
    <cellStyle name="Normal 3 8 13" xfId="7532"/>
    <cellStyle name="Normal 3 8 13 2" xfId="7533"/>
    <cellStyle name="Normal 3 8 13 2 2" xfId="7534"/>
    <cellStyle name="Normal 3 8 13 3" xfId="7535"/>
    <cellStyle name="Normal 3 8 14" xfId="7536"/>
    <cellStyle name="Normal 3 8 14 2" xfId="7537"/>
    <cellStyle name="Normal 3 8 14 2 2" xfId="7538"/>
    <cellStyle name="Normal 3 8 14 3" xfId="7539"/>
    <cellStyle name="Normal 3 8 15" xfId="7540"/>
    <cellStyle name="Normal 3 8 15 2" xfId="7541"/>
    <cellStyle name="Normal 3 8 15 2 2" xfId="7542"/>
    <cellStyle name="Normal 3 8 15 3" xfId="7543"/>
    <cellStyle name="Normal 3 8 16" xfId="7544"/>
    <cellStyle name="Normal 3 8 16 2" xfId="7545"/>
    <cellStyle name="Normal 3 8 16 2 2" xfId="7546"/>
    <cellStyle name="Normal 3 8 16 3" xfId="7547"/>
    <cellStyle name="Normal 3 8 17" xfId="7548"/>
    <cellStyle name="Normal 3 8 17 2" xfId="7549"/>
    <cellStyle name="Normal 3 8 17 2 2" xfId="7550"/>
    <cellStyle name="Normal 3 8 17 3" xfId="7551"/>
    <cellStyle name="Normal 3 8 18" xfId="7552"/>
    <cellStyle name="Normal 3 8 18 2" xfId="7553"/>
    <cellStyle name="Normal 3 8 18 2 2" xfId="7554"/>
    <cellStyle name="Normal 3 8 18 3" xfId="7555"/>
    <cellStyle name="Normal 3 8 19" xfId="7556"/>
    <cellStyle name="Normal 3 8 19 2" xfId="7557"/>
    <cellStyle name="Normal 3 8 19 2 2" xfId="7558"/>
    <cellStyle name="Normal 3 8 19 3" xfId="7559"/>
    <cellStyle name="Normal 3 8 2" xfId="7560"/>
    <cellStyle name="Normal 3 8 2 2" xfId="7561"/>
    <cellStyle name="Normal 3 8 2 2 2" xfId="7562"/>
    <cellStyle name="Normal 3 8 2 3" xfId="7563"/>
    <cellStyle name="Normal 3 8 20" xfId="7564"/>
    <cellStyle name="Normal 3 8 20 2" xfId="7565"/>
    <cellStyle name="Normal 3 8 20 2 2" xfId="7566"/>
    <cellStyle name="Normal 3 8 20 3" xfId="7567"/>
    <cellStyle name="Normal 3 8 21" xfId="7568"/>
    <cellStyle name="Normal 3 8 21 2" xfId="7569"/>
    <cellStyle name="Normal 3 8 21 2 2" xfId="7570"/>
    <cellStyle name="Normal 3 8 21 3" xfId="7571"/>
    <cellStyle name="Normal 3 8 22" xfId="7572"/>
    <cellStyle name="Normal 3 8 22 2" xfId="7573"/>
    <cellStyle name="Normal 3 8 22 2 2" xfId="7574"/>
    <cellStyle name="Normal 3 8 22 3" xfId="7575"/>
    <cellStyle name="Normal 3 8 23" xfId="7576"/>
    <cellStyle name="Normal 3 8 23 2" xfId="7577"/>
    <cellStyle name="Normal 3 8 23 2 2" xfId="7578"/>
    <cellStyle name="Normal 3 8 23 3" xfId="7579"/>
    <cellStyle name="Normal 3 8 24" xfId="7580"/>
    <cellStyle name="Normal 3 8 24 2" xfId="7581"/>
    <cellStyle name="Normal 3 8 25" xfId="7582"/>
    <cellStyle name="Normal 3 8 3" xfId="7583"/>
    <cellStyle name="Normal 3 8 3 2" xfId="7584"/>
    <cellStyle name="Normal 3 8 3 2 2" xfId="7585"/>
    <cellStyle name="Normal 3 8 3 3" xfId="7586"/>
    <cellStyle name="Normal 3 8 4" xfId="7587"/>
    <cellStyle name="Normal 3 8 4 2" xfId="7588"/>
    <cellStyle name="Normal 3 8 4 2 2" xfId="7589"/>
    <cellStyle name="Normal 3 8 4 3" xfId="7590"/>
    <cellStyle name="Normal 3 8 5" xfId="7591"/>
    <cellStyle name="Normal 3 8 5 2" xfId="7592"/>
    <cellStyle name="Normal 3 8 5 2 2" xfId="7593"/>
    <cellStyle name="Normal 3 8 5 3" xfId="7594"/>
    <cellStyle name="Normal 3 8 6" xfId="7595"/>
    <cellStyle name="Normal 3 8 6 2" xfId="7596"/>
    <cellStyle name="Normal 3 8 6 2 2" xfId="7597"/>
    <cellStyle name="Normal 3 8 6 3" xfId="7598"/>
    <cellStyle name="Normal 3 8 7" xfId="7599"/>
    <cellStyle name="Normal 3 8 7 2" xfId="7600"/>
    <cellStyle name="Normal 3 8 7 2 2" xfId="7601"/>
    <cellStyle name="Normal 3 8 7 3" xfId="7602"/>
    <cellStyle name="Normal 3 8 8" xfId="7603"/>
    <cellStyle name="Normal 3 8 8 2" xfId="7604"/>
    <cellStyle name="Normal 3 8 8 2 2" xfId="7605"/>
    <cellStyle name="Normal 3 8 8 3" xfId="7606"/>
    <cellStyle name="Normal 3 8 9" xfId="7607"/>
    <cellStyle name="Normal 3 8 9 2" xfId="7608"/>
    <cellStyle name="Normal 3 8 9 2 2" xfId="7609"/>
    <cellStyle name="Normal 3 8 9 3" xfId="7610"/>
    <cellStyle name="Normal 3 9" xfId="7611"/>
    <cellStyle name="Normal 3 9 10" xfId="7612"/>
    <cellStyle name="Normal 3 9 10 2" xfId="7613"/>
    <cellStyle name="Normal 3 9 10 2 2" xfId="7614"/>
    <cellStyle name="Normal 3 9 10 3" xfId="7615"/>
    <cellStyle name="Normal 3 9 11" xfId="7616"/>
    <cellStyle name="Normal 3 9 11 2" xfId="7617"/>
    <cellStyle name="Normal 3 9 11 2 2" xfId="7618"/>
    <cellStyle name="Normal 3 9 11 3" xfId="7619"/>
    <cellStyle name="Normal 3 9 12" xfId="7620"/>
    <cellStyle name="Normal 3 9 12 2" xfId="7621"/>
    <cellStyle name="Normal 3 9 12 2 2" xfId="7622"/>
    <cellStyle name="Normal 3 9 12 3" xfId="7623"/>
    <cellStyle name="Normal 3 9 13" xfId="7624"/>
    <cellStyle name="Normal 3 9 13 2" xfId="7625"/>
    <cellStyle name="Normal 3 9 13 2 2" xfId="7626"/>
    <cellStyle name="Normal 3 9 13 3" xfId="7627"/>
    <cellStyle name="Normal 3 9 14" xfId="7628"/>
    <cellStyle name="Normal 3 9 14 2" xfId="7629"/>
    <cellStyle name="Normal 3 9 14 2 2" xfId="7630"/>
    <cellStyle name="Normal 3 9 14 3" xfId="7631"/>
    <cellStyle name="Normal 3 9 15" xfId="7632"/>
    <cellStyle name="Normal 3 9 15 2" xfId="7633"/>
    <cellStyle name="Normal 3 9 15 2 2" xfId="7634"/>
    <cellStyle name="Normal 3 9 15 3" xfId="7635"/>
    <cellStyle name="Normal 3 9 16" xfId="7636"/>
    <cellStyle name="Normal 3 9 16 2" xfId="7637"/>
    <cellStyle name="Normal 3 9 16 2 2" xfId="7638"/>
    <cellStyle name="Normal 3 9 16 3" xfId="7639"/>
    <cellStyle name="Normal 3 9 17" xfId="7640"/>
    <cellStyle name="Normal 3 9 17 2" xfId="7641"/>
    <cellStyle name="Normal 3 9 17 2 2" xfId="7642"/>
    <cellStyle name="Normal 3 9 17 3" xfId="7643"/>
    <cellStyle name="Normal 3 9 18" xfId="7644"/>
    <cellStyle name="Normal 3 9 18 2" xfId="7645"/>
    <cellStyle name="Normal 3 9 18 2 2" xfId="7646"/>
    <cellStyle name="Normal 3 9 18 3" xfId="7647"/>
    <cellStyle name="Normal 3 9 19" xfId="7648"/>
    <cellStyle name="Normal 3 9 19 2" xfId="7649"/>
    <cellStyle name="Normal 3 9 19 2 2" xfId="7650"/>
    <cellStyle name="Normal 3 9 19 3" xfId="7651"/>
    <cellStyle name="Normal 3 9 2" xfId="7652"/>
    <cellStyle name="Normal 3 9 2 2" xfId="7653"/>
    <cellStyle name="Normal 3 9 2 2 2" xfId="7654"/>
    <cellStyle name="Normal 3 9 2 3" xfId="7655"/>
    <cellStyle name="Normal 3 9 20" xfId="7656"/>
    <cellStyle name="Normal 3 9 20 2" xfId="7657"/>
    <cellStyle name="Normal 3 9 20 2 2" xfId="7658"/>
    <cellStyle name="Normal 3 9 20 3" xfId="7659"/>
    <cellStyle name="Normal 3 9 21" xfId="7660"/>
    <cellStyle name="Normal 3 9 21 2" xfId="7661"/>
    <cellStyle name="Normal 3 9 21 2 2" xfId="7662"/>
    <cellStyle name="Normal 3 9 21 3" xfId="7663"/>
    <cellStyle name="Normal 3 9 22" xfId="7664"/>
    <cellStyle name="Normal 3 9 22 2" xfId="7665"/>
    <cellStyle name="Normal 3 9 22 2 2" xfId="7666"/>
    <cellStyle name="Normal 3 9 22 3" xfId="7667"/>
    <cellStyle name="Normal 3 9 23" xfId="7668"/>
    <cellStyle name="Normal 3 9 23 2" xfId="7669"/>
    <cellStyle name="Normal 3 9 23 2 2" xfId="7670"/>
    <cellStyle name="Normal 3 9 23 3" xfId="7671"/>
    <cellStyle name="Normal 3 9 24" xfId="7672"/>
    <cellStyle name="Normal 3 9 24 2" xfId="7673"/>
    <cellStyle name="Normal 3 9 25" xfId="7674"/>
    <cellStyle name="Normal 3 9 3" xfId="7675"/>
    <cellStyle name="Normal 3 9 3 2" xfId="7676"/>
    <cellStyle name="Normal 3 9 3 2 2" xfId="7677"/>
    <cellStyle name="Normal 3 9 3 3" xfId="7678"/>
    <cellStyle name="Normal 3 9 4" xfId="7679"/>
    <cellStyle name="Normal 3 9 4 2" xfId="7680"/>
    <cellStyle name="Normal 3 9 4 2 2" xfId="7681"/>
    <cellStyle name="Normal 3 9 4 3" xfId="7682"/>
    <cellStyle name="Normal 3 9 5" xfId="7683"/>
    <cellStyle name="Normal 3 9 5 2" xfId="7684"/>
    <cellStyle name="Normal 3 9 5 2 2" xfId="7685"/>
    <cellStyle name="Normal 3 9 5 3" xfId="7686"/>
    <cellStyle name="Normal 3 9 6" xfId="7687"/>
    <cellStyle name="Normal 3 9 6 2" xfId="7688"/>
    <cellStyle name="Normal 3 9 6 2 2" xfId="7689"/>
    <cellStyle name="Normal 3 9 6 3" xfId="7690"/>
    <cellStyle name="Normal 3 9 7" xfId="7691"/>
    <cellStyle name="Normal 3 9 7 2" xfId="7692"/>
    <cellStyle name="Normal 3 9 7 2 2" xfId="7693"/>
    <cellStyle name="Normal 3 9 7 3" xfId="7694"/>
    <cellStyle name="Normal 3 9 8" xfId="7695"/>
    <cellStyle name="Normal 3 9 8 2" xfId="7696"/>
    <cellStyle name="Normal 3 9 8 2 2" xfId="7697"/>
    <cellStyle name="Normal 3 9 8 3" xfId="7698"/>
    <cellStyle name="Normal 3 9 9" xfId="7699"/>
    <cellStyle name="Normal 3 9 9 2" xfId="7700"/>
    <cellStyle name="Normal 3 9 9 2 2" xfId="7701"/>
    <cellStyle name="Normal 3 9 9 3" xfId="7702"/>
    <cellStyle name="Normal 30" xfId="326"/>
    <cellStyle name="Normal 31" xfId="327"/>
    <cellStyle name="Normal 32" xfId="328"/>
    <cellStyle name="Normal 33" xfId="329"/>
    <cellStyle name="Normal 34" xfId="330"/>
    <cellStyle name="Normal 35" xfId="331"/>
    <cellStyle name="Normal 36" xfId="332"/>
    <cellStyle name="Normal 37" xfId="333"/>
    <cellStyle name="Normal 38" xfId="334"/>
    <cellStyle name="Normal 39" xfId="335"/>
    <cellStyle name="Normal 4" xfId="188"/>
    <cellStyle name="Normal 4 2" xfId="189"/>
    <cellStyle name="Normal 4 2 2" xfId="7703"/>
    <cellStyle name="Normal 4 2 3" xfId="7704"/>
    <cellStyle name="Normal 4 2 3 2" xfId="7705"/>
    <cellStyle name="Normal 4 2 4" xfId="7706"/>
    <cellStyle name="Normal 4 3" xfId="190"/>
    <cellStyle name="Normal 4 3 2" xfId="191"/>
    <cellStyle name="Normal 4 3 2 2" xfId="192"/>
    <cellStyle name="Normal 4 3 2 3" xfId="193"/>
    <cellStyle name="Normal 4 3 3" xfId="194"/>
    <cellStyle name="Normal 4 3 4" xfId="7707"/>
    <cellStyle name="Normal 4 4" xfId="195"/>
    <cellStyle name="Normal 4 4 2" xfId="196"/>
    <cellStyle name="Normal 4 4 3" xfId="197"/>
    <cellStyle name="Normal 4 5" xfId="198"/>
    <cellStyle name="Normal 4 5 2" xfId="199"/>
    <cellStyle name="Normal 4 5 3" xfId="336"/>
    <cellStyle name="Normal 4 6" xfId="337"/>
    <cellStyle name="Normal 4 7" xfId="338"/>
    <cellStyle name="Normal 4 8" xfId="7708"/>
    <cellStyle name="Normal 4 9" xfId="7709"/>
    <cellStyle name="Normal 40" xfId="339"/>
    <cellStyle name="Normal 41" xfId="340"/>
    <cellStyle name="Normal 42" xfId="341"/>
    <cellStyle name="Normal 43" xfId="342"/>
    <cellStyle name="Normal 44" xfId="343"/>
    <cellStyle name="Normal 45" xfId="344"/>
    <cellStyle name="Normal 46" xfId="345"/>
    <cellStyle name="Normal 47" xfId="346"/>
    <cellStyle name="Normal 48" xfId="347"/>
    <cellStyle name="Normal 48 2" xfId="348"/>
    <cellStyle name="Normal 49" xfId="349"/>
    <cellStyle name="Normal 5" xfId="200"/>
    <cellStyle name="Normal 5 10" xfId="7710"/>
    <cellStyle name="Normal 5 10 2" xfId="7711"/>
    <cellStyle name="Normal 5 10 2 2" xfId="7712"/>
    <cellStyle name="Normal 5 10 3" xfId="7713"/>
    <cellStyle name="Normal 5 11" xfId="7714"/>
    <cellStyle name="Normal 5 11 2" xfId="7715"/>
    <cellStyle name="Normal 5 11 2 2" xfId="7716"/>
    <cellStyle name="Normal 5 11 3" xfId="7717"/>
    <cellStyle name="Normal 5 12" xfId="7718"/>
    <cellStyle name="Normal 5 12 2" xfId="7719"/>
    <cellStyle name="Normal 5 12 2 2" xfId="7720"/>
    <cellStyle name="Normal 5 12 3" xfId="7721"/>
    <cellStyle name="Normal 5 13" xfId="7722"/>
    <cellStyle name="Normal 5 13 2" xfId="7723"/>
    <cellStyle name="Normal 5 13 2 2" xfId="7724"/>
    <cellStyle name="Normal 5 13 3" xfId="7725"/>
    <cellStyle name="Normal 5 14" xfId="7726"/>
    <cellStyle name="Normal 5 14 2" xfId="7727"/>
    <cellStyle name="Normal 5 14 2 2" xfId="7728"/>
    <cellStyle name="Normal 5 14 3" xfId="7729"/>
    <cellStyle name="Normal 5 15" xfId="7730"/>
    <cellStyle name="Normal 5 15 2" xfId="7731"/>
    <cellStyle name="Normal 5 15 2 2" xfId="7732"/>
    <cellStyle name="Normal 5 15 3" xfId="7733"/>
    <cellStyle name="Normal 5 16" xfId="7734"/>
    <cellStyle name="Normal 5 16 2" xfId="7735"/>
    <cellStyle name="Normal 5 16 2 2" xfId="7736"/>
    <cellStyle name="Normal 5 16 3" xfId="7737"/>
    <cellStyle name="Normal 5 17" xfId="7738"/>
    <cellStyle name="Normal 5 17 2" xfId="7739"/>
    <cellStyle name="Normal 5 17 2 2" xfId="7740"/>
    <cellStyle name="Normal 5 17 3" xfId="7741"/>
    <cellStyle name="Normal 5 18" xfId="7742"/>
    <cellStyle name="Normal 5 18 2" xfId="7743"/>
    <cellStyle name="Normal 5 18 2 2" xfId="7744"/>
    <cellStyle name="Normal 5 18 3" xfId="7745"/>
    <cellStyle name="Normal 5 19" xfId="7746"/>
    <cellStyle name="Normal 5 19 2" xfId="7747"/>
    <cellStyle name="Normal 5 19 2 2" xfId="7748"/>
    <cellStyle name="Normal 5 19 3" xfId="7749"/>
    <cellStyle name="Normal 5 2" xfId="201"/>
    <cellStyle name="Normal 5 2 10" xfId="7750"/>
    <cellStyle name="Normal 5 2 10 2" xfId="7751"/>
    <cellStyle name="Normal 5 2 10 2 2" xfId="7752"/>
    <cellStyle name="Normal 5 2 10 3" xfId="7753"/>
    <cellStyle name="Normal 5 2 11" xfId="7754"/>
    <cellStyle name="Normal 5 2 11 2" xfId="7755"/>
    <cellStyle name="Normal 5 2 11 2 2" xfId="7756"/>
    <cellStyle name="Normal 5 2 11 3" xfId="7757"/>
    <cellStyle name="Normal 5 2 12" xfId="7758"/>
    <cellStyle name="Normal 5 2 12 2" xfId="7759"/>
    <cellStyle name="Normal 5 2 12 2 2" xfId="7760"/>
    <cellStyle name="Normal 5 2 12 3" xfId="7761"/>
    <cellStyle name="Normal 5 2 13" xfId="7762"/>
    <cellStyle name="Normal 5 2 13 2" xfId="7763"/>
    <cellStyle name="Normal 5 2 13 2 2" xfId="7764"/>
    <cellStyle name="Normal 5 2 13 3" xfId="7765"/>
    <cellStyle name="Normal 5 2 14" xfId="7766"/>
    <cellStyle name="Normal 5 2 14 2" xfId="7767"/>
    <cellStyle name="Normal 5 2 14 2 2" xfId="7768"/>
    <cellStyle name="Normal 5 2 14 3" xfId="7769"/>
    <cellStyle name="Normal 5 2 15" xfId="7770"/>
    <cellStyle name="Normal 5 2 15 2" xfId="7771"/>
    <cellStyle name="Normal 5 2 15 2 2" xfId="7772"/>
    <cellStyle name="Normal 5 2 15 3" xfId="7773"/>
    <cellStyle name="Normal 5 2 16" xfId="7774"/>
    <cellStyle name="Normal 5 2 16 2" xfId="7775"/>
    <cellStyle name="Normal 5 2 16 2 2" xfId="7776"/>
    <cellStyle name="Normal 5 2 16 3" xfId="7777"/>
    <cellStyle name="Normal 5 2 17" xfId="7778"/>
    <cellStyle name="Normal 5 2 17 2" xfId="7779"/>
    <cellStyle name="Normal 5 2 17 2 2" xfId="7780"/>
    <cellStyle name="Normal 5 2 17 3" xfId="7781"/>
    <cellStyle name="Normal 5 2 18" xfId="7782"/>
    <cellStyle name="Normal 5 2 18 2" xfId="7783"/>
    <cellStyle name="Normal 5 2 18 2 2" xfId="7784"/>
    <cellStyle name="Normal 5 2 18 3" xfId="7785"/>
    <cellStyle name="Normal 5 2 19" xfId="7786"/>
    <cellStyle name="Normal 5 2 19 2" xfId="7787"/>
    <cellStyle name="Normal 5 2 19 2 2" xfId="7788"/>
    <cellStyle name="Normal 5 2 19 3" xfId="7789"/>
    <cellStyle name="Normal 5 2 2" xfId="7790"/>
    <cellStyle name="Normal 5 2 2 2" xfId="7791"/>
    <cellStyle name="Normal 5 2 2 2 2" xfId="7792"/>
    <cellStyle name="Normal 5 2 2 3" xfId="7793"/>
    <cellStyle name="Normal 5 2 20" xfId="7794"/>
    <cellStyle name="Normal 5 2 20 2" xfId="7795"/>
    <cellStyle name="Normal 5 2 20 2 2" xfId="7796"/>
    <cellStyle name="Normal 5 2 20 3" xfId="7797"/>
    <cellStyle name="Normal 5 2 21" xfId="7798"/>
    <cellStyle name="Normal 5 2 21 2" xfId="7799"/>
    <cellStyle name="Normal 5 2 21 2 2" xfId="7800"/>
    <cellStyle name="Normal 5 2 21 3" xfId="7801"/>
    <cellStyle name="Normal 5 2 22" xfId="7802"/>
    <cellStyle name="Normal 5 2 22 2" xfId="7803"/>
    <cellStyle name="Normal 5 2 22 2 2" xfId="7804"/>
    <cellStyle name="Normal 5 2 22 3" xfId="7805"/>
    <cellStyle name="Normal 5 2 23" xfId="7806"/>
    <cellStyle name="Normal 5 2 23 2" xfId="7807"/>
    <cellStyle name="Normal 5 2 23 2 2" xfId="7808"/>
    <cellStyle name="Normal 5 2 23 3" xfId="7809"/>
    <cellStyle name="Normal 5 2 24" xfId="7810"/>
    <cellStyle name="Normal 5 2 25" xfId="7811"/>
    <cellStyle name="Normal 5 2 25 2" xfId="7812"/>
    <cellStyle name="Normal 5 2 26" xfId="7813"/>
    <cellStyle name="Normal 5 2 3" xfId="7814"/>
    <cellStyle name="Normal 5 2 3 2" xfId="7815"/>
    <cellStyle name="Normal 5 2 3 2 2" xfId="7816"/>
    <cellStyle name="Normal 5 2 3 3" xfId="7817"/>
    <cellStyle name="Normal 5 2 4" xfId="7818"/>
    <cellStyle name="Normal 5 2 4 2" xfId="7819"/>
    <cellStyle name="Normal 5 2 4 2 2" xfId="7820"/>
    <cellStyle name="Normal 5 2 4 3" xfId="7821"/>
    <cellStyle name="Normal 5 2 5" xfId="7822"/>
    <cellStyle name="Normal 5 2 5 2" xfId="7823"/>
    <cellStyle name="Normal 5 2 5 2 2" xfId="7824"/>
    <cellStyle name="Normal 5 2 5 3" xfId="7825"/>
    <cellStyle name="Normal 5 2 6" xfId="7826"/>
    <cellStyle name="Normal 5 2 6 2" xfId="7827"/>
    <cellStyle name="Normal 5 2 6 2 2" xfId="7828"/>
    <cellStyle name="Normal 5 2 6 3" xfId="7829"/>
    <cellStyle name="Normal 5 2 7" xfId="7830"/>
    <cellStyle name="Normal 5 2 7 2" xfId="7831"/>
    <cellStyle name="Normal 5 2 7 2 2" xfId="7832"/>
    <cellStyle name="Normal 5 2 7 3" xfId="7833"/>
    <cellStyle name="Normal 5 2 8" xfId="7834"/>
    <cellStyle name="Normal 5 2 8 2" xfId="7835"/>
    <cellStyle name="Normal 5 2 8 2 2" xfId="7836"/>
    <cellStyle name="Normal 5 2 8 3" xfId="7837"/>
    <cellStyle name="Normal 5 2 9" xfId="7838"/>
    <cellStyle name="Normal 5 2 9 2" xfId="7839"/>
    <cellStyle name="Normal 5 2 9 2 2" xfId="7840"/>
    <cellStyle name="Normal 5 2 9 3" xfId="7841"/>
    <cellStyle name="Normal 5 20" xfId="7842"/>
    <cellStyle name="Normal 5 20 2" xfId="7843"/>
    <cellStyle name="Normal 5 20 2 2" xfId="7844"/>
    <cellStyle name="Normal 5 20 3" xfId="7845"/>
    <cellStyle name="Normal 5 21" xfId="7846"/>
    <cellStyle name="Normal 5 21 2" xfId="7847"/>
    <cellStyle name="Normal 5 21 2 2" xfId="7848"/>
    <cellStyle name="Normal 5 21 3" xfId="7849"/>
    <cellStyle name="Normal 5 22" xfId="7850"/>
    <cellStyle name="Normal 5 22 2" xfId="7851"/>
    <cellStyle name="Normal 5 22 2 2" xfId="7852"/>
    <cellStyle name="Normal 5 22 3" xfId="7853"/>
    <cellStyle name="Normal 5 23" xfId="7854"/>
    <cellStyle name="Normal 5 23 2" xfId="7855"/>
    <cellStyle name="Normal 5 23 2 2" xfId="7856"/>
    <cellStyle name="Normal 5 23 3" xfId="7857"/>
    <cellStyle name="Normal 5 24" xfId="7858"/>
    <cellStyle name="Normal 5 24 2" xfId="7859"/>
    <cellStyle name="Normal 5 24 2 2" xfId="7860"/>
    <cellStyle name="Normal 5 24 3" xfId="7861"/>
    <cellStyle name="Normal 5 25" xfId="7862"/>
    <cellStyle name="Normal 5 26" xfId="7863"/>
    <cellStyle name="Normal 5 26 2" xfId="7864"/>
    <cellStyle name="Normal 5 27" xfId="7865"/>
    <cellStyle name="Normal 5 28" xfId="7866"/>
    <cellStyle name="Normal 5 3" xfId="7867"/>
    <cellStyle name="Normal 5 3 2" xfId="7868"/>
    <cellStyle name="Normal 5 3 2 2" xfId="7869"/>
    <cellStyle name="Normal 5 3 3" xfId="7870"/>
    <cellStyle name="Normal 5 4" xfId="7871"/>
    <cellStyle name="Normal 5 4 2" xfId="7872"/>
    <cellStyle name="Normal 5 4 2 2" xfId="7873"/>
    <cellStyle name="Normal 5 4 3" xfId="7874"/>
    <cellStyle name="Normal 5 5" xfId="7875"/>
    <cellStyle name="Normal 5 5 2" xfId="7876"/>
    <cellStyle name="Normal 5 5 2 2" xfId="7877"/>
    <cellStyle name="Normal 5 5 3" xfId="7878"/>
    <cellStyle name="Normal 5 6" xfId="7879"/>
    <cellStyle name="Normal 5 6 2" xfId="7880"/>
    <cellStyle name="Normal 5 6 2 2" xfId="7881"/>
    <cellStyle name="Normal 5 6 3" xfId="7882"/>
    <cellStyle name="Normal 5 7" xfId="7883"/>
    <cellStyle name="Normal 5 7 2" xfId="7884"/>
    <cellStyle name="Normal 5 7 2 2" xfId="7885"/>
    <cellStyle name="Normal 5 7 3" xfId="7886"/>
    <cellStyle name="Normal 5 8" xfId="7887"/>
    <cellStyle name="Normal 5 8 2" xfId="7888"/>
    <cellStyle name="Normal 5 8 2 2" xfId="7889"/>
    <cellStyle name="Normal 5 8 3" xfId="7890"/>
    <cellStyle name="Normal 5 9" xfId="7891"/>
    <cellStyle name="Normal 5 9 2" xfId="7892"/>
    <cellStyle name="Normal 5 9 2 2" xfId="7893"/>
    <cellStyle name="Normal 5 9 3" xfId="7894"/>
    <cellStyle name="Normal 50" xfId="350"/>
    <cellStyle name="Normal 51" xfId="7895"/>
    <cellStyle name="Normal 6" xfId="202"/>
    <cellStyle name="Normal 6 2" xfId="7896"/>
    <cellStyle name="Normal 6 3" xfId="7897"/>
    <cellStyle name="Normal 6 3 2" xfId="7898"/>
    <cellStyle name="Normal 6 4" xfId="7899"/>
    <cellStyle name="Normal 6 5" xfId="7900"/>
    <cellStyle name="Normal 7" xfId="203"/>
    <cellStyle name="Normal 7 10" xfId="7901"/>
    <cellStyle name="Normal 7 10 2" xfId="7902"/>
    <cellStyle name="Normal 7 10 2 2" xfId="7903"/>
    <cellStyle name="Normal 7 10 3" xfId="7904"/>
    <cellStyle name="Normal 7 11" xfId="7905"/>
    <cellStyle name="Normal 7 11 2" xfId="7906"/>
    <cellStyle name="Normal 7 11 2 2" xfId="7907"/>
    <cellStyle name="Normal 7 11 3" xfId="7908"/>
    <cellStyle name="Normal 7 12" xfId="7909"/>
    <cellStyle name="Normal 7 12 2" xfId="7910"/>
    <cellStyle name="Normal 7 12 2 2" xfId="7911"/>
    <cellStyle name="Normal 7 12 3" xfId="7912"/>
    <cellStyle name="Normal 7 13" xfId="7913"/>
    <cellStyle name="Normal 7 13 2" xfId="7914"/>
    <cellStyle name="Normal 7 13 2 2" xfId="7915"/>
    <cellStyle name="Normal 7 13 3" xfId="7916"/>
    <cellStyle name="Normal 7 14" xfId="7917"/>
    <cellStyle name="Normal 7 14 2" xfId="7918"/>
    <cellStyle name="Normal 7 14 2 2" xfId="7919"/>
    <cellStyle name="Normal 7 14 3" xfId="7920"/>
    <cellStyle name="Normal 7 15" xfId="7921"/>
    <cellStyle name="Normal 7 15 2" xfId="7922"/>
    <cellStyle name="Normal 7 15 2 2" xfId="7923"/>
    <cellStyle name="Normal 7 15 3" xfId="7924"/>
    <cellStyle name="Normal 7 16" xfId="7925"/>
    <cellStyle name="Normal 7 16 2" xfId="7926"/>
    <cellStyle name="Normal 7 16 2 2" xfId="7927"/>
    <cellStyle name="Normal 7 16 3" xfId="7928"/>
    <cellStyle name="Normal 7 17" xfId="7929"/>
    <cellStyle name="Normal 7 17 2" xfId="7930"/>
    <cellStyle name="Normal 7 17 2 2" xfId="7931"/>
    <cellStyle name="Normal 7 17 3" xfId="7932"/>
    <cellStyle name="Normal 7 18" xfId="7933"/>
    <cellStyle name="Normal 7 18 2" xfId="7934"/>
    <cellStyle name="Normal 7 18 2 2" xfId="7935"/>
    <cellStyle name="Normal 7 18 3" xfId="7936"/>
    <cellStyle name="Normal 7 19" xfId="7937"/>
    <cellStyle name="Normal 7 19 2" xfId="7938"/>
    <cellStyle name="Normal 7 19 2 2" xfId="7939"/>
    <cellStyle name="Normal 7 19 3" xfId="7940"/>
    <cellStyle name="Normal 7 2" xfId="204"/>
    <cellStyle name="Normal 7 2 10" xfId="7941"/>
    <cellStyle name="Normal 7 2 10 2" xfId="7942"/>
    <cellStyle name="Normal 7 2 10 2 2" xfId="7943"/>
    <cellStyle name="Normal 7 2 10 3" xfId="7944"/>
    <cellStyle name="Normal 7 2 11" xfId="7945"/>
    <cellStyle name="Normal 7 2 11 2" xfId="7946"/>
    <cellStyle name="Normal 7 2 11 2 2" xfId="7947"/>
    <cellStyle name="Normal 7 2 11 3" xfId="7948"/>
    <cellStyle name="Normal 7 2 12" xfId="7949"/>
    <cellStyle name="Normal 7 2 12 2" xfId="7950"/>
    <cellStyle name="Normal 7 2 12 2 2" xfId="7951"/>
    <cellStyle name="Normal 7 2 12 3" xfId="7952"/>
    <cellStyle name="Normal 7 2 13" xfId="7953"/>
    <cellStyle name="Normal 7 2 13 2" xfId="7954"/>
    <cellStyle name="Normal 7 2 13 2 2" xfId="7955"/>
    <cellStyle name="Normal 7 2 13 3" xfId="7956"/>
    <cellStyle name="Normal 7 2 14" xfId="7957"/>
    <cellStyle name="Normal 7 2 14 2" xfId="7958"/>
    <cellStyle name="Normal 7 2 14 2 2" xfId="7959"/>
    <cellStyle name="Normal 7 2 14 3" xfId="7960"/>
    <cellStyle name="Normal 7 2 15" xfId="7961"/>
    <cellStyle name="Normal 7 2 15 2" xfId="7962"/>
    <cellStyle name="Normal 7 2 15 2 2" xfId="7963"/>
    <cellStyle name="Normal 7 2 15 3" xfId="7964"/>
    <cellStyle name="Normal 7 2 16" xfId="7965"/>
    <cellStyle name="Normal 7 2 16 2" xfId="7966"/>
    <cellStyle name="Normal 7 2 16 2 2" xfId="7967"/>
    <cellStyle name="Normal 7 2 16 3" xfId="7968"/>
    <cellStyle name="Normal 7 2 17" xfId="7969"/>
    <cellStyle name="Normal 7 2 17 2" xfId="7970"/>
    <cellStyle name="Normal 7 2 17 2 2" xfId="7971"/>
    <cellStyle name="Normal 7 2 17 3" xfId="7972"/>
    <cellStyle name="Normal 7 2 18" xfId="7973"/>
    <cellStyle name="Normal 7 2 18 2" xfId="7974"/>
    <cellStyle name="Normal 7 2 18 2 2" xfId="7975"/>
    <cellStyle name="Normal 7 2 18 3" xfId="7976"/>
    <cellStyle name="Normal 7 2 19" xfId="7977"/>
    <cellStyle name="Normal 7 2 19 2" xfId="7978"/>
    <cellStyle name="Normal 7 2 19 2 2" xfId="7979"/>
    <cellStyle name="Normal 7 2 19 3" xfId="7980"/>
    <cellStyle name="Normal 7 2 2" xfId="7981"/>
    <cellStyle name="Normal 7 2 2 2" xfId="7982"/>
    <cellStyle name="Normal 7 2 2 2 2" xfId="7983"/>
    <cellStyle name="Normal 7 2 2 3" xfId="7984"/>
    <cellStyle name="Normal 7 2 20" xfId="7985"/>
    <cellStyle name="Normal 7 2 20 2" xfId="7986"/>
    <cellStyle name="Normal 7 2 20 2 2" xfId="7987"/>
    <cellStyle name="Normal 7 2 20 3" xfId="7988"/>
    <cellStyle name="Normal 7 2 21" xfId="7989"/>
    <cellStyle name="Normal 7 2 21 2" xfId="7990"/>
    <cellStyle name="Normal 7 2 21 2 2" xfId="7991"/>
    <cellStyle name="Normal 7 2 21 3" xfId="7992"/>
    <cellStyle name="Normal 7 2 22" xfId="7993"/>
    <cellStyle name="Normal 7 2 22 2" xfId="7994"/>
    <cellStyle name="Normal 7 2 22 2 2" xfId="7995"/>
    <cellStyle name="Normal 7 2 22 3" xfId="7996"/>
    <cellStyle name="Normal 7 2 23" xfId="7997"/>
    <cellStyle name="Normal 7 2 23 2" xfId="7998"/>
    <cellStyle name="Normal 7 2 23 2 2" xfId="7999"/>
    <cellStyle name="Normal 7 2 23 3" xfId="8000"/>
    <cellStyle name="Normal 7 2 24" xfId="8001"/>
    <cellStyle name="Normal 7 2 25" xfId="8002"/>
    <cellStyle name="Normal 7 2 25 2" xfId="8003"/>
    <cellStyle name="Normal 7 2 26" xfId="8004"/>
    <cellStyle name="Normal 7 2 3" xfId="8005"/>
    <cellStyle name="Normal 7 2 3 2" xfId="8006"/>
    <cellStyle name="Normal 7 2 3 2 2" xfId="8007"/>
    <cellStyle name="Normal 7 2 3 3" xfId="8008"/>
    <cellStyle name="Normal 7 2 4" xfId="8009"/>
    <cellStyle name="Normal 7 2 4 2" xfId="8010"/>
    <cellStyle name="Normal 7 2 4 2 2" xfId="8011"/>
    <cellStyle name="Normal 7 2 4 3" xfId="8012"/>
    <cellStyle name="Normal 7 2 5" xfId="8013"/>
    <cellStyle name="Normal 7 2 5 2" xfId="8014"/>
    <cellStyle name="Normal 7 2 5 2 2" xfId="8015"/>
    <cellStyle name="Normal 7 2 5 3" xfId="8016"/>
    <cellStyle name="Normal 7 2 6" xfId="8017"/>
    <cellStyle name="Normal 7 2 6 2" xfId="8018"/>
    <cellStyle name="Normal 7 2 6 2 2" xfId="8019"/>
    <cellStyle name="Normal 7 2 6 3" xfId="8020"/>
    <cellStyle name="Normal 7 2 7" xfId="8021"/>
    <cellStyle name="Normal 7 2 7 2" xfId="8022"/>
    <cellStyle name="Normal 7 2 7 2 2" xfId="8023"/>
    <cellStyle name="Normal 7 2 7 3" xfId="8024"/>
    <cellStyle name="Normal 7 2 8" xfId="8025"/>
    <cellStyle name="Normal 7 2 8 2" xfId="8026"/>
    <cellStyle name="Normal 7 2 8 2 2" xfId="8027"/>
    <cellStyle name="Normal 7 2 8 3" xfId="8028"/>
    <cellStyle name="Normal 7 2 9" xfId="8029"/>
    <cellStyle name="Normal 7 2 9 2" xfId="8030"/>
    <cellStyle name="Normal 7 2 9 2 2" xfId="8031"/>
    <cellStyle name="Normal 7 2 9 3" xfId="8032"/>
    <cellStyle name="Normal 7 20" xfId="8033"/>
    <cellStyle name="Normal 7 20 2" xfId="8034"/>
    <cellStyle name="Normal 7 20 2 2" xfId="8035"/>
    <cellStyle name="Normal 7 20 3" xfId="8036"/>
    <cellStyle name="Normal 7 21" xfId="8037"/>
    <cellStyle name="Normal 7 21 2" xfId="8038"/>
    <cellStyle name="Normal 7 21 2 2" xfId="8039"/>
    <cellStyle name="Normal 7 21 3" xfId="8040"/>
    <cellStyle name="Normal 7 22" xfId="8041"/>
    <cellStyle name="Normal 7 22 2" xfId="8042"/>
    <cellStyle name="Normal 7 22 2 2" xfId="8043"/>
    <cellStyle name="Normal 7 22 3" xfId="8044"/>
    <cellStyle name="Normal 7 23" xfId="8045"/>
    <cellStyle name="Normal 7 23 2" xfId="8046"/>
    <cellStyle name="Normal 7 23 2 2" xfId="8047"/>
    <cellStyle name="Normal 7 23 3" xfId="8048"/>
    <cellStyle name="Normal 7 24" xfId="8049"/>
    <cellStyle name="Normal 7 24 2" xfId="8050"/>
    <cellStyle name="Normal 7 24 2 2" xfId="8051"/>
    <cellStyle name="Normal 7 24 3" xfId="8052"/>
    <cellStyle name="Normal 7 25" xfId="8053"/>
    <cellStyle name="Normal 7 26" xfId="8054"/>
    <cellStyle name="Normal 7 26 2" xfId="8055"/>
    <cellStyle name="Normal 7 27" xfId="8056"/>
    <cellStyle name="Normal 7 3" xfId="8057"/>
    <cellStyle name="Normal 7 3 2" xfId="8058"/>
    <cellStyle name="Normal 7 3 2 2" xfId="8059"/>
    <cellStyle name="Normal 7 3 3" xfId="8060"/>
    <cellStyle name="Normal 7 4" xfId="8061"/>
    <cellStyle name="Normal 7 4 2" xfId="8062"/>
    <cellStyle name="Normal 7 4 2 2" xfId="8063"/>
    <cellStyle name="Normal 7 4 3" xfId="8064"/>
    <cellStyle name="Normal 7 5" xfId="8065"/>
    <cellStyle name="Normal 7 5 2" xfId="8066"/>
    <cellStyle name="Normal 7 5 2 2" xfId="8067"/>
    <cellStyle name="Normal 7 5 3" xfId="8068"/>
    <cellStyle name="Normal 7 6" xfId="8069"/>
    <cellStyle name="Normal 7 6 2" xfId="8070"/>
    <cellStyle name="Normal 7 6 2 2" xfId="8071"/>
    <cellStyle name="Normal 7 6 3" xfId="8072"/>
    <cellStyle name="Normal 7 7" xfId="8073"/>
    <cellStyle name="Normal 7 7 2" xfId="8074"/>
    <cellStyle name="Normal 7 7 2 2" xfId="8075"/>
    <cellStyle name="Normal 7 7 3" xfId="8076"/>
    <cellStyle name="Normal 7 8" xfId="8077"/>
    <cellStyle name="Normal 7 8 2" xfId="8078"/>
    <cellStyle name="Normal 7 8 2 2" xfId="8079"/>
    <cellStyle name="Normal 7 8 3" xfId="8080"/>
    <cellStyle name="Normal 7 9" xfId="8081"/>
    <cellStyle name="Normal 7 9 2" xfId="8082"/>
    <cellStyle name="Normal 7 9 2 2" xfId="8083"/>
    <cellStyle name="Normal 7 9 3" xfId="8084"/>
    <cellStyle name="Normal 8" xfId="205"/>
    <cellStyle name="Normal 8 2" xfId="206"/>
    <cellStyle name="Normal 8 2 2" xfId="8085"/>
    <cellStyle name="Normal 8 3" xfId="8086"/>
    <cellStyle name="Normal 8 3 2" xfId="8087"/>
    <cellStyle name="Normal 8 3 3" xfId="8088"/>
    <cellStyle name="Normal 8 4" xfId="8089"/>
    <cellStyle name="Normal 8 4 2" xfId="8090"/>
    <cellStyle name="Normal 8 4 3" xfId="8091"/>
    <cellStyle name="Normal 8 5" xfId="8092"/>
    <cellStyle name="Normal 8 6" xfId="8093"/>
    <cellStyle name="Normal 8 7" xfId="8094"/>
    <cellStyle name="Normal 8 8" xfId="8095"/>
    <cellStyle name="Normal 9" xfId="207"/>
    <cellStyle name="Normal 9 2" xfId="208"/>
    <cellStyle name="Normal 9 2 2" xfId="8096"/>
    <cellStyle name="Normal 9 3" xfId="351"/>
    <cellStyle name="Normal 9 4" xfId="8097"/>
    <cellStyle name="Normal 9 5" xfId="8098"/>
    <cellStyle name="Normal_ClothesWasher2007" xfId="240"/>
    <cellStyle name="Normal_EStarDISHWASHERFY08v1_1" xfId="8156"/>
    <cellStyle name="Normal_EStarWASHERResTiersFY07v1_3_postJan07" xfId="4"/>
    <cellStyle name="Normal_MTDUCT" xfId="2"/>
    <cellStyle name="Normal_PC-LPDPackage-6P-D14" xfId="242"/>
    <cellStyle name="Normal_ProCostFinAssumptions_Sector" xfId="3"/>
    <cellStyle name="Note 2" xfId="209"/>
    <cellStyle name="Note 2 2" xfId="352"/>
    <cellStyle name="Note 2 2 2" xfId="8099"/>
    <cellStyle name="Note 2 3" xfId="8100"/>
    <cellStyle name="Note 2 3 2" xfId="8101"/>
    <cellStyle name="Note 2 4" xfId="8102"/>
    <cellStyle name="Note 2 4 2" xfId="8103"/>
    <cellStyle name="Note 2 5" xfId="8104"/>
    <cellStyle name="Note 3" xfId="210"/>
    <cellStyle name="Note 4" xfId="8105"/>
    <cellStyle name="Note 5" xfId="8106"/>
    <cellStyle name="Note 5 2" xfId="8107"/>
    <cellStyle name="Output 2" xfId="211"/>
    <cellStyle name="Output 2 2" xfId="353"/>
    <cellStyle name="Output 3" xfId="354"/>
    <cellStyle name="Percent" xfId="9" builtinId="5"/>
    <cellStyle name="Percent 2" xfId="212"/>
    <cellStyle name="Percent 2 10" xfId="8108"/>
    <cellStyle name="Percent 2 2" xfId="213"/>
    <cellStyle name="Percent 2 2 2" xfId="214"/>
    <cellStyle name="Percent 2 2 2 2" xfId="215"/>
    <cellStyle name="Percent 2 2 2 2 2" xfId="8109"/>
    <cellStyle name="Percent 2 2 2 3" xfId="355"/>
    <cellStyle name="Percent 2 2 2 4" xfId="8110"/>
    <cellStyle name="Percent 2 2 3" xfId="216"/>
    <cellStyle name="Percent 2 2 4" xfId="356"/>
    <cellStyle name="Percent 2 2 4 2" xfId="8111"/>
    <cellStyle name="Percent 2 2 5" xfId="8112"/>
    <cellStyle name="Percent 2 2 6" xfId="8113"/>
    <cellStyle name="Percent 2 2 7" xfId="8114"/>
    <cellStyle name="Percent 2 2 8" xfId="8115"/>
    <cellStyle name="Percent 2 3" xfId="217"/>
    <cellStyle name="Percent 2 3 2" xfId="357"/>
    <cellStyle name="Percent 2 3 2 2" xfId="8116"/>
    <cellStyle name="Percent 2 3 2 2 2" xfId="8117"/>
    <cellStyle name="Percent 2 3 2 3" xfId="8118"/>
    <cellStyle name="Percent 2 3 2 3 2" xfId="8119"/>
    <cellStyle name="Percent 2 3 2 4" xfId="8120"/>
    <cellStyle name="Percent 2 3 2 4 2" xfId="8121"/>
    <cellStyle name="Percent 2 3 2 5" xfId="8122"/>
    <cellStyle name="Percent 2 3 2 6" xfId="8123"/>
    <cellStyle name="Percent 2 3 3" xfId="358"/>
    <cellStyle name="Percent 2 4" xfId="8124"/>
    <cellStyle name="Percent 2 4 2" xfId="8125"/>
    <cellStyle name="Percent 2 4 3" xfId="8126"/>
    <cellStyle name="Percent 2 5" xfId="8127"/>
    <cellStyle name="Percent 2 5 2" xfId="8128"/>
    <cellStyle name="Percent 2 6" xfId="8129"/>
    <cellStyle name="Percent 2 6 2" xfId="8130"/>
    <cellStyle name="Percent 2 7" xfId="8131"/>
    <cellStyle name="Percent 2 7 2" xfId="8132"/>
    <cellStyle name="Percent 2 8" xfId="8133"/>
    <cellStyle name="Percent 2 9" xfId="8134"/>
    <cellStyle name="Percent 3" xfId="218"/>
    <cellStyle name="Percent 3 2" xfId="219"/>
    <cellStyle name="Percent 3 2 2" xfId="220"/>
    <cellStyle name="Percent 3 2 2 2" xfId="8135"/>
    <cellStyle name="Percent 3 2 3" xfId="359"/>
    <cellStyle name="Percent 3 2 3 2" xfId="8136"/>
    <cellStyle name="Percent 3 2 4" xfId="8137"/>
    <cellStyle name="Percent 3 2 4 2" xfId="8138"/>
    <cellStyle name="Percent 3 2 5" xfId="8139"/>
    <cellStyle name="Percent 3 2 5 2" xfId="8140"/>
    <cellStyle name="Percent 3 2 6" xfId="8141"/>
    <cellStyle name="Percent 3 2 7" xfId="8142"/>
    <cellStyle name="Percent 3 2 8" xfId="8143"/>
    <cellStyle name="Percent 3 3" xfId="221"/>
    <cellStyle name="Percent 3 4" xfId="360"/>
    <cellStyle name="Percent 3 4 2" xfId="8144"/>
    <cellStyle name="Percent 3 5" xfId="8145"/>
    <cellStyle name="Percent 3 6" xfId="8146"/>
    <cellStyle name="Percent 4" xfId="222"/>
    <cellStyle name="Percent 4 2" xfId="223"/>
    <cellStyle name="Percent 4 2 2" xfId="8147"/>
    <cellStyle name="Percent 4 3" xfId="8148"/>
    <cellStyle name="Percent 4 4" xfId="8149"/>
    <cellStyle name="Percent 4 4 2" xfId="8150"/>
    <cellStyle name="Percent 4 5" xfId="8151"/>
    <cellStyle name="Percent 5" xfId="224"/>
    <cellStyle name="Percent 5 2" xfId="8152"/>
    <cellStyle name="Percent 5 3" xfId="8153"/>
    <cellStyle name="Percent 6" xfId="225"/>
    <cellStyle name="Percent 6 2" xfId="226"/>
    <cellStyle name="Percent 6 3" xfId="8154"/>
    <cellStyle name="Percent 7" xfId="227"/>
    <cellStyle name="Percent 8" xfId="228"/>
    <cellStyle name="Percent 9" xfId="8155"/>
    <cellStyle name="Sheet Title" xfId="229"/>
    <cellStyle name="Style 1" xfId="230"/>
    <cellStyle name="Style 1 2" xfId="231"/>
    <cellStyle name="Style 28" xfId="361"/>
    <cellStyle name="Title 2" xfId="232"/>
    <cellStyle name="Title 2 2" xfId="362"/>
    <cellStyle name="Title 3" xfId="363"/>
    <cellStyle name="Total 2" xfId="233"/>
    <cellStyle name="Total 2 2" xfId="364"/>
    <cellStyle name="Total 3" xfId="365"/>
    <cellStyle name="Warning Text 2" xfId="234"/>
    <cellStyle name="Warning Text 3" xfId="366"/>
    <cellStyle name="표준 2_WP-1 보고자료 (2009.06.03)" xfId="367"/>
    <cellStyle name="표준_ENERGY CONSUMP" xfId="235"/>
    <cellStyle name="常规_海外市场服务网站资料操作BOM" xfId="236"/>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strRef>
          <c:f>'SC-New'!$A$21</c:f>
          <c:strCache>
            <c:ptCount val="1"/>
            <c:pt idx="0">
              <c:v># HOMES APPLICABLE BY YEAR FOR MEASURE - Clothes Washer - New</c:v>
            </c:pt>
          </c:strCache>
        </c:strRef>
      </c:tx>
      <c:layout>
        <c:manualLayout>
          <c:xMode val="edge"/>
          <c:yMode val="edge"/>
          <c:x val="0.27677829502253981"/>
          <c:y val="3.2608695652174481E-2"/>
        </c:manualLayout>
      </c:layout>
      <c:spPr>
        <a:noFill/>
        <a:ln w="25400">
          <a:noFill/>
        </a:ln>
      </c:spPr>
      <c:txPr>
        <a:bodyPr/>
        <a:lstStyle/>
        <a:p>
          <a:pPr>
            <a:defRPr sz="1125" b="1" i="0" u="none" strike="noStrike" baseline="0">
              <a:solidFill>
                <a:srgbClr val="000000"/>
              </a:solidFill>
              <a:latin typeface="Arial"/>
              <a:ea typeface="Arial"/>
              <a:cs typeface="Arial"/>
            </a:defRPr>
          </a:pPr>
          <a:endParaRPr lang="en-US"/>
        </a:p>
      </c:txPr>
    </c:title>
    <c:plotArea>
      <c:layout>
        <c:manualLayout>
          <c:layoutTarget val="inner"/>
          <c:xMode val="edge"/>
          <c:yMode val="edge"/>
          <c:x val="0.11996582446797498"/>
          <c:y val="0.14402173913043684"/>
          <c:w val="0.79605893521962634"/>
          <c:h val="0.67391304347826164"/>
        </c:manualLayout>
      </c:layout>
      <c:barChart>
        <c:barDir val="col"/>
        <c:grouping val="stacked"/>
        <c:ser>
          <c:idx val="0"/>
          <c:order val="0"/>
          <c:tx>
            <c:strRef>
              <c:f>'SC-New'!$C$23</c:f>
              <c:strCache>
                <c:ptCount val="1"/>
                <c:pt idx="0">
                  <c:v>Single Family</c:v>
                </c:pt>
              </c:strCache>
            </c:strRef>
          </c:tx>
          <c:spPr>
            <a:solidFill>
              <a:srgbClr val="9999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'SC-New'!$E$23:$Y$23</c:f>
              <c:numCache>
                <c:formatCode>0</c:formatCode>
                <c:ptCount val="21"/>
                <c:pt idx="0">
                  <c:v>61774.891102055888</c:v>
                </c:pt>
                <c:pt idx="1">
                  <c:v>59090.494406557707</c:v>
                </c:pt>
                <c:pt idx="2">
                  <c:v>56008.174076554424</c:v>
                </c:pt>
                <c:pt idx="3">
                  <c:v>54186.219709017576</c:v>
                </c:pt>
                <c:pt idx="4">
                  <c:v>52729.97299906805</c:v>
                </c:pt>
                <c:pt idx="5">
                  <c:v>50241.245175153243</c:v>
                </c:pt>
                <c:pt idx="6">
                  <c:v>48841.503303982317</c:v>
                </c:pt>
                <c:pt idx="7">
                  <c:v>48607.798273789675</c:v>
                </c:pt>
                <c:pt idx="8">
                  <c:v>48106.442737863421</c:v>
                </c:pt>
                <c:pt idx="9">
                  <c:v>48961.319618001289</c:v>
                </c:pt>
                <c:pt idx="10">
                  <c:v>49303.164136465784</c:v>
                </c:pt>
                <c:pt idx="11">
                  <c:v>48670.124279729069</c:v>
                </c:pt>
                <c:pt idx="12">
                  <c:v>47380.719493371158</c:v>
                </c:pt>
                <c:pt idx="13">
                  <c:v>47429.702244975517</c:v>
                </c:pt>
                <c:pt idx="14">
                  <c:v>47983.060995913584</c:v>
                </c:pt>
                <c:pt idx="15">
                  <c:v>47778.374094757091</c:v>
                </c:pt>
                <c:pt idx="16">
                  <c:v>46197.816345306899</c:v>
                </c:pt>
                <c:pt idx="17">
                  <c:v>46118.759041575759</c:v>
                </c:pt>
                <c:pt idx="18">
                  <c:v>46235.881082525892</c:v>
                </c:pt>
                <c:pt idx="19">
                  <c:v>46549.770793329975</c:v>
                </c:pt>
              </c:numCache>
            </c:numRef>
          </c:val>
        </c:ser>
        <c:ser>
          <c:idx val="1"/>
          <c:order val="1"/>
          <c:tx>
            <c:strRef>
              <c:f>'SC-New'!#REF!</c:f>
              <c:strCache>
                <c:ptCount val="1"/>
                <c:pt idx="0">
                  <c:v>#REF!</c:v>
                </c:pt>
              </c:strCache>
            </c:strRef>
          </c:tx>
          <c:spPr>
            <a:solidFill>
              <a:srgbClr val="993366"/>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2"/>
          <c:order val="2"/>
          <c:tx>
            <c:strRef>
              <c:f>'SC-New'!$C$24</c:f>
              <c:strCache>
                <c:ptCount val="1"/>
                <c:pt idx="0">
                  <c:v>Multifamily - Low Rise</c:v>
                </c:pt>
              </c:strCache>
            </c:strRef>
          </c:tx>
          <c:spPr>
            <a:solidFill>
              <a:srgbClr val="FFFFCC"/>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'SC-New'!$E$24:$Y$24</c:f>
              <c:numCache>
                <c:formatCode>0</c:formatCode>
                <c:ptCount val="21"/>
                <c:pt idx="0">
                  <c:v>9182.1927299722429</c:v>
                </c:pt>
                <c:pt idx="1">
                  <c:v>9078.4887476092408</c:v>
                </c:pt>
                <c:pt idx="2">
                  <c:v>8997.3137030090093</c:v>
                </c:pt>
                <c:pt idx="3">
                  <c:v>8711.0875075753065</c:v>
                </c:pt>
                <c:pt idx="4">
                  <c:v>8210.9405835064663</c:v>
                </c:pt>
                <c:pt idx="5">
                  <c:v>7916.0835598079766</c:v>
                </c:pt>
                <c:pt idx="6">
                  <c:v>7844.1227290296238</c:v>
                </c:pt>
                <c:pt idx="7">
                  <c:v>7989.9596200053893</c:v>
                </c:pt>
                <c:pt idx="8">
                  <c:v>8184.3229243459791</c:v>
                </c:pt>
                <c:pt idx="9">
                  <c:v>8406.7614808054623</c:v>
                </c:pt>
                <c:pt idx="10">
                  <c:v>8441.8457532679186</c:v>
                </c:pt>
                <c:pt idx="11">
                  <c:v>8444.1536033420089</c:v>
                </c:pt>
                <c:pt idx="12">
                  <c:v>8457.6509003139836</c:v>
                </c:pt>
                <c:pt idx="13">
                  <c:v>8365.5571420573124</c:v>
                </c:pt>
                <c:pt idx="14">
                  <c:v>8264.7092804336335</c:v>
                </c:pt>
                <c:pt idx="15">
                  <c:v>8095.6073060732006</c:v>
                </c:pt>
                <c:pt idx="16">
                  <c:v>7957.5867154565367</c:v>
                </c:pt>
                <c:pt idx="17">
                  <c:v>7856.7017681147909</c:v>
                </c:pt>
                <c:pt idx="18">
                  <c:v>7705.430608506932</c:v>
                </c:pt>
                <c:pt idx="19">
                  <c:v>7676.2803676624235</c:v>
                </c:pt>
              </c:numCache>
            </c:numRef>
          </c:val>
        </c:ser>
        <c:ser>
          <c:idx val="3"/>
          <c:order val="3"/>
          <c:tx>
            <c:strRef>
              <c:f>'SC-New'!$C$26</c:f>
              <c:strCache>
                <c:ptCount val="1"/>
                <c:pt idx="0">
                  <c:v>Manufactured</c:v>
                </c:pt>
              </c:strCache>
            </c:strRef>
          </c:tx>
          <c:spPr>
            <a:solidFill>
              <a:srgbClr val="CC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'SC-New'!$E$26:$Y$26</c:f>
              <c:numCache>
                <c:formatCode>0</c:formatCode>
                <c:ptCount val="21"/>
                <c:pt idx="0">
                  <c:v>1782.9817371170911</c:v>
                </c:pt>
                <c:pt idx="1">
                  <c:v>1794.6365989456722</c:v>
                </c:pt>
                <c:pt idx="2">
                  <c:v>1858.8554159424871</c:v>
                </c:pt>
                <c:pt idx="3">
                  <c:v>1927.5800209677416</c:v>
                </c:pt>
                <c:pt idx="4">
                  <c:v>1868.7471535836632</c:v>
                </c:pt>
                <c:pt idx="5">
                  <c:v>1839.2499997489251</c:v>
                </c:pt>
                <c:pt idx="6">
                  <c:v>1845.3418210509301</c:v>
                </c:pt>
                <c:pt idx="7">
                  <c:v>1855.7351683732368</c:v>
                </c:pt>
                <c:pt idx="8">
                  <c:v>1865.9182632778306</c:v>
                </c:pt>
                <c:pt idx="9">
                  <c:v>1867.095404500388</c:v>
                </c:pt>
                <c:pt idx="10">
                  <c:v>1857.0146350891621</c:v>
                </c:pt>
                <c:pt idx="11">
                  <c:v>1855.0592153400787</c:v>
                </c:pt>
                <c:pt idx="12">
                  <c:v>1857.694084605271</c:v>
                </c:pt>
                <c:pt idx="13">
                  <c:v>1859.752795197661</c:v>
                </c:pt>
                <c:pt idx="14">
                  <c:v>1860.4223996683991</c:v>
                </c:pt>
                <c:pt idx="15">
                  <c:v>1859.5064224001599</c:v>
                </c:pt>
                <c:pt idx="16">
                  <c:v>1858.2415920501221</c:v>
                </c:pt>
                <c:pt idx="17">
                  <c:v>1858.446084876949</c:v>
                </c:pt>
                <c:pt idx="18">
                  <c:v>1859.0105631330937</c:v>
                </c:pt>
                <c:pt idx="19">
                  <c:v>1859.2299762210639</c:v>
                </c:pt>
              </c:numCache>
            </c:numRef>
          </c:val>
        </c:ser>
        <c:ser>
          <c:idx val="4"/>
          <c:order val="4"/>
          <c:tx>
            <c:strRef>
              <c:f>'SC-New'!#REF!</c:f>
              <c:strCache>
                <c:ptCount val="1"/>
                <c:pt idx="0">
                  <c:v>#REF!</c:v>
                </c:pt>
              </c:strCache>
            </c:strRef>
          </c:tx>
          <c:spPr>
            <a:solidFill>
              <a:srgbClr val="660066"/>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5"/>
          <c:order val="5"/>
          <c:tx>
            <c:strRef>
              <c:f>'SC-New'!#REF!</c:f>
              <c:strCache>
                <c:ptCount val="1"/>
                <c:pt idx="0">
                  <c:v>#REF!</c:v>
                </c:pt>
              </c:strCache>
            </c:strRef>
          </c:tx>
          <c:spPr>
            <a:solidFill>
              <a:srgbClr val="FF8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6"/>
          <c:order val="6"/>
          <c:tx>
            <c:strRef>
              <c:f>'SC-New'!#REF!</c:f>
              <c:strCache>
                <c:ptCount val="1"/>
                <c:pt idx="0">
                  <c:v>#REF!</c:v>
                </c:pt>
              </c:strCache>
            </c:strRef>
          </c:tx>
          <c:spPr>
            <a:solidFill>
              <a:srgbClr val="0066CC"/>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7"/>
          <c:order val="7"/>
          <c:tx>
            <c:strRef>
              <c:f>'SC-New'!#REF!</c:f>
              <c:strCache>
                <c:ptCount val="1"/>
                <c:pt idx="0">
                  <c:v>#REF!</c:v>
                </c:pt>
              </c:strCache>
            </c:strRef>
          </c:tx>
          <c:spPr>
            <a:solidFill>
              <a:srgbClr val="CCCC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8"/>
          <c:order val="8"/>
          <c:tx>
            <c:strRef>
              <c:f>'SC-New'!#REF!</c:f>
              <c:strCache>
                <c:ptCount val="1"/>
                <c:pt idx="0">
                  <c:v>#REF!</c:v>
                </c:pt>
              </c:strCache>
            </c:strRef>
          </c:tx>
          <c:spPr>
            <a:solidFill>
              <a:srgbClr val="000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9"/>
          <c:order val="9"/>
          <c:tx>
            <c:strRef>
              <c:f>'SC-New'!#REF!</c:f>
              <c:strCache>
                <c:ptCount val="1"/>
                <c:pt idx="0">
                  <c:v>#REF!</c:v>
                </c:pt>
              </c:strCache>
            </c:strRef>
          </c:tx>
          <c:spPr>
            <a:solidFill>
              <a:srgbClr val="FF00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0"/>
          <c:order val="10"/>
          <c:tx>
            <c:strRef>
              <c:f>'SC-New'!#REF!</c:f>
              <c:strCache>
                <c:ptCount val="1"/>
                <c:pt idx="0">
                  <c:v>#REF!</c:v>
                </c:pt>
              </c:strCache>
            </c:strRef>
          </c:tx>
          <c:spPr>
            <a:solidFill>
              <a:srgbClr val="FFFF0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1"/>
          <c:order val="11"/>
          <c:tx>
            <c:strRef>
              <c:f>'SC-New'!#REF!</c:f>
              <c:strCache>
                <c:ptCount val="1"/>
                <c:pt idx="0">
                  <c:v>#REF!</c:v>
                </c:pt>
              </c:strCache>
            </c:strRef>
          </c:tx>
          <c:spPr>
            <a:solidFill>
              <a:srgbClr val="00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2"/>
          <c:order val="12"/>
          <c:tx>
            <c:strRef>
              <c:f>'SC-New'!#REF!</c:f>
              <c:strCache>
                <c:ptCount val="1"/>
                <c:pt idx="0">
                  <c:v>#REF!</c:v>
                </c:pt>
              </c:strCache>
            </c:strRef>
          </c:tx>
          <c:spPr>
            <a:solidFill>
              <a:srgbClr val="800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3"/>
          <c:order val="13"/>
          <c:tx>
            <c:strRef>
              <c:f>'SC-New'!#REF!</c:f>
              <c:strCache>
                <c:ptCount val="1"/>
                <c:pt idx="0">
                  <c:v>#REF!</c:v>
                </c:pt>
              </c:strCache>
            </c:strRef>
          </c:tx>
          <c:spPr>
            <a:solidFill>
              <a:srgbClr val="80000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4"/>
          <c:order val="14"/>
          <c:tx>
            <c:strRef>
              <c:f>'SC-New'!#REF!</c:f>
              <c:strCache>
                <c:ptCount val="1"/>
                <c:pt idx="0">
                  <c:v>#REF!</c:v>
                </c:pt>
              </c:strCache>
            </c:strRef>
          </c:tx>
          <c:spPr>
            <a:solidFill>
              <a:srgbClr val="008080"/>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5"/>
          <c:order val="15"/>
          <c:tx>
            <c:strRef>
              <c:f>'SC-New'!#REF!</c:f>
              <c:strCache>
                <c:ptCount val="1"/>
                <c:pt idx="0">
                  <c:v>#REF!</c:v>
                </c:pt>
              </c:strCache>
            </c:strRef>
          </c:tx>
          <c:spPr>
            <a:solidFill>
              <a:srgbClr val="0000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6"/>
          <c:order val="16"/>
          <c:tx>
            <c:strRef>
              <c:f>'SC-New'!#REF!</c:f>
              <c:strCache>
                <c:ptCount val="1"/>
                <c:pt idx="0">
                  <c:v>#REF!</c:v>
                </c:pt>
              </c:strCache>
            </c:strRef>
          </c:tx>
          <c:spPr>
            <a:solidFill>
              <a:srgbClr val="00CC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ser>
          <c:idx val="17"/>
          <c:order val="17"/>
          <c:tx>
            <c:strRef>
              <c:f>'SC-New'!#REF!</c:f>
              <c:strCache>
                <c:ptCount val="1"/>
                <c:pt idx="0">
                  <c:v>#REF!</c:v>
                </c:pt>
              </c:strCache>
            </c:strRef>
          </c:tx>
          <c:spPr>
            <a:solidFill>
              <a:srgbClr val="CCFFFF"/>
            </a:solidFill>
            <a:ln w="12700">
              <a:solidFill>
                <a:srgbClr val="000000"/>
              </a:solidFill>
              <a:prstDash val="solid"/>
            </a:ln>
          </c:spPr>
          <c:cat>
            <c:numRef>
              <c:f>'SC-New'!$E$11:$Y$11</c:f>
              <c:numCache>
                <c:formatCode>General</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numCache>
            </c:numRef>
          </c:cat>
          <c:val>
            <c:numRef>
              <c:f>'SC-New'!#REF!</c:f>
              <c:numCache>
                <c:formatCode>General</c:formatCode>
                <c:ptCount val="1"/>
                <c:pt idx="0">
                  <c:v>1</c:v>
                </c:pt>
              </c:numCache>
            </c:numRef>
          </c:val>
        </c:ser>
        <c:overlap val="100"/>
        <c:axId val="107301504"/>
        <c:axId val="107331968"/>
      </c:barChart>
      <c:catAx>
        <c:axId val="107301504"/>
        <c:scaling>
          <c:orientation val="minMax"/>
        </c:scaling>
        <c:axPos val="b"/>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7331968"/>
        <c:crosses val="autoZero"/>
        <c:auto val="1"/>
        <c:lblAlgn val="ctr"/>
        <c:lblOffset val="100"/>
        <c:tickLblSkip val="1"/>
        <c:tickMarkSkip val="1"/>
      </c:catAx>
      <c:valAx>
        <c:axId val="107331968"/>
        <c:scaling>
          <c:orientation val="minMax"/>
        </c:scaling>
        <c:axPos val="l"/>
        <c:majorGridlines>
          <c:spPr>
            <a:ln w="3175">
              <a:solidFill>
                <a:srgbClr val="000000"/>
              </a:solidFill>
              <a:prstDash val="solid"/>
            </a:ln>
          </c:spPr>
        </c:majorGridlines>
        <c:title>
          <c:tx>
            <c:strRef>
              <c:f>'SC-New'!$C$11</c:f>
              <c:strCache>
                <c:ptCount val="1"/>
                <c:pt idx="0">
                  <c:v># homes</c:v>
                </c:pt>
              </c:strCache>
            </c:strRef>
          </c:tx>
          <c:layout>
            <c:manualLayout>
              <c:xMode val="edge"/>
              <c:yMode val="edge"/>
              <c:x val="7.0265697188384713E-2"/>
              <c:y val="0.40489130434782838"/>
            </c:manualLayout>
          </c:layout>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7301504"/>
        <c:crosses val="autoZero"/>
        <c:crossBetween val="between"/>
      </c:valAx>
      <c:spPr>
        <a:solidFill>
          <a:srgbClr val="C0C0C0"/>
        </a:solidFill>
        <a:ln w="12700">
          <a:solidFill>
            <a:srgbClr val="808080"/>
          </a:solidFill>
          <a:prstDash val="solid"/>
        </a:ln>
      </c:spPr>
    </c:plotArea>
    <c:legend>
      <c:legendPos val="r"/>
      <c:layout>
        <c:manualLayout>
          <c:xMode val="edge"/>
          <c:yMode val="edge"/>
          <c:x val="0.92545064589579806"/>
          <c:y val="5.9782608695652183E-2"/>
          <c:w val="6.7695000949785533E-2"/>
          <c:h val="0.93206521739130765"/>
        </c:manualLayout>
      </c:layout>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trendline>
            <c:trendlineType val="poly"/>
            <c:order val="2"/>
            <c:dispRSqr val="1"/>
            <c:dispEq val="1"/>
            <c:trendlineLbl>
              <c:layout>
                <c:manualLayout>
                  <c:x val="9.2685476815398071E-2"/>
                  <c:y val="-0.34312044327792651"/>
                </c:manualLayout>
              </c:layout>
              <c:numFmt formatCode="General" sourceLinked="0"/>
            </c:trendlineLbl>
          </c:trendline>
          <c:xVal>
            <c:numRef>
              <c:f>'Northwest Retail Cost Data'!$H$5:$H$275</c:f>
              <c:numCache>
                <c:formatCode>General</c:formatCode>
                <c:ptCount val="271"/>
                <c:pt idx="0">
                  <c:v>3.33</c:v>
                </c:pt>
                <c:pt idx="1">
                  <c:v>2.88</c:v>
                </c:pt>
                <c:pt idx="2">
                  <c:v>3</c:v>
                </c:pt>
                <c:pt idx="3">
                  <c:v>2.61</c:v>
                </c:pt>
                <c:pt idx="4">
                  <c:v>2.2999999999999998</c:v>
                </c:pt>
                <c:pt idx="5">
                  <c:v>2.65</c:v>
                </c:pt>
                <c:pt idx="6">
                  <c:v>2.61</c:v>
                </c:pt>
                <c:pt idx="7">
                  <c:v>2.65</c:v>
                </c:pt>
                <c:pt idx="8">
                  <c:v>2.41</c:v>
                </c:pt>
                <c:pt idx="9">
                  <c:v>2</c:v>
                </c:pt>
                <c:pt idx="10">
                  <c:v>2</c:v>
                </c:pt>
                <c:pt idx="11">
                  <c:v>2.2000000000000002</c:v>
                </c:pt>
                <c:pt idx="12">
                  <c:v>2</c:v>
                </c:pt>
                <c:pt idx="13">
                  <c:v>2.69</c:v>
                </c:pt>
                <c:pt idx="14">
                  <c:v>2</c:v>
                </c:pt>
                <c:pt idx="15">
                  <c:v>3.2</c:v>
                </c:pt>
                <c:pt idx="16">
                  <c:v>3</c:v>
                </c:pt>
                <c:pt idx="17">
                  <c:v>3.45</c:v>
                </c:pt>
                <c:pt idx="18">
                  <c:v>2.4</c:v>
                </c:pt>
                <c:pt idx="19">
                  <c:v>3</c:v>
                </c:pt>
                <c:pt idx="20">
                  <c:v>3.2</c:v>
                </c:pt>
                <c:pt idx="21">
                  <c:v>3</c:v>
                </c:pt>
                <c:pt idx="22">
                  <c:v>3</c:v>
                </c:pt>
                <c:pt idx="23">
                  <c:v>3.05</c:v>
                </c:pt>
                <c:pt idx="24">
                  <c:v>3.05</c:v>
                </c:pt>
                <c:pt idx="25">
                  <c:v>2.75</c:v>
                </c:pt>
                <c:pt idx="26">
                  <c:v>2.41</c:v>
                </c:pt>
                <c:pt idx="27">
                  <c:v>2.75</c:v>
                </c:pt>
                <c:pt idx="28">
                  <c:v>2.75</c:v>
                </c:pt>
                <c:pt idx="29">
                  <c:v>2.57</c:v>
                </c:pt>
                <c:pt idx="30">
                  <c:v>2.46</c:v>
                </c:pt>
                <c:pt idx="31">
                  <c:v>2.57</c:v>
                </c:pt>
                <c:pt idx="32">
                  <c:v>2.46</c:v>
                </c:pt>
                <c:pt idx="33">
                  <c:v>2.61</c:v>
                </c:pt>
                <c:pt idx="34">
                  <c:v>2.46</c:v>
                </c:pt>
                <c:pt idx="35">
                  <c:v>2.02</c:v>
                </c:pt>
                <c:pt idx="36">
                  <c:v>2.48</c:v>
                </c:pt>
                <c:pt idx="37">
                  <c:v>2.024</c:v>
                </c:pt>
                <c:pt idx="38">
                  <c:v>3</c:v>
                </c:pt>
                <c:pt idx="39">
                  <c:v>3</c:v>
                </c:pt>
                <c:pt idx="40">
                  <c:v>3</c:v>
                </c:pt>
                <c:pt idx="41">
                  <c:v>2.46</c:v>
                </c:pt>
                <c:pt idx="42">
                  <c:v>2.46</c:v>
                </c:pt>
                <c:pt idx="43">
                  <c:v>2.46</c:v>
                </c:pt>
                <c:pt idx="44">
                  <c:v>2.46</c:v>
                </c:pt>
                <c:pt idx="45">
                  <c:v>2.08</c:v>
                </c:pt>
                <c:pt idx="46">
                  <c:v>2.024</c:v>
                </c:pt>
                <c:pt idx="47">
                  <c:v>2.4900000000000002</c:v>
                </c:pt>
                <c:pt idx="48">
                  <c:v>2.4900000000000002</c:v>
                </c:pt>
                <c:pt idx="49">
                  <c:v>2.46</c:v>
                </c:pt>
                <c:pt idx="50">
                  <c:v>2.65</c:v>
                </c:pt>
                <c:pt idx="51">
                  <c:v>2.65</c:v>
                </c:pt>
                <c:pt idx="52">
                  <c:v>2.46</c:v>
                </c:pt>
                <c:pt idx="53">
                  <c:v>2.65</c:v>
                </c:pt>
                <c:pt idx="54">
                  <c:v>2.4300000000000002</c:v>
                </c:pt>
                <c:pt idx="55">
                  <c:v>3</c:v>
                </c:pt>
                <c:pt idx="56">
                  <c:v>2.46</c:v>
                </c:pt>
                <c:pt idx="57">
                  <c:v>3</c:v>
                </c:pt>
                <c:pt idx="58">
                  <c:v>3</c:v>
                </c:pt>
                <c:pt idx="59">
                  <c:v>2.46</c:v>
                </c:pt>
                <c:pt idx="60">
                  <c:v>3.3</c:v>
                </c:pt>
                <c:pt idx="61">
                  <c:v>2.4300000000000002</c:v>
                </c:pt>
                <c:pt idx="62">
                  <c:v>1.5</c:v>
                </c:pt>
                <c:pt idx="63">
                  <c:v>1.26</c:v>
                </c:pt>
                <c:pt idx="64">
                  <c:v>1.33</c:v>
                </c:pt>
                <c:pt idx="65">
                  <c:v>1.33</c:v>
                </c:pt>
                <c:pt idx="66">
                  <c:v>1.26</c:v>
                </c:pt>
                <c:pt idx="67">
                  <c:v>1.26</c:v>
                </c:pt>
                <c:pt idx="68">
                  <c:v>1.41</c:v>
                </c:pt>
                <c:pt idx="69">
                  <c:v>2</c:v>
                </c:pt>
                <c:pt idx="70">
                  <c:v>2.21</c:v>
                </c:pt>
                <c:pt idx="73">
                  <c:v>1.33</c:v>
                </c:pt>
                <c:pt idx="74">
                  <c:v>1.26</c:v>
                </c:pt>
                <c:pt idx="79">
                  <c:v>3.2</c:v>
                </c:pt>
                <c:pt idx="80">
                  <c:v>3.2</c:v>
                </c:pt>
                <c:pt idx="81">
                  <c:v>3</c:v>
                </c:pt>
                <c:pt idx="82">
                  <c:v>3.2</c:v>
                </c:pt>
                <c:pt idx="83">
                  <c:v>3</c:v>
                </c:pt>
                <c:pt idx="84">
                  <c:v>3</c:v>
                </c:pt>
                <c:pt idx="85">
                  <c:v>3</c:v>
                </c:pt>
                <c:pt idx="86">
                  <c:v>3.2</c:v>
                </c:pt>
                <c:pt idx="87">
                  <c:v>3</c:v>
                </c:pt>
                <c:pt idx="88">
                  <c:v>3</c:v>
                </c:pt>
                <c:pt idx="89">
                  <c:v>3.05</c:v>
                </c:pt>
                <c:pt idx="90">
                  <c:v>2.46</c:v>
                </c:pt>
                <c:pt idx="92">
                  <c:v>3.05</c:v>
                </c:pt>
                <c:pt idx="93">
                  <c:v>3.55</c:v>
                </c:pt>
                <c:pt idx="94">
                  <c:v>2.46</c:v>
                </c:pt>
                <c:pt idx="95">
                  <c:v>2.5</c:v>
                </c:pt>
                <c:pt idx="97">
                  <c:v>3.35</c:v>
                </c:pt>
                <c:pt idx="98">
                  <c:v>3</c:v>
                </c:pt>
                <c:pt idx="99">
                  <c:v>2.4</c:v>
                </c:pt>
                <c:pt idx="100">
                  <c:v>3</c:v>
                </c:pt>
                <c:pt idx="101">
                  <c:v>3</c:v>
                </c:pt>
                <c:pt idx="102">
                  <c:v>3.1</c:v>
                </c:pt>
                <c:pt idx="103">
                  <c:v>3.4</c:v>
                </c:pt>
                <c:pt idx="104">
                  <c:v>2.0499999999999998</c:v>
                </c:pt>
                <c:pt idx="105">
                  <c:v>3.4</c:v>
                </c:pt>
                <c:pt idx="106">
                  <c:v>2.0499999999999998</c:v>
                </c:pt>
                <c:pt idx="107">
                  <c:v>3.32</c:v>
                </c:pt>
                <c:pt idx="108">
                  <c:v>3.32</c:v>
                </c:pt>
                <c:pt idx="109">
                  <c:v>3</c:v>
                </c:pt>
                <c:pt idx="110">
                  <c:v>3.0019999999999998</c:v>
                </c:pt>
                <c:pt idx="111">
                  <c:v>3.29</c:v>
                </c:pt>
                <c:pt idx="112">
                  <c:v>3.55</c:v>
                </c:pt>
                <c:pt idx="113">
                  <c:v>2.4300000000000002</c:v>
                </c:pt>
                <c:pt idx="114">
                  <c:v>3.0019999999999998</c:v>
                </c:pt>
                <c:pt idx="115">
                  <c:v>3.4</c:v>
                </c:pt>
                <c:pt idx="116">
                  <c:v>3.35</c:v>
                </c:pt>
                <c:pt idx="117">
                  <c:v>3.13</c:v>
                </c:pt>
                <c:pt idx="118">
                  <c:v>3.33</c:v>
                </c:pt>
                <c:pt idx="119">
                  <c:v>3.32</c:v>
                </c:pt>
                <c:pt idx="120">
                  <c:v>3.29</c:v>
                </c:pt>
                <c:pt idx="121">
                  <c:v>3.0019999999999998</c:v>
                </c:pt>
                <c:pt idx="122">
                  <c:v>3</c:v>
                </c:pt>
                <c:pt idx="123">
                  <c:v>3.3</c:v>
                </c:pt>
                <c:pt idx="124">
                  <c:v>3.35</c:v>
                </c:pt>
                <c:pt idx="125">
                  <c:v>2.4569999999999999</c:v>
                </c:pt>
                <c:pt idx="126">
                  <c:v>2.46</c:v>
                </c:pt>
                <c:pt idx="127">
                  <c:v>2.4300000000000002</c:v>
                </c:pt>
                <c:pt idx="128">
                  <c:v>3.1</c:v>
                </c:pt>
                <c:pt idx="129">
                  <c:v>2.75</c:v>
                </c:pt>
                <c:pt idx="130">
                  <c:v>2.75</c:v>
                </c:pt>
                <c:pt idx="131">
                  <c:v>2.57</c:v>
                </c:pt>
                <c:pt idx="132">
                  <c:v>2.4409999999999998</c:v>
                </c:pt>
                <c:pt idx="133">
                  <c:v>1.39</c:v>
                </c:pt>
                <c:pt idx="134">
                  <c:v>2.75</c:v>
                </c:pt>
                <c:pt idx="135">
                  <c:v>1.26</c:v>
                </c:pt>
                <c:pt idx="136">
                  <c:v>2.48</c:v>
                </c:pt>
                <c:pt idx="137">
                  <c:v>2.4500000000000002</c:v>
                </c:pt>
                <c:pt idx="138">
                  <c:v>1.26</c:v>
                </c:pt>
                <c:pt idx="139">
                  <c:v>2.41</c:v>
                </c:pt>
                <c:pt idx="140">
                  <c:v>2</c:v>
                </c:pt>
                <c:pt idx="141">
                  <c:v>2.65</c:v>
                </c:pt>
                <c:pt idx="142">
                  <c:v>2.4500000000000002</c:v>
                </c:pt>
                <c:pt idx="143">
                  <c:v>1.41</c:v>
                </c:pt>
                <c:pt idx="144">
                  <c:v>1.26</c:v>
                </c:pt>
                <c:pt idx="145">
                  <c:v>2.04</c:v>
                </c:pt>
                <c:pt idx="146">
                  <c:v>2.41</c:v>
                </c:pt>
                <c:pt idx="147">
                  <c:v>2</c:v>
                </c:pt>
                <c:pt idx="148">
                  <c:v>2.4409999999999998</c:v>
                </c:pt>
                <c:pt idx="149">
                  <c:v>2.4500000000000002</c:v>
                </c:pt>
                <c:pt idx="150">
                  <c:v>2.4750000000000001</c:v>
                </c:pt>
                <c:pt idx="151">
                  <c:v>2.75</c:v>
                </c:pt>
                <c:pt idx="152">
                  <c:v>2.4750000000000001</c:v>
                </c:pt>
                <c:pt idx="153">
                  <c:v>2.21</c:v>
                </c:pt>
                <c:pt idx="154">
                  <c:v>2.6</c:v>
                </c:pt>
                <c:pt idx="155">
                  <c:v>2.61</c:v>
                </c:pt>
                <c:pt idx="156">
                  <c:v>2.75</c:v>
                </c:pt>
                <c:pt idx="157">
                  <c:v>2.65</c:v>
                </c:pt>
                <c:pt idx="158">
                  <c:v>2.4</c:v>
                </c:pt>
                <c:pt idx="159">
                  <c:v>2.41</c:v>
                </c:pt>
                <c:pt idx="160">
                  <c:v>2.75</c:v>
                </c:pt>
                <c:pt idx="161">
                  <c:v>2.4580000000000002</c:v>
                </c:pt>
                <c:pt idx="162">
                  <c:v>2.4500000000000002</c:v>
                </c:pt>
                <c:pt idx="163">
                  <c:v>2.57</c:v>
                </c:pt>
                <c:pt idx="164">
                  <c:v>1.26</c:v>
                </c:pt>
                <c:pt idx="166">
                  <c:v>2.57</c:v>
                </c:pt>
                <c:pt idx="167">
                  <c:v>2.4580000000000002</c:v>
                </c:pt>
                <c:pt idx="168">
                  <c:v>2.65</c:v>
                </c:pt>
                <c:pt idx="170">
                  <c:v>2.4580000000000002</c:v>
                </c:pt>
                <c:pt idx="171">
                  <c:v>2.2000000000000002</c:v>
                </c:pt>
                <c:pt idx="172">
                  <c:v>2.4929999999999999</c:v>
                </c:pt>
                <c:pt idx="173">
                  <c:v>2.75</c:v>
                </c:pt>
                <c:pt idx="174">
                  <c:v>2.02</c:v>
                </c:pt>
                <c:pt idx="175">
                  <c:v>1.33</c:v>
                </c:pt>
                <c:pt idx="176">
                  <c:v>2.21</c:v>
                </c:pt>
                <c:pt idx="177">
                  <c:v>1.33</c:v>
                </c:pt>
                <c:pt idx="178">
                  <c:v>2.65</c:v>
                </c:pt>
                <c:pt idx="179">
                  <c:v>2.2200000000000002</c:v>
                </c:pt>
                <c:pt idx="180">
                  <c:v>2.0499999999999998</c:v>
                </c:pt>
                <c:pt idx="182">
                  <c:v>3.29</c:v>
                </c:pt>
                <c:pt idx="183">
                  <c:v>3.29</c:v>
                </c:pt>
                <c:pt idx="184">
                  <c:v>3.1</c:v>
                </c:pt>
                <c:pt idx="185">
                  <c:v>3.33</c:v>
                </c:pt>
                <c:pt idx="186">
                  <c:v>2.88</c:v>
                </c:pt>
                <c:pt idx="187">
                  <c:v>3.1</c:v>
                </c:pt>
                <c:pt idx="188">
                  <c:v>3.33</c:v>
                </c:pt>
                <c:pt idx="189">
                  <c:v>3</c:v>
                </c:pt>
                <c:pt idx="190">
                  <c:v>3.41</c:v>
                </c:pt>
                <c:pt idx="191">
                  <c:v>3.41</c:v>
                </c:pt>
                <c:pt idx="192">
                  <c:v>3.37</c:v>
                </c:pt>
                <c:pt idx="193">
                  <c:v>3.37</c:v>
                </c:pt>
                <c:pt idx="194">
                  <c:v>3.41</c:v>
                </c:pt>
                <c:pt idx="195">
                  <c:v>3.37</c:v>
                </c:pt>
                <c:pt idx="196">
                  <c:v>3.35</c:v>
                </c:pt>
                <c:pt idx="198">
                  <c:v>3</c:v>
                </c:pt>
                <c:pt idx="199">
                  <c:v>3.0019999999999998</c:v>
                </c:pt>
                <c:pt idx="200">
                  <c:v>3.3</c:v>
                </c:pt>
                <c:pt idx="201">
                  <c:v>3</c:v>
                </c:pt>
                <c:pt idx="202">
                  <c:v>3</c:v>
                </c:pt>
                <c:pt idx="203">
                  <c:v>3</c:v>
                </c:pt>
                <c:pt idx="204">
                  <c:v>3</c:v>
                </c:pt>
                <c:pt idx="205">
                  <c:v>3</c:v>
                </c:pt>
                <c:pt idx="206">
                  <c:v>2.46</c:v>
                </c:pt>
                <c:pt idx="207">
                  <c:v>2.46</c:v>
                </c:pt>
                <c:pt idx="208">
                  <c:v>2.46</c:v>
                </c:pt>
                <c:pt idx="209">
                  <c:v>2.5</c:v>
                </c:pt>
                <c:pt idx="210">
                  <c:v>3.35</c:v>
                </c:pt>
                <c:pt idx="211">
                  <c:v>3.1</c:v>
                </c:pt>
                <c:pt idx="212">
                  <c:v>3.35</c:v>
                </c:pt>
                <c:pt idx="213">
                  <c:v>3.42</c:v>
                </c:pt>
                <c:pt idx="214">
                  <c:v>3.1</c:v>
                </c:pt>
                <c:pt idx="215">
                  <c:v>3.1</c:v>
                </c:pt>
                <c:pt idx="216">
                  <c:v>3.42</c:v>
                </c:pt>
                <c:pt idx="217">
                  <c:v>2.46</c:v>
                </c:pt>
                <c:pt idx="218">
                  <c:v>2.46</c:v>
                </c:pt>
                <c:pt idx="219">
                  <c:v>3</c:v>
                </c:pt>
                <c:pt idx="220">
                  <c:v>2.4300000000000002</c:v>
                </c:pt>
                <c:pt idx="221">
                  <c:v>2.65</c:v>
                </c:pt>
                <c:pt idx="222">
                  <c:v>3</c:v>
                </c:pt>
                <c:pt idx="223">
                  <c:v>2.4300000000000002</c:v>
                </c:pt>
                <c:pt idx="224">
                  <c:v>3</c:v>
                </c:pt>
                <c:pt idx="225">
                  <c:v>3</c:v>
                </c:pt>
                <c:pt idx="226">
                  <c:v>2.0699999999999998</c:v>
                </c:pt>
                <c:pt idx="227">
                  <c:v>2.25</c:v>
                </c:pt>
                <c:pt idx="228">
                  <c:v>1.33</c:v>
                </c:pt>
                <c:pt idx="229">
                  <c:v>1.26</c:v>
                </c:pt>
                <c:pt idx="230">
                  <c:v>1.26</c:v>
                </c:pt>
                <c:pt idx="232">
                  <c:v>2</c:v>
                </c:pt>
                <c:pt idx="233">
                  <c:v>2</c:v>
                </c:pt>
                <c:pt idx="235">
                  <c:v>2.2000000000000002</c:v>
                </c:pt>
                <c:pt idx="236">
                  <c:v>2.21</c:v>
                </c:pt>
                <c:pt idx="237">
                  <c:v>2.21</c:v>
                </c:pt>
                <c:pt idx="241">
                  <c:v>1.26</c:v>
                </c:pt>
                <c:pt idx="243">
                  <c:v>2.61</c:v>
                </c:pt>
                <c:pt idx="244">
                  <c:v>2.46</c:v>
                </c:pt>
                <c:pt idx="246">
                  <c:v>2.57</c:v>
                </c:pt>
                <c:pt idx="247">
                  <c:v>2.57</c:v>
                </c:pt>
                <c:pt idx="248">
                  <c:v>2.57</c:v>
                </c:pt>
                <c:pt idx="250">
                  <c:v>2.48</c:v>
                </c:pt>
                <c:pt idx="251">
                  <c:v>2.46</c:v>
                </c:pt>
                <c:pt idx="254">
                  <c:v>2.41</c:v>
                </c:pt>
                <c:pt idx="255">
                  <c:v>2.4500000000000002</c:v>
                </c:pt>
                <c:pt idx="256">
                  <c:v>2.41</c:v>
                </c:pt>
                <c:pt idx="257">
                  <c:v>2.4500000000000002</c:v>
                </c:pt>
                <c:pt idx="258">
                  <c:v>1.41</c:v>
                </c:pt>
                <c:pt idx="259">
                  <c:v>2.024</c:v>
                </c:pt>
                <c:pt idx="260">
                  <c:v>2.4900000000000002</c:v>
                </c:pt>
                <c:pt idx="261">
                  <c:v>2.4900000000000002</c:v>
                </c:pt>
                <c:pt idx="262">
                  <c:v>2.02</c:v>
                </c:pt>
                <c:pt idx="263">
                  <c:v>2.46</c:v>
                </c:pt>
                <c:pt idx="264">
                  <c:v>2.46</c:v>
                </c:pt>
                <c:pt idx="265">
                  <c:v>2.46</c:v>
                </c:pt>
                <c:pt idx="266">
                  <c:v>2.65</c:v>
                </c:pt>
                <c:pt idx="267">
                  <c:v>2.65</c:v>
                </c:pt>
                <c:pt idx="268">
                  <c:v>2.65</c:v>
                </c:pt>
                <c:pt idx="269">
                  <c:v>2.65</c:v>
                </c:pt>
                <c:pt idx="270">
                  <c:v>2.65</c:v>
                </c:pt>
              </c:numCache>
            </c:numRef>
          </c:xVal>
          <c:yVal>
            <c:numRef>
              <c:f>'Northwest Retail Cost Data'!$I$5:$I$275</c:f>
              <c:numCache>
                <c:formatCode>General</c:formatCode>
                <c:ptCount val="271"/>
                <c:pt idx="0">
                  <c:v>2.8</c:v>
                </c:pt>
                <c:pt idx="1">
                  <c:v>3.5</c:v>
                </c:pt>
                <c:pt idx="2">
                  <c:v>3.3</c:v>
                </c:pt>
                <c:pt idx="3">
                  <c:v>3.9</c:v>
                </c:pt>
                <c:pt idx="4">
                  <c:v>4.3</c:v>
                </c:pt>
                <c:pt idx="5">
                  <c:v>3.6</c:v>
                </c:pt>
                <c:pt idx="6">
                  <c:v>3.9</c:v>
                </c:pt>
                <c:pt idx="7">
                  <c:v>3.6</c:v>
                </c:pt>
                <c:pt idx="8">
                  <c:v>4</c:v>
                </c:pt>
                <c:pt idx="9">
                  <c:v>6</c:v>
                </c:pt>
                <c:pt idx="10">
                  <c:v>6</c:v>
                </c:pt>
                <c:pt idx="11">
                  <c:v>4.5</c:v>
                </c:pt>
                <c:pt idx="12">
                  <c:v>6</c:v>
                </c:pt>
                <c:pt idx="13">
                  <c:v>3.9</c:v>
                </c:pt>
                <c:pt idx="14">
                  <c:v>6</c:v>
                </c:pt>
                <c:pt idx="15">
                  <c:v>3.3</c:v>
                </c:pt>
                <c:pt idx="16">
                  <c:v>3.3</c:v>
                </c:pt>
                <c:pt idx="17">
                  <c:v>3</c:v>
                </c:pt>
                <c:pt idx="18">
                  <c:v>4.4000000000000004</c:v>
                </c:pt>
                <c:pt idx="19">
                  <c:v>3.3</c:v>
                </c:pt>
                <c:pt idx="20">
                  <c:v>3.3</c:v>
                </c:pt>
                <c:pt idx="21">
                  <c:v>3.3</c:v>
                </c:pt>
                <c:pt idx="22">
                  <c:v>3.3</c:v>
                </c:pt>
                <c:pt idx="23">
                  <c:v>3.3</c:v>
                </c:pt>
                <c:pt idx="24">
                  <c:v>3.3</c:v>
                </c:pt>
                <c:pt idx="25">
                  <c:v>3.7</c:v>
                </c:pt>
                <c:pt idx="26">
                  <c:v>3.9</c:v>
                </c:pt>
                <c:pt idx="27">
                  <c:v>3.7</c:v>
                </c:pt>
                <c:pt idx="28">
                  <c:v>3.7</c:v>
                </c:pt>
                <c:pt idx="29" formatCode="0.0">
                  <c:v>3.88</c:v>
                </c:pt>
                <c:pt idx="30" formatCode="0.0">
                  <c:v>3.62</c:v>
                </c:pt>
                <c:pt idx="31" formatCode="0.0">
                  <c:v>3.88</c:v>
                </c:pt>
                <c:pt idx="32" formatCode="0.0">
                  <c:v>3.62</c:v>
                </c:pt>
                <c:pt idx="33" formatCode="0.0">
                  <c:v>3.69</c:v>
                </c:pt>
                <c:pt idx="34" formatCode="0.0">
                  <c:v>3.62</c:v>
                </c:pt>
                <c:pt idx="35" formatCode="0.0">
                  <c:v>5.89</c:v>
                </c:pt>
                <c:pt idx="36" formatCode="0.0">
                  <c:v>3.64</c:v>
                </c:pt>
                <c:pt idx="37" formatCode="0.0">
                  <c:v>5.8959999999999999</c:v>
                </c:pt>
                <c:pt idx="38" formatCode="0.0">
                  <c:v>2.68</c:v>
                </c:pt>
                <c:pt idx="39" formatCode="0.0">
                  <c:v>2.78</c:v>
                </c:pt>
                <c:pt idx="40" formatCode="0.0">
                  <c:v>2.72</c:v>
                </c:pt>
                <c:pt idx="41" formatCode="0.0">
                  <c:v>3.69</c:v>
                </c:pt>
                <c:pt idx="42" formatCode="0.0">
                  <c:v>3.69</c:v>
                </c:pt>
                <c:pt idx="43" formatCode="0.0">
                  <c:v>3.69</c:v>
                </c:pt>
                <c:pt idx="44" formatCode="0.0">
                  <c:v>2.94</c:v>
                </c:pt>
                <c:pt idx="45" formatCode="0.0">
                  <c:v>5.22</c:v>
                </c:pt>
                <c:pt idx="46" formatCode="0.0">
                  <c:v>5.8959999999999999</c:v>
                </c:pt>
                <c:pt idx="47" formatCode="0.0">
                  <c:v>3.91</c:v>
                </c:pt>
                <c:pt idx="48" formatCode="0.0">
                  <c:v>3.91</c:v>
                </c:pt>
                <c:pt idx="49" formatCode="0.0">
                  <c:v>3.84</c:v>
                </c:pt>
                <c:pt idx="50" formatCode="0.0">
                  <c:v>3.71</c:v>
                </c:pt>
                <c:pt idx="51" formatCode="0.0">
                  <c:v>3.71</c:v>
                </c:pt>
                <c:pt idx="52" formatCode="0.0">
                  <c:v>3.84</c:v>
                </c:pt>
                <c:pt idx="53" formatCode="0.0">
                  <c:v>3.71</c:v>
                </c:pt>
                <c:pt idx="54" formatCode="0.0">
                  <c:v>3.43</c:v>
                </c:pt>
                <c:pt idx="55" formatCode="0.0">
                  <c:v>2.48</c:v>
                </c:pt>
                <c:pt idx="56" formatCode="0.0">
                  <c:v>3.69</c:v>
                </c:pt>
                <c:pt idx="57" formatCode="0.0">
                  <c:v>2.83</c:v>
                </c:pt>
                <c:pt idx="58" formatCode="0.0">
                  <c:v>2.78</c:v>
                </c:pt>
                <c:pt idx="59" formatCode="0.0">
                  <c:v>3.69</c:v>
                </c:pt>
                <c:pt idx="60" formatCode="0.0">
                  <c:v>2.5499999999999998</c:v>
                </c:pt>
                <c:pt idx="61" formatCode="0.0">
                  <c:v>3.43</c:v>
                </c:pt>
                <c:pt idx="62">
                  <c:v>9.5</c:v>
                </c:pt>
                <c:pt idx="63">
                  <c:v>9.5</c:v>
                </c:pt>
                <c:pt idx="64">
                  <c:v>8.5</c:v>
                </c:pt>
                <c:pt idx="65">
                  <c:v>9.5</c:v>
                </c:pt>
                <c:pt idx="66">
                  <c:v>9.5</c:v>
                </c:pt>
                <c:pt idx="67">
                  <c:v>9.5</c:v>
                </c:pt>
                <c:pt idx="68">
                  <c:v>8.6</c:v>
                </c:pt>
                <c:pt idx="69">
                  <c:v>6</c:v>
                </c:pt>
                <c:pt idx="70">
                  <c:v>4.5</c:v>
                </c:pt>
                <c:pt idx="73">
                  <c:v>9.5</c:v>
                </c:pt>
                <c:pt idx="74">
                  <c:v>9.5</c:v>
                </c:pt>
                <c:pt idx="79">
                  <c:v>3.3</c:v>
                </c:pt>
                <c:pt idx="80">
                  <c:v>3.3</c:v>
                </c:pt>
                <c:pt idx="81">
                  <c:v>3.3</c:v>
                </c:pt>
                <c:pt idx="82">
                  <c:v>3.3</c:v>
                </c:pt>
                <c:pt idx="83">
                  <c:v>2.48</c:v>
                </c:pt>
                <c:pt idx="84">
                  <c:v>3.3</c:v>
                </c:pt>
                <c:pt idx="85">
                  <c:v>3.3</c:v>
                </c:pt>
                <c:pt idx="86">
                  <c:v>3.3</c:v>
                </c:pt>
                <c:pt idx="87">
                  <c:v>3.3</c:v>
                </c:pt>
                <c:pt idx="88">
                  <c:v>3.3</c:v>
                </c:pt>
                <c:pt idx="89">
                  <c:v>3.3</c:v>
                </c:pt>
                <c:pt idx="90">
                  <c:v>3.69</c:v>
                </c:pt>
                <c:pt idx="92">
                  <c:v>3.3</c:v>
                </c:pt>
                <c:pt idx="93">
                  <c:v>2.95</c:v>
                </c:pt>
                <c:pt idx="94">
                  <c:v>3.69</c:v>
                </c:pt>
                <c:pt idx="95">
                  <c:v>3.3</c:v>
                </c:pt>
                <c:pt idx="97">
                  <c:v>2.9</c:v>
                </c:pt>
                <c:pt idx="98">
                  <c:v>2.484</c:v>
                </c:pt>
                <c:pt idx="99">
                  <c:v>4.4000000000000004</c:v>
                </c:pt>
                <c:pt idx="100">
                  <c:v>3.3</c:v>
                </c:pt>
                <c:pt idx="101">
                  <c:v>2.484</c:v>
                </c:pt>
                <c:pt idx="102">
                  <c:v>2.7</c:v>
                </c:pt>
                <c:pt idx="103">
                  <c:v>2.8</c:v>
                </c:pt>
                <c:pt idx="104">
                  <c:v>5.8</c:v>
                </c:pt>
                <c:pt idx="105">
                  <c:v>2.9</c:v>
                </c:pt>
                <c:pt idx="106">
                  <c:v>4.8</c:v>
                </c:pt>
                <c:pt idx="107">
                  <c:v>2.9</c:v>
                </c:pt>
                <c:pt idx="108">
                  <c:v>2.9</c:v>
                </c:pt>
                <c:pt idx="109">
                  <c:v>2.484</c:v>
                </c:pt>
                <c:pt idx="110">
                  <c:v>2.7829999999999999</c:v>
                </c:pt>
                <c:pt idx="111">
                  <c:v>2.8</c:v>
                </c:pt>
                <c:pt idx="112">
                  <c:v>2.95</c:v>
                </c:pt>
                <c:pt idx="113">
                  <c:v>3.4289999999999998</c:v>
                </c:pt>
                <c:pt idx="114">
                  <c:v>2.7829999999999999</c:v>
                </c:pt>
                <c:pt idx="115">
                  <c:v>2.8</c:v>
                </c:pt>
                <c:pt idx="116">
                  <c:v>2.9</c:v>
                </c:pt>
                <c:pt idx="117">
                  <c:v>3</c:v>
                </c:pt>
                <c:pt idx="118">
                  <c:v>2.8</c:v>
                </c:pt>
                <c:pt idx="119">
                  <c:v>2.9</c:v>
                </c:pt>
                <c:pt idx="120">
                  <c:v>2.8</c:v>
                </c:pt>
                <c:pt idx="121">
                  <c:v>2.7829999999999999</c:v>
                </c:pt>
                <c:pt idx="122">
                  <c:v>2.48</c:v>
                </c:pt>
                <c:pt idx="123">
                  <c:v>2.8</c:v>
                </c:pt>
                <c:pt idx="124">
                  <c:v>2.9</c:v>
                </c:pt>
                <c:pt idx="125">
                  <c:v>2.94</c:v>
                </c:pt>
                <c:pt idx="126">
                  <c:v>3.69</c:v>
                </c:pt>
                <c:pt idx="127">
                  <c:v>3.4289999999999998</c:v>
                </c:pt>
                <c:pt idx="128">
                  <c:v>2.7</c:v>
                </c:pt>
                <c:pt idx="129">
                  <c:v>3.7</c:v>
                </c:pt>
                <c:pt idx="130">
                  <c:v>3.7</c:v>
                </c:pt>
                <c:pt idx="131">
                  <c:v>3.88</c:v>
                </c:pt>
                <c:pt idx="132">
                  <c:v>3.84</c:v>
                </c:pt>
                <c:pt idx="133">
                  <c:v>8.9</c:v>
                </c:pt>
                <c:pt idx="134">
                  <c:v>3.68</c:v>
                </c:pt>
                <c:pt idx="135">
                  <c:v>9.5</c:v>
                </c:pt>
                <c:pt idx="136">
                  <c:v>3.6</c:v>
                </c:pt>
                <c:pt idx="137">
                  <c:v>3.6</c:v>
                </c:pt>
                <c:pt idx="138">
                  <c:v>9.5</c:v>
                </c:pt>
                <c:pt idx="139">
                  <c:v>3.9</c:v>
                </c:pt>
                <c:pt idx="140">
                  <c:v>6</c:v>
                </c:pt>
                <c:pt idx="141">
                  <c:v>3.71</c:v>
                </c:pt>
                <c:pt idx="142">
                  <c:v>3.6</c:v>
                </c:pt>
                <c:pt idx="143">
                  <c:v>8.6</c:v>
                </c:pt>
                <c:pt idx="144">
                  <c:v>9.5</c:v>
                </c:pt>
                <c:pt idx="145">
                  <c:v>5.9</c:v>
                </c:pt>
                <c:pt idx="146">
                  <c:v>4</c:v>
                </c:pt>
                <c:pt idx="147">
                  <c:v>6</c:v>
                </c:pt>
                <c:pt idx="148">
                  <c:v>3.84</c:v>
                </c:pt>
                <c:pt idx="149">
                  <c:v>3.55</c:v>
                </c:pt>
                <c:pt idx="150">
                  <c:v>3.6379999999999999</c:v>
                </c:pt>
                <c:pt idx="151">
                  <c:v>3.7</c:v>
                </c:pt>
                <c:pt idx="152">
                  <c:v>3.6379999999999999</c:v>
                </c:pt>
                <c:pt idx="153">
                  <c:v>4.49</c:v>
                </c:pt>
                <c:pt idx="154">
                  <c:v>3.55</c:v>
                </c:pt>
                <c:pt idx="155">
                  <c:v>3.69</c:v>
                </c:pt>
                <c:pt idx="156">
                  <c:v>3.68</c:v>
                </c:pt>
                <c:pt idx="157">
                  <c:v>3.71</c:v>
                </c:pt>
                <c:pt idx="158">
                  <c:v>4</c:v>
                </c:pt>
                <c:pt idx="159">
                  <c:v>3.7</c:v>
                </c:pt>
                <c:pt idx="160">
                  <c:v>3.68</c:v>
                </c:pt>
                <c:pt idx="161">
                  <c:v>3.6179999999999999</c:v>
                </c:pt>
                <c:pt idx="162">
                  <c:v>3.55</c:v>
                </c:pt>
                <c:pt idx="163">
                  <c:v>3.88</c:v>
                </c:pt>
                <c:pt idx="164">
                  <c:v>9.5</c:v>
                </c:pt>
                <c:pt idx="166">
                  <c:v>3.88</c:v>
                </c:pt>
                <c:pt idx="167">
                  <c:v>3.6179999999999999</c:v>
                </c:pt>
                <c:pt idx="168">
                  <c:v>3.71</c:v>
                </c:pt>
                <c:pt idx="170">
                  <c:v>3.6179999999999999</c:v>
                </c:pt>
                <c:pt idx="171">
                  <c:v>4.5</c:v>
                </c:pt>
                <c:pt idx="172">
                  <c:v>3.9129999999999998</c:v>
                </c:pt>
                <c:pt idx="173">
                  <c:v>3.7</c:v>
                </c:pt>
                <c:pt idx="174">
                  <c:v>5.9</c:v>
                </c:pt>
                <c:pt idx="175">
                  <c:v>9.5</c:v>
                </c:pt>
                <c:pt idx="176">
                  <c:v>4.49</c:v>
                </c:pt>
                <c:pt idx="177">
                  <c:v>9.5</c:v>
                </c:pt>
                <c:pt idx="178">
                  <c:v>3.71</c:v>
                </c:pt>
                <c:pt idx="179">
                  <c:v>4.5</c:v>
                </c:pt>
                <c:pt idx="180">
                  <c:v>4.8</c:v>
                </c:pt>
                <c:pt idx="182">
                  <c:v>2.8</c:v>
                </c:pt>
                <c:pt idx="183">
                  <c:v>2.8</c:v>
                </c:pt>
                <c:pt idx="184">
                  <c:v>2.7</c:v>
                </c:pt>
                <c:pt idx="185">
                  <c:v>2.8</c:v>
                </c:pt>
                <c:pt idx="186">
                  <c:v>3.5</c:v>
                </c:pt>
                <c:pt idx="187">
                  <c:v>2.8</c:v>
                </c:pt>
                <c:pt idx="188">
                  <c:v>2.8</c:v>
                </c:pt>
                <c:pt idx="189">
                  <c:v>3.3</c:v>
                </c:pt>
                <c:pt idx="190">
                  <c:v>2.8</c:v>
                </c:pt>
                <c:pt idx="191">
                  <c:v>2.8</c:v>
                </c:pt>
                <c:pt idx="192">
                  <c:v>2.7</c:v>
                </c:pt>
                <c:pt idx="193">
                  <c:v>2.7</c:v>
                </c:pt>
                <c:pt idx="194">
                  <c:v>2.8</c:v>
                </c:pt>
                <c:pt idx="195">
                  <c:v>2.7</c:v>
                </c:pt>
                <c:pt idx="196">
                  <c:v>2.9</c:v>
                </c:pt>
                <c:pt idx="198">
                  <c:v>2.484</c:v>
                </c:pt>
                <c:pt idx="199">
                  <c:v>2.7829999999999999</c:v>
                </c:pt>
                <c:pt idx="200">
                  <c:v>2.7</c:v>
                </c:pt>
                <c:pt idx="201">
                  <c:v>2.68</c:v>
                </c:pt>
                <c:pt idx="202">
                  <c:v>2.72</c:v>
                </c:pt>
                <c:pt idx="203">
                  <c:v>2.484</c:v>
                </c:pt>
                <c:pt idx="204">
                  <c:v>2.78</c:v>
                </c:pt>
                <c:pt idx="205">
                  <c:v>2.7</c:v>
                </c:pt>
                <c:pt idx="206">
                  <c:v>3.69</c:v>
                </c:pt>
                <c:pt idx="207">
                  <c:v>2.94</c:v>
                </c:pt>
                <c:pt idx="208">
                  <c:v>3.69</c:v>
                </c:pt>
                <c:pt idx="209">
                  <c:v>3.3</c:v>
                </c:pt>
                <c:pt idx="210">
                  <c:v>2.9</c:v>
                </c:pt>
                <c:pt idx="211">
                  <c:v>2.76</c:v>
                </c:pt>
                <c:pt idx="212">
                  <c:v>2.9</c:v>
                </c:pt>
                <c:pt idx="213">
                  <c:v>2.7</c:v>
                </c:pt>
                <c:pt idx="214">
                  <c:v>2.76</c:v>
                </c:pt>
                <c:pt idx="215">
                  <c:v>2.76</c:v>
                </c:pt>
                <c:pt idx="216">
                  <c:v>2.7</c:v>
                </c:pt>
                <c:pt idx="217">
                  <c:v>3.69</c:v>
                </c:pt>
                <c:pt idx="218">
                  <c:v>3.69</c:v>
                </c:pt>
                <c:pt idx="219">
                  <c:v>2.48</c:v>
                </c:pt>
                <c:pt idx="220">
                  <c:v>3.43</c:v>
                </c:pt>
                <c:pt idx="221">
                  <c:v>2.8</c:v>
                </c:pt>
                <c:pt idx="222">
                  <c:v>2.83</c:v>
                </c:pt>
                <c:pt idx="223">
                  <c:v>3.43</c:v>
                </c:pt>
                <c:pt idx="224">
                  <c:v>2.5</c:v>
                </c:pt>
                <c:pt idx="225">
                  <c:v>2.78</c:v>
                </c:pt>
                <c:pt idx="226">
                  <c:v>6</c:v>
                </c:pt>
                <c:pt idx="227">
                  <c:v>4.3</c:v>
                </c:pt>
                <c:pt idx="228">
                  <c:v>9.5</c:v>
                </c:pt>
                <c:pt idx="229">
                  <c:v>9.5</c:v>
                </c:pt>
                <c:pt idx="230">
                  <c:v>9.5</c:v>
                </c:pt>
                <c:pt idx="232">
                  <c:v>6</c:v>
                </c:pt>
                <c:pt idx="233">
                  <c:v>6</c:v>
                </c:pt>
                <c:pt idx="235">
                  <c:v>4.5</c:v>
                </c:pt>
                <c:pt idx="236">
                  <c:v>4.5</c:v>
                </c:pt>
                <c:pt idx="237">
                  <c:v>4.49</c:v>
                </c:pt>
                <c:pt idx="241">
                  <c:v>9.5</c:v>
                </c:pt>
                <c:pt idx="243">
                  <c:v>3.69</c:v>
                </c:pt>
                <c:pt idx="244">
                  <c:v>3.62</c:v>
                </c:pt>
                <c:pt idx="246">
                  <c:v>3.88</c:v>
                </c:pt>
                <c:pt idx="247">
                  <c:v>3.88</c:v>
                </c:pt>
                <c:pt idx="248">
                  <c:v>3.88</c:v>
                </c:pt>
                <c:pt idx="250">
                  <c:v>3.64</c:v>
                </c:pt>
                <c:pt idx="251">
                  <c:v>3.62</c:v>
                </c:pt>
                <c:pt idx="254">
                  <c:v>3.7</c:v>
                </c:pt>
                <c:pt idx="255">
                  <c:v>3.55</c:v>
                </c:pt>
                <c:pt idx="256">
                  <c:v>4</c:v>
                </c:pt>
                <c:pt idx="257">
                  <c:v>3.55</c:v>
                </c:pt>
                <c:pt idx="258">
                  <c:v>8.6</c:v>
                </c:pt>
                <c:pt idx="259">
                  <c:v>5.8959999999999999</c:v>
                </c:pt>
                <c:pt idx="260">
                  <c:v>3.91</c:v>
                </c:pt>
                <c:pt idx="261">
                  <c:v>3.91</c:v>
                </c:pt>
                <c:pt idx="262">
                  <c:v>5.9</c:v>
                </c:pt>
                <c:pt idx="263">
                  <c:v>3.84</c:v>
                </c:pt>
                <c:pt idx="264">
                  <c:v>3.8</c:v>
                </c:pt>
                <c:pt idx="265">
                  <c:v>3.84</c:v>
                </c:pt>
                <c:pt idx="266">
                  <c:v>3.71</c:v>
                </c:pt>
                <c:pt idx="267">
                  <c:v>3.7</c:v>
                </c:pt>
                <c:pt idx="268">
                  <c:v>3.71</c:v>
                </c:pt>
                <c:pt idx="269">
                  <c:v>3.71</c:v>
                </c:pt>
                <c:pt idx="270">
                  <c:v>3.71</c:v>
                </c:pt>
              </c:numCache>
            </c:numRef>
          </c:yVal>
        </c:ser>
        <c:axId val="116866048"/>
        <c:axId val="125412480"/>
      </c:scatterChart>
      <c:valAx>
        <c:axId val="116866048"/>
        <c:scaling>
          <c:orientation val="minMax"/>
        </c:scaling>
        <c:axPos val="b"/>
        <c:title>
          <c:tx>
            <c:rich>
              <a:bodyPr/>
              <a:lstStyle/>
              <a:p>
                <a:pPr>
                  <a:defRPr/>
                </a:pPr>
                <a:r>
                  <a:rPr lang="en-US"/>
                  <a:t>MEF</a:t>
                </a:r>
              </a:p>
            </c:rich>
          </c:tx>
        </c:title>
        <c:numFmt formatCode="General" sourceLinked="1"/>
        <c:tickLblPos val="nextTo"/>
        <c:crossAx val="125412480"/>
        <c:crosses val="autoZero"/>
        <c:crossBetween val="midCat"/>
      </c:valAx>
      <c:valAx>
        <c:axId val="125412480"/>
        <c:scaling>
          <c:orientation val="minMax"/>
        </c:scaling>
        <c:axPos val="l"/>
        <c:majorGridlines/>
        <c:title>
          <c:tx>
            <c:rich>
              <a:bodyPr rot="-5400000" vert="horz"/>
              <a:lstStyle/>
              <a:p>
                <a:pPr>
                  <a:defRPr/>
                </a:pPr>
                <a:r>
                  <a:rPr lang="en-US"/>
                  <a:t>WF</a:t>
                </a:r>
              </a:p>
            </c:rich>
          </c:tx>
        </c:title>
        <c:numFmt formatCode="General" sourceLinked="1"/>
        <c:tickLblPos val="nextTo"/>
        <c:crossAx val="116866048"/>
        <c:crosses val="autoZero"/>
        <c:crossBetween val="midCat"/>
      </c:valAx>
    </c:plotArea>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b="1" i="0" u="none" strike="noStrike" baseline="0">
                <a:solidFill>
                  <a:srgbClr val="000000"/>
                </a:solidFill>
                <a:latin typeface="Calibri"/>
                <a:ea typeface="Calibri"/>
                <a:cs typeface="Calibri"/>
              </a:defRPr>
            </a:pPr>
            <a:r>
              <a:rPr lang="en-US"/>
              <a:t>Dryer Energy vs Moisture Content</a:t>
            </a:r>
          </a:p>
        </c:rich>
      </c:tx>
    </c:title>
    <c:plotArea>
      <c:layout/>
      <c:scatterChart>
        <c:scatterStyle val="lineMarker"/>
        <c:ser>
          <c:idx val="0"/>
          <c:order val="0"/>
          <c:tx>
            <c:strRef>
              <c:f>'DOE EERE Data'!$G$10</c:f>
              <c:strCache>
                <c:ptCount val="1"/>
                <c:pt idx="0">
                  <c:v>8.44</c:v>
                </c:pt>
              </c:strCache>
            </c:strRef>
          </c:tx>
          <c:spPr>
            <a:ln w="28575">
              <a:noFill/>
            </a:ln>
          </c:spPr>
          <c:trendline>
            <c:trendlineType val="linear"/>
            <c:dispRSqr val="1"/>
            <c:dispEq val="1"/>
            <c:trendlineLbl>
              <c:layout>
                <c:manualLayout>
                  <c:x val="4.1604355011178845E-2"/>
                  <c:y val="0.18914531810284724"/>
                </c:manualLayout>
              </c:layout>
              <c:numFmt formatCode="General" sourceLinked="0"/>
            </c:trendlineLbl>
          </c:trendline>
          <c:xVal>
            <c:strRef>
              <c:f>'DOE EERE Data'!$L$11:$L$28</c:f>
              <c:strCache>
                <c:ptCount val="18"/>
                <c:pt idx="0">
                  <c:v>1.41</c:v>
                </c:pt>
                <c:pt idx="1">
                  <c:v>1.41</c:v>
                </c:pt>
                <c:pt idx="2">
                  <c:v>1.41</c:v>
                </c:pt>
                <c:pt idx="3">
                  <c:v>1.38</c:v>
                </c:pt>
                <c:pt idx="4">
                  <c:v>1.41</c:v>
                </c:pt>
                <c:pt idx="5">
                  <c:v>1.39</c:v>
                </c:pt>
                <c:pt idx="11">
                  <c:v>Dryer</c:v>
                </c:pt>
                <c:pt idx="12">
                  <c:v>Energy*</c:v>
                </c:pt>
                <c:pt idx="13">
                  <c:v>(Elec) kWh</c:v>
                </c:pt>
                <c:pt idx="14">
                  <c:v>1.31</c:v>
                </c:pt>
                <c:pt idx="15">
                  <c:v>1.31</c:v>
                </c:pt>
                <c:pt idx="16">
                  <c:v>1.31</c:v>
                </c:pt>
                <c:pt idx="17">
                  <c:v>1.31</c:v>
                </c:pt>
              </c:strCache>
            </c:strRef>
          </c:xVal>
          <c:yVal>
            <c:numRef>
              <c:f>'DOE EERE Data'!$M$11:$M$28</c:f>
              <c:numCache>
                <c:formatCode>0.00</c:formatCode>
                <c:ptCount val="18"/>
                <c:pt idx="0">
                  <c:v>1.2634544550933859</c:v>
                </c:pt>
                <c:pt idx="1">
                  <c:v>1.2633063051214146</c:v>
                </c:pt>
                <c:pt idx="2">
                  <c:v>1.2490363766804398</c:v>
                </c:pt>
                <c:pt idx="3">
                  <c:v>0.99048636081359465</c:v>
                </c:pt>
                <c:pt idx="4">
                  <c:v>0.67372120357367227</c:v>
                </c:pt>
                <c:pt idx="5">
                  <c:v>0.66043221825285359</c:v>
                </c:pt>
                <c:pt idx="11" formatCode="General">
                  <c:v>0</c:v>
                </c:pt>
                <c:pt idx="12" formatCode="General">
                  <c:v>0</c:v>
                </c:pt>
                <c:pt idx="13" formatCode="General">
                  <c:v>0</c:v>
                </c:pt>
                <c:pt idx="14">
                  <c:v>0.6946273911994626</c:v>
                </c:pt>
                <c:pt idx="15">
                  <c:v>0.68836841560145035</c:v>
                </c:pt>
                <c:pt idx="16">
                  <c:v>0.69780919108283135</c:v>
                </c:pt>
                <c:pt idx="17">
                  <c:v>0.59513837948195503</c:v>
                </c:pt>
              </c:numCache>
            </c:numRef>
          </c:yVal>
        </c:ser>
        <c:axId val="127279104"/>
        <c:axId val="127281024"/>
      </c:scatterChart>
      <c:valAx>
        <c:axId val="127279104"/>
        <c:scaling>
          <c:orientation val="minMax"/>
          <c:min val="0.30000000000000032"/>
        </c:scaling>
        <c:axPos val="b"/>
        <c:title>
          <c:tx>
            <c:rich>
              <a:bodyPr/>
              <a:lstStyle/>
              <a:p>
                <a:pPr>
                  <a:defRPr sz="1000" b="1" i="0" u="none" strike="noStrike" baseline="0">
                    <a:solidFill>
                      <a:srgbClr val="000000"/>
                    </a:solidFill>
                    <a:latin typeface="Calibri"/>
                    <a:ea typeface="Calibri"/>
                    <a:cs typeface="Calibri"/>
                  </a:defRPr>
                </a:pPr>
                <a:r>
                  <a:rPr lang="en-US"/>
                  <a:t>Remaining Moisture Content (%)</a:t>
                </a:r>
              </a:p>
            </c:rich>
          </c:tx>
        </c:title>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281024"/>
        <c:crosses val="autoZero"/>
        <c:crossBetween val="midCat"/>
      </c:valAx>
      <c:valAx>
        <c:axId val="127281024"/>
        <c:scaling>
          <c:orientation val="minMax"/>
        </c:scaling>
        <c:axPos val="l"/>
        <c:majorGridlines/>
        <c:title>
          <c:tx>
            <c:rich>
              <a:bodyPr/>
              <a:lstStyle/>
              <a:p>
                <a:pPr>
                  <a:defRPr sz="1000" b="1" i="0" u="none" strike="noStrike" baseline="0">
                    <a:solidFill>
                      <a:srgbClr val="000000"/>
                    </a:solidFill>
                    <a:latin typeface="Calibri"/>
                    <a:ea typeface="Calibri"/>
                    <a:cs typeface="Calibri"/>
                  </a:defRPr>
                </a:pPr>
                <a:r>
                  <a:rPr lang="en-US"/>
                  <a:t>Dryer Energy (kWh/cycle)</a:t>
                </a:r>
              </a:p>
            </c:rich>
          </c:tx>
        </c:title>
        <c:numFmt formatCode="0.0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279104"/>
        <c:crosses val="autoZero"/>
        <c:crossBetween val="midCat"/>
      </c:valAx>
      <c:spPr>
        <a:ln>
          <a:noFill/>
        </a:ln>
      </c:spPr>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55" l="0.70000000000000062" r="0.70000000000000062" t="0.75000000000001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b="1" i="0" u="none" strike="noStrike" baseline="0">
                <a:solidFill>
                  <a:srgbClr val="000000"/>
                </a:solidFill>
                <a:latin typeface="Calibri"/>
                <a:ea typeface="Calibri"/>
                <a:cs typeface="Calibri"/>
              </a:defRPr>
            </a:pPr>
            <a:r>
              <a:rPr lang="en-US"/>
              <a:t>Dryer Energy vs Moisture Content</a:t>
            </a:r>
          </a:p>
        </c:rich>
      </c:tx>
    </c:title>
    <c:plotArea>
      <c:layout/>
      <c:scatterChart>
        <c:scatterStyle val="lineMarker"/>
        <c:ser>
          <c:idx val="0"/>
          <c:order val="0"/>
          <c:tx>
            <c:strRef>
              <c:f>'[4]DOE Res Data'!$G$10</c:f>
              <c:strCache>
                <c:ptCount val="1"/>
                <c:pt idx="0">
                  <c:v>Dryer</c:v>
                </c:pt>
              </c:strCache>
            </c:strRef>
          </c:tx>
          <c:spPr>
            <a:ln w="28575">
              <a:noFill/>
            </a:ln>
          </c:spPr>
          <c:trendline>
            <c:trendlineType val="linear"/>
            <c:dispRSqr val="1"/>
            <c:dispEq val="1"/>
            <c:trendlineLbl>
              <c:layout>
                <c:manualLayout>
                  <c:x val="4.1604355011178845E-2"/>
                  <c:y val="0.18914531810284618"/>
                </c:manualLayout>
              </c:layout>
              <c:numFmt formatCode="General" sourceLinked="0"/>
            </c:trendlineLbl>
          </c:trendline>
          <c:xVal>
            <c:numRef>
              <c:f>'[4]DOE Res Data'!$L$11:$L$28</c:f>
              <c:numCache>
                <c:formatCode>General</c:formatCode>
                <c:ptCount val="18"/>
                <c:pt idx="0">
                  <c:v>0.63439054638225478</c:v>
                </c:pt>
                <c:pt idx="1">
                  <c:v>0.59895737053513565</c:v>
                </c:pt>
                <c:pt idx="2">
                  <c:v>0.54531939705437726</c:v>
                </c:pt>
                <c:pt idx="3">
                  <c:v>0.38071429958068009</c:v>
                </c:pt>
                <c:pt idx="4">
                  <c:v>0.38071429958068009</c:v>
                </c:pt>
                <c:pt idx="5">
                  <c:v>0.38071429958068009</c:v>
                </c:pt>
                <c:pt idx="6">
                  <c:v>0.35813074392042649</c:v>
                </c:pt>
                <c:pt idx="7">
                  <c:v>0.34908703826587029</c:v>
                </c:pt>
                <c:pt idx="8">
                  <c:v>0.30285680648524999</c:v>
                </c:pt>
                <c:pt idx="9">
                  <c:v>0.52122700729926985</c:v>
                </c:pt>
                <c:pt idx="10">
                  <c:v>0.52122700729926985</c:v>
                </c:pt>
                <c:pt idx="11">
                  <c:v>0.52122700729926985</c:v>
                </c:pt>
                <c:pt idx="12">
                  <c:v>0.52122700729926985</c:v>
                </c:pt>
                <c:pt idx="13">
                  <c:v>0.47613182924131808</c:v>
                </c:pt>
                <c:pt idx="14">
                  <c:v>0.42754393475608438</c:v>
                </c:pt>
                <c:pt idx="15">
                  <c:v>0.40602828467153268</c:v>
                </c:pt>
                <c:pt idx="16">
                  <c:v>0.35699129042709288</c:v>
                </c:pt>
                <c:pt idx="17">
                  <c:v>0.34767836421486042</c:v>
                </c:pt>
              </c:numCache>
            </c:numRef>
          </c:xVal>
          <c:yVal>
            <c:numRef>
              <c:f>'[4]DOE Res Data'!$M$11:$M$28</c:f>
              <c:numCache>
                <c:formatCode>General</c:formatCode>
                <c:ptCount val="18"/>
                <c:pt idx="0">
                  <c:v>2.6402381121111187</c:v>
                </c:pt>
                <c:pt idx="1">
                  <c:v>2.7154224074633948</c:v>
                </c:pt>
                <c:pt idx="2">
                  <c:v>1.8885036496350358</c:v>
                </c:pt>
                <c:pt idx="3">
                  <c:v>1.4163777372262769</c:v>
                </c:pt>
                <c:pt idx="4">
                  <c:v>1.4163777372262769</c:v>
                </c:pt>
                <c:pt idx="5">
                  <c:v>1.4163777372262769</c:v>
                </c:pt>
                <c:pt idx="6">
                  <c:v>1.350329034454067</c:v>
                </c:pt>
                <c:pt idx="7">
                  <c:v>1.3448435080734347</c:v>
                </c:pt>
                <c:pt idx="8">
                  <c:v>1.2096866695818893</c:v>
                </c:pt>
                <c:pt idx="9">
                  <c:v>1.6492931873479313</c:v>
                </c:pt>
                <c:pt idx="10">
                  <c:v>1.6492931873479313</c:v>
                </c:pt>
                <c:pt idx="11">
                  <c:v>1.6492931873479313</c:v>
                </c:pt>
                <c:pt idx="12">
                  <c:v>1.6492931873479313</c:v>
                </c:pt>
                <c:pt idx="13">
                  <c:v>1.6252576863525763</c:v>
                </c:pt>
                <c:pt idx="14">
                  <c:v>1.484219877132521</c:v>
                </c:pt>
                <c:pt idx="15">
                  <c:v>1.4793278588807779</c:v>
                </c:pt>
                <c:pt idx="16">
                  <c:v>1.351044386422976</c:v>
                </c:pt>
                <c:pt idx="17">
                  <c:v>1.3364795058955636</c:v>
                </c:pt>
              </c:numCache>
            </c:numRef>
          </c:yVal>
        </c:ser>
        <c:axId val="127322368"/>
        <c:axId val="127332736"/>
      </c:scatterChart>
      <c:valAx>
        <c:axId val="127322368"/>
        <c:scaling>
          <c:orientation val="minMax"/>
          <c:min val="0.30000000000000032"/>
        </c:scaling>
        <c:axPos val="b"/>
        <c:title>
          <c:tx>
            <c:rich>
              <a:bodyPr/>
              <a:lstStyle/>
              <a:p>
                <a:pPr>
                  <a:defRPr sz="1000" b="1" i="0" u="none" strike="noStrike" baseline="0">
                    <a:solidFill>
                      <a:srgbClr val="000000"/>
                    </a:solidFill>
                    <a:latin typeface="Calibri"/>
                    <a:ea typeface="Calibri"/>
                    <a:cs typeface="Calibri"/>
                  </a:defRPr>
                </a:pPr>
                <a:r>
                  <a:rPr lang="en-US"/>
                  <a:t>Remaining Moisture Content (%)</a:t>
                </a:r>
              </a:p>
            </c:rich>
          </c:tx>
        </c:title>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332736"/>
        <c:crosses val="autoZero"/>
        <c:crossBetween val="midCat"/>
      </c:valAx>
      <c:valAx>
        <c:axId val="127332736"/>
        <c:scaling>
          <c:orientation val="minMax"/>
        </c:scaling>
        <c:axPos val="l"/>
        <c:majorGridlines/>
        <c:title>
          <c:tx>
            <c:rich>
              <a:bodyPr/>
              <a:lstStyle/>
              <a:p>
                <a:pPr>
                  <a:defRPr sz="1000" b="1" i="0" u="none" strike="noStrike" baseline="0">
                    <a:solidFill>
                      <a:srgbClr val="000000"/>
                    </a:solidFill>
                    <a:latin typeface="Calibri"/>
                    <a:ea typeface="Calibri"/>
                    <a:cs typeface="Calibri"/>
                  </a:defRPr>
                </a:pPr>
                <a:r>
                  <a:rPr lang="en-US"/>
                  <a:t>Dryer Energy (kWh/cycle)</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322368"/>
        <c:crosses val="autoZero"/>
        <c:crossBetween val="midCat"/>
      </c:valAx>
      <c:spPr>
        <a:ln>
          <a:noFill/>
        </a:ln>
      </c:spPr>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99" l="0.70000000000000062" r="0.70000000000000062" t="0.750000000000009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MEF vs. IMEF, Top-Loaders</a:t>
            </a:r>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720756780402448"/>
                  <c:y val="1.129182672117914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'[4]DOE EERE Data'!$E$8:$E$16</c:f>
              <c:numCache>
                <c:formatCode>General</c:formatCode>
                <c:ptCount val="9"/>
                <c:pt idx="0">
                  <c:v>1.26</c:v>
                </c:pt>
                <c:pt idx="1">
                  <c:v>1.4</c:v>
                </c:pt>
                <c:pt idx="2">
                  <c:v>1.72</c:v>
                </c:pt>
                <c:pt idx="3">
                  <c:v>1.8</c:v>
                </c:pt>
                <c:pt idx="4">
                  <c:v>1.8</c:v>
                </c:pt>
                <c:pt idx="5">
                  <c:v>1.8</c:v>
                </c:pt>
                <c:pt idx="6">
                  <c:v>2</c:v>
                </c:pt>
                <c:pt idx="7">
                  <c:v>2.2599999999999998</c:v>
                </c:pt>
                <c:pt idx="8">
                  <c:v>2.4700000000000002</c:v>
                </c:pt>
              </c:numCache>
            </c:numRef>
          </c:xVal>
          <c:yVal>
            <c:numRef>
              <c:f>'[4]DOE EERE Data'!$F$8:$F$16</c:f>
              <c:numCache>
                <c:formatCode>General</c:formatCode>
                <c:ptCount val="9"/>
                <c:pt idx="0">
                  <c:v>0.83977999999999997</c:v>
                </c:pt>
                <c:pt idx="1">
                  <c:v>0.97809999999999997</c:v>
                </c:pt>
                <c:pt idx="2">
                  <c:v>1.29426</c:v>
                </c:pt>
                <c:pt idx="3">
                  <c:v>1.33538</c:v>
                </c:pt>
                <c:pt idx="4">
                  <c:v>1.34362</c:v>
                </c:pt>
                <c:pt idx="5">
                  <c:v>1.3733</c:v>
                </c:pt>
                <c:pt idx="6">
                  <c:v>1.5709</c:v>
                </c:pt>
                <c:pt idx="7">
                  <c:v>1.8277799999999997</c:v>
                </c:pt>
                <c:pt idx="8">
                  <c:v>2.0352600000000001</c:v>
                </c:pt>
              </c:numCache>
            </c:numRef>
          </c:yVal>
        </c:ser>
        <c:axId val="127189760"/>
        <c:axId val="127191680"/>
      </c:scatterChart>
      <c:valAx>
        <c:axId val="127189760"/>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91680"/>
        <c:crosses val="autoZero"/>
        <c:crossBetween val="midCat"/>
      </c:valAx>
      <c:valAx>
        <c:axId val="127191680"/>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IMEF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8976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62" r="0.70000000000000062" t="0.75000000000000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MEF vs. IMEF, Front-Loaders</a:t>
            </a:r>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3.9341207349081392E-2"/>
                  <c:y val="-1.565799066783319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'[4]DOE EERE Data'!$E$25:$E$33</c:f>
              <c:numCache>
                <c:formatCode>General</c:formatCode>
                <c:ptCount val="9"/>
                <c:pt idx="0">
                  <c:v>1.72</c:v>
                </c:pt>
                <c:pt idx="1">
                  <c:v>1.72</c:v>
                </c:pt>
                <c:pt idx="2">
                  <c:v>1.72</c:v>
                </c:pt>
                <c:pt idx="3">
                  <c:v>1.8</c:v>
                </c:pt>
                <c:pt idx="4">
                  <c:v>2</c:v>
                </c:pt>
                <c:pt idx="5">
                  <c:v>2.2000000000000002</c:v>
                </c:pt>
                <c:pt idx="6">
                  <c:v>2.4</c:v>
                </c:pt>
                <c:pt idx="7">
                  <c:v>2.6</c:v>
                </c:pt>
                <c:pt idx="8">
                  <c:v>2.89</c:v>
                </c:pt>
              </c:numCache>
            </c:numRef>
          </c:xVal>
          <c:yVal>
            <c:numRef>
              <c:f>'[4]DOE EERE Data'!$F$25:$F$33</c:f>
              <c:numCache>
                <c:formatCode>General</c:formatCode>
                <c:ptCount val="9"/>
                <c:pt idx="0">
                  <c:v>1.3742999999999999</c:v>
                </c:pt>
                <c:pt idx="1">
                  <c:v>1.3891880000000001</c:v>
                </c:pt>
                <c:pt idx="2">
                  <c:v>1.4132880000000001</c:v>
                </c:pt>
                <c:pt idx="3">
                  <c:v>1.48512</c:v>
                </c:pt>
                <c:pt idx="4">
                  <c:v>1.6647000000000001</c:v>
                </c:pt>
                <c:pt idx="5">
                  <c:v>1.8442800000000001</c:v>
                </c:pt>
                <c:pt idx="6">
                  <c:v>2.02386</c:v>
                </c:pt>
                <c:pt idx="7">
                  <c:v>2.2034400000000001</c:v>
                </c:pt>
                <c:pt idx="8">
                  <c:v>2.4638310000000003</c:v>
                </c:pt>
              </c:numCache>
            </c:numRef>
          </c:yVal>
        </c:ser>
        <c:axId val="127212544"/>
        <c:axId val="127227008"/>
      </c:scatterChart>
      <c:valAx>
        <c:axId val="127212544"/>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27008"/>
        <c:crosses val="autoZero"/>
        <c:crossBetween val="midCat"/>
      </c:valAx>
      <c:valAx>
        <c:axId val="127227008"/>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IMEF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12544"/>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WF vs. IWF, Top-Loaders</a:t>
            </a:r>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496369203849576"/>
                  <c:y val="-1.138909088480333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'[4]DOE EERE Data'!$Q$47:$Q$55</c:f>
              <c:numCache>
                <c:formatCode>General</c:formatCode>
                <c:ptCount val="9"/>
                <c:pt idx="0">
                  <c:v>9.5</c:v>
                </c:pt>
                <c:pt idx="1">
                  <c:v>9.5</c:v>
                </c:pt>
                <c:pt idx="2">
                  <c:v>8</c:v>
                </c:pt>
                <c:pt idx="3">
                  <c:v>7.5</c:v>
                </c:pt>
                <c:pt idx="4">
                  <c:v>7.5</c:v>
                </c:pt>
                <c:pt idx="5">
                  <c:v>7.5</c:v>
                </c:pt>
                <c:pt idx="6">
                  <c:v>6</c:v>
                </c:pt>
                <c:pt idx="7">
                  <c:v>4.5</c:v>
                </c:pt>
                <c:pt idx="8">
                  <c:v>3.6</c:v>
                </c:pt>
              </c:numCache>
            </c:numRef>
          </c:xVal>
          <c:yVal>
            <c:numRef>
              <c:f>'[4]DOE EERE Data'!$R$47:$R$55</c:f>
              <c:numCache>
                <c:formatCode>General</c:formatCode>
                <c:ptCount val="9"/>
                <c:pt idx="0">
                  <c:v>9.9214000000000002</c:v>
                </c:pt>
                <c:pt idx="1">
                  <c:v>9.9214000000000002</c:v>
                </c:pt>
                <c:pt idx="2">
                  <c:v>8.4403000000000006</c:v>
                </c:pt>
                <c:pt idx="3">
                  <c:v>7.9466000000000001</c:v>
                </c:pt>
                <c:pt idx="4">
                  <c:v>7.9466000000000001</c:v>
                </c:pt>
                <c:pt idx="5">
                  <c:v>7.9466000000000001</c:v>
                </c:pt>
                <c:pt idx="6">
                  <c:v>6.4655000000000005</c:v>
                </c:pt>
                <c:pt idx="7">
                  <c:v>4.964652000000001</c:v>
                </c:pt>
                <c:pt idx="8">
                  <c:v>4.0957400000000002</c:v>
                </c:pt>
              </c:numCache>
            </c:numRef>
          </c:yVal>
        </c:ser>
        <c:axId val="127370752"/>
        <c:axId val="127372672"/>
      </c:scatterChart>
      <c:valAx>
        <c:axId val="127370752"/>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72672"/>
        <c:crosses val="autoZero"/>
        <c:crossBetween val="midCat"/>
      </c:valAx>
      <c:valAx>
        <c:axId val="127372672"/>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IWF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70752"/>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WF vs. IWF, Front-Loaders</a:t>
            </a:r>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496369203849576"/>
                  <c:y val="-1.138909088480333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'[4]DOE EERE Data'!$Q$61:$Q$69</c:f>
              <c:numCache>
                <c:formatCode>General</c:formatCode>
                <c:ptCount val="9"/>
                <c:pt idx="0">
                  <c:v>8</c:v>
                </c:pt>
                <c:pt idx="1">
                  <c:v>8</c:v>
                </c:pt>
                <c:pt idx="2">
                  <c:v>8</c:v>
                </c:pt>
                <c:pt idx="3">
                  <c:v>7.5</c:v>
                </c:pt>
                <c:pt idx="4">
                  <c:v>6</c:v>
                </c:pt>
                <c:pt idx="5">
                  <c:v>4.5</c:v>
                </c:pt>
                <c:pt idx="6">
                  <c:v>4.2</c:v>
                </c:pt>
                <c:pt idx="7">
                  <c:v>3.8</c:v>
                </c:pt>
                <c:pt idx="8">
                  <c:v>3.2</c:v>
                </c:pt>
              </c:numCache>
            </c:numRef>
          </c:xVal>
          <c:yVal>
            <c:numRef>
              <c:f>'[4]DOE EERE Data'!$R$61:$R$69</c:f>
              <c:numCache>
                <c:formatCode>General</c:formatCode>
                <c:ptCount val="9"/>
                <c:pt idx="0">
                  <c:v>8.3108000000000004</c:v>
                </c:pt>
                <c:pt idx="1">
                  <c:v>8.3108000000000004</c:v>
                </c:pt>
                <c:pt idx="2">
                  <c:v>8.3108000000000004</c:v>
                </c:pt>
                <c:pt idx="3">
                  <c:v>7.7987000000000002</c:v>
                </c:pt>
                <c:pt idx="4">
                  <c:v>6.2624000000000004</c:v>
                </c:pt>
                <c:pt idx="5">
                  <c:v>4.7261000000000006</c:v>
                </c:pt>
                <c:pt idx="6">
                  <c:v>4.4188400000000003</c:v>
                </c:pt>
                <c:pt idx="7">
                  <c:v>4.0091599999999996</c:v>
                </c:pt>
                <c:pt idx="8">
                  <c:v>3.3946400000000003</c:v>
                </c:pt>
              </c:numCache>
            </c:numRef>
          </c:yVal>
        </c:ser>
        <c:axId val="127533056"/>
        <c:axId val="127534976"/>
      </c:scatterChart>
      <c:valAx>
        <c:axId val="127533056"/>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534976"/>
        <c:crosses val="autoZero"/>
        <c:crossBetween val="midCat"/>
      </c:valAx>
      <c:valAx>
        <c:axId val="127534976"/>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IWF</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533056"/>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800" b="1" i="0" u="none" strike="noStrike" baseline="0">
                <a:solidFill>
                  <a:srgbClr val="000000"/>
                </a:solidFill>
                <a:latin typeface="Calibri"/>
                <a:ea typeface="Calibri"/>
                <a:cs typeface="Calibri"/>
              </a:defRPr>
            </a:pPr>
            <a:r>
              <a:rPr lang="en-US"/>
              <a:t>Dryer Energy vs Moisture Content</a:t>
            </a:r>
          </a:p>
        </c:rich>
      </c:tx>
    </c:title>
    <c:plotArea>
      <c:layout/>
      <c:scatterChart>
        <c:scatterStyle val="lineMarker"/>
        <c:ser>
          <c:idx val="0"/>
          <c:order val="0"/>
          <c:tx>
            <c:strRef>
              <c:f>'[4]DOE Res Data'!$G$10</c:f>
              <c:strCache>
                <c:ptCount val="1"/>
                <c:pt idx="0">
                  <c:v>Dryer</c:v>
                </c:pt>
              </c:strCache>
            </c:strRef>
          </c:tx>
          <c:spPr>
            <a:ln w="28575">
              <a:noFill/>
            </a:ln>
          </c:spPr>
          <c:trendline>
            <c:trendlineType val="linear"/>
            <c:dispRSqr val="1"/>
            <c:dispEq val="1"/>
            <c:trendlineLbl>
              <c:layout>
                <c:manualLayout>
                  <c:x val="4.1604355011178845E-2"/>
                  <c:y val="0.18914531810284596"/>
                </c:manualLayout>
              </c:layout>
              <c:numFmt formatCode="General" sourceLinked="0"/>
            </c:trendlineLbl>
          </c:trendline>
          <c:xVal>
            <c:numRef>
              <c:f>'[4]DOE Res Data'!$L$11:$L$28</c:f>
              <c:numCache>
                <c:formatCode>General</c:formatCode>
                <c:ptCount val="18"/>
                <c:pt idx="0">
                  <c:v>0.63439054638225478</c:v>
                </c:pt>
                <c:pt idx="1">
                  <c:v>0.59895737053513565</c:v>
                </c:pt>
                <c:pt idx="2">
                  <c:v>0.54531939705437726</c:v>
                </c:pt>
                <c:pt idx="3">
                  <c:v>0.38071429958068009</c:v>
                </c:pt>
                <c:pt idx="4">
                  <c:v>0.38071429958068009</c:v>
                </c:pt>
                <c:pt idx="5">
                  <c:v>0.38071429958068009</c:v>
                </c:pt>
                <c:pt idx="6">
                  <c:v>0.35813074392042649</c:v>
                </c:pt>
                <c:pt idx="7">
                  <c:v>0.34908703826587029</c:v>
                </c:pt>
                <c:pt idx="8">
                  <c:v>0.30285680648524999</c:v>
                </c:pt>
                <c:pt idx="9">
                  <c:v>0.52122700729926985</c:v>
                </c:pt>
                <c:pt idx="10">
                  <c:v>0.52122700729926985</c:v>
                </c:pt>
                <c:pt idx="11">
                  <c:v>0.52122700729926985</c:v>
                </c:pt>
                <c:pt idx="12">
                  <c:v>0.52122700729926985</c:v>
                </c:pt>
                <c:pt idx="13">
                  <c:v>0.47613182924131808</c:v>
                </c:pt>
                <c:pt idx="14">
                  <c:v>0.42754393475608438</c:v>
                </c:pt>
                <c:pt idx="15">
                  <c:v>0.40602828467153268</c:v>
                </c:pt>
                <c:pt idx="16">
                  <c:v>0.35699129042709288</c:v>
                </c:pt>
                <c:pt idx="17">
                  <c:v>0.34767836421486042</c:v>
                </c:pt>
              </c:numCache>
            </c:numRef>
          </c:xVal>
          <c:yVal>
            <c:numRef>
              <c:f>'[4]DOE Res Data'!$M$11:$M$28</c:f>
              <c:numCache>
                <c:formatCode>General</c:formatCode>
                <c:ptCount val="18"/>
                <c:pt idx="0">
                  <c:v>2.6402381121111187</c:v>
                </c:pt>
                <c:pt idx="1">
                  <c:v>2.7154224074633948</c:v>
                </c:pt>
                <c:pt idx="2">
                  <c:v>1.8885036496350358</c:v>
                </c:pt>
                <c:pt idx="3">
                  <c:v>1.4163777372262769</c:v>
                </c:pt>
                <c:pt idx="4">
                  <c:v>1.4163777372262769</c:v>
                </c:pt>
                <c:pt idx="5">
                  <c:v>1.4163777372262769</c:v>
                </c:pt>
                <c:pt idx="6">
                  <c:v>1.350329034454067</c:v>
                </c:pt>
                <c:pt idx="7">
                  <c:v>1.3448435080734347</c:v>
                </c:pt>
                <c:pt idx="8">
                  <c:v>1.2096866695818893</c:v>
                </c:pt>
                <c:pt idx="9">
                  <c:v>1.6492931873479313</c:v>
                </c:pt>
                <c:pt idx="10">
                  <c:v>1.6492931873479313</c:v>
                </c:pt>
                <c:pt idx="11">
                  <c:v>1.6492931873479313</c:v>
                </c:pt>
                <c:pt idx="12">
                  <c:v>1.6492931873479313</c:v>
                </c:pt>
                <c:pt idx="13">
                  <c:v>1.6252576863525763</c:v>
                </c:pt>
                <c:pt idx="14">
                  <c:v>1.484219877132521</c:v>
                </c:pt>
                <c:pt idx="15">
                  <c:v>1.4793278588807779</c:v>
                </c:pt>
                <c:pt idx="16">
                  <c:v>1.351044386422976</c:v>
                </c:pt>
                <c:pt idx="17">
                  <c:v>1.3364795058955636</c:v>
                </c:pt>
              </c:numCache>
            </c:numRef>
          </c:yVal>
        </c:ser>
        <c:axId val="127863808"/>
        <c:axId val="127865984"/>
      </c:scatterChart>
      <c:valAx>
        <c:axId val="127863808"/>
        <c:scaling>
          <c:orientation val="minMax"/>
          <c:min val="0.30000000000000032"/>
        </c:scaling>
        <c:axPos val="b"/>
        <c:title>
          <c:tx>
            <c:rich>
              <a:bodyPr/>
              <a:lstStyle/>
              <a:p>
                <a:pPr>
                  <a:defRPr sz="1000" b="1" i="0" u="none" strike="noStrike" baseline="0">
                    <a:solidFill>
                      <a:srgbClr val="000000"/>
                    </a:solidFill>
                    <a:latin typeface="Calibri"/>
                    <a:ea typeface="Calibri"/>
                    <a:cs typeface="Calibri"/>
                  </a:defRPr>
                </a:pPr>
                <a:r>
                  <a:rPr lang="en-US"/>
                  <a:t>Remaining Moisture Content (%)</a:t>
                </a:r>
              </a:p>
            </c:rich>
          </c:tx>
        </c:title>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865984"/>
        <c:crosses val="autoZero"/>
        <c:crossBetween val="midCat"/>
      </c:valAx>
      <c:valAx>
        <c:axId val="127865984"/>
        <c:scaling>
          <c:orientation val="minMax"/>
        </c:scaling>
        <c:axPos val="l"/>
        <c:majorGridlines/>
        <c:title>
          <c:tx>
            <c:rich>
              <a:bodyPr/>
              <a:lstStyle/>
              <a:p>
                <a:pPr>
                  <a:defRPr sz="1000" b="1" i="0" u="none" strike="noStrike" baseline="0">
                    <a:solidFill>
                      <a:srgbClr val="000000"/>
                    </a:solidFill>
                    <a:latin typeface="Calibri"/>
                    <a:ea typeface="Calibri"/>
                    <a:cs typeface="Calibri"/>
                  </a:defRPr>
                </a:pPr>
                <a:r>
                  <a:rPr lang="en-US"/>
                  <a:t>Dryer Energy (kWh/cycle)</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863808"/>
        <c:crosses val="autoZero"/>
        <c:crossBetween val="midCat"/>
      </c:valAx>
      <c:spPr>
        <a:ln>
          <a:noFill/>
        </a:ln>
      </c:spPr>
    </c:plotArea>
    <c:plotVisOnly val="1"/>
    <c:dispBlanksAs val="gap"/>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44" l="0.70000000000000062" r="0.70000000000000062" t="0.750000000000009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3.png"/><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30</xdr:col>
      <xdr:colOff>247650</xdr:colOff>
      <xdr:row>20</xdr:row>
      <xdr:rowOff>152400</xdr:rowOff>
    </xdr:from>
    <xdr:to>
      <xdr:col>39</xdr:col>
      <xdr:colOff>190500</xdr:colOff>
      <xdr:row>28</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2095500</xdr:colOff>
      <xdr:row>7</xdr:row>
      <xdr:rowOff>0</xdr:rowOff>
    </xdr:from>
    <xdr:to>
      <xdr:col>2</xdr:col>
      <xdr:colOff>1019175</xdr:colOff>
      <xdr:row>7</xdr:row>
      <xdr:rowOff>0</xdr:rowOff>
    </xdr:to>
    <xdr:sp macro="" textlink="">
      <xdr:nvSpPr>
        <xdr:cNvPr id="2" name="AutoShape 1"/>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3" name="AutoShape 2"/>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4" name="AutoShape 3"/>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5" name="AutoShape 4"/>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6" name="AutoShape 5"/>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7" name="AutoShape 6"/>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8" name="AutoShape 7"/>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9" name="AutoShape 8"/>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0" name="AutoShape 9"/>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1" name="AutoShape 10"/>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2" name="AutoShape 11"/>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3" name="AutoShape 12"/>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4" name="AutoShape 13"/>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5" name="AutoShape 14"/>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6" name="AutoShape 15"/>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7" name="AutoShape 16"/>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8" name="AutoShape 17"/>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19" name="AutoShape 18"/>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0" name="AutoShape 19"/>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1" name="AutoShape 20"/>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2" name="AutoShape 21"/>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3" name="AutoShape 22"/>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4" name="AutoShape 23"/>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5" name="AutoShape 24"/>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6" name="AutoShape 25"/>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7" name="AutoShape 26"/>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2</xdr:col>
      <xdr:colOff>2095500</xdr:colOff>
      <xdr:row>7</xdr:row>
      <xdr:rowOff>0</xdr:rowOff>
    </xdr:from>
    <xdr:to>
      <xdr:col>2</xdr:col>
      <xdr:colOff>1019175</xdr:colOff>
      <xdr:row>7</xdr:row>
      <xdr:rowOff>0</xdr:rowOff>
    </xdr:to>
    <xdr:sp macro="" textlink="">
      <xdr:nvSpPr>
        <xdr:cNvPr id="28" name="AutoShape 27"/>
        <xdr:cNvSpPr>
          <a:spLocks noChangeArrowheads="1"/>
        </xdr:cNvSpPr>
      </xdr:nvSpPr>
      <xdr:spPr bwMode="auto">
        <a:xfrm>
          <a:off x="7096125" y="1295400"/>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55</xdr:row>
      <xdr:rowOff>0</xdr:rowOff>
    </xdr:from>
    <xdr:to>
      <xdr:col>4</xdr:col>
      <xdr:colOff>123825</xdr:colOff>
      <xdr:row>75</xdr:row>
      <xdr:rowOff>111918</xdr:rowOff>
    </xdr:to>
    <xdr:grpSp>
      <xdr:nvGrpSpPr>
        <xdr:cNvPr id="3" name="Group 2"/>
        <xdr:cNvGrpSpPr/>
      </xdr:nvGrpSpPr>
      <xdr:grpSpPr>
        <a:xfrm>
          <a:off x="152401" y="11782425"/>
          <a:ext cx="6896099" cy="3350418"/>
          <a:chOff x="345280" y="9274969"/>
          <a:chExt cx="7870033" cy="3321843"/>
        </a:xfrm>
      </xdr:grpSpPr>
      <xdr:pic>
        <xdr:nvPicPr>
          <xdr:cNvPr id="4" name="Picture 3"/>
          <xdr:cNvPicPr>
            <a:picLocks noChangeAspect="1"/>
          </xdr:cNvPicPr>
        </xdr:nvPicPr>
        <xdr:blipFill rotWithShape="1">
          <a:blip xmlns:r="http://schemas.openxmlformats.org/officeDocument/2006/relationships" r:embed="rId1" cstate="print"/>
          <a:srcRect l="21233" t="22627" r="18273" b="57351"/>
          <a:stretch/>
        </xdr:blipFill>
        <xdr:spPr>
          <a:xfrm>
            <a:off x="345280" y="9274969"/>
            <a:ext cx="7870033" cy="1464469"/>
          </a:xfrm>
          <a:prstGeom prst="rect">
            <a:avLst/>
          </a:prstGeom>
        </xdr:spPr>
      </xdr:pic>
      <xdr:pic>
        <xdr:nvPicPr>
          <xdr:cNvPr id="5" name="Picture 4"/>
          <xdr:cNvPicPr>
            <a:picLocks noChangeAspect="1"/>
          </xdr:cNvPicPr>
        </xdr:nvPicPr>
        <xdr:blipFill rotWithShape="1">
          <a:blip xmlns:r="http://schemas.openxmlformats.org/officeDocument/2006/relationships" r:embed="rId2" cstate="print"/>
          <a:srcRect l="21782" t="42648" r="19280" b="31795"/>
          <a:stretch/>
        </xdr:blipFill>
        <xdr:spPr>
          <a:xfrm>
            <a:off x="416719" y="10727531"/>
            <a:ext cx="7667626" cy="186928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228600</xdr:colOff>
      <xdr:row>253</xdr:row>
      <xdr:rowOff>71437</xdr:rowOff>
    </xdr:from>
    <xdr:to>
      <xdr:col>13</xdr:col>
      <xdr:colOff>9525</xdr:colOff>
      <xdr:row>267</xdr:row>
      <xdr:rowOff>147637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33</xdr:row>
      <xdr:rowOff>0</xdr:rowOff>
    </xdr:from>
    <xdr:to>
      <xdr:col>5</xdr:col>
      <xdr:colOff>133350</xdr:colOff>
      <xdr:row>49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33</xdr:row>
      <xdr:rowOff>0</xdr:rowOff>
    </xdr:from>
    <xdr:to>
      <xdr:col>5</xdr:col>
      <xdr:colOff>133350</xdr:colOff>
      <xdr:row>49</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38100</xdr:colOff>
      <xdr:row>3</xdr:row>
      <xdr:rowOff>23812</xdr:rowOff>
    </xdr:from>
    <xdr:to>
      <xdr:col>27</xdr:col>
      <xdr:colOff>342900</xdr:colOff>
      <xdr:row>17</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38100</xdr:colOff>
      <xdr:row>18</xdr:row>
      <xdr:rowOff>38100</xdr:rowOff>
    </xdr:from>
    <xdr:to>
      <xdr:col>27</xdr:col>
      <xdr:colOff>342900</xdr:colOff>
      <xdr:row>36</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38100</xdr:colOff>
      <xdr:row>40</xdr:row>
      <xdr:rowOff>38100</xdr:rowOff>
    </xdr:from>
    <xdr:to>
      <xdr:col>29</xdr:col>
      <xdr:colOff>342900</xdr:colOff>
      <xdr:row>55</xdr:row>
      <xdr:rowOff>4763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63953</xdr:colOff>
      <xdr:row>38</xdr:row>
      <xdr:rowOff>73478</xdr:rowOff>
    </xdr:from>
    <xdr:to>
      <xdr:col>12</xdr:col>
      <xdr:colOff>465365</xdr:colOff>
      <xdr:row>72</xdr:row>
      <xdr:rowOff>19049</xdr:rowOff>
    </xdr:to>
    <xdr:pic>
      <xdr:nvPicPr>
        <xdr:cNvPr id="7" name="Picture 6"/>
        <xdr:cNvPicPr>
          <a:picLocks noChangeAspect="1"/>
        </xdr:cNvPicPr>
      </xdr:nvPicPr>
      <xdr:blipFill rotWithShape="1">
        <a:blip xmlns:r="http://schemas.openxmlformats.org/officeDocument/2006/relationships" r:embed="rId6" cstate="print"/>
        <a:srcRect l="62517" t="9762" r="11776" b="29305"/>
        <a:stretch/>
      </xdr:blipFill>
      <xdr:spPr>
        <a:xfrm>
          <a:off x="359228" y="6226628"/>
          <a:ext cx="6868887" cy="5222421"/>
        </a:xfrm>
        <a:prstGeom prst="rect">
          <a:avLst/>
        </a:prstGeom>
      </xdr:spPr>
    </xdr:pic>
    <xdr:clientData/>
  </xdr:twoCellAnchor>
  <xdr:twoCellAnchor>
    <xdr:from>
      <xdr:col>22</xdr:col>
      <xdr:colOff>19050</xdr:colOff>
      <xdr:row>56</xdr:row>
      <xdr:rowOff>47625</xdr:rowOff>
    </xdr:from>
    <xdr:to>
      <xdr:col>29</xdr:col>
      <xdr:colOff>323850</xdr:colOff>
      <xdr:row>71</xdr:row>
      <xdr:rowOff>14288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33</xdr:row>
      <xdr:rowOff>0</xdr:rowOff>
    </xdr:from>
    <xdr:to>
      <xdr:col>5</xdr:col>
      <xdr:colOff>133350</xdr:colOff>
      <xdr:row>49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venthPlan/Conservation%20Analysis/Com/COM-Wastewater-7P_V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20Appliances/ResClothesWashersSF_v4.5%20PROPOSED.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Base Case)"/>
      <sheetName val="Ag Forecast (Low)"/>
      <sheetName val="Ag Forecast (Base Case)"/>
      <sheetName val="Ag Forecast (High)"/>
      <sheetName val="Pop Forecast (High Case)"/>
      <sheetName val="Pop Forecast (Base Case)"/>
      <sheetName val="Pop Forecast (Low Case)"/>
      <sheetName val="DEI (Base Case)"/>
    </sheetNames>
    <definedNames>
      <definedName name="rng_ForecastColumnLookup" refersTo="='Forecast Switchboard'!$H$20:$AE$20"/>
      <definedName name="rng_ForecastRowLookup" refersTo="='Forecast Switchboard'!$G$21:$G$501"/>
      <definedName name="switch_ForecastScenario" refersTo="='Forecast Switchboard'!$H$3"/>
      <definedName name="switch_ForecastState" refersTo="='Forecast Switchboard'!$H$4"/>
      <definedName name="tbl_Forecast" refersTo="='Forecast Switchboard'!$H$21:$AE$501"/>
    </definedNames>
    <sheetDataSet>
      <sheetData sheetId="0"/>
      <sheetData sheetId="1">
        <row r="3">
          <cell r="H3" t="str">
            <v>Base</v>
          </cell>
        </row>
        <row r="4">
          <cell r="H4" t="str">
            <v>Region</v>
          </cell>
        </row>
        <row r="20">
          <cell r="H20" t="str">
            <v>Sector</v>
          </cell>
          <cell r="I20" t="str">
            <v>Building/Industry Type</v>
          </cell>
          <cell r="J20" t="str">
            <v>Vintage / Subcategory</v>
          </cell>
          <cell r="K20" t="str">
            <v>Forecast Units</v>
          </cell>
          <cell r="L20">
            <v>2016</v>
          </cell>
          <cell r="M20">
            <v>2017</v>
          </cell>
          <cell r="N20">
            <v>2018</v>
          </cell>
          <cell r="O20">
            <v>2019</v>
          </cell>
          <cell r="P20">
            <v>2020</v>
          </cell>
          <cell r="Q20">
            <v>2021</v>
          </cell>
          <cell r="R20">
            <v>2022</v>
          </cell>
          <cell r="S20">
            <v>2023</v>
          </cell>
          <cell r="T20">
            <v>2024</v>
          </cell>
          <cell r="U20">
            <v>2025</v>
          </cell>
          <cell r="V20">
            <v>2026</v>
          </cell>
          <cell r="W20">
            <v>2027</v>
          </cell>
          <cell r="X20">
            <v>2028</v>
          </cell>
          <cell r="Y20">
            <v>2029</v>
          </cell>
          <cell r="Z20">
            <v>2030</v>
          </cell>
          <cell r="AA20">
            <v>2031</v>
          </cell>
          <cell r="AB20">
            <v>2032</v>
          </cell>
          <cell r="AC20">
            <v>2033</v>
          </cell>
          <cell r="AD20">
            <v>2034</v>
          </cell>
          <cell r="AE20">
            <v>2035</v>
          </cell>
        </row>
        <row r="21">
          <cell r="G21" t="str">
            <v>RegionSingle FamilyNew</v>
          </cell>
          <cell r="H21" t="str">
            <v>Res</v>
          </cell>
          <cell r="I21" t="str">
            <v>Single Family</v>
          </cell>
          <cell r="J21" t="str">
            <v>New</v>
          </cell>
          <cell r="K21" t="str">
            <v>Buildings</v>
          </cell>
          <cell r="L21">
            <v>62685.758999999998</v>
          </cell>
          <cell r="M21">
            <v>59961.781000000003</v>
          </cell>
          <cell r="N21">
            <v>56834.012000000002</v>
          </cell>
          <cell r="O21">
            <v>54985.192999999999</v>
          </cell>
          <cell r="P21">
            <v>53507.474000000002</v>
          </cell>
          <cell r="Q21">
            <v>50982.05</v>
          </cell>
          <cell r="R21">
            <v>49561.669000000002</v>
          </cell>
          <cell r="S21">
            <v>49324.517999999996</v>
          </cell>
          <cell r="T21">
            <v>48815.77</v>
          </cell>
          <cell r="U21">
            <v>49683.252</v>
          </cell>
          <cell r="V21">
            <v>50030.137000000002</v>
          </cell>
          <cell r="W21">
            <v>49387.762999999999</v>
          </cell>
          <cell r="X21">
            <v>48079.345999999998</v>
          </cell>
          <cell r="Y21">
            <v>48129.050999999999</v>
          </cell>
          <cell r="Z21">
            <v>48690.569000000003</v>
          </cell>
          <cell r="AA21">
            <v>48482.864000000001</v>
          </cell>
          <cell r="AB21">
            <v>46879.000999999997</v>
          </cell>
          <cell r="AC21">
            <v>46798.777999999998</v>
          </cell>
          <cell r="AD21">
            <v>46917.627</v>
          </cell>
          <cell r="AE21">
            <v>47236.144999999997</v>
          </cell>
        </row>
        <row r="22">
          <cell r="G22" t="str">
            <v>RegionMultifamily - Low RiseNew</v>
          </cell>
          <cell r="H22" t="str">
            <v>Res</v>
          </cell>
          <cell r="I22" t="str">
            <v>Multifamily - Low Rise</v>
          </cell>
          <cell r="J22" t="str">
            <v>New</v>
          </cell>
          <cell r="K22" t="str">
            <v>Buildings</v>
          </cell>
          <cell r="L22">
            <v>23280.347100904564</v>
          </cell>
          <cell r="M22">
            <v>23017.418106038647</v>
          </cell>
          <cell r="N22">
            <v>22811.60852767331</v>
          </cell>
          <cell r="O22">
            <v>22085.916378202593</v>
          </cell>
          <cell r="P22">
            <v>20817.853908138593</v>
          </cell>
          <cell r="Q22">
            <v>20070.279329962508</v>
          </cell>
          <cell r="R22">
            <v>19887.831284331631</v>
          </cell>
          <cell r="S22">
            <v>20257.583209811291</v>
          </cell>
          <cell r="T22">
            <v>20750.368029493613</v>
          </cell>
          <cell r="U22">
            <v>21314.334279744231</v>
          </cell>
          <cell r="V22">
            <v>21403.286239774712</v>
          </cell>
          <cell r="W22">
            <v>21409.137516518917</v>
          </cell>
          <cell r="X22">
            <v>21443.358292282628</v>
          </cell>
          <cell r="Y22">
            <v>21209.865626522758</v>
          </cell>
          <cell r="Z22">
            <v>20954.17798283829</v>
          </cell>
          <cell r="AA22">
            <v>20525.44023202754</v>
          </cell>
          <cell r="AB22">
            <v>20175.505597554071</v>
          </cell>
          <cell r="AC22">
            <v>19919.723927484571</v>
          </cell>
          <cell r="AD22">
            <v>19536.194066416414</v>
          </cell>
          <cell r="AE22">
            <v>19462.287131015248</v>
          </cell>
        </row>
        <row r="23">
          <cell r="G23" t="str">
            <v>RegionMultifamily - High RiseNew</v>
          </cell>
          <cell r="H23" t="str">
            <v>Res</v>
          </cell>
          <cell r="I23" t="str">
            <v>Multifamily - High Rise</v>
          </cell>
          <cell r="J23" t="str">
            <v>New</v>
          </cell>
          <cell r="K23" t="str">
            <v>Buildings</v>
          </cell>
          <cell r="L23">
            <v>5226.2387411561367</v>
          </cell>
          <cell r="M23">
            <v>5239.95312759432</v>
          </cell>
          <cell r="N23">
            <v>5271.2612760989568</v>
          </cell>
          <cell r="O23">
            <v>4985.883552972361</v>
          </cell>
          <cell r="P23">
            <v>4608.5912035798974</v>
          </cell>
          <cell r="Q23">
            <v>4509.6375960361838</v>
          </cell>
          <cell r="R23">
            <v>4481.760351096189</v>
          </cell>
          <cell r="S23">
            <v>4621.8312800578688</v>
          </cell>
          <cell r="T23">
            <v>4700.9782942419988</v>
          </cell>
          <cell r="U23">
            <v>4828.2391631488581</v>
          </cell>
          <cell r="V23">
            <v>4790.0249139778334</v>
          </cell>
          <cell r="W23">
            <v>4782.0649962402858</v>
          </cell>
          <cell r="X23">
            <v>4748.3908346265653</v>
          </cell>
          <cell r="Y23">
            <v>4733.4823682495089</v>
          </cell>
          <cell r="Z23">
            <v>4698.697177079107</v>
          </cell>
          <cell r="AA23">
            <v>4599.2987885998937</v>
          </cell>
          <cell r="AB23">
            <v>4526.3104216428001</v>
          </cell>
          <cell r="AC23">
            <v>4422.0600452822764</v>
          </cell>
          <cell r="AD23">
            <v>4405.182362066379</v>
          </cell>
          <cell r="AE23">
            <v>4385.1136986120664</v>
          </cell>
        </row>
        <row r="24">
          <cell r="G24" t="str">
            <v>RegionManufacturedNew</v>
          </cell>
          <cell r="H24" t="str">
            <v>Res</v>
          </cell>
          <cell r="I24" t="str">
            <v>Manufactured</v>
          </cell>
          <cell r="J24" t="str">
            <v>New</v>
          </cell>
          <cell r="K24" t="str">
            <v>Buildings</v>
          </cell>
          <cell r="L24">
            <v>1869.5754050925925</v>
          </cell>
          <cell r="M24">
            <v>1881.796305941358</v>
          </cell>
          <cell r="N24">
            <v>1949.1340235982509</v>
          </cell>
          <cell r="O24">
            <v>2021.1963608646258</v>
          </cell>
          <cell r="P24">
            <v>1959.5061710087307</v>
          </cell>
          <cell r="Q24">
            <v>1928.5764356212967</v>
          </cell>
          <cell r="R24">
            <v>1934.9641170211423</v>
          </cell>
          <cell r="S24">
            <v>1945.862235675901</v>
          </cell>
          <cell r="T24">
            <v>1956.539890631658</v>
          </cell>
          <cell r="U24">
            <v>1957.7742018038925</v>
          </cell>
          <cell r="V24">
            <v>1947.2038419604366</v>
          </cell>
          <cell r="W24">
            <v>1945.153453785721</v>
          </cell>
          <cell r="X24">
            <v>1947.9162901464586</v>
          </cell>
          <cell r="Y24">
            <v>1950.0749856673444</v>
          </cell>
          <cell r="Z24">
            <v>1950.7771106659191</v>
          </cell>
          <cell r="AA24">
            <v>1949.8166473382953</v>
          </cell>
          <cell r="AB24">
            <v>1948.4903882606959</v>
          </cell>
          <cell r="AC24">
            <v>1948.7048126440727</v>
          </cell>
          <cell r="AD24">
            <v>1949.296705787131</v>
          </cell>
          <cell r="AE24">
            <v>1949.5267750605763</v>
          </cell>
        </row>
        <row r="25">
          <cell r="G25" t="str">
            <v>RegionSingle FamilyExisting</v>
          </cell>
          <cell r="H25" t="str">
            <v>Res</v>
          </cell>
          <cell r="I25" t="str">
            <v>Single Family</v>
          </cell>
          <cell r="J25" t="str">
            <v>Existing</v>
          </cell>
          <cell r="K25" t="str">
            <v>Buildings</v>
          </cell>
          <cell r="L25">
            <v>4203528.2719999999</v>
          </cell>
          <cell r="M25">
            <v>4193982.9785983553</v>
          </cell>
          <cell r="N25">
            <v>4184459.3604704877</v>
          </cell>
          <cell r="O25">
            <v>4174957.36839659</v>
          </cell>
          <cell r="P25">
            <v>4165476.9532686244</v>
          </cell>
          <cell r="Q25">
            <v>4156018.0660900641</v>
          </cell>
          <cell r="R25">
            <v>4146580.6579756448</v>
          </cell>
          <cell r="S25">
            <v>4137164.6801511091</v>
          </cell>
          <cell r="T25">
            <v>4127770.0839529554</v>
          </cell>
          <cell r="U25">
            <v>4118396.8208281873</v>
          </cell>
          <cell r="V25">
            <v>4109044.8423340586</v>
          </cell>
          <cell r="W25">
            <v>4099714.1001378288</v>
          </cell>
          <cell r="X25">
            <v>4090404.5460165106</v>
          </cell>
          <cell r="Y25">
            <v>4081116.1318566194</v>
          </cell>
          <cell r="Z25">
            <v>4071848.8096539262</v>
          </cell>
          <cell r="AA25">
            <v>4062602.5315132081</v>
          </cell>
          <cell r="AB25">
            <v>4053377.2496480034</v>
          </cell>
          <cell r="AC25">
            <v>4044172.9163803621</v>
          </cell>
          <cell r="AD25">
            <v>4034989.4841406001</v>
          </cell>
          <cell r="AE25">
            <v>4025826.9054670548</v>
          </cell>
        </row>
        <row r="26">
          <cell r="G26" t="str">
            <v>RegionMultifamily - Low RiseExisting</v>
          </cell>
          <cell r="H26" t="str">
            <v>Res</v>
          </cell>
          <cell r="I26" t="str">
            <v>Multifamily - Low Rise</v>
          </cell>
          <cell r="J26" t="str">
            <v>Existing</v>
          </cell>
          <cell r="K26" t="str">
            <v>Buildings</v>
          </cell>
          <cell r="L26">
            <v>926243.25609262148</v>
          </cell>
          <cell r="M26">
            <v>924139.92640956037</v>
          </cell>
          <cell r="N26">
            <v>922041.3730050053</v>
          </cell>
          <cell r="O26">
            <v>919947.58503289847</v>
          </cell>
          <cell r="P26">
            <v>917858.55167181045</v>
          </cell>
          <cell r="Q26">
            <v>915774.26212488639</v>
          </cell>
          <cell r="R26">
            <v>913694.70561978838</v>
          </cell>
          <cell r="S26">
            <v>911619.87140864041</v>
          </cell>
          <cell r="T26">
            <v>909549.74876797362</v>
          </cell>
          <cell r="U26">
            <v>907484.32699866977</v>
          </cell>
          <cell r="V26">
            <v>905423.59542590659</v>
          </cell>
          <cell r="W26">
            <v>903367.54339910217</v>
          </cell>
          <cell r="X26">
            <v>901316.16029185988</v>
          </cell>
          <cell r="Y26">
            <v>899269.43550191447</v>
          </cell>
          <cell r="Z26">
            <v>897227.35845107585</v>
          </cell>
          <cell r="AA26">
            <v>895189.9185851753</v>
          </cell>
          <cell r="AB26">
            <v>893157.10537401051</v>
          </cell>
          <cell r="AC26">
            <v>891128.90831129183</v>
          </cell>
          <cell r="AD26">
            <v>889105.31691458682</v>
          </cell>
          <cell r="AE26">
            <v>887086.32072526717</v>
          </cell>
        </row>
        <row r="27">
          <cell r="G27" t="str">
            <v>RegionMultifamily - High RiseExisting</v>
          </cell>
          <cell r="H27" t="str">
            <v>Res</v>
          </cell>
          <cell r="I27" t="str">
            <v>Multifamily - High Rise</v>
          </cell>
          <cell r="J27" t="str">
            <v>Existing</v>
          </cell>
          <cell r="K27" t="str">
            <v>Buildings</v>
          </cell>
          <cell r="L27">
            <v>211180.07985625503</v>
          </cell>
          <cell r="M27">
            <v>210700.52836963299</v>
          </cell>
          <cell r="N27">
            <v>210222.06585706791</v>
          </cell>
          <cell r="O27">
            <v>209744.68984569819</v>
          </cell>
          <cell r="P27">
            <v>209268.39786827751</v>
          </cell>
          <cell r="Q27">
            <v>208793.18746316229</v>
          </cell>
          <cell r="R27">
            <v>208319.05617429892</v>
          </cell>
          <cell r="S27">
            <v>207846.00155121088</v>
          </cell>
          <cell r="T27">
            <v>207374.0211489865</v>
          </cell>
          <cell r="U27">
            <v>206903.11252826577</v>
          </cell>
          <cell r="V27">
            <v>206433.27325522827</v>
          </cell>
          <cell r="W27">
            <v>205964.50090158021</v>
          </cell>
          <cell r="X27">
            <v>205496.79304454199</v>
          </cell>
          <cell r="Y27">
            <v>205030.14726683579</v>
          </cell>
          <cell r="Z27">
            <v>204564.56115667295</v>
          </cell>
          <cell r="AA27">
            <v>204100.03230774152</v>
          </cell>
          <cell r="AB27">
            <v>203636.55831919383</v>
          </cell>
          <cell r="AC27">
            <v>203174.13679563423</v>
          </cell>
          <cell r="AD27">
            <v>202712.76534710638</v>
          </cell>
          <cell r="AE27">
            <v>202252.44158908122</v>
          </cell>
        </row>
        <row r="28">
          <cell r="G28" t="str">
            <v>RegionManufacturedExisting</v>
          </cell>
          <cell r="H28" t="str">
            <v>Res</v>
          </cell>
          <cell r="I28" t="str">
            <v>Manufactured</v>
          </cell>
          <cell r="J28" t="str">
            <v>Existing</v>
          </cell>
          <cell r="K28" t="str">
            <v>Buildings</v>
          </cell>
          <cell r="L28">
            <v>572006.3278356482</v>
          </cell>
          <cell r="M28">
            <v>565893.30394507048</v>
          </cell>
          <cell r="N28">
            <v>559845.60985814757</v>
          </cell>
          <cell r="O28">
            <v>553862.54739615123</v>
          </cell>
          <cell r="P28">
            <v>547943.42584177968</v>
          </cell>
          <cell r="Q28">
            <v>542087.56185941794</v>
          </cell>
          <cell r="R28">
            <v>536294.27941624937</v>
          </cell>
          <cell r="S28">
            <v>530562.90970421082</v>
          </cell>
          <cell r="T28">
            <v>524892.79106278194</v>
          </cell>
          <cell r="U28">
            <v>519283.26890259917</v>
          </cell>
          <cell r="V28">
            <v>513733.69562988722</v>
          </cell>
          <cell r="W28">
            <v>508243.4305716962</v>
          </cell>
          <cell r="X28">
            <v>502811.8399019395</v>
          </cell>
          <cell r="Y28">
            <v>497438.2965682213</v>
          </cell>
          <cell r="Z28">
            <v>492122.18021944637</v>
          </cell>
          <cell r="AA28">
            <v>486862.87713420321</v>
          </cell>
          <cell r="AB28">
            <v>481659.78014991269</v>
          </cell>
          <cell r="AC28">
            <v>476512.28859273402</v>
          </cell>
          <cell r="AD28">
            <v>471419.80820821953</v>
          </cell>
          <cell r="AE28">
            <v>466381.75109271082</v>
          </cell>
        </row>
        <row r="29">
          <cell r="G29" t="str">
            <v>RegionLarge OffNew</v>
          </cell>
          <cell r="H29" t="str">
            <v>Com</v>
          </cell>
          <cell r="I29" t="str">
            <v>Large Off</v>
          </cell>
          <cell r="J29" t="str">
            <v>New</v>
          </cell>
          <cell r="K29" t="str">
            <v>Millions SqFt</v>
          </cell>
          <cell r="L29">
            <v>7.8066550111953834</v>
          </cell>
          <cell r="M29">
            <v>5.9496992573140863</v>
          </cell>
          <cell r="N29">
            <v>5.890903545908837</v>
          </cell>
          <cell r="O29">
            <v>6.8915688291332424</v>
          </cell>
          <cell r="P29">
            <v>6.6410191533148355</v>
          </cell>
          <cell r="Q29">
            <v>5.4382226791221893</v>
          </cell>
          <cell r="R29">
            <v>6.9236851515846078</v>
          </cell>
          <cell r="S29">
            <v>6.040566884985755</v>
          </cell>
          <cell r="T29">
            <v>5.8620040343764588</v>
          </cell>
          <cell r="U29">
            <v>6.6048352977963205</v>
          </cell>
          <cell r="V29">
            <v>6.6081856774849808</v>
          </cell>
          <cell r="W29">
            <v>7.2276230030590352</v>
          </cell>
          <cell r="X29">
            <v>7.9321378463678132</v>
          </cell>
          <cell r="Y29">
            <v>7.2590370336019197</v>
          </cell>
          <cell r="Z29">
            <v>7.9122271387396417</v>
          </cell>
          <cell r="AA29">
            <v>7.7623340380974311</v>
          </cell>
          <cell r="AB29">
            <v>7.6402299023279152</v>
          </cell>
          <cell r="AC29">
            <v>7.1724831299946894</v>
          </cell>
          <cell r="AD29">
            <v>7.0810470955732994</v>
          </cell>
          <cell r="AE29">
            <v>7.4281005850341701</v>
          </cell>
        </row>
        <row r="30">
          <cell r="G30" t="str">
            <v>RegionMedium OffNew</v>
          </cell>
          <cell r="H30" t="str">
            <v>Com</v>
          </cell>
          <cell r="I30" t="str">
            <v>Medium Off</v>
          </cell>
          <cell r="J30" t="str">
            <v>New</v>
          </cell>
          <cell r="K30" t="str">
            <v>Millions SqFt</v>
          </cell>
          <cell r="L30">
            <v>6.3306892326899415</v>
          </cell>
          <cell r="M30">
            <v>4.6245517962703104</v>
          </cell>
          <cell r="N30">
            <v>4.6954401235311058</v>
          </cell>
          <cell r="O30">
            <v>5.5561738496820645</v>
          </cell>
          <cell r="P30">
            <v>5.2903315868283292</v>
          </cell>
          <cell r="Q30">
            <v>4.0954748538564614</v>
          </cell>
          <cell r="R30">
            <v>5.6166455086822502</v>
          </cell>
          <cell r="S30">
            <v>4.8928421056079552</v>
          </cell>
          <cell r="T30">
            <v>4.6489885594062974</v>
          </cell>
          <cell r="U30">
            <v>5.3600762751998365</v>
          </cell>
          <cell r="V30">
            <v>5.3451061612370649</v>
          </cell>
          <cell r="W30">
            <v>5.7169042762389006</v>
          </cell>
          <cell r="X30">
            <v>6.1644080859749115</v>
          </cell>
          <cell r="Y30">
            <v>5.8003829082546376</v>
          </cell>
          <cell r="Z30">
            <v>6.4331999103991837</v>
          </cell>
          <cell r="AA30">
            <v>6.1077443299386847</v>
          </cell>
          <cell r="AB30">
            <v>6.3133258324543373</v>
          </cell>
          <cell r="AC30">
            <v>5.5403053352108875</v>
          </cell>
          <cell r="AD30">
            <v>5.5266028757425794</v>
          </cell>
          <cell r="AE30">
            <v>5.9833355534459063</v>
          </cell>
        </row>
        <row r="31">
          <cell r="G31" t="str">
            <v>RegionSmall OffNew</v>
          </cell>
          <cell r="H31" t="str">
            <v>Com</v>
          </cell>
          <cell r="I31" t="str">
            <v>Small Off</v>
          </cell>
          <cell r="J31" t="str">
            <v>New</v>
          </cell>
          <cell r="K31" t="str">
            <v>Millions SqFt</v>
          </cell>
          <cell r="L31">
            <v>1.6621196768024407</v>
          </cell>
          <cell r="M31">
            <v>1.2170657423442173</v>
          </cell>
          <cell r="N31">
            <v>1.2444333527444498</v>
          </cell>
          <cell r="O31">
            <v>1.4586094503549032</v>
          </cell>
          <cell r="P31">
            <v>1.4004070058555529</v>
          </cell>
          <cell r="Q31">
            <v>1.0787722980410579</v>
          </cell>
          <cell r="R31">
            <v>1.4747976167420549</v>
          </cell>
          <cell r="S31">
            <v>1.2896357804774434</v>
          </cell>
          <cell r="T31">
            <v>1.2239291307589197</v>
          </cell>
          <cell r="U31">
            <v>1.4012443744673324</v>
          </cell>
          <cell r="V31">
            <v>1.3991315932028052</v>
          </cell>
          <cell r="W31">
            <v>1.4996248899933684</v>
          </cell>
          <cell r="X31">
            <v>1.6197763904689295</v>
          </cell>
          <cell r="Y31">
            <v>1.5187400891362097</v>
          </cell>
          <cell r="Z31">
            <v>1.6890757136254622</v>
          </cell>
          <cell r="AA31">
            <v>1.5972356158259797</v>
          </cell>
          <cell r="AB31">
            <v>1.640465747141107</v>
          </cell>
          <cell r="AC31">
            <v>1.4565955217811706</v>
          </cell>
          <cell r="AD31">
            <v>1.4531741906643101</v>
          </cell>
          <cell r="AE31">
            <v>1.5648660344158036</v>
          </cell>
        </row>
        <row r="32">
          <cell r="G32" t="str">
            <v>RegionBig Box-RetailNew</v>
          </cell>
          <cell r="H32" t="str">
            <v>Com</v>
          </cell>
          <cell r="I32" t="str">
            <v>Big Box-Retail</v>
          </cell>
          <cell r="J32" t="str">
            <v>New</v>
          </cell>
          <cell r="K32" t="str">
            <v>Millions SqFt</v>
          </cell>
          <cell r="L32">
            <v>1.799418169017593</v>
          </cell>
          <cell r="M32">
            <v>1.485755176968429</v>
          </cell>
          <cell r="N32">
            <v>0.89794362681754358</v>
          </cell>
          <cell r="O32">
            <v>0.91201694404352718</v>
          </cell>
          <cell r="P32">
            <v>0.85125423267540556</v>
          </cell>
          <cell r="Q32">
            <v>0.73204497427617965</v>
          </cell>
          <cell r="R32">
            <v>0.73428349109996394</v>
          </cell>
          <cell r="S32">
            <v>0.71341173425108251</v>
          </cell>
          <cell r="T32">
            <v>0.89455902577447755</v>
          </cell>
          <cell r="U32">
            <v>1.032083805968905</v>
          </cell>
          <cell r="V32">
            <v>1.0963398187475875</v>
          </cell>
          <cell r="W32">
            <v>1.617287860192538</v>
          </cell>
          <cell r="X32">
            <v>1.8239074921539626</v>
          </cell>
          <cell r="Y32">
            <v>1.6267354909009817</v>
          </cell>
          <cell r="Z32">
            <v>1.5970323938843554</v>
          </cell>
          <cell r="AA32">
            <v>1.5393396581386409</v>
          </cell>
          <cell r="AB32">
            <v>1.2960530677092543</v>
          </cell>
          <cell r="AC32">
            <v>1.3176455108269955</v>
          </cell>
          <cell r="AD32">
            <v>1.2469979474733393</v>
          </cell>
          <cell r="AE32">
            <v>1.3540449607593745</v>
          </cell>
        </row>
        <row r="33">
          <cell r="G33" t="str">
            <v>RegionSmall Box-RetailNew</v>
          </cell>
          <cell r="H33" t="str">
            <v>Com</v>
          </cell>
          <cell r="I33" t="str">
            <v>Small Box-Retail</v>
          </cell>
          <cell r="J33" t="str">
            <v>New</v>
          </cell>
          <cell r="K33" t="str">
            <v>Millions SqFt</v>
          </cell>
          <cell r="L33">
            <v>0.71960427219664069</v>
          </cell>
          <cell r="M33">
            <v>0.59647847099566831</v>
          </cell>
          <cell r="N33">
            <v>0.36611838042447359</v>
          </cell>
          <cell r="O33">
            <v>0.3731768350638246</v>
          </cell>
          <cell r="P33">
            <v>0.34504559304633386</v>
          </cell>
          <cell r="Q33">
            <v>0.2928623587115301</v>
          </cell>
          <cell r="R33">
            <v>0.29376294298921468</v>
          </cell>
          <cell r="S33">
            <v>0.28416308329236456</v>
          </cell>
          <cell r="T33">
            <v>0.36455471421578001</v>
          </cell>
          <cell r="U33">
            <v>0.42646627810709853</v>
          </cell>
          <cell r="V33">
            <v>0.44956380488737768</v>
          </cell>
          <cell r="W33">
            <v>0.65213839834683018</v>
          </cell>
          <cell r="X33">
            <v>0.73353807331773047</v>
          </cell>
          <cell r="Y33">
            <v>0.65560780242911365</v>
          </cell>
          <cell r="Z33">
            <v>0.64604928436358278</v>
          </cell>
          <cell r="AA33">
            <v>0.62178261445398098</v>
          </cell>
          <cell r="AB33">
            <v>0.52554853465709617</v>
          </cell>
          <cell r="AC33">
            <v>0.53266253778165396</v>
          </cell>
          <cell r="AD33">
            <v>0.50454130308386236</v>
          </cell>
          <cell r="AE33">
            <v>0.54553111610891503</v>
          </cell>
        </row>
        <row r="34">
          <cell r="G34" t="str">
            <v>RegionHigh End-RetailNew</v>
          </cell>
          <cell r="H34" t="str">
            <v>Com</v>
          </cell>
          <cell r="I34" t="str">
            <v>High End-Retail</v>
          </cell>
          <cell r="J34" t="str">
            <v>New</v>
          </cell>
          <cell r="K34" t="str">
            <v>Millions SqFt</v>
          </cell>
          <cell r="L34">
            <v>2.7275899469990224</v>
          </cell>
          <cell r="M34">
            <v>2.2451802625726844</v>
          </cell>
          <cell r="N34">
            <v>1.3846551620328988</v>
          </cell>
          <cell r="O34">
            <v>1.414332931216091</v>
          </cell>
          <cell r="P34">
            <v>1.3048976182463843</v>
          </cell>
          <cell r="Q34">
            <v>1.1035456427042536</v>
          </cell>
          <cell r="R34">
            <v>1.0932193385059683</v>
          </cell>
          <cell r="S34">
            <v>1.0602010304011045</v>
          </cell>
          <cell r="T34">
            <v>1.3687417218066935</v>
          </cell>
          <cell r="U34">
            <v>1.6102119957699914</v>
          </cell>
          <cell r="V34">
            <v>1.7014476793012303</v>
          </cell>
          <cell r="W34">
            <v>2.4475448442766612</v>
          </cell>
          <cell r="X34">
            <v>2.7642584104961641</v>
          </cell>
          <cell r="Y34">
            <v>2.4645092385842489</v>
          </cell>
          <cell r="Z34">
            <v>2.435211674558635</v>
          </cell>
          <cell r="AA34">
            <v>2.3436666024455817</v>
          </cell>
          <cell r="AB34">
            <v>1.9970991421399598</v>
          </cell>
          <cell r="AC34">
            <v>2.0220850932468024</v>
          </cell>
          <cell r="AD34">
            <v>1.9074632582746243</v>
          </cell>
          <cell r="AE34">
            <v>2.0633846520749657</v>
          </cell>
        </row>
        <row r="35">
          <cell r="G35" t="str">
            <v>RegionAnchor-RetailNew</v>
          </cell>
          <cell r="H35" t="str">
            <v>Com</v>
          </cell>
          <cell r="I35" t="str">
            <v>Anchor-Retail</v>
          </cell>
          <cell r="J35" t="str">
            <v>New</v>
          </cell>
          <cell r="K35" t="str">
            <v>Millions SqFt</v>
          </cell>
          <cell r="L35">
            <v>0.86249938561661099</v>
          </cell>
          <cell r="M35">
            <v>0.71243811393533818</v>
          </cell>
          <cell r="N35">
            <v>0.43988135050703958</v>
          </cell>
          <cell r="O35">
            <v>0.44879648252082133</v>
          </cell>
          <cell r="P35">
            <v>0.41374173801952452</v>
          </cell>
          <cell r="Q35">
            <v>0.34301620014224921</v>
          </cell>
          <cell r="R35">
            <v>0.33946657261656726</v>
          </cell>
          <cell r="S35">
            <v>0.32965754978673117</v>
          </cell>
          <cell r="T35">
            <v>0.43689232903555525</v>
          </cell>
          <cell r="U35">
            <v>0.51886957722704219</v>
          </cell>
          <cell r="V35">
            <v>0.54817313334918127</v>
          </cell>
          <cell r="W35">
            <v>0.77969532117377649</v>
          </cell>
          <cell r="X35">
            <v>0.87858644381951334</v>
          </cell>
          <cell r="Y35">
            <v>0.78420074698109388</v>
          </cell>
          <cell r="Z35">
            <v>0.77728841592354081</v>
          </cell>
          <cell r="AA35">
            <v>0.74886674252534069</v>
          </cell>
          <cell r="AB35">
            <v>0.63964179951326661</v>
          </cell>
          <cell r="AC35">
            <v>0.64714740319049269</v>
          </cell>
          <cell r="AD35">
            <v>0.61166389038687663</v>
          </cell>
          <cell r="AE35">
            <v>0.66242443593788758</v>
          </cell>
        </row>
        <row r="36">
          <cell r="G36" t="str">
            <v>RegionK-12New</v>
          </cell>
          <cell r="H36" t="str">
            <v>Com</v>
          </cell>
          <cell r="I36" t="str">
            <v>K-12</v>
          </cell>
          <cell r="J36" t="str">
            <v>New</v>
          </cell>
          <cell r="K36" t="str">
            <v>Millions SqFt</v>
          </cell>
          <cell r="L36">
            <v>0.49337113702797691</v>
          </cell>
          <cell r="M36">
            <v>1.1029723159217257</v>
          </cell>
          <cell r="N36">
            <v>0.94992456965043459</v>
          </cell>
          <cell r="O36">
            <v>0.71720701164062661</v>
          </cell>
          <cell r="P36">
            <v>0.7442281187428561</v>
          </cell>
          <cell r="Q36">
            <v>0.85140099810585501</v>
          </cell>
          <cell r="R36">
            <v>0.99139466996200198</v>
          </cell>
          <cell r="S36">
            <v>1.5014629353162949</v>
          </cell>
          <cell r="T36">
            <v>1.8697826256608596</v>
          </cell>
          <cell r="U36">
            <v>1.6452707482432332</v>
          </cell>
          <cell r="V36">
            <v>1.6753181172445872</v>
          </cell>
          <cell r="W36">
            <v>1.7943041099264481</v>
          </cell>
          <cell r="X36">
            <v>1.8624299937819393</v>
          </cell>
          <cell r="Y36">
            <v>1.7489264522150836</v>
          </cell>
          <cell r="Z36">
            <v>1.7975598556031414</v>
          </cell>
          <cell r="AA36">
            <v>1.6195220459723754</v>
          </cell>
          <cell r="AB36">
            <v>1.8221433074925411</v>
          </cell>
          <cell r="AC36">
            <v>1.6336676691608698</v>
          </cell>
          <cell r="AD36">
            <v>1.7826242149357872</v>
          </cell>
          <cell r="AE36">
            <v>1.6891002859244486</v>
          </cell>
        </row>
        <row r="37">
          <cell r="G37" t="str">
            <v>RegionUniversityNew</v>
          </cell>
          <cell r="H37" t="str">
            <v>Com</v>
          </cell>
          <cell r="I37" t="str">
            <v>University</v>
          </cell>
          <cell r="J37" t="str">
            <v>New</v>
          </cell>
          <cell r="K37" t="str">
            <v>Millions SqFt</v>
          </cell>
          <cell r="L37">
            <v>0.2800209986196866</v>
          </cell>
          <cell r="M37">
            <v>0.29719871383536939</v>
          </cell>
          <cell r="N37">
            <v>0.58203115602335975</v>
          </cell>
          <cell r="O37">
            <v>0.83189457735737737</v>
          </cell>
          <cell r="P37">
            <v>0.66610454718876777</v>
          </cell>
          <cell r="Q37">
            <v>0.73648247778559484</v>
          </cell>
          <cell r="R37">
            <v>0.64334185638367225</v>
          </cell>
          <cell r="S37">
            <v>0.97289424291238524</v>
          </cell>
          <cell r="T37">
            <v>1.1820978013224126</v>
          </cell>
          <cell r="U37">
            <v>1.1785313924254113</v>
          </cell>
          <cell r="V37">
            <v>1.2952038876416079</v>
          </cell>
          <cell r="W37">
            <v>1.3229243736280945</v>
          </cell>
          <cell r="X37">
            <v>1.422909455419719</v>
          </cell>
          <cell r="Y37">
            <v>1.4430187909981058</v>
          </cell>
          <cell r="Z37">
            <v>1.2923971403480323</v>
          </cell>
          <cell r="AA37">
            <v>1.1785050733908478</v>
          </cell>
          <cell r="AB37">
            <v>1.3433889489273994</v>
          </cell>
          <cell r="AC37">
            <v>1.2265545990556588</v>
          </cell>
          <cell r="AD37">
            <v>1.2571458643971927</v>
          </cell>
          <cell r="AE37">
            <v>1.2979913333963795</v>
          </cell>
        </row>
        <row r="38">
          <cell r="G38" t="str">
            <v>RegionWarehouseNew</v>
          </cell>
          <cell r="H38" t="str">
            <v>Com</v>
          </cell>
          <cell r="I38" t="str">
            <v>Warehouse</v>
          </cell>
          <cell r="J38" t="str">
            <v>New</v>
          </cell>
          <cell r="K38" t="str">
            <v>Millions SqFt</v>
          </cell>
          <cell r="L38">
            <v>7.6586609772993617</v>
          </cell>
          <cell r="M38">
            <v>7.5774552212762423</v>
          </cell>
          <cell r="N38">
            <v>5.6453939930651131</v>
          </cell>
          <cell r="O38">
            <v>4.800793231843981</v>
          </cell>
          <cell r="P38">
            <v>3.5881391412601156</v>
          </cell>
          <cell r="Q38">
            <v>3.1529819033971824</v>
          </cell>
          <cell r="R38">
            <v>4.0691744688008198</v>
          </cell>
          <cell r="S38">
            <v>4.5400289951106014</v>
          </cell>
          <cell r="T38">
            <v>4.8555474587969272</v>
          </cell>
          <cell r="U38">
            <v>4.6966359797376018</v>
          </cell>
          <cell r="V38">
            <v>4.8557170740974245</v>
          </cell>
          <cell r="W38">
            <v>4.451750056135543</v>
          </cell>
          <cell r="X38">
            <v>3.8657972013430704</v>
          </cell>
          <cell r="Y38">
            <v>3.9817445148405937</v>
          </cell>
          <cell r="Z38">
            <v>3.9951806948216846</v>
          </cell>
          <cell r="AA38">
            <v>4.4738164673360306</v>
          </cell>
          <cell r="AB38">
            <v>4.2737219736102183</v>
          </cell>
          <cell r="AC38">
            <v>4.0870251812551333</v>
          </cell>
          <cell r="AD38">
            <v>4.137725578117939</v>
          </cell>
          <cell r="AE38">
            <v>3.6922064696454697</v>
          </cell>
        </row>
        <row r="39">
          <cell r="G39" t="str">
            <v>RegionSupermarketNew</v>
          </cell>
          <cell r="H39" t="str">
            <v>Com</v>
          </cell>
          <cell r="I39" t="str">
            <v>Supermarket</v>
          </cell>
          <cell r="J39" t="str">
            <v>New</v>
          </cell>
          <cell r="K39" t="str">
            <v>Millions SqFt</v>
          </cell>
          <cell r="L39">
            <v>0.38924897939746522</v>
          </cell>
          <cell r="M39">
            <v>0.34341311895347121</v>
          </cell>
          <cell r="N39">
            <v>0.29927348040561341</v>
          </cell>
          <cell r="O39">
            <v>0.29688874456634085</v>
          </cell>
          <cell r="P39">
            <v>0.29379933994281465</v>
          </cell>
          <cell r="Q39">
            <v>0.29041766271303127</v>
          </cell>
          <cell r="R39">
            <v>0.28614144770449462</v>
          </cell>
          <cell r="S39">
            <v>0.28163861967746157</v>
          </cell>
          <cell r="T39">
            <v>0.27688800876616482</v>
          </cell>
          <cell r="U39">
            <v>0.27357754310134663</v>
          </cell>
          <cell r="V39">
            <v>0.27063184585003941</v>
          </cell>
          <cell r="W39">
            <v>0.26801411864303953</v>
          </cell>
          <cell r="X39">
            <v>0.26660240614409092</v>
          </cell>
          <cell r="Y39">
            <v>0.25138198684402913</v>
          </cell>
          <cell r="Z39">
            <v>0.26455339135243683</v>
          </cell>
          <cell r="AA39">
            <v>0.26299167309250365</v>
          </cell>
          <cell r="AB39">
            <v>0.26140909607327911</v>
          </cell>
          <cell r="AC39">
            <v>0.25947687815142023</v>
          </cell>
          <cell r="AD39">
            <v>0.25750619496776178</v>
          </cell>
          <cell r="AE39">
            <v>0.25562560804995926</v>
          </cell>
        </row>
        <row r="40">
          <cell r="G40" t="str">
            <v>RegionMiniMartNew</v>
          </cell>
          <cell r="H40" t="str">
            <v>Com</v>
          </cell>
          <cell r="I40" t="str">
            <v>MiniMart</v>
          </cell>
          <cell r="J40" t="str">
            <v>New</v>
          </cell>
          <cell r="K40" t="str">
            <v>Millions SqFt</v>
          </cell>
          <cell r="L40">
            <v>0.19765540078516197</v>
          </cell>
          <cell r="M40">
            <v>0.18600542935034625</v>
          </cell>
          <cell r="N40">
            <v>9.5760802585072302E-2</v>
          </cell>
          <cell r="O40">
            <v>0.10062051473914659</v>
          </cell>
          <cell r="P40">
            <v>8.5646792534183808E-2</v>
          </cell>
          <cell r="Q40">
            <v>6.5415041923045286E-2</v>
          </cell>
          <cell r="R40">
            <v>5.7242996146950373E-2</v>
          </cell>
          <cell r="S40">
            <v>5.5087150941189433E-2</v>
          </cell>
          <cell r="T40">
            <v>7.3916214299540497E-2</v>
          </cell>
          <cell r="U40">
            <v>9.2056169088318471E-2</v>
          </cell>
          <cell r="V40">
            <v>0.10393709432109566</v>
          </cell>
          <cell r="W40">
            <v>0.15172170448022598</v>
          </cell>
          <cell r="X40">
            <v>0.15706997726929292</v>
          </cell>
          <cell r="Y40">
            <v>0.14510580631504899</v>
          </cell>
          <cell r="Z40">
            <v>0.15272706829792246</v>
          </cell>
          <cell r="AA40">
            <v>0.14104647748606622</v>
          </cell>
          <cell r="AB40">
            <v>0.11700741064540764</v>
          </cell>
          <cell r="AC40">
            <v>0.1200067315077773</v>
          </cell>
          <cell r="AD40">
            <v>0.11457442878633581</v>
          </cell>
          <cell r="AE40">
            <v>0.1211768182439132</v>
          </cell>
        </row>
        <row r="41">
          <cell r="G41" t="str">
            <v>RegionRestaurantNew</v>
          </cell>
          <cell r="H41" t="str">
            <v>Com</v>
          </cell>
          <cell r="I41" t="str">
            <v>Restaurant</v>
          </cell>
          <cell r="J41" t="str">
            <v>New</v>
          </cell>
          <cell r="K41" t="str">
            <v>Millions SqFt</v>
          </cell>
          <cell r="L41">
            <v>0.46894871790011039</v>
          </cell>
          <cell r="M41">
            <v>0.47387410836125871</v>
          </cell>
          <cell r="N41">
            <v>0.45144590813821411</v>
          </cell>
          <cell r="O41">
            <v>0.4505136151455652</v>
          </cell>
          <cell r="P41">
            <v>0.44778046039172248</v>
          </cell>
          <cell r="Q41">
            <v>0.44523396067124349</v>
          </cell>
          <cell r="R41">
            <v>0.44273536313864043</v>
          </cell>
          <cell r="S41">
            <v>0.4399078135546039</v>
          </cell>
          <cell r="T41">
            <v>0.43708606600163591</v>
          </cell>
          <cell r="U41">
            <v>0.43513915585550955</v>
          </cell>
          <cell r="V41">
            <v>0.43580404899906589</v>
          </cell>
          <cell r="W41">
            <v>0.59161866303702282</v>
          </cell>
          <cell r="X41">
            <v>0.66467702134516005</v>
          </cell>
          <cell r="Y41">
            <v>0.65353995366480533</v>
          </cell>
          <cell r="Z41">
            <v>0.676060915960916</v>
          </cell>
          <cell r="AA41">
            <v>0.70559825286541389</v>
          </cell>
          <cell r="AB41">
            <v>0.63206878506691044</v>
          </cell>
          <cell r="AC41">
            <v>0.63726309269471215</v>
          </cell>
          <cell r="AD41">
            <v>0.5828366650853003</v>
          </cell>
          <cell r="AE41">
            <v>0.63928201324113043</v>
          </cell>
        </row>
        <row r="42">
          <cell r="G42" t="str">
            <v>RegionLodgingNew</v>
          </cell>
          <cell r="H42" t="str">
            <v>Com</v>
          </cell>
          <cell r="I42" t="str">
            <v>Lodging</v>
          </cell>
          <cell r="J42" t="str">
            <v>New</v>
          </cell>
          <cell r="K42" t="str">
            <v>Millions SqFt</v>
          </cell>
          <cell r="L42">
            <v>1.0326774321313152</v>
          </cell>
          <cell r="M42">
            <v>1.0158776160943388</v>
          </cell>
          <cell r="N42">
            <v>0.74304915446037911</v>
          </cell>
          <cell r="O42">
            <v>0.76054102414226543</v>
          </cell>
          <cell r="P42">
            <v>0.65616402459427536</v>
          </cell>
          <cell r="Q42">
            <v>0.62755023267601961</v>
          </cell>
          <cell r="R42">
            <v>0.61023293273354484</v>
          </cell>
          <cell r="S42">
            <v>0.60571699788717037</v>
          </cell>
          <cell r="T42">
            <v>0.65097903457434547</v>
          </cell>
          <cell r="U42">
            <v>0.69319811486407867</v>
          </cell>
          <cell r="V42">
            <v>0.78843795894088464</v>
          </cell>
          <cell r="W42">
            <v>1.3645659476947984</v>
          </cell>
          <cell r="X42">
            <v>1.6032227373726178</v>
          </cell>
          <cell r="Y42">
            <v>1.6412696995684901</v>
          </cell>
          <cell r="Z42">
            <v>1.670283030615213</v>
          </cell>
          <cell r="AA42">
            <v>1.755661848186447</v>
          </cell>
          <cell r="AB42">
            <v>1.4871375295645746</v>
          </cell>
          <cell r="AC42">
            <v>1.4400033906080374</v>
          </cell>
          <cell r="AD42">
            <v>1.3499648074414823</v>
          </cell>
          <cell r="AE42">
            <v>1.4487057151095009</v>
          </cell>
        </row>
        <row r="43">
          <cell r="G43" t="str">
            <v>RegionHospitalNew</v>
          </cell>
          <cell r="H43" t="str">
            <v>Com</v>
          </cell>
          <cell r="I43" t="str">
            <v>Hospital</v>
          </cell>
          <cell r="J43" t="str">
            <v>New</v>
          </cell>
          <cell r="K43" t="str">
            <v>Millions SqFt</v>
          </cell>
          <cell r="L43">
            <v>4.1336070304911159</v>
          </cell>
          <cell r="M43">
            <v>3.5601449453189118</v>
          </cell>
          <cell r="N43">
            <v>3.2007770264658664</v>
          </cell>
          <cell r="O43">
            <v>2.6531465767673241</v>
          </cell>
          <cell r="P43">
            <v>1.8730082465149496</v>
          </cell>
          <cell r="Q43">
            <v>1.6467285324389391</v>
          </cell>
          <cell r="R43">
            <v>1.5196240263467067</v>
          </cell>
          <cell r="S43">
            <v>1.3328145698119136</v>
          </cell>
          <cell r="T43">
            <v>1.3372342578617185</v>
          </cell>
          <cell r="U43">
            <v>1.4086686461757902</v>
          </cell>
          <cell r="V43">
            <v>1.6725933548501446</v>
          </cell>
          <cell r="W43">
            <v>2.0158466086985318</v>
          </cell>
          <cell r="X43">
            <v>2.3033709594417431</v>
          </cell>
          <cell r="Y43">
            <v>2.063930246052466</v>
          </cell>
          <cell r="Z43">
            <v>1.9880083370090949</v>
          </cell>
          <cell r="AA43">
            <v>1.9342270452860566</v>
          </cell>
          <cell r="AB43">
            <v>1.774507966199161</v>
          </cell>
          <cell r="AC43">
            <v>1.6723841845019074</v>
          </cell>
          <cell r="AD43">
            <v>1.5414284807799123</v>
          </cell>
          <cell r="AE43">
            <v>1.5563040522680198</v>
          </cell>
        </row>
        <row r="44">
          <cell r="G44" t="str">
            <v>RegionOtherHealthNew</v>
          </cell>
          <cell r="H44" t="str">
            <v>Com</v>
          </cell>
          <cell r="I44" t="str">
            <v>OtherHealth</v>
          </cell>
          <cell r="J44" t="str">
            <v>New</v>
          </cell>
          <cell r="K44" t="str">
            <v>Millions SqFt</v>
          </cell>
          <cell r="L44">
            <v>4.5029406937179912</v>
          </cell>
          <cell r="M44">
            <v>4.0786070344439063</v>
          </cell>
          <cell r="N44">
            <v>3.5919834720533679</v>
          </cell>
          <cell r="O44">
            <v>3.0400934926407626</v>
          </cell>
          <cell r="P44">
            <v>2.3018670718031324</v>
          </cell>
          <cell r="Q44">
            <v>2.1321468422073435</v>
          </cell>
          <cell r="R44">
            <v>1.9771504564110642</v>
          </cell>
          <cell r="S44">
            <v>1.8096072137015302</v>
          </cell>
          <cell r="T44">
            <v>1.9023478055732992</v>
          </cell>
          <cell r="U44">
            <v>2.0129777404511922</v>
          </cell>
          <cell r="V44">
            <v>2.304026079874093</v>
          </cell>
          <cell r="W44">
            <v>2.7992417645016405</v>
          </cell>
          <cell r="X44">
            <v>3.0682339807477179</v>
          </cell>
          <cell r="Y44">
            <v>2.7441690138981158</v>
          </cell>
          <cell r="Z44">
            <v>2.8046561391012603</v>
          </cell>
          <cell r="AA44">
            <v>2.7282838662201567</v>
          </cell>
          <cell r="AB44">
            <v>2.4959637785038216</v>
          </cell>
          <cell r="AC44">
            <v>2.4392052334479857</v>
          </cell>
          <cell r="AD44">
            <v>2.3386950979959957</v>
          </cell>
          <cell r="AE44">
            <v>2.3103955399373803</v>
          </cell>
        </row>
        <row r="45">
          <cell r="G45" t="str">
            <v>RegionAssemblyNew</v>
          </cell>
          <cell r="H45" t="str">
            <v>Com</v>
          </cell>
          <cell r="I45" t="str">
            <v>Assembly</v>
          </cell>
          <cell r="J45" t="str">
            <v>New</v>
          </cell>
          <cell r="K45" t="str">
            <v>Millions SqFt</v>
          </cell>
          <cell r="L45">
            <v>3.1854829351393543</v>
          </cell>
          <cell r="M45">
            <v>3.1699057451518957</v>
          </cell>
          <cell r="N45">
            <v>2.2628528186826316</v>
          </cell>
          <cell r="O45">
            <v>2.6023617076700645</v>
          </cell>
          <cell r="P45">
            <v>2.2919684786454506</v>
          </cell>
          <cell r="Q45">
            <v>2.1556450092355899</v>
          </cell>
          <cell r="R45">
            <v>1.4820394508668711</v>
          </cell>
          <cell r="S45">
            <v>1.5603361472368396</v>
          </cell>
          <cell r="T45">
            <v>2.3546097038898557</v>
          </cell>
          <cell r="U45">
            <v>3.2740386396924066</v>
          </cell>
          <cell r="V45">
            <v>3.6241751874536021</v>
          </cell>
          <cell r="W45">
            <v>4.4420137300219826</v>
          </cell>
          <cell r="X45">
            <v>5.8224273473135861</v>
          </cell>
          <cell r="Y45">
            <v>6.4604400946422142</v>
          </cell>
          <cell r="Z45">
            <v>6.9014803298142597</v>
          </cell>
          <cell r="AA45">
            <v>6.748515751490312</v>
          </cell>
          <cell r="AB45">
            <v>6.4364694734288266</v>
          </cell>
          <cell r="AC45">
            <v>6.3053235195290611</v>
          </cell>
          <cell r="AD45">
            <v>6.2236620394663484</v>
          </cell>
          <cell r="AE45">
            <v>6.0386522880717726</v>
          </cell>
        </row>
        <row r="46">
          <cell r="G46" t="str">
            <v>RegionOtherNew</v>
          </cell>
          <cell r="H46" t="str">
            <v>Com</v>
          </cell>
          <cell r="I46" t="str">
            <v>Other</v>
          </cell>
          <cell r="J46" t="str">
            <v>New</v>
          </cell>
          <cell r="K46" t="str">
            <v>Millions SqFt</v>
          </cell>
          <cell r="L46">
            <v>12.863107129152304</v>
          </cell>
          <cell r="M46">
            <v>10.7220378193485</v>
          </cell>
          <cell r="N46">
            <v>10.142128438066296</v>
          </cell>
          <cell r="O46">
            <v>9.4611923499879236</v>
          </cell>
          <cell r="P46">
            <v>7.3638556881373223</v>
          </cell>
          <cell r="Q46">
            <v>8.1591439254269407</v>
          </cell>
          <cell r="R46">
            <v>7.9603673258815011</v>
          </cell>
          <cell r="S46">
            <v>8.6026166911432824</v>
          </cell>
          <cell r="T46">
            <v>9.3207800366095146</v>
          </cell>
          <cell r="U46">
            <v>9.0572786632714859</v>
          </cell>
          <cell r="V46">
            <v>10.184423730877143</v>
          </cell>
          <cell r="W46">
            <v>10.787657533789663</v>
          </cell>
          <cell r="X46">
            <v>11.005378574708409</v>
          </cell>
          <cell r="Y46">
            <v>10.267063981307951</v>
          </cell>
          <cell r="Z46">
            <v>11.027475862918971</v>
          </cell>
          <cell r="AA46">
            <v>9.9609233822623686</v>
          </cell>
          <cell r="AB46">
            <v>10.340047869658916</v>
          </cell>
          <cell r="AC46">
            <v>9.8383849729989699</v>
          </cell>
          <cell r="AD46">
            <v>9.3282989614436094</v>
          </cell>
          <cell r="AE46">
            <v>9.0355729282982153</v>
          </cell>
        </row>
        <row r="47">
          <cell r="G47" t="str">
            <v>RegionLarge OffStock 2016</v>
          </cell>
          <cell r="H47" t="str">
            <v>Com</v>
          </cell>
          <cell r="I47" t="str">
            <v>Large Off</v>
          </cell>
          <cell r="J47" t="str">
            <v>Stock 2016</v>
          </cell>
          <cell r="K47" t="str">
            <v>Millions SqFt</v>
          </cell>
          <cell r="L47">
            <v>380.08828477966154</v>
          </cell>
          <cell r="M47">
            <v>378.94801992532251</v>
          </cell>
          <cell r="N47">
            <v>377.81117586554655</v>
          </cell>
          <cell r="O47">
            <v>376.67774233794995</v>
          </cell>
          <cell r="P47">
            <v>375.54770911093607</v>
          </cell>
          <cell r="Q47">
            <v>374.42106598360328</v>
          </cell>
          <cell r="R47">
            <v>373.29780278565244</v>
          </cell>
          <cell r="S47">
            <v>372.17790937729552</v>
          </cell>
          <cell r="T47">
            <v>371.06137564916361</v>
          </cell>
          <cell r="U47">
            <v>369.94819152221612</v>
          </cell>
          <cell r="V47">
            <v>368.83834694764948</v>
          </cell>
          <cell r="W47">
            <v>367.73183190680658</v>
          </cell>
          <cell r="X47">
            <v>366.62863641108612</v>
          </cell>
          <cell r="Y47">
            <v>365.52875050185287</v>
          </cell>
          <cell r="Z47">
            <v>364.43216425034728</v>
          </cell>
          <cell r="AA47">
            <v>363.33886775759629</v>
          </cell>
          <cell r="AB47">
            <v>362.24885115432346</v>
          </cell>
          <cell r="AC47">
            <v>361.16210460086046</v>
          </cell>
          <cell r="AD47">
            <v>360.07861828705791</v>
          </cell>
          <cell r="AE47">
            <v>358.99838243219671</v>
          </cell>
        </row>
        <row r="48">
          <cell r="G48" t="str">
            <v>RegionMedium OffStock 2016</v>
          </cell>
          <cell r="H48" t="str">
            <v>Com</v>
          </cell>
          <cell r="I48" t="str">
            <v>Medium Off</v>
          </cell>
          <cell r="J48" t="str">
            <v>Stock 2016</v>
          </cell>
          <cell r="K48" t="str">
            <v>Millions SqFt</v>
          </cell>
          <cell r="L48">
            <v>190.73687138333023</v>
          </cell>
          <cell r="M48">
            <v>190.16466076918024</v>
          </cell>
          <cell r="N48">
            <v>189.59416678687271</v>
          </cell>
          <cell r="O48">
            <v>189.02538428651209</v>
          </cell>
          <cell r="P48">
            <v>188.45830813365254</v>
          </cell>
          <cell r="Q48">
            <v>187.89293320925157</v>
          </cell>
          <cell r="R48">
            <v>187.32925440962381</v>
          </cell>
          <cell r="S48">
            <v>186.76726664639497</v>
          </cell>
          <cell r="T48">
            <v>186.20696484645578</v>
          </cell>
          <cell r="U48">
            <v>185.64834395191642</v>
          </cell>
          <cell r="V48">
            <v>185.09139892006067</v>
          </cell>
          <cell r="W48">
            <v>184.5361247233005</v>
          </cell>
          <cell r="X48">
            <v>183.98251634913058</v>
          </cell>
          <cell r="Y48">
            <v>183.43056880008319</v>
          </cell>
          <cell r="Z48">
            <v>182.88027709368296</v>
          </cell>
          <cell r="AA48">
            <v>182.33163626240187</v>
          </cell>
          <cell r="AB48">
            <v>181.78464135361469</v>
          </cell>
          <cell r="AC48">
            <v>181.23928742955383</v>
          </cell>
          <cell r="AD48">
            <v>180.69556956726515</v>
          </cell>
          <cell r="AE48">
            <v>180.15348285856339</v>
          </cell>
        </row>
        <row r="49">
          <cell r="G49" t="str">
            <v>RegionSmall OffStock 2016</v>
          </cell>
          <cell r="H49" t="str">
            <v>Com</v>
          </cell>
          <cell r="I49" t="str">
            <v>Small Off</v>
          </cell>
          <cell r="J49" t="str">
            <v>Stock 2016</v>
          </cell>
          <cell r="K49" t="str">
            <v>Millions SqFt</v>
          </cell>
          <cell r="L49">
            <v>184.0913556049378</v>
          </cell>
          <cell r="M49">
            <v>183.53908153812301</v>
          </cell>
          <cell r="N49">
            <v>182.98846429350866</v>
          </cell>
          <cell r="O49">
            <v>182.43949890062811</v>
          </cell>
          <cell r="P49">
            <v>181.89218040392623</v>
          </cell>
          <cell r="Q49">
            <v>181.34650386271446</v>
          </cell>
          <cell r="R49">
            <v>180.80246435112633</v>
          </cell>
          <cell r="S49">
            <v>180.26005695807294</v>
          </cell>
          <cell r="T49">
            <v>179.71927678719871</v>
          </cell>
          <cell r="U49">
            <v>179.18011895683713</v>
          </cell>
          <cell r="V49">
            <v>178.64257859996661</v>
          </cell>
          <cell r="W49">
            <v>178.10665086416668</v>
          </cell>
          <cell r="X49">
            <v>177.57233091157423</v>
          </cell>
          <cell r="Y49">
            <v>177.03961391883951</v>
          </cell>
          <cell r="Z49">
            <v>176.50849507708296</v>
          </cell>
          <cell r="AA49">
            <v>175.97896959185172</v>
          </cell>
          <cell r="AB49">
            <v>175.45103268307616</v>
          </cell>
          <cell r="AC49">
            <v>174.92467958502692</v>
          </cell>
          <cell r="AD49">
            <v>174.39990554627184</v>
          </cell>
          <cell r="AE49">
            <v>173.87670582963304</v>
          </cell>
        </row>
        <row r="50">
          <cell r="G50" t="str">
            <v>RegionBig Box-RetailStock 2016</v>
          </cell>
          <cell r="H50" t="str">
            <v>Com</v>
          </cell>
          <cell r="I50" t="str">
            <v>Big Box-Retail</v>
          </cell>
          <cell r="J50" t="str">
            <v>Stock 2016</v>
          </cell>
          <cell r="K50" t="str">
            <v>Millions SqFt</v>
          </cell>
          <cell r="L50">
            <v>138.35734062238015</v>
          </cell>
          <cell r="M50">
            <v>137.7208968555172</v>
          </cell>
          <cell r="N50">
            <v>137.08738072998179</v>
          </cell>
          <cell r="O50">
            <v>136.45677877862389</v>
          </cell>
          <cell r="P50">
            <v>135.8290775962422</v>
          </cell>
          <cell r="Q50">
            <v>135.20426383929947</v>
          </cell>
          <cell r="R50">
            <v>134.5823242256387</v>
          </cell>
          <cell r="S50">
            <v>133.96324553420075</v>
          </cell>
          <cell r="T50">
            <v>133.34701460474344</v>
          </cell>
          <cell r="U50">
            <v>132.73361833756161</v>
          </cell>
          <cell r="V50">
            <v>132.12304369320884</v>
          </cell>
          <cell r="W50">
            <v>131.51527769222005</v>
          </cell>
          <cell r="X50">
            <v>130.91030741483584</v>
          </cell>
          <cell r="Y50">
            <v>130.3081200007276</v>
          </cell>
          <cell r="Z50">
            <v>129.70870264872423</v>
          </cell>
          <cell r="AA50">
            <v>129.11204261654012</v>
          </cell>
          <cell r="AB50">
            <v>128.51812722050403</v>
          </cell>
          <cell r="AC50">
            <v>127.92694383528971</v>
          </cell>
          <cell r="AD50">
            <v>127.33847989364737</v>
          </cell>
          <cell r="AE50">
            <v>126.75272288613657</v>
          </cell>
        </row>
        <row r="51">
          <cell r="G51" t="str">
            <v>RegionSmall Box-RetailStock 2016</v>
          </cell>
          <cell r="H51" t="str">
            <v>Com</v>
          </cell>
          <cell r="I51" t="str">
            <v>Small Box-Retail</v>
          </cell>
          <cell r="J51" t="str">
            <v>Stock 2016</v>
          </cell>
          <cell r="K51" t="str">
            <v>Millions SqFt</v>
          </cell>
          <cell r="L51">
            <v>208.9574509880029</v>
          </cell>
          <cell r="M51">
            <v>207.99624671345808</v>
          </cell>
          <cell r="N51">
            <v>207.03946397857615</v>
          </cell>
          <cell r="O51">
            <v>206.0870824442747</v>
          </cell>
          <cell r="P51">
            <v>205.13908186503102</v>
          </cell>
          <cell r="Q51">
            <v>204.1954420884519</v>
          </cell>
          <cell r="R51">
            <v>203.25614305484498</v>
          </cell>
          <cell r="S51">
            <v>202.32116479679266</v>
          </cell>
          <cell r="T51">
            <v>201.3904874387274</v>
          </cell>
          <cell r="U51">
            <v>200.46409119650929</v>
          </cell>
          <cell r="V51">
            <v>199.54195637700533</v>
          </cell>
          <cell r="W51">
            <v>198.62406337767112</v>
          </cell>
          <cell r="X51">
            <v>197.71039268613379</v>
          </cell>
          <cell r="Y51">
            <v>196.8009248797776</v>
          </cell>
          <cell r="Z51">
            <v>195.8956406253306</v>
          </cell>
          <cell r="AA51">
            <v>194.99452067845405</v>
          </cell>
          <cell r="AB51">
            <v>194.09754588333314</v>
          </cell>
          <cell r="AC51">
            <v>193.20469717226982</v>
          </cell>
          <cell r="AD51">
            <v>192.31595556527733</v>
          </cell>
          <cell r="AE51">
            <v>191.43130216967708</v>
          </cell>
        </row>
        <row r="52">
          <cell r="G52" t="str">
            <v>RegionHigh End-RetailStock 2016</v>
          </cell>
          <cell r="H52" t="str">
            <v>Com</v>
          </cell>
          <cell r="I52" t="str">
            <v>High End-Retail</v>
          </cell>
          <cell r="J52" t="str">
            <v>Stock 2016</v>
          </cell>
          <cell r="K52" t="str">
            <v>Millions SqFt</v>
          </cell>
          <cell r="L52">
            <v>97.115689913224898</v>
          </cell>
          <cell r="M52">
            <v>96.668957739624062</v>
          </cell>
          <cell r="N52">
            <v>96.224280534021787</v>
          </cell>
          <cell r="O52">
            <v>95.781648843565293</v>
          </cell>
          <cell r="P52">
            <v>95.34105325888487</v>
          </cell>
          <cell r="Q52">
            <v>94.902484413894001</v>
          </cell>
          <cell r="R52">
            <v>94.465932985590086</v>
          </cell>
          <cell r="S52">
            <v>94.031389693856369</v>
          </cell>
          <cell r="T52">
            <v>93.598845301264618</v>
          </cell>
          <cell r="U52">
            <v>93.168290612878806</v>
          </cell>
          <cell r="V52">
            <v>92.739716476059556</v>
          </cell>
          <cell r="W52">
            <v>92.313113780269674</v>
          </cell>
          <cell r="X52">
            <v>91.888473456880433</v>
          </cell>
          <cell r="Y52">
            <v>91.465786478978771</v>
          </cell>
          <cell r="Z52">
            <v>91.045043861175472</v>
          </cell>
          <cell r="AA52">
            <v>90.626236659414062</v>
          </cell>
          <cell r="AB52">
            <v>90.209355970780734</v>
          </cell>
          <cell r="AC52">
            <v>89.794392933315152</v>
          </cell>
          <cell r="AD52">
            <v>89.381338725821905</v>
          </cell>
          <cell r="AE52">
            <v>88.97018456768312</v>
          </cell>
        </row>
        <row r="53">
          <cell r="G53" t="str">
            <v>RegionAnchor-RetailStock 2016</v>
          </cell>
          <cell r="H53" t="str">
            <v>Com</v>
          </cell>
          <cell r="I53" t="str">
            <v>Anchor-Retail</v>
          </cell>
          <cell r="J53" t="str">
            <v>Stock 2016</v>
          </cell>
          <cell r="K53" t="str">
            <v>Millions SqFt</v>
          </cell>
          <cell r="L53">
            <v>109.47966092768364</v>
          </cell>
          <cell r="M53">
            <v>108.97605448741629</v>
          </cell>
          <cell r="N53">
            <v>108.47476463677417</v>
          </cell>
          <cell r="O53">
            <v>107.975780719445</v>
          </cell>
          <cell r="P53">
            <v>107.47909212813555</v>
          </cell>
          <cell r="Q53">
            <v>106.98468830434612</v>
          </cell>
          <cell r="R53">
            <v>106.49255873814613</v>
          </cell>
          <cell r="S53">
            <v>106.00269296795065</v>
          </cell>
          <cell r="T53">
            <v>105.51508058029808</v>
          </cell>
          <cell r="U53">
            <v>105.0297112096287</v>
          </cell>
          <cell r="V53">
            <v>104.54657453806439</v>
          </cell>
          <cell r="W53">
            <v>104.0656602951893</v>
          </cell>
          <cell r="X53">
            <v>103.58695825783141</v>
          </cell>
          <cell r="Y53">
            <v>103.11045824984539</v>
          </cell>
          <cell r="Z53">
            <v>102.6361501418961</v>
          </cell>
          <cell r="AA53">
            <v>102.16402385124337</v>
          </cell>
          <cell r="AB53">
            <v>101.69406934152764</v>
          </cell>
          <cell r="AC53">
            <v>101.2262766225566</v>
          </cell>
          <cell r="AD53">
            <v>100.76063575009285</v>
          </cell>
          <cell r="AE53">
            <v>100.29713682564241</v>
          </cell>
        </row>
        <row r="54">
          <cell r="G54" t="str">
            <v>RegionK-12Stock 2016</v>
          </cell>
          <cell r="H54" t="str">
            <v>Com</v>
          </cell>
          <cell r="I54" t="str">
            <v>K-12</v>
          </cell>
          <cell r="J54" t="str">
            <v>Stock 2016</v>
          </cell>
          <cell r="K54" t="str">
            <v>Millions SqFt</v>
          </cell>
          <cell r="L54">
            <v>241.11763975818661</v>
          </cell>
          <cell r="M54">
            <v>240.12905743517803</v>
          </cell>
          <cell r="N54">
            <v>239.14452829969383</v>
          </cell>
          <cell r="O54">
            <v>238.16403573366509</v>
          </cell>
          <cell r="P54">
            <v>237.18756318715711</v>
          </cell>
          <cell r="Q54">
            <v>236.21509417808971</v>
          </cell>
          <cell r="R54">
            <v>235.24661229195956</v>
          </cell>
          <cell r="S54">
            <v>234.28210118156252</v>
          </cell>
          <cell r="T54">
            <v>233.32154456671807</v>
          </cell>
          <cell r="U54">
            <v>232.36492623399457</v>
          </cell>
          <cell r="V54">
            <v>231.41223003643518</v>
          </cell>
          <cell r="W54">
            <v>230.46343989328579</v>
          </cell>
          <cell r="X54">
            <v>229.51853978972335</v>
          </cell>
          <cell r="Y54">
            <v>228.57751377658545</v>
          </cell>
          <cell r="Z54">
            <v>227.64034597010144</v>
          </cell>
          <cell r="AA54">
            <v>226.70702055162403</v>
          </cell>
          <cell r="AB54">
            <v>225.77752176736234</v>
          </cell>
          <cell r="AC54">
            <v>224.85183392811618</v>
          </cell>
          <cell r="AD54">
            <v>223.92994140901092</v>
          </cell>
          <cell r="AE54">
            <v>223.01182864923393</v>
          </cell>
        </row>
        <row r="55">
          <cell r="G55" t="str">
            <v>RegionUniversityStock 2016</v>
          </cell>
          <cell r="H55" t="str">
            <v>Com</v>
          </cell>
          <cell r="I55" t="str">
            <v>University</v>
          </cell>
          <cell r="J55" t="str">
            <v>Stock 2016</v>
          </cell>
          <cell r="K55" t="str">
            <v>Millions SqFt</v>
          </cell>
          <cell r="L55">
            <v>122.15340627232256</v>
          </cell>
          <cell r="M55">
            <v>121.65257730660603</v>
          </cell>
          <cell r="N55">
            <v>121.15380173964894</v>
          </cell>
          <cell r="O55">
            <v>120.65707115251638</v>
          </cell>
          <cell r="P55">
            <v>120.16237716079107</v>
          </cell>
          <cell r="Q55">
            <v>119.66971141443182</v>
          </cell>
          <cell r="R55">
            <v>119.17906559763266</v>
          </cell>
          <cell r="S55">
            <v>118.69043142868237</v>
          </cell>
          <cell r="T55">
            <v>118.20380065982476</v>
          </cell>
          <cell r="U55">
            <v>117.71916507711948</v>
          </cell>
          <cell r="V55">
            <v>117.23651650030328</v>
          </cell>
          <cell r="W55">
            <v>116.75584678265207</v>
          </cell>
          <cell r="X55">
            <v>116.27714781084319</v>
          </cell>
          <cell r="Y55">
            <v>115.80041150481873</v>
          </cell>
          <cell r="Z55">
            <v>115.32562981764897</v>
          </cell>
          <cell r="AA55">
            <v>114.8527947353966</v>
          </cell>
          <cell r="AB55">
            <v>114.38189827698147</v>
          </cell>
          <cell r="AC55">
            <v>113.91293249404585</v>
          </cell>
          <cell r="AD55">
            <v>113.44588947082025</v>
          </cell>
          <cell r="AE55">
            <v>112.98076132398991</v>
          </cell>
        </row>
        <row r="56">
          <cell r="G56" t="str">
            <v>RegionWarehouseStock 2016</v>
          </cell>
          <cell r="H56" t="str">
            <v>Com</v>
          </cell>
          <cell r="I56" t="str">
            <v>Warehouse</v>
          </cell>
          <cell r="J56" t="str">
            <v>Stock 2016</v>
          </cell>
          <cell r="K56" t="str">
            <v>Millions SqFt</v>
          </cell>
          <cell r="L56">
            <v>448.69829599576161</v>
          </cell>
          <cell r="M56">
            <v>447.03811230057732</v>
          </cell>
          <cell r="N56">
            <v>445.3840712850652</v>
          </cell>
          <cell r="O56">
            <v>443.73615022131042</v>
          </cell>
          <cell r="P56">
            <v>442.09432646549152</v>
          </cell>
          <cell r="Q56">
            <v>440.45857745756916</v>
          </cell>
          <cell r="R56">
            <v>438.82888072097626</v>
          </cell>
          <cell r="S56">
            <v>437.2052138623086</v>
          </cell>
          <cell r="T56">
            <v>435.58755457101802</v>
          </cell>
          <cell r="U56">
            <v>433.97588061910528</v>
          </cell>
          <cell r="V56">
            <v>432.37016986081449</v>
          </cell>
          <cell r="W56">
            <v>430.77040023232951</v>
          </cell>
          <cell r="X56">
            <v>429.17654975146979</v>
          </cell>
          <cell r="Y56">
            <v>427.58859651738936</v>
          </cell>
          <cell r="Z56">
            <v>426.00651871027503</v>
          </cell>
          <cell r="AA56">
            <v>424.43029459104702</v>
          </cell>
          <cell r="AB56">
            <v>422.85990250106011</v>
          </cell>
          <cell r="AC56">
            <v>421.2953208618062</v>
          </cell>
          <cell r="AD56">
            <v>419.73652817461749</v>
          </cell>
          <cell r="AE56">
            <v>418.18350302037135</v>
          </cell>
        </row>
        <row r="57">
          <cell r="G57" t="str">
            <v>RegionSupermarketStock 2016</v>
          </cell>
          <cell r="H57" t="str">
            <v>Com</v>
          </cell>
          <cell r="I57" t="str">
            <v>Supermarket</v>
          </cell>
          <cell r="J57" t="str">
            <v>Stock 2016</v>
          </cell>
          <cell r="K57" t="str">
            <v>Millions SqFt</v>
          </cell>
          <cell r="L57">
            <v>53.720939527021244</v>
          </cell>
          <cell r="M57">
            <v>53.237451071278059</v>
          </cell>
          <cell r="N57">
            <v>52.758314011636557</v>
          </cell>
          <cell r="O57">
            <v>52.283489185531828</v>
          </cell>
          <cell r="P57">
            <v>51.812937782862043</v>
          </cell>
          <cell r="Q57">
            <v>51.346621342816277</v>
          </cell>
          <cell r="R57">
            <v>50.884501750730934</v>
          </cell>
          <cell r="S57">
            <v>50.426541234974358</v>
          </cell>
          <cell r="T57">
            <v>49.97270236385959</v>
          </cell>
          <cell r="U57">
            <v>49.522948042584851</v>
          </cell>
          <cell r="V57">
            <v>49.077241510201581</v>
          </cell>
          <cell r="W57">
            <v>48.635546336609778</v>
          </cell>
          <cell r="X57">
            <v>48.197826419580288</v>
          </cell>
          <cell r="Y57">
            <v>47.76404598180406</v>
          </cell>
          <cell r="Z57">
            <v>47.33416956796782</v>
          </cell>
          <cell r="AA57">
            <v>46.908162041856116</v>
          </cell>
          <cell r="AB57">
            <v>46.485988583479411</v>
          </cell>
          <cell r="AC57">
            <v>46.067614686228097</v>
          </cell>
          <cell r="AD57">
            <v>45.653006154052044</v>
          </cell>
          <cell r="AE57">
            <v>45.242129098665572</v>
          </cell>
        </row>
        <row r="58">
          <cell r="G58" t="str">
            <v>RegionMiniMartStock 2016</v>
          </cell>
          <cell r="H58" t="str">
            <v>Com</v>
          </cell>
          <cell r="I58" t="str">
            <v>MiniMart</v>
          </cell>
          <cell r="J58" t="str">
            <v>Stock 2016</v>
          </cell>
          <cell r="K58" t="str">
            <v>Millions SqFt</v>
          </cell>
          <cell r="L58">
            <v>22.491017060912501</v>
          </cell>
          <cell r="M58">
            <v>22.384859460384995</v>
          </cell>
          <cell r="N58">
            <v>22.279202923731983</v>
          </cell>
          <cell r="O58">
            <v>22.174045085931969</v>
          </cell>
          <cell r="P58">
            <v>22.069383593126368</v>
          </cell>
          <cell r="Q58">
            <v>21.965216102566814</v>
          </cell>
          <cell r="R58">
            <v>21.8615402825627</v>
          </cell>
          <cell r="S58">
            <v>21.758353812429004</v>
          </cell>
          <cell r="T58">
            <v>21.655654382434342</v>
          </cell>
          <cell r="U58">
            <v>21.553439693749251</v>
          </cell>
          <cell r="V58">
            <v>21.451707458394754</v>
          </cell>
          <cell r="W58">
            <v>21.350455399191134</v>
          </cell>
          <cell r="X58">
            <v>21.249681249706953</v>
          </cell>
          <cell r="Y58">
            <v>21.149382754208336</v>
          </cell>
          <cell r="Z58">
            <v>21.049557667608472</v>
          </cell>
          <cell r="AA58">
            <v>20.950203755417366</v>
          </cell>
          <cell r="AB58">
            <v>20.851318793691796</v>
          </cell>
          <cell r="AC58">
            <v>20.75290056898557</v>
          </cell>
          <cell r="AD58">
            <v>20.654946878299963</v>
          </cell>
          <cell r="AE58">
            <v>20.557455529034385</v>
          </cell>
        </row>
        <row r="59">
          <cell r="G59" t="str">
            <v>RegionRestaurantStock 2016</v>
          </cell>
          <cell r="H59" t="str">
            <v>Com</v>
          </cell>
          <cell r="I59" t="str">
            <v>Restaurant</v>
          </cell>
          <cell r="J59" t="str">
            <v>Stock 2016</v>
          </cell>
          <cell r="K59" t="str">
            <v>Millions SqFt</v>
          </cell>
          <cell r="L59">
            <v>51.550857208753726</v>
          </cell>
          <cell r="M59">
            <v>51.307537162728408</v>
          </cell>
          <cell r="N59">
            <v>51.065365587320336</v>
          </cell>
          <cell r="O59">
            <v>50.824337061748189</v>
          </cell>
          <cell r="P59">
            <v>50.584446190816735</v>
          </cell>
          <cell r="Q59">
            <v>50.345687604796083</v>
          </cell>
          <cell r="R59">
            <v>50.108055959301453</v>
          </cell>
          <cell r="S59">
            <v>49.871545935173543</v>
          </cell>
          <cell r="T59">
            <v>49.636152238359529</v>
          </cell>
          <cell r="U59">
            <v>49.40186959979448</v>
          </cell>
          <cell r="V59">
            <v>49.168692775283453</v>
          </cell>
          <cell r="W59">
            <v>48.936616545384119</v>
          </cell>
          <cell r="X59">
            <v>48.705635715289908</v>
          </cell>
          <cell r="Y59">
            <v>48.475745114713739</v>
          </cell>
          <cell r="Z59">
            <v>48.246939597772297</v>
          </cell>
          <cell r="AA59">
            <v>48.019214042870807</v>
          </cell>
          <cell r="AB59">
            <v>47.792563352588466</v>
          </cell>
          <cell r="AC59">
            <v>47.56698245356425</v>
          </cell>
          <cell r="AD59">
            <v>47.342466296383435</v>
          </cell>
          <cell r="AE59">
            <v>47.119009855464505</v>
          </cell>
        </row>
        <row r="60">
          <cell r="G60" t="str">
            <v>RegionLodgingStock 2016</v>
          </cell>
          <cell r="H60" t="str">
            <v>Com</v>
          </cell>
          <cell r="I60" t="str">
            <v>Lodging</v>
          </cell>
          <cell r="J60" t="str">
            <v>Stock 2016</v>
          </cell>
          <cell r="K60" t="str">
            <v>Millions SqFt</v>
          </cell>
          <cell r="L60">
            <v>170.15189589049527</v>
          </cell>
          <cell r="M60">
            <v>169.74353134035809</v>
          </cell>
          <cell r="N60">
            <v>169.33614686514122</v>
          </cell>
          <cell r="O60">
            <v>168.92974011266489</v>
          </cell>
          <cell r="P60">
            <v>168.52430873639449</v>
          </cell>
          <cell r="Q60">
            <v>168.11985039542716</v>
          </cell>
          <cell r="R60">
            <v>167.71636275447813</v>
          </cell>
          <cell r="S60">
            <v>167.31384348386743</v>
          </cell>
          <cell r="T60">
            <v>166.91229025950614</v>
          </cell>
          <cell r="U60">
            <v>166.51170076288332</v>
          </cell>
          <cell r="V60">
            <v>166.11207268105238</v>
          </cell>
          <cell r="W60">
            <v>165.7134037066179</v>
          </cell>
          <cell r="X60">
            <v>165.31569153772202</v>
          </cell>
          <cell r="Y60">
            <v>164.91893387803151</v>
          </cell>
          <cell r="Z60">
            <v>164.52312843672422</v>
          </cell>
          <cell r="AA60">
            <v>164.12827292847609</v>
          </cell>
          <cell r="AB60">
            <v>163.73436507344778</v>
          </cell>
          <cell r="AC60">
            <v>163.3414025972715</v>
          </cell>
          <cell r="AD60">
            <v>162.94938323103807</v>
          </cell>
          <cell r="AE60">
            <v>162.55830471128357</v>
          </cell>
        </row>
        <row r="61">
          <cell r="G61" t="str">
            <v>RegionHospitalStock 2016</v>
          </cell>
          <cell r="H61" t="str">
            <v>Com</v>
          </cell>
          <cell r="I61" t="str">
            <v>Hospital</v>
          </cell>
          <cell r="J61" t="str">
            <v>Stock 2016</v>
          </cell>
          <cell r="K61" t="str">
            <v>Millions SqFt</v>
          </cell>
          <cell r="L61">
            <v>105.02947953487826</v>
          </cell>
          <cell r="M61">
            <v>104.80891762785501</v>
          </cell>
          <cell r="N61">
            <v>104.58881890083651</v>
          </cell>
          <cell r="O61">
            <v>104.36918238114475</v>
          </cell>
          <cell r="P61">
            <v>104.15000709814436</v>
          </cell>
          <cell r="Q61">
            <v>103.93129208323826</v>
          </cell>
          <cell r="R61">
            <v>103.71303636986346</v>
          </cell>
          <cell r="S61">
            <v>103.49523899348674</v>
          </cell>
          <cell r="T61">
            <v>103.27789899160042</v>
          </cell>
          <cell r="U61">
            <v>103.06101540371807</v>
          </cell>
          <cell r="V61">
            <v>102.84458727137024</v>
          </cell>
          <cell r="W61">
            <v>102.62861363810038</v>
          </cell>
          <cell r="X61">
            <v>102.41309354946036</v>
          </cell>
          <cell r="Y61">
            <v>102.19802605300649</v>
          </cell>
          <cell r="Z61">
            <v>101.98341019829519</v>
          </cell>
          <cell r="AA61">
            <v>101.76924503687877</v>
          </cell>
          <cell r="AB61">
            <v>101.55552962230132</v>
          </cell>
          <cell r="AC61">
            <v>101.3422630100945</v>
          </cell>
          <cell r="AD61">
            <v>101.1294442577733</v>
          </cell>
          <cell r="AE61">
            <v>100.91707242483197</v>
          </cell>
        </row>
        <row r="62">
          <cell r="G62" t="str">
            <v>RegionOtherHealthStock 2016</v>
          </cell>
          <cell r="H62" t="str">
            <v>Com</v>
          </cell>
          <cell r="I62" t="str">
            <v>OtherHealth</v>
          </cell>
          <cell r="J62" t="str">
            <v>Stock 2016</v>
          </cell>
          <cell r="K62" t="str">
            <v>Millions SqFt</v>
          </cell>
          <cell r="L62">
            <v>128.74820917277606</v>
          </cell>
          <cell r="M62">
            <v>128.43921347076139</v>
          </cell>
          <cell r="N62">
            <v>128.1309593584316</v>
          </cell>
          <cell r="O62">
            <v>127.82344505597135</v>
          </cell>
          <cell r="P62">
            <v>127.51666878783702</v>
          </cell>
          <cell r="Q62">
            <v>127.21062878274621</v>
          </cell>
          <cell r="R62">
            <v>126.90532327366765</v>
          </cell>
          <cell r="S62">
            <v>126.60075049781085</v>
          </cell>
          <cell r="T62">
            <v>126.29690869661611</v>
          </cell>
          <cell r="U62">
            <v>125.99379611574425</v>
          </cell>
          <cell r="V62">
            <v>125.69141100506647</v>
          </cell>
          <cell r="W62">
            <v>125.3897516186543</v>
          </cell>
          <cell r="X62">
            <v>125.08881621476955</v>
          </cell>
          <cell r="Y62">
            <v>124.78860305585408</v>
          </cell>
          <cell r="Z62">
            <v>124.48911040852005</v>
          </cell>
          <cell r="AA62">
            <v>124.1903365435396</v>
          </cell>
          <cell r="AB62">
            <v>123.8922797358351</v>
          </cell>
          <cell r="AC62">
            <v>123.59493826446912</v>
          </cell>
          <cell r="AD62">
            <v>123.29831041263438</v>
          </cell>
          <cell r="AE62">
            <v>123.00239446764408</v>
          </cell>
        </row>
        <row r="63">
          <cell r="G63" t="str">
            <v>RegionAssemblyStock 2016</v>
          </cell>
          <cell r="H63" t="str">
            <v>Com</v>
          </cell>
          <cell r="I63" t="str">
            <v>Assembly</v>
          </cell>
          <cell r="J63" t="str">
            <v>Stock 2016</v>
          </cell>
          <cell r="K63" t="str">
            <v>Millions SqFt</v>
          </cell>
          <cell r="L63">
            <v>375.90224900649127</v>
          </cell>
          <cell r="M63">
            <v>374.21570091594884</v>
          </cell>
          <cell r="N63">
            <v>372.53671980450594</v>
          </cell>
          <cell r="O63">
            <v>370.86527172164978</v>
          </cell>
          <cell r="P63">
            <v>369.20132286919198</v>
          </cell>
          <cell r="Q63">
            <v>367.54483960058553</v>
          </cell>
          <cell r="R63">
            <v>365.89578842024423</v>
          </cell>
          <cell r="S63">
            <v>364.25413598286536</v>
          </cell>
          <cell r="T63">
            <v>362.6198490927556</v>
          </cell>
          <cell r="U63">
            <v>360.99289470315949</v>
          </cell>
          <cell r="V63">
            <v>359.37323991559134</v>
          </cell>
          <cell r="W63">
            <v>357.76085197917007</v>
          </cell>
          <cell r="X63">
            <v>356.15569828995689</v>
          </cell>
          <cell r="Y63">
            <v>354.55774639029596</v>
          </cell>
          <cell r="Z63">
            <v>352.96696396815821</v>
          </cell>
          <cell r="AA63">
            <v>351.38331885648773</v>
          </cell>
          <cell r="AB63">
            <v>349.80677903255156</v>
          </cell>
          <cell r="AC63">
            <v>348.23731261729228</v>
          </cell>
          <cell r="AD63">
            <v>346.67488787468267</v>
          </cell>
          <cell r="AE63">
            <v>345.11947321108494</v>
          </cell>
        </row>
        <row r="64">
          <cell r="G64" t="str">
            <v>RegionOtherStock 2016</v>
          </cell>
          <cell r="H64" t="str">
            <v>Com</v>
          </cell>
          <cell r="I64" t="str">
            <v>Other</v>
          </cell>
          <cell r="J64" t="str">
            <v>Stock 2016</v>
          </cell>
          <cell r="K64" t="str">
            <v>Millions SqFt</v>
          </cell>
          <cell r="L64">
            <v>342.64988330108076</v>
          </cell>
          <cell r="M64">
            <v>339.56603435137106</v>
          </cell>
          <cell r="N64">
            <v>336.50994004220871</v>
          </cell>
          <cell r="O64">
            <v>333.48135058182885</v>
          </cell>
          <cell r="P64">
            <v>330.48001842659238</v>
          </cell>
          <cell r="Q64">
            <v>327.50569826075304</v>
          </cell>
          <cell r="R64">
            <v>324.55814697640625</v>
          </cell>
          <cell r="S64">
            <v>321.63712365361863</v>
          </cell>
          <cell r="T64">
            <v>318.7423895407361</v>
          </cell>
          <cell r="U64">
            <v>315.87370803486942</v>
          </cell>
          <cell r="V64">
            <v>313.03084466255564</v>
          </cell>
          <cell r="W64">
            <v>310.21356706059254</v>
          </cell>
          <cell r="X64">
            <v>307.42164495704725</v>
          </cell>
          <cell r="Y64">
            <v>304.65485015243382</v>
          </cell>
          <cell r="Z64">
            <v>301.9129565010619</v>
          </cell>
          <cell r="AA64">
            <v>299.19573989255235</v>
          </cell>
          <cell r="AB64">
            <v>296.50297823351934</v>
          </cell>
          <cell r="AC64">
            <v>293.83445142941764</v>
          </cell>
          <cell r="AD64">
            <v>291.18994136655289</v>
          </cell>
          <cell r="AE64">
            <v>288.5692318942539</v>
          </cell>
        </row>
      </sheetData>
      <sheetData sheetId="2">
        <row r="3">
          <cell r="H3">
            <v>100</v>
          </cell>
        </row>
        <row r="4">
          <cell r="H4">
            <v>100</v>
          </cell>
        </row>
      </sheetData>
      <sheetData sheetId="3">
        <row r="24">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row>
        <row r="25">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row>
        <row r="26">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row>
        <row r="27">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row>
        <row r="34">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row>
        <row r="35">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row>
        <row r="36">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row>
        <row r="37">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row>
        <row r="44">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row>
        <row r="45">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row>
        <row r="46">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row>
        <row r="47">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row>
        <row r="54">
          <cell r="G54">
            <v>29614.268</v>
          </cell>
          <cell r="H54">
            <v>32248.535</v>
          </cell>
          <cell r="I54">
            <v>34559.441999999995</v>
          </cell>
          <cell r="J54">
            <v>42040.175999999999</v>
          </cell>
          <cell r="K54">
            <v>48415.591999999997</v>
          </cell>
          <cell r="L54">
            <v>44234.157999999996</v>
          </cell>
          <cell r="M54">
            <v>57584.008000000002</v>
          </cell>
          <cell r="N54">
            <v>61360.741000000002</v>
          </cell>
          <cell r="O54">
            <v>63637.876000000004</v>
          </cell>
          <cell r="P54">
            <v>54867.252999999997</v>
          </cell>
          <cell r="Q54">
            <v>57384.413</v>
          </cell>
          <cell r="R54">
            <v>56006.91</v>
          </cell>
          <cell r="S54">
            <v>58939.248</v>
          </cell>
          <cell r="T54">
            <v>56527.233</v>
          </cell>
          <cell r="U54">
            <v>51608.513999999996</v>
          </cell>
          <cell r="V54">
            <v>52738.448000000004</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row>
        <row r="55">
          <cell r="G55">
            <v>18929.763197074921</v>
          </cell>
          <cell r="H55">
            <v>19012.285997102455</v>
          </cell>
          <cell r="I55">
            <v>22080.05399967837</v>
          </cell>
          <cell r="J55">
            <v>28601.778161129085</v>
          </cell>
          <cell r="K55">
            <v>27202.893689869059</v>
          </cell>
          <cell r="L55">
            <v>12390.210937882894</v>
          </cell>
          <cell r="M55">
            <v>12173.152842775997</v>
          </cell>
          <cell r="N55">
            <v>12361.89700061282</v>
          </cell>
          <cell r="O55">
            <v>17122.743158401601</v>
          </cell>
          <cell r="P55">
            <v>18662.733640245107</v>
          </cell>
          <cell r="Q55">
            <v>21954.730458996564</v>
          </cell>
          <cell r="R55">
            <v>20000.57314201623</v>
          </cell>
          <cell r="S55">
            <v>20642.129902132976</v>
          </cell>
          <cell r="T55">
            <v>18328.494801049026</v>
          </cell>
          <cell r="U55">
            <v>14151.270582179823</v>
          </cell>
          <cell r="V55">
            <v>14626.267683576692</v>
          </cell>
          <cell r="W55">
            <v>12028.647109827845</v>
          </cell>
          <cell r="X55">
            <v>13046.576324182057</v>
          </cell>
          <cell r="Y55">
            <v>13957.232094298251</v>
          </cell>
          <cell r="Z55">
            <v>13931.004497270837</v>
          </cell>
          <cell r="AA55">
            <v>15900.995334173014</v>
          </cell>
          <cell r="AB55">
            <v>15570.247880584542</v>
          </cell>
          <cell r="AC55">
            <v>11944.723214001346</v>
          </cell>
          <cell r="AD55">
            <v>4141.9202192737603</v>
          </cell>
          <cell r="AE55">
            <v>4082.3550519108021</v>
          </cell>
        </row>
        <row r="56">
          <cell r="G56">
            <v>1541.8068029250769</v>
          </cell>
          <cell r="H56">
            <v>1789.2040028975434</v>
          </cell>
          <cell r="I56">
            <v>2697.4260003216259</v>
          </cell>
          <cell r="J56">
            <v>2452.6218388709185</v>
          </cell>
          <cell r="K56">
            <v>1250.8263101309403</v>
          </cell>
          <cell r="L56">
            <v>1272.6790621171076</v>
          </cell>
          <cell r="M56">
            <v>1783.7271572240043</v>
          </cell>
          <cell r="N56">
            <v>2321.94299938718</v>
          </cell>
          <cell r="O56">
            <v>2678.3968415983995</v>
          </cell>
          <cell r="P56">
            <v>3071.6263597548932</v>
          </cell>
          <cell r="Q56">
            <v>2881.3195410034377</v>
          </cell>
          <cell r="R56">
            <v>2811.4968579837696</v>
          </cell>
          <cell r="S56">
            <v>2476.4300978670262</v>
          </cell>
          <cell r="T56">
            <v>2052.8651989509744</v>
          </cell>
          <cell r="U56">
            <v>2155.6894178201746</v>
          </cell>
          <cell r="V56">
            <v>2035.7623164233073</v>
          </cell>
          <cell r="W56">
            <v>2249.9028901721549</v>
          </cell>
          <cell r="X56">
            <v>2341.7336758179449</v>
          </cell>
          <cell r="Y56">
            <v>2340.0879057017487</v>
          </cell>
          <cell r="Z56">
            <v>2581.1355027291629</v>
          </cell>
          <cell r="AA56">
            <v>2450.9446658269858</v>
          </cell>
          <cell r="AB56">
            <v>2125.3821194154557</v>
          </cell>
          <cell r="AC56">
            <v>1478.8567859986533</v>
          </cell>
          <cell r="AD56">
            <v>1471.80978072624</v>
          </cell>
          <cell r="AE56">
            <v>1909.1649480891979</v>
          </cell>
        </row>
        <row r="57">
          <cell r="G57">
            <v>8065.1900000000005</v>
          </cell>
          <cell r="H57">
            <v>7680.98</v>
          </cell>
          <cell r="I57">
            <v>8859.369999999999</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6539.3899999999994</v>
          </cell>
          <cell r="Y57">
            <v>6359.29</v>
          </cell>
          <cell r="Z57">
            <v>6381.37</v>
          </cell>
          <cell r="AA57">
            <v>6080.27</v>
          </cell>
          <cell r="AB57">
            <v>4894.01</v>
          </cell>
          <cell r="AC57">
            <v>3674.09</v>
          </cell>
          <cell r="AD57">
            <v>2014.3</v>
          </cell>
          <cell r="AE57">
            <v>1796.25</v>
          </cell>
        </row>
      </sheetData>
      <sheetData sheetId="4">
        <row r="14">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C18" t="str">
            <v>OR_Single Family</v>
          </cell>
          <cell r="D18" t="str">
            <v>Single Family</v>
          </cell>
          <cell r="E18" t="str">
            <v>Existing</v>
          </cell>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C19" t="str">
            <v>OR_Multi Family</v>
          </cell>
          <cell r="D19" t="str">
            <v>Multifamily - Low Rise</v>
          </cell>
          <cell r="E19" t="str">
            <v>Existing</v>
          </cell>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D20" t="str">
            <v>Multifamily - High Rise</v>
          </cell>
          <cell r="E20" t="str">
            <v>Existing</v>
          </cell>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C21" t="str">
            <v>OR_Other Family</v>
          </cell>
          <cell r="D21" t="str">
            <v>Manufactured</v>
          </cell>
          <cell r="E21" t="str">
            <v>Existing</v>
          </cell>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3">
          <cell r="D23" t="str">
            <v>WASHINGTON</v>
          </cell>
        </row>
        <row r="24">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C28" t="str">
            <v>WA_Single Family</v>
          </cell>
          <cell r="D28" t="str">
            <v>Single Family</v>
          </cell>
          <cell r="E28" t="str">
            <v>Existing</v>
          </cell>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C29" t="str">
            <v>WA_Multi Family</v>
          </cell>
          <cell r="D29" t="str">
            <v>Multifamily - Low Rise</v>
          </cell>
          <cell r="E29" t="str">
            <v>Existing</v>
          </cell>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D30" t="str">
            <v>Multifamily - High Rise</v>
          </cell>
          <cell r="E30" t="str">
            <v>Existing</v>
          </cell>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C31" t="str">
            <v>WA_Other Family</v>
          </cell>
          <cell r="D31" t="str">
            <v>Manufactured</v>
          </cell>
          <cell r="E31" t="str">
            <v>Existing</v>
          </cell>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3">
          <cell r="D33" t="str">
            <v>IDAHO</v>
          </cell>
        </row>
        <row r="34">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C38" t="str">
            <v>ID_Single Family</v>
          </cell>
          <cell r="D38" t="str">
            <v>Single Family</v>
          </cell>
          <cell r="E38" t="str">
            <v>Existing</v>
          </cell>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C39" t="str">
            <v>ID_Multi Family</v>
          </cell>
          <cell r="D39" t="str">
            <v>Multifamily - Low Rise</v>
          </cell>
          <cell r="E39" t="str">
            <v>Existing</v>
          </cell>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D40" t="str">
            <v>Multifamily - High Rise</v>
          </cell>
          <cell r="E40" t="str">
            <v>Existing</v>
          </cell>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C41" t="str">
            <v>ID_Other Family</v>
          </cell>
          <cell r="D41" t="str">
            <v>Manufactured</v>
          </cell>
          <cell r="E41" t="str">
            <v>Existing</v>
          </cell>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3">
          <cell r="D43" t="str">
            <v>MONTANA</v>
          </cell>
          <cell r="E43">
            <v>0.56999999999999995</v>
          </cell>
          <cell r="F43" t="str">
            <v>Western MT portion of state</v>
          </cell>
        </row>
        <row r="44">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C48" t="str">
            <v>MT_Single Family</v>
          </cell>
          <cell r="D48" t="str">
            <v>Single Family</v>
          </cell>
          <cell r="E48" t="str">
            <v>Existing</v>
          </cell>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C49" t="str">
            <v>MT_Multi Family</v>
          </cell>
          <cell r="D49" t="str">
            <v>Multifamily - Low Rise</v>
          </cell>
          <cell r="E49" t="str">
            <v>Existing</v>
          </cell>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C50" t="str">
            <v>MT</v>
          </cell>
          <cell r="D50" t="str">
            <v>Multifamily - High Rise</v>
          </cell>
          <cell r="E50" t="str">
            <v>Existing</v>
          </cell>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C51" t="str">
            <v>MT_Other Family</v>
          </cell>
          <cell r="D51" t="str">
            <v>Manufactured</v>
          </cell>
          <cell r="E51" t="str">
            <v>Existing</v>
          </cell>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row>
        <row r="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D58" t="str">
            <v>Single Family</v>
          </cell>
          <cell r="E58" t="str">
            <v>Existing</v>
          </cell>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D59" t="str">
            <v>Multifamily - Low Rise</v>
          </cell>
          <cell r="E59" t="str">
            <v>Existing</v>
          </cell>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D60" t="str">
            <v>Multifamily - High Rise</v>
          </cell>
          <cell r="E60" t="str">
            <v>Existing</v>
          </cell>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D61" t="str">
            <v>Manufactured</v>
          </cell>
          <cell r="E61" t="str">
            <v>Existing</v>
          </cell>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row r="63">
          <cell r="G63">
            <v>1986</v>
          </cell>
          <cell r="H63">
            <v>1987</v>
          </cell>
          <cell r="I63">
            <v>1988</v>
          </cell>
          <cell r="J63">
            <v>1989</v>
          </cell>
          <cell r="K63">
            <v>1990</v>
          </cell>
          <cell r="L63">
            <v>1991</v>
          </cell>
          <cell r="M63">
            <v>1992</v>
          </cell>
          <cell r="N63">
            <v>1993</v>
          </cell>
          <cell r="O63">
            <v>1994</v>
          </cell>
          <cell r="P63">
            <v>1995</v>
          </cell>
          <cell r="Q63">
            <v>1996</v>
          </cell>
          <cell r="R63">
            <v>1997</v>
          </cell>
          <cell r="S63">
            <v>1998</v>
          </cell>
          <cell r="T63">
            <v>1999</v>
          </cell>
          <cell r="U63">
            <v>2000</v>
          </cell>
          <cell r="V63">
            <v>2001</v>
          </cell>
          <cell r="W63">
            <v>2002</v>
          </cell>
          <cell r="X63">
            <v>2003</v>
          </cell>
          <cell r="Y63">
            <v>2004</v>
          </cell>
          <cell r="Z63">
            <v>2005</v>
          </cell>
          <cell r="AA63">
            <v>2006</v>
          </cell>
          <cell r="AB63">
            <v>2007</v>
          </cell>
          <cell r="AC63">
            <v>2008</v>
          </cell>
          <cell r="AD63">
            <v>2009</v>
          </cell>
          <cell r="AE63">
            <v>2010</v>
          </cell>
        </row>
        <row r="65">
          <cell r="G65">
            <v>1913.6278001779131</v>
          </cell>
          <cell r="H65">
            <v>1919.2670567662774</v>
          </cell>
          <cell r="I65">
            <v>1924.9063133546417</v>
          </cell>
          <cell r="J65">
            <v>1930.5455699430061</v>
          </cell>
          <cell r="K65">
            <v>1936.1848265313704</v>
          </cell>
          <cell r="L65">
            <v>1941.8240831197347</v>
          </cell>
          <cell r="M65">
            <v>1947.4633397080986</v>
          </cell>
          <cell r="N65">
            <v>1979.8855944438292</v>
          </cell>
          <cell r="O65">
            <v>2012.3078491795598</v>
          </cell>
          <cell r="P65">
            <v>2044.7301039152903</v>
          </cell>
          <cell r="Q65">
            <v>2077.1523586510211</v>
          </cell>
          <cell r="R65">
            <v>2109.5746133867519</v>
          </cell>
          <cell r="S65">
            <v>2141.9968681224827</v>
          </cell>
          <cell r="T65">
            <v>2174.4191228582135</v>
          </cell>
          <cell r="U65">
            <v>2206.8413775939443</v>
          </cell>
          <cell r="V65">
            <v>2239.2636323296751</v>
          </cell>
          <cell r="W65">
            <v>2271.685887065406</v>
          </cell>
          <cell r="X65">
            <v>2304.1081418011368</v>
          </cell>
          <cell r="Y65">
            <v>2336.5303965368676</v>
          </cell>
          <cell r="Z65">
            <v>2368.9526512725984</v>
          </cell>
          <cell r="AA65">
            <v>2206.8413775939434</v>
          </cell>
          <cell r="AB65">
            <v>2185.6308440789344</v>
          </cell>
          <cell r="AC65">
            <v>2164.4203105639253</v>
          </cell>
          <cell r="AD65">
            <v>2143.2097770489163</v>
          </cell>
          <cell r="AE65">
            <v>2121.9992435339072</v>
          </cell>
        </row>
        <row r="66">
          <cell r="G66">
            <v>698.06928427699506</v>
          </cell>
          <cell r="H66">
            <v>708.32070921300988</v>
          </cell>
          <cell r="I66">
            <v>718.57213414902469</v>
          </cell>
          <cell r="J66">
            <v>728.82355908503951</v>
          </cell>
          <cell r="K66">
            <v>739.07498402105432</v>
          </cell>
          <cell r="L66">
            <v>749.32640895706913</v>
          </cell>
          <cell r="M66">
            <v>759.57783389308383</v>
          </cell>
          <cell r="N66">
            <v>768.47360788626315</v>
          </cell>
          <cell r="O66">
            <v>777.36938187944247</v>
          </cell>
          <cell r="P66">
            <v>786.26515587262179</v>
          </cell>
          <cell r="Q66">
            <v>795.16092986580111</v>
          </cell>
          <cell r="R66">
            <v>804.05670385898043</v>
          </cell>
          <cell r="S66">
            <v>812.95247785215975</v>
          </cell>
          <cell r="T66">
            <v>821.84825184533906</v>
          </cell>
          <cell r="U66">
            <v>830.74402583851838</v>
          </cell>
          <cell r="V66">
            <v>839.6397998316977</v>
          </cell>
          <cell r="W66">
            <v>848.53557382487702</v>
          </cell>
          <cell r="X66">
            <v>857.43134781805634</v>
          </cell>
          <cell r="Y66">
            <v>866.32712181123566</v>
          </cell>
          <cell r="Z66">
            <v>875.22289580441497</v>
          </cell>
          <cell r="AA66">
            <v>830.74402583851884</v>
          </cell>
          <cell r="AB66">
            <v>841.39264921368215</v>
          </cell>
          <cell r="AC66">
            <v>852.04127258884546</v>
          </cell>
          <cell r="AD66">
            <v>862.68989596400877</v>
          </cell>
          <cell r="AE66">
            <v>873.33851933917208</v>
          </cell>
        </row>
        <row r="67">
          <cell r="G67">
            <v>1167</v>
          </cell>
          <cell r="H67">
            <v>1167</v>
          </cell>
          <cell r="I67">
            <v>1167</v>
          </cell>
          <cell r="J67">
            <v>1167</v>
          </cell>
          <cell r="K67">
            <v>1167</v>
          </cell>
          <cell r="L67">
            <v>1167</v>
          </cell>
          <cell r="M67">
            <v>1167</v>
          </cell>
          <cell r="N67">
            <v>1167</v>
          </cell>
          <cell r="O67">
            <v>1167</v>
          </cell>
          <cell r="P67">
            <v>1167</v>
          </cell>
          <cell r="Q67">
            <v>1167</v>
          </cell>
          <cell r="R67">
            <v>1167</v>
          </cell>
          <cell r="S67">
            <v>1167</v>
          </cell>
          <cell r="T67">
            <v>1167</v>
          </cell>
          <cell r="U67">
            <v>1167</v>
          </cell>
          <cell r="V67">
            <v>1167</v>
          </cell>
          <cell r="W67">
            <v>1167</v>
          </cell>
          <cell r="X67">
            <v>1167</v>
          </cell>
          <cell r="Y67">
            <v>1167</v>
          </cell>
          <cell r="Z67">
            <v>1167</v>
          </cell>
          <cell r="AA67">
            <v>1167</v>
          </cell>
          <cell r="AB67">
            <v>1167</v>
          </cell>
          <cell r="AC67">
            <v>1167</v>
          </cell>
          <cell r="AD67">
            <v>1167</v>
          </cell>
          <cell r="AE67">
            <v>1167</v>
          </cell>
        </row>
        <row r="68">
          <cell r="G68">
            <v>1029.0487523611168</v>
          </cell>
          <cell r="H68">
            <v>1097.2261598014015</v>
          </cell>
          <cell r="I68">
            <v>1165.4035672416862</v>
          </cell>
          <cell r="J68">
            <v>1233.5809746819709</v>
          </cell>
          <cell r="K68">
            <v>1301.7583821222556</v>
          </cell>
          <cell r="L68">
            <v>1369.9357895625403</v>
          </cell>
          <cell r="M68">
            <v>1438.1131970028248</v>
          </cell>
          <cell r="N68">
            <v>1454.5206034528924</v>
          </cell>
          <cell r="O68">
            <v>1470.9280099029602</v>
          </cell>
          <cell r="P68">
            <v>1487.335416353028</v>
          </cell>
          <cell r="Q68">
            <v>1503.7428228030958</v>
          </cell>
          <cell r="R68">
            <v>1520.1502292531636</v>
          </cell>
          <cell r="S68">
            <v>1536.5576357032314</v>
          </cell>
          <cell r="T68">
            <v>1552.9650421532992</v>
          </cell>
          <cell r="U68">
            <v>1569.372448603367</v>
          </cell>
          <cell r="V68">
            <v>1585.7798550534349</v>
          </cell>
          <cell r="W68">
            <v>1602.1872615035027</v>
          </cell>
          <cell r="X68">
            <v>1618.5946679535705</v>
          </cell>
          <cell r="Y68">
            <v>1635.0020744036383</v>
          </cell>
          <cell r="Z68">
            <v>1651.4094808537061</v>
          </cell>
          <cell r="AA68">
            <v>1569.3724486033664</v>
          </cell>
          <cell r="AB68">
            <v>1563.8258925279456</v>
          </cell>
          <cell r="AC68">
            <v>1558.2793364525248</v>
          </cell>
          <cell r="AD68">
            <v>1552.7327803771041</v>
          </cell>
          <cell r="AE68">
            <v>1547.1862243016833</v>
          </cell>
        </row>
        <row r="75">
          <cell r="G75">
            <v>2064.1078222566443</v>
          </cell>
          <cell r="H75">
            <v>2077.3226475548058</v>
          </cell>
          <cell r="I75">
            <v>2090.5374728529673</v>
          </cell>
          <cell r="J75">
            <v>2103.7522981511288</v>
          </cell>
          <cell r="K75">
            <v>2116.9671234492903</v>
          </cell>
          <cell r="L75">
            <v>2130.1819487474518</v>
          </cell>
          <cell r="M75">
            <v>2143.3967740456146</v>
          </cell>
          <cell r="N75">
            <v>2172.9935438846765</v>
          </cell>
          <cell r="O75">
            <v>2202.5903137237383</v>
          </cell>
          <cell r="P75">
            <v>2232.1870835628001</v>
          </cell>
          <cell r="Q75">
            <v>2261.783853401862</v>
          </cell>
          <cell r="R75">
            <v>2291.3806232409238</v>
          </cell>
          <cell r="S75">
            <v>2320.9773930799856</v>
          </cell>
          <cell r="T75">
            <v>2350.5741629190475</v>
          </cell>
          <cell r="U75">
            <v>2380.1709327581093</v>
          </cell>
          <cell r="V75">
            <v>2409.7677025971711</v>
          </cell>
          <cell r="W75">
            <v>2439.364472436233</v>
          </cell>
          <cell r="X75">
            <v>2468.9612422752948</v>
          </cell>
          <cell r="Y75">
            <v>2498.5580121143566</v>
          </cell>
          <cell r="Z75">
            <v>2528.1547819534185</v>
          </cell>
          <cell r="AA75">
            <v>2380.1709327581084</v>
          </cell>
          <cell r="AB75">
            <v>2386.7545055478154</v>
          </cell>
          <cell r="AC75">
            <v>2393.3380783375223</v>
          </cell>
          <cell r="AD75">
            <v>2399.9216511272293</v>
          </cell>
          <cell r="AE75">
            <v>2406.5052239169363</v>
          </cell>
        </row>
        <row r="76">
          <cell r="G76">
            <v>698.06928427699506</v>
          </cell>
          <cell r="H76">
            <v>708.32070921300988</v>
          </cell>
          <cell r="I76">
            <v>718.57213414902469</v>
          </cell>
          <cell r="J76">
            <v>728.82355908503951</v>
          </cell>
          <cell r="K76">
            <v>739.07498402105432</v>
          </cell>
          <cell r="L76">
            <v>749.32640895706913</v>
          </cell>
          <cell r="M76">
            <v>759.57783389308383</v>
          </cell>
          <cell r="N76">
            <v>768.01287342852402</v>
          </cell>
          <cell r="O76">
            <v>776.4479129639642</v>
          </cell>
          <cell r="P76">
            <v>784.88295249940438</v>
          </cell>
          <cell r="Q76">
            <v>793.31799203484456</v>
          </cell>
          <cell r="R76">
            <v>801.75303157028475</v>
          </cell>
          <cell r="S76">
            <v>810.18807110572493</v>
          </cell>
          <cell r="T76">
            <v>818.62311064116511</v>
          </cell>
          <cell r="U76">
            <v>827.0581501766053</v>
          </cell>
          <cell r="V76">
            <v>835.49318971204548</v>
          </cell>
          <cell r="W76">
            <v>843.92822924748566</v>
          </cell>
          <cell r="X76">
            <v>852.36326878292584</v>
          </cell>
          <cell r="Y76">
            <v>860.79830831836603</v>
          </cell>
          <cell r="Z76">
            <v>869.23334785380621</v>
          </cell>
          <cell r="AA76">
            <v>827.05815017660575</v>
          </cell>
          <cell r="AB76">
            <v>838.1675080095082</v>
          </cell>
          <cell r="AC76">
            <v>849.27686584241064</v>
          </cell>
          <cell r="AD76">
            <v>860.38622367531309</v>
          </cell>
          <cell r="AE76">
            <v>871.49558150821554</v>
          </cell>
        </row>
        <row r="77">
          <cell r="G77">
            <v>1167</v>
          </cell>
          <cell r="H77">
            <v>1167</v>
          </cell>
          <cell r="I77">
            <v>1167</v>
          </cell>
          <cell r="J77">
            <v>1167</v>
          </cell>
          <cell r="K77">
            <v>1167</v>
          </cell>
          <cell r="L77">
            <v>1167</v>
          </cell>
          <cell r="M77">
            <v>1167</v>
          </cell>
          <cell r="N77">
            <v>1167</v>
          </cell>
          <cell r="O77">
            <v>1167</v>
          </cell>
          <cell r="P77">
            <v>1167</v>
          </cell>
          <cell r="Q77">
            <v>1167</v>
          </cell>
          <cell r="R77">
            <v>1167</v>
          </cell>
          <cell r="S77">
            <v>1167</v>
          </cell>
          <cell r="T77">
            <v>1167</v>
          </cell>
          <cell r="U77">
            <v>1167</v>
          </cell>
          <cell r="V77">
            <v>1167</v>
          </cell>
          <cell r="W77">
            <v>1167</v>
          </cell>
          <cell r="X77">
            <v>1167</v>
          </cell>
          <cell r="Y77">
            <v>1167</v>
          </cell>
          <cell r="Z77">
            <v>1167</v>
          </cell>
          <cell r="AA77">
            <v>1167</v>
          </cell>
          <cell r="AB77">
            <v>1167</v>
          </cell>
          <cell r="AC77">
            <v>1167</v>
          </cell>
          <cell r="AD77">
            <v>1167</v>
          </cell>
          <cell r="AE77">
            <v>1167</v>
          </cell>
        </row>
        <row r="78">
          <cell r="G78">
            <v>1168.8738334833329</v>
          </cell>
          <cell r="H78">
            <v>1178.0613546668903</v>
          </cell>
          <cell r="I78">
            <v>1187.2488758504478</v>
          </cell>
          <cell r="J78">
            <v>1196.4363970340053</v>
          </cell>
          <cell r="K78">
            <v>1205.6239182175627</v>
          </cell>
          <cell r="L78">
            <v>1214.8114394011202</v>
          </cell>
          <cell r="M78">
            <v>1223.9989605846772</v>
          </cell>
          <cell r="N78">
            <v>1276.2228998482572</v>
          </cell>
          <cell r="O78">
            <v>1328.4468391118371</v>
          </cell>
          <cell r="P78">
            <v>1380.6707783754171</v>
          </cell>
          <cell r="Q78">
            <v>1432.894717638997</v>
          </cell>
          <cell r="R78">
            <v>1485.118656902577</v>
          </cell>
          <cell r="S78">
            <v>1537.3425961661569</v>
          </cell>
          <cell r="T78">
            <v>1589.5665354297369</v>
          </cell>
          <cell r="U78">
            <v>1641.7904746933168</v>
          </cell>
          <cell r="V78">
            <v>1694.0144139568968</v>
          </cell>
          <cell r="W78">
            <v>1746.2383532204767</v>
          </cell>
          <cell r="X78">
            <v>1798.4622924840567</v>
          </cell>
          <cell r="Y78">
            <v>1850.6862317476366</v>
          </cell>
          <cell r="Z78">
            <v>1902.9101710112166</v>
          </cell>
          <cell r="AA78">
            <v>1641.7904746933164</v>
          </cell>
          <cell r="AB78">
            <v>1579.0383181111101</v>
          </cell>
          <cell r="AC78">
            <v>1516.2861615289039</v>
          </cell>
          <cell r="AD78">
            <v>1453.5340049466977</v>
          </cell>
          <cell r="AE78">
            <v>1390.7818483644915</v>
          </cell>
        </row>
        <row r="85">
          <cell r="G85">
            <v>2155.8815029472858</v>
          </cell>
          <cell r="H85">
            <v>2184.9101777532496</v>
          </cell>
          <cell r="I85">
            <v>2213.9388525592135</v>
          </cell>
          <cell r="J85">
            <v>2242.9675273651774</v>
          </cell>
          <cell r="K85">
            <v>2271.9962021711412</v>
          </cell>
          <cell r="L85">
            <v>2301.0248769771051</v>
          </cell>
          <cell r="M85">
            <v>2330.0535517830704</v>
          </cell>
          <cell r="N85">
            <v>2314.0416857828459</v>
          </cell>
          <cell r="O85">
            <v>2298.0298197826214</v>
          </cell>
          <cell r="P85">
            <v>2282.0179537823969</v>
          </cell>
          <cell r="Q85">
            <v>2266.0060877821725</v>
          </cell>
          <cell r="R85">
            <v>2249.994221781948</v>
          </cell>
          <cell r="S85">
            <v>2233.9823557817235</v>
          </cell>
          <cell r="T85">
            <v>2217.9704897814991</v>
          </cell>
          <cell r="U85">
            <v>2201.9586237812746</v>
          </cell>
          <cell r="V85">
            <v>2185.9467577810501</v>
          </cell>
          <cell r="W85">
            <v>2169.9348917808256</v>
          </cell>
          <cell r="X85">
            <v>2153.9230257806012</v>
          </cell>
          <cell r="Y85">
            <v>2137.9111597803767</v>
          </cell>
          <cell r="Z85">
            <v>2121.8992937801522</v>
          </cell>
          <cell r="AA85">
            <v>2201.9586237812732</v>
          </cell>
          <cell r="AB85">
            <v>2240.9786175580202</v>
          </cell>
          <cell r="AC85">
            <v>2279.9986113347672</v>
          </cell>
          <cell r="AD85">
            <v>2319.0186051115143</v>
          </cell>
          <cell r="AE85">
            <v>2358.0385988882613</v>
          </cell>
        </row>
        <row r="86">
          <cell r="G86">
            <v>698.06928427699506</v>
          </cell>
          <cell r="H86">
            <v>708.32070921300988</v>
          </cell>
          <cell r="I86">
            <v>718.57213414902469</v>
          </cell>
          <cell r="J86">
            <v>728.82355908503951</v>
          </cell>
          <cell r="K86">
            <v>739.07498402105432</v>
          </cell>
          <cell r="L86">
            <v>749.32640895706913</v>
          </cell>
          <cell r="M86">
            <v>759.57783389308383</v>
          </cell>
          <cell r="N86">
            <v>768.01287342852402</v>
          </cell>
          <cell r="O86">
            <v>776.4479129639642</v>
          </cell>
          <cell r="P86">
            <v>784.88295249940438</v>
          </cell>
          <cell r="Q86">
            <v>793.31799203484456</v>
          </cell>
          <cell r="R86">
            <v>801.75303157028475</v>
          </cell>
          <cell r="S86">
            <v>810.18807110572493</v>
          </cell>
          <cell r="T86">
            <v>818.62311064116511</v>
          </cell>
          <cell r="U86">
            <v>827.0581501766053</v>
          </cell>
          <cell r="V86">
            <v>835.49318971204548</v>
          </cell>
          <cell r="W86">
            <v>843.92822924748566</v>
          </cell>
          <cell r="X86">
            <v>852.36326878292584</v>
          </cell>
          <cell r="Y86">
            <v>860.79830831836603</v>
          </cell>
          <cell r="Z86">
            <v>869.23334785380621</v>
          </cell>
          <cell r="AA86">
            <v>827.05815017660575</v>
          </cell>
          <cell r="AB86">
            <v>838.1675080095082</v>
          </cell>
          <cell r="AC86">
            <v>849.27686584241064</v>
          </cell>
          <cell r="AD86">
            <v>860.38622367531309</v>
          </cell>
          <cell r="AE86">
            <v>871.49558150821554</v>
          </cell>
        </row>
        <row r="87">
          <cell r="G87">
            <v>1167</v>
          </cell>
          <cell r="H87">
            <v>1167</v>
          </cell>
          <cell r="I87">
            <v>1167</v>
          </cell>
          <cell r="J87">
            <v>1167</v>
          </cell>
          <cell r="K87">
            <v>1167</v>
          </cell>
          <cell r="L87">
            <v>1167</v>
          </cell>
          <cell r="M87">
            <v>1167</v>
          </cell>
          <cell r="N87">
            <v>1167</v>
          </cell>
          <cell r="O87">
            <v>1167</v>
          </cell>
          <cell r="P87">
            <v>1167</v>
          </cell>
          <cell r="Q87">
            <v>1167</v>
          </cell>
          <cell r="R87">
            <v>1167</v>
          </cell>
          <cell r="S87">
            <v>1167</v>
          </cell>
          <cell r="T87">
            <v>1167</v>
          </cell>
          <cell r="U87">
            <v>1167</v>
          </cell>
          <cell r="V87">
            <v>1167</v>
          </cell>
          <cell r="W87">
            <v>1167</v>
          </cell>
          <cell r="X87">
            <v>1167</v>
          </cell>
          <cell r="Y87">
            <v>1167</v>
          </cell>
          <cell r="Z87">
            <v>1167</v>
          </cell>
          <cell r="AA87">
            <v>1167</v>
          </cell>
          <cell r="AB87">
            <v>1167</v>
          </cell>
          <cell r="AC87">
            <v>1167</v>
          </cell>
          <cell r="AD87">
            <v>1167</v>
          </cell>
          <cell r="AE87">
            <v>1167</v>
          </cell>
        </row>
        <row r="88">
          <cell r="G88">
            <v>1185.5891467799934</v>
          </cell>
          <cell r="H88">
            <v>1211.1874468780647</v>
          </cell>
          <cell r="I88">
            <v>1236.7857469761361</v>
          </cell>
          <cell r="J88">
            <v>1262.3840470742075</v>
          </cell>
          <cell r="K88">
            <v>1287.9823471722789</v>
          </cell>
          <cell r="L88">
            <v>1313.5806472703503</v>
          </cell>
          <cell r="M88">
            <v>1339.1789473684209</v>
          </cell>
          <cell r="N88">
            <v>1363.3137548732943</v>
          </cell>
          <cell r="O88">
            <v>1387.4485623781677</v>
          </cell>
          <cell r="P88">
            <v>1411.5833698830411</v>
          </cell>
          <cell r="Q88">
            <v>1435.7181773879145</v>
          </cell>
          <cell r="R88">
            <v>1459.8529848927878</v>
          </cell>
          <cell r="S88">
            <v>1483.9877923976612</v>
          </cell>
          <cell r="T88">
            <v>1508.1225999025346</v>
          </cell>
          <cell r="U88">
            <v>1532.257407407408</v>
          </cell>
          <cell r="V88">
            <v>1556.3922149122814</v>
          </cell>
          <cell r="W88">
            <v>1580.5270224171547</v>
          </cell>
          <cell r="X88">
            <v>1604.6618299220281</v>
          </cell>
          <cell r="Y88">
            <v>1628.7966374269015</v>
          </cell>
          <cell r="Z88">
            <v>1652.9314449317749</v>
          </cell>
          <cell r="AA88">
            <v>1532.2574074074075</v>
          </cell>
          <cell r="AB88">
            <v>1537.9043981481482</v>
          </cell>
          <cell r="AC88">
            <v>1543.5513888888888</v>
          </cell>
          <cell r="AD88">
            <v>1549.1983796296295</v>
          </cell>
          <cell r="AE88">
            <v>1554.8453703703701</v>
          </cell>
        </row>
        <row r="95">
          <cell r="G95">
            <v>2189.132116156165</v>
          </cell>
          <cell r="H95">
            <v>2153.2906631184565</v>
          </cell>
          <cell r="I95">
            <v>2117.4492100807479</v>
          </cell>
          <cell r="J95">
            <v>2081.6077570430393</v>
          </cell>
          <cell r="K95">
            <v>2045.7663040053308</v>
          </cell>
          <cell r="L95">
            <v>2009.9248509676222</v>
          </cell>
          <cell r="M95">
            <v>1974.083397929913</v>
          </cell>
          <cell r="N95">
            <v>2052.2554545152962</v>
          </cell>
          <cell r="O95">
            <v>2130.4275111006791</v>
          </cell>
          <cell r="P95">
            <v>2208.5995676860621</v>
          </cell>
          <cell r="Q95">
            <v>2286.771624271445</v>
          </cell>
          <cell r="R95">
            <v>2364.943680856828</v>
          </cell>
          <cell r="S95">
            <v>2443.115737442211</v>
          </cell>
          <cell r="T95">
            <v>2521.2877940275939</v>
          </cell>
          <cell r="U95">
            <v>2599.4598506129769</v>
          </cell>
          <cell r="V95">
            <v>2677.6319071983598</v>
          </cell>
          <cell r="W95">
            <v>2755.8039637837428</v>
          </cell>
          <cell r="X95">
            <v>2833.9760203691258</v>
          </cell>
          <cell r="Y95">
            <v>2912.1480769545087</v>
          </cell>
          <cell r="Z95">
            <v>2990.3201335398917</v>
          </cell>
          <cell r="AA95">
            <v>2599.4598506129778</v>
          </cell>
          <cell r="AB95">
            <v>2551.8698894298795</v>
          </cell>
          <cell r="AC95">
            <v>2504.2799282467813</v>
          </cell>
          <cell r="AD95">
            <v>2456.6899670636831</v>
          </cell>
          <cell r="AE95">
            <v>2409.1000058805848</v>
          </cell>
        </row>
        <row r="96">
          <cell r="G96">
            <v>698.06928427699506</v>
          </cell>
          <cell r="H96">
            <v>708.32070921300988</v>
          </cell>
          <cell r="I96">
            <v>718.57213414902469</v>
          </cell>
          <cell r="J96">
            <v>728.82355908503951</v>
          </cell>
          <cell r="K96">
            <v>739.07498402105432</v>
          </cell>
          <cell r="L96">
            <v>749.32640895706913</v>
          </cell>
          <cell r="M96">
            <v>759.57783389308383</v>
          </cell>
          <cell r="N96">
            <v>768.01287342852402</v>
          </cell>
          <cell r="O96">
            <v>776.4479129639642</v>
          </cell>
          <cell r="P96">
            <v>784.88295249940438</v>
          </cell>
          <cell r="Q96">
            <v>793.31799203484456</v>
          </cell>
          <cell r="R96">
            <v>801.75303157028475</v>
          </cell>
          <cell r="S96">
            <v>810.18807110572493</v>
          </cell>
          <cell r="T96">
            <v>818.62311064116511</v>
          </cell>
          <cell r="U96">
            <v>827.0581501766053</v>
          </cell>
          <cell r="V96">
            <v>835.49318971204548</v>
          </cell>
          <cell r="W96">
            <v>843.92822924748566</v>
          </cell>
          <cell r="X96">
            <v>852.36326878292584</v>
          </cell>
          <cell r="Y96">
            <v>860.79830831836603</v>
          </cell>
          <cell r="Z96">
            <v>869.23334785380621</v>
          </cell>
          <cell r="AA96">
            <v>827.05815017660575</v>
          </cell>
          <cell r="AB96">
            <v>838.1675080095082</v>
          </cell>
          <cell r="AC96">
            <v>849.27686584241064</v>
          </cell>
          <cell r="AD96">
            <v>860.38622367531309</v>
          </cell>
          <cell r="AE96">
            <v>871.49558150821554</v>
          </cell>
        </row>
        <row r="97">
          <cell r="G97">
            <v>1167</v>
          </cell>
          <cell r="H97">
            <v>1167</v>
          </cell>
          <cell r="I97">
            <v>1167</v>
          </cell>
          <cell r="J97">
            <v>1167</v>
          </cell>
          <cell r="K97">
            <v>1167</v>
          </cell>
          <cell r="L97">
            <v>1167</v>
          </cell>
          <cell r="M97">
            <v>1167</v>
          </cell>
          <cell r="N97">
            <v>1167</v>
          </cell>
          <cell r="O97">
            <v>1167</v>
          </cell>
          <cell r="P97">
            <v>1167</v>
          </cell>
          <cell r="Q97">
            <v>1167</v>
          </cell>
          <cell r="R97">
            <v>1167</v>
          </cell>
          <cell r="S97">
            <v>1167</v>
          </cell>
          <cell r="T97">
            <v>1167</v>
          </cell>
          <cell r="U97">
            <v>1167</v>
          </cell>
          <cell r="V97">
            <v>1167</v>
          </cell>
          <cell r="W97">
            <v>1167</v>
          </cell>
          <cell r="X97">
            <v>1167</v>
          </cell>
          <cell r="Y97">
            <v>1167</v>
          </cell>
          <cell r="Z97">
            <v>1167</v>
          </cell>
          <cell r="AA97">
            <v>1167</v>
          </cell>
          <cell r="AB97">
            <v>1167</v>
          </cell>
          <cell r="AC97">
            <v>1167</v>
          </cell>
          <cell r="AD97">
            <v>1167</v>
          </cell>
          <cell r="AE97">
            <v>1167</v>
          </cell>
        </row>
        <row r="98">
          <cell r="G98">
            <v>1352.0807344379759</v>
          </cell>
          <cell r="H98">
            <v>1364.8439453649801</v>
          </cell>
          <cell r="I98">
            <v>1377.6071562919842</v>
          </cell>
          <cell r="J98">
            <v>1390.3703672189883</v>
          </cell>
          <cell r="K98">
            <v>1403.1335781459925</v>
          </cell>
          <cell r="L98">
            <v>1415.8967890729966</v>
          </cell>
          <cell r="M98">
            <v>1428.66</v>
          </cell>
          <cell r="N98">
            <v>1488.9047619047619</v>
          </cell>
          <cell r="O98">
            <v>1549.1495238095238</v>
          </cell>
          <cell r="P98">
            <v>1609.3942857142856</v>
          </cell>
          <cell r="Q98">
            <v>1669.6390476190475</v>
          </cell>
          <cell r="R98">
            <v>1729.8838095238093</v>
          </cell>
          <cell r="S98">
            <v>1790.1285714285711</v>
          </cell>
          <cell r="T98">
            <v>1850.373333333333</v>
          </cell>
          <cell r="U98">
            <v>1910.6180952380948</v>
          </cell>
          <cell r="V98">
            <v>1970.8628571428567</v>
          </cell>
          <cell r="W98">
            <v>2031.1076190476185</v>
          </cell>
          <cell r="X98">
            <v>2091.3523809523804</v>
          </cell>
          <cell r="Y98">
            <v>2151.5971428571424</v>
          </cell>
          <cell r="Z98">
            <v>2211.8419047619045</v>
          </cell>
          <cell r="AA98">
            <v>1910.6180952380955</v>
          </cell>
          <cell r="AB98">
            <v>1897.2483333333337</v>
          </cell>
          <cell r="AC98">
            <v>1883.8785714285718</v>
          </cell>
          <cell r="AD98">
            <v>1870.50880952381</v>
          </cell>
          <cell r="AE98">
            <v>1857.1390476190481</v>
          </cell>
        </row>
      </sheetData>
      <sheetData sheetId="5">
        <row r="24">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row>
        <row r="25">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row>
        <row r="26">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row>
        <row r="27">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row>
        <row r="34">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row>
        <row r="35">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row>
        <row r="36">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row>
        <row r="37">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row>
        <row r="44">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row>
        <row r="45">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row>
        <row r="46">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row>
        <row r="47">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row>
        <row r="54">
          <cell r="G54">
            <v>29614.268</v>
          </cell>
          <cell r="H54">
            <v>32248.535</v>
          </cell>
          <cell r="I54">
            <v>34559.441999999995</v>
          </cell>
          <cell r="J54">
            <v>42040.175999999999</v>
          </cell>
          <cell r="K54">
            <v>48415.591999999997</v>
          </cell>
          <cell r="L54">
            <v>44234.157999999996</v>
          </cell>
          <cell r="M54">
            <v>57584.008000000002</v>
          </cell>
          <cell r="N54">
            <v>61360.741000000002</v>
          </cell>
          <cell r="O54">
            <v>63637.876000000004</v>
          </cell>
          <cell r="P54">
            <v>54867.252999999997</v>
          </cell>
          <cell r="Q54">
            <v>57384.413</v>
          </cell>
          <cell r="R54">
            <v>56006.91</v>
          </cell>
          <cell r="S54">
            <v>58939.248</v>
          </cell>
          <cell r="T54">
            <v>56527.233</v>
          </cell>
          <cell r="U54">
            <v>51608.513999999996</v>
          </cell>
          <cell r="V54">
            <v>52738.448000000004</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row>
        <row r="55">
          <cell r="G55">
            <v>18929.763197074921</v>
          </cell>
          <cell r="H55">
            <v>19012.285997102455</v>
          </cell>
          <cell r="I55">
            <v>22080.05399967837</v>
          </cell>
          <cell r="J55">
            <v>28601.778161129085</v>
          </cell>
          <cell r="K55">
            <v>27202.893689869059</v>
          </cell>
          <cell r="L55">
            <v>12390.210937882894</v>
          </cell>
          <cell r="M55">
            <v>12173.152842775997</v>
          </cell>
          <cell r="N55">
            <v>12361.89700061282</v>
          </cell>
          <cell r="O55">
            <v>17122.743158401601</v>
          </cell>
          <cell r="P55">
            <v>18662.733640245107</v>
          </cell>
          <cell r="Q55">
            <v>21954.730458996564</v>
          </cell>
          <cell r="R55">
            <v>20000.57314201623</v>
          </cell>
          <cell r="S55">
            <v>20642.129902132976</v>
          </cell>
          <cell r="T55">
            <v>18328.494801049026</v>
          </cell>
          <cell r="U55">
            <v>14151.270582179823</v>
          </cell>
          <cell r="V55">
            <v>14626.267683576692</v>
          </cell>
          <cell r="W55">
            <v>12028.647109827845</v>
          </cell>
          <cell r="X55">
            <v>13046.576324182057</v>
          </cell>
          <cell r="Y55">
            <v>13957.232094298251</v>
          </cell>
          <cell r="Z55">
            <v>13931.004497270837</v>
          </cell>
          <cell r="AA55">
            <v>15900.995334173014</v>
          </cell>
          <cell r="AB55">
            <v>15570.247880584542</v>
          </cell>
          <cell r="AC55">
            <v>11944.723214001346</v>
          </cell>
          <cell r="AD55">
            <v>4141.9202192737603</v>
          </cell>
          <cell r="AE55">
            <v>4082.3550519108021</v>
          </cell>
        </row>
        <row r="56">
          <cell r="G56">
            <v>1541.8068029250769</v>
          </cell>
          <cell r="H56">
            <v>1789.2040028975434</v>
          </cell>
          <cell r="I56">
            <v>2697.4260003216259</v>
          </cell>
          <cell r="J56">
            <v>2452.6218388709185</v>
          </cell>
          <cell r="K56">
            <v>1250.8263101309403</v>
          </cell>
          <cell r="L56">
            <v>1272.6790621171076</v>
          </cell>
          <cell r="M56">
            <v>1783.7271572240043</v>
          </cell>
          <cell r="N56">
            <v>2321.94299938718</v>
          </cell>
          <cell r="O56">
            <v>2678.3968415983995</v>
          </cell>
          <cell r="P56">
            <v>3071.6263597548932</v>
          </cell>
          <cell r="Q56">
            <v>2881.3195410034377</v>
          </cell>
          <cell r="R56">
            <v>2811.4968579837696</v>
          </cell>
          <cell r="S56">
            <v>2476.4300978670262</v>
          </cell>
          <cell r="T56">
            <v>2052.8651989509744</v>
          </cell>
          <cell r="U56">
            <v>2155.6894178201746</v>
          </cell>
          <cell r="V56">
            <v>2035.7623164233073</v>
          </cell>
          <cell r="W56">
            <v>2249.9028901721549</v>
          </cell>
          <cell r="X56">
            <v>2341.7336758179449</v>
          </cell>
          <cell r="Y56">
            <v>2340.0879057017487</v>
          </cell>
          <cell r="Z56">
            <v>2581.1355027291629</v>
          </cell>
          <cell r="AA56">
            <v>2450.9446658269858</v>
          </cell>
          <cell r="AB56">
            <v>2125.3821194154557</v>
          </cell>
          <cell r="AC56">
            <v>1478.8567859986533</v>
          </cell>
          <cell r="AD56">
            <v>1471.80978072624</v>
          </cell>
          <cell r="AE56">
            <v>1909.1649480891979</v>
          </cell>
        </row>
        <row r="57">
          <cell r="G57">
            <v>8065.1900000000005</v>
          </cell>
          <cell r="H57">
            <v>7680.98</v>
          </cell>
          <cell r="I57">
            <v>8859.369999999999</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6539.3899999999994</v>
          </cell>
          <cell r="Y57">
            <v>6359.29</v>
          </cell>
          <cell r="Z57">
            <v>6381.37</v>
          </cell>
          <cell r="AA57">
            <v>6080.27</v>
          </cell>
          <cell r="AB57">
            <v>4894.01</v>
          </cell>
          <cell r="AC57">
            <v>3674.09</v>
          </cell>
          <cell r="AD57">
            <v>2014.3</v>
          </cell>
          <cell r="AE57">
            <v>1796.25</v>
          </cell>
        </row>
      </sheetData>
      <sheetData sheetId="6">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Low</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row r="214">
          <cell r="G214">
            <v>1986</v>
          </cell>
          <cell r="H214">
            <v>1987</v>
          </cell>
          <cell r="I214">
            <v>1988</v>
          </cell>
          <cell r="J214">
            <v>1989</v>
          </cell>
          <cell r="K214">
            <v>1990</v>
          </cell>
          <cell r="L214">
            <v>1991</v>
          </cell>
          <cell r="M214">
            <v>1992</v>
          </cell>
          <cell r="N214">
            <v>1993</v>
          </cell>
          <cell r="O214">
            <v>1994</v>
          </cell>
          <cell r="P214">
            <v>1995</v>
          </cell>
          <cell r="Q214">
            <v>1996</v>
          </cell>
          <cell r="R214">
            <v>1997</v>
          </cell>
          <cell r="S214">
            <v>1998</v>
          </cell>
          <cell r="T214">
            <v>1999</v>
          </cell>
          <cell r="U214">
            <v>2000</v>
          </cell>
          <cell r="V214">
            <v>2001</v>
          </cell>
          <cell r="W214">
            <v>2002</v>
          </cell>
          <cell r="X214">
            <v>2003</v>
          </cell>
          <cell r="Y214">
            <v>2004</v>
          </cell>
          <cell r="Z214">
            <v>2005</v>
          </cell>
          <cell r="AA214">
            <v>2006</v>
          </cell>
          <cell r="AB214">
            <v>2007</v>
          </cell>
          <cell r="AC214">
            <v>2008</v>
          </cell>
          <cell r="AD214">
            <v>2009</v>
          </cell>
          <cell r="AE214">
            <v>2010</v>
          </cell>
        </row>
        <row r="216">
          <cell r="G216">
            <v>208998.69198523989</v>
          </cell>
          <cell r="H216">
            <v>200145.98024940802</v>
          </cell>
          <cell r="I216">
            <v>204298.48758186327</v>
          </cell>
          <cell r="J216">
            <v>212514.47308934119</v>
          </cell>
          <cell r="K216">
            <v>218248.8879770175</v>
          </cell>
          <cell r="L216">
            <v>230735.79972918943</v>
          </cell>
          <cell r="M216">
            <v>231528.43027437758</v>
          </cell>
          <cell r="N216">
            <v>244878.83743148466</v>
          </cell>
          <cell r="O216">
            <v>242786.25970780815</v>
          </cell>
          <cell r="P216">
            <v>255559.09058324914</v>
          </cell>
          <cell r="Q216">
            <v>268008.32621918456</v>
          </cell>
          <cell r="R216">
            <v>265489.37581064156</v>
          </cell>
          <cell r="S216">
            <v>272482.6174634418</v>
          </cell>
          <cell r="T216">
            <v>284410.89610058442</v>
          </cell>
          <cell r="U216">
            <v>300017.95217937022</v>
          </cell>
          <cell r="V216">
            <v>317942.85702325829</v>
          </cell>
          <cell r="W216">
            <v>335695.10260296741</v>
          </cell>
          <cell r="X216">
            <v>348922.95366756298</v>
          </cell>
          <cell r="Y216">
            <v>353537.99027757213</v>
          </cell>
          <cell r="Z216">
            <v>354596.7797693297</v>
          </cell>
          <cell r="AA216">
            <v>359853.55392939574</v>
          </cell>
          <cell r="AB216">
            <v>355546.86718435638</v>
          </cell>
          <cell r="AC216">
            <v>351120.83370566339</v>
          </cell>
          <cell r="AD216">
            <v>353655.16843746061</v>
          </cell>
          <cell r="AE216">
            <v>360684.15806895884</v>
          </cell>
        </row>
        <row r="217">
          <cell r="G217">
            <v>73536.576809621445</v>
          </cell>
          <cell r="H217">
            <v>90173.965820167112</v>
          </cell>
          <cell r="I217">
            <v>92044.840537701777</v>
          </cell>
          <cell r="J217">
            <v>95746.478689050549</v>
          </cell>
          <cell r="K217">
            <v>98330.06758469365</v>
          </cell>
          <cell r="L217">
            <v>103955.93302619121</v>
          </cell>
          <cell r="M217">
            <v>104313.04556775086</v>
          </cell>
          <cell r="N217">
            <v>110327.95107407245</v>
          </cell>
          <cell r="O217">
            <v>109385.15905848605</v>
          </cell>
          <cell r="P217">
            <v>115139.84278160419</v>
          </cell>
          <cell r="Q217">
            <v>120748.73358881973</v>
          </cell>
          <cell r="R217">
            <v>119613.84320651177</v>
          </cell>
          <cell r="S217">
            <v>122764.58514490072</v>
          </cell>
          <cell r="T217">
            <v>128138.76347603065</v>
          </cell>
          <cell r="U217">
            <v>135170.38179605946</v>
          </cell>
          <cell r="V217">
            <v>143246.28596714657</v>
          </cell>
          <cell r="W217">
            <v>151244.40006437257</v>
          </cell>
          <cell r="X217">
            <v>157204.08902883093</v>
          </cell>
          <cell r="Y217">
            <v>159283.35213974226</v>
          </cell>
          <cell r="Z217">
            <v>162515.65727255808</v>
          </cell>
          <cell r="AA217">
            <v>167612.08530117007</v>
          </cell>
          <cell r="AB217">
            <v>168423.08861424751</v>
          </cell>
          <cell r="AC217">
            <v>169187.35438208625</v>
          </cell>
          <cell r="AD217">
            <v>173048.3572794295</v>
          </cell>
          <cell r="AE217">
            <v>179117.10252840212</v>
          </cell>
        </row>
        <row r="218">
          <cell r="G218">
            <v>104499.34599261994</v>
          </cell>
          <cell r="H218">
            <v>105807.50910078075</v>
          </cell>
          <cell r="I218">
            <v>108002.7390865257</v>
          </cell>
          <cell r="J218">
            <v>112346.13364419344</v>
          </cell>
          <cell r="K218">
            <v>115377.64171974598</v>
          </cell>
          <cell r="L218">
            <v>121978.86862029215</v>
          </cell>
          <cell r="M218">
            <v>122397.89409119615</v>
          </cell>
          <cell r="N218">
            <v>129455.60928994505</v>
          </cell>
          <cell r="O218">
            <v>128349.36455664544</v>
          </cell>
          <cell r="P218">
            <v>135101.74308261863</v>
          </cell>
          <cell r="Q218">
            <v>141683.05244094582</v>
          </cell>
          <cell r="R218">
            <v>140351.40507064035</v>
          </cell>
          <cell r="S218">
            <v>144048.39403289961</v>
          </cell>
          <cell r="T218">
            <v>150354.29859757473</v>
          </cell>
          <cell r="U218">
            <v>158604.99504441186</v>
          </cell>
          <cell r="V218">
            <v>168081.02613950011</v>
          </cell>
          <cell r="W218">
            <v>177465.78062417047</v>
          </cell>
          <cell r="X218">
            <v>184458.70633847601</v>
          </cell>
          <cell r="Y218">
            <v>186898.45320476568</v>
          </cell>
          <cell r="Z218">
            <v>186028.83658052023</v>
          </cell>
          <cell r="AA218">
            <v>187392.62346713556</v>
          </cell>
          <cell r="AB218">
            <v>183688.58010542323</v>
          </cell>
          <cell r="AC218">
            <v>179917.79537687683</v>
          </cell>
          <cell r="AD218">
            <v>179846.95356055681</v>
          </cell>
          <cell r="AE218">
            <v>182057.43147324634</v>
          </cell>
        </row>
        <row r="219">
          <cell r="G219">
            <v>13423.836588687245</v>
          </cell>
          <cell r="H219">
            <v>21791.875763514865</v>
          </cell>
          <cell r="I219">
            <v>22224.659925521173</v>
          </cell>
          <cell r="J219">
            <v>22732.952835002077</v>
          </cell>
          <cell r="K219">
            <v>23080.895311996119</v>
          </cell>
          <cell r="L219">
            <v>24394.967985397427</v>
          </cell>
          <cell r="M219">
            <v>24342.77819338522</v>
          </cell>
          <cell r="N219">
            <v>25847.114822320538</v>
          </cell>
          <cell r="O219">
            <v>25597.201842348808</v>
          </cell>
          <cell r="P219">
            <v>26685.15216798272</v>
          </cell>
          <cell r="Q219">
            <v>27183.979842094126</v>
          </cell>
          <cell r="R219">
            <v>26370.318525564584</v>
          </cell>
          <cell r="S219">
            <v>26408.046610476242</v>
          </cell>
          <cell r="T219">
            <v>27113.984701041256</v>
          </cell>
          <cell r="U219">
            <v>28084.473978898819</v>
          </cell>
          <cell r="V219">
            <v>29362.800335296797</v>
          </cell>
          <cell r="W219">
            <v>30805.387561284086</v>
          </cell>
          <cell r="X219">
            <v>32039.384416567875</v>
          </cell>
          <cell r="Y219">
            <v>32288.612309161115</v>
          </cell>
          <cell r="Z219">
            <v>32756.354184115167</v>
          </cell>
          <cell r="AA219">
            <v>33718.918515821199</v>
          </cell>
          <cell r="AB219">
            <v>33600.302576498187</v>
          </cell>
          <cell r="AC219">
            <v>33338.384168395656</v>
          </cell>
          <cell r="AD219">
            <v>33752.759044080267</v>
          </cell>
          <cell r="AE219">
            <v>34616.681984882525</v>
          </cell>
        </row>
        <row r="220">
          <cell r="G220">
            <v>42956.277083799177</v>
          </cell>
          <cell r="H220">
            <v>40249.231290308788</v>
          </cell>
          <cell r="I220">
            <v>41048.576423532184</v>
          </cell>
          <cell r="J220">
            <v>41987.384954699257</v>
          </cell>
          <cell r="K220">
            <v>42630.028909915964</v>
          </cell>
          <cell r="L220">
            <v>45057.099233644389</v>
          </cell>
          <cell r="M220">
            <v>44960.705557740206</v>
          </cell>
          <cell r="N220">
            <v>47739.190235863898</v>
          </cell>
          <cell r="O220">
            <v>47277.605127611147</v>
          </cell>
          <cell r="P220">
            <v>49287.03124420641</v>
          </cell>
          <cell r="Q220">
            <v>50208.35764342035</v>
          </cell>
          <cell r="R220">
            <v>48705.538754566136</v>
          </cell>
          <cell r="S220">
            <v>48775.221898515229</v>
          </cell>
          <cell r="T220">
            <v>50079.077784632274</v>
          </cell>
          <cell r="U220">
            <v>51871.555303921945</v>
          </cell>
          <cell r="V220">
            <v>54232.602775994215</v>
          </cell>
          <cell r="W220">
            <v>56897.037336162713</v>
          </cell>
          <cell r="X220">
            <v>59176.208958597657</v>
          </cell>
          <cell r="Y220">
            <v>59636.528721881943</v>
          </cell>
          <cell r="Z220">
            <v>59267.380594230824</v>
          </cell>
          <cell r="AA220">
            <v>59661.108667141169</v>
          </cell>
          <cell r="AB220">
            <v>58346.611071043306</v>
          </cell>
          <cell r="AC220">
            <v>56953.433458145395</v>
          </cell>
          <cell r="AD220">
            <v>56761.820168837978</v>
          </cell>
          <cell r="AE220">
            <v>57298.25438694148</v>
          </cell>
        </row>
        <row r="221">
          <cell r="G221">
            <v>10739.069270949794</v>
          </cell>
          <cell r="H221">
            <v>10062.307822577197</v>
          </cell>
          <cell r="I221">
            <v>10262.144105883046</v>
          </cell>
          <cell r="J221">
            <v>10496.846238674814</v>
          </cell>
          <cell r="K221">
            <v>10657.507227478991</v>
          </cell>
          <cell r="L221">
            <v>11264.274808411097</v>
          </cell>
          <cell r="M221">
            <v>11240.176389435052</v>
          </cell>
          <cell r="N221">
            <v>11934.797558965975</v>
          </cell>
          <cell r="O221">
            <v>11819.401281902787</v>
          </cell>
          <cell r="P221">
            <v>12321.757811051602</v>
          </cell>
          <cell r="Q221">
            <v>12552.089410855087</v>
          </cell>
          <cell r="R221">
            <v>12176.384688641534</v>
          </cell>
          <cell r="S221">
            <v>12193.805474628807</v>
          </cell>
          <cell r="T221">
            <v>12519.769446158069</v>
          </cell>
          <cell r="U221">
            <v>12967.888825980486</v>
          </cell>
          <cell r="V221">
            <v>13558.150693998554</v>
          </cell>
          <cell r="W221">
            <v>14224.259334040678</v>
          </cell>
          <cell r="X221">
            <v>14794.052239649414</v>
          </cell>
          <cell r="Y221">
            <v>14909.132180470486</v>
          </cell>
          <cell r="Z221">
            <v>16089.783930114661</v>
          </cell>
          <cell r="AA221">
            <v>17617.092653342384</v>
          </cell>
          <cell r="AB221">
            <v>18419.311769849035</v>
          </cell>
          <cell r="AC221">
            <v>19009.848165719726</v>
          </cell>
          <cell r="AD221">
            <v>19949.851202602753</v>
          </cell>
          <cell r="AE221">
            <v>21177.433659989274</v>
          </cell>
        </row>
        <row r="222">
          <cell r="G222">
            <v>22373.060981145409</v>
          </cell>
          <cell r="H222">
            <v>19427.476132820269</v>
          </cell>
          <cell r="I222">
            <v>19813.303588395116</v>
          </cell>
          <cell r="J222">
            <v>20266.447157796101</v>
          </cell>
          <cell r="K222">
            <v>20576.638177640001</v>
          </cell>
          <cell r="L222">
            <v>21748.135105042526</v>
          </cell>
          <cell r="M222">
            <v>21701.60786022446</v>
          </cell>
          <cell r="N222">
            <v>23042.725268910268</v>
          </cell>
          <cell r="O222">
            <v>22819.927630635757</v>
          </cell>
          <cell r="P222">
            <v>23789.836288996135</v>
          </cell>
          <cell r="Q222">
            <v>24234.541592860558</v>
          </cell>
          <cell r="R222">
            <v>23509.161823876082</v>
          </cell>
          <cell r="S222">
            <v>23542.796444278309</v>
          </cell>
          <cell r="T222">
            <v>24172.140863938701</v>
          </cell>
          <cell r="U222">
            <v>25037.332896388816</v>
          </cell>
          <cell r="V222">
            <v>26176.96195119722</v>
          </cell>
          <cell r="W222">
            <v>27463.02971362921</v>
          </cell>
          <cell r="X222">
            <v>28563.138979768595</v>
          </cell>
          <cell r="Y222">
            <v>28785.325862051341</v>
          </cell>
          <cell r="Z222">
            <v>28924.071606197242</v>
          </cell>
          <cell r="AA222">
            <v>29469.866159102188</v>
          </cell>
          <cell r="AB222">
            <v>29116.933433380244</v>
          </cell>
          <cell r="AC222">
            <v>28678.217716061263</v>
          </cell>
          <cell r="AD222">
            <v>28831.690819149815</v>
          </cell>
          <cell r="AE222">
            <v>29362.860829323748</v>
          </cell>
        </row>
        <row r="223">
          <cell r="G223">
            <v>4115.706901028545</v>
          </cell>
          <cell r="H223">
            <v>4205.010520242442</v>
          </cell>
          <cell r="I223">
            <v>4292.0902136220993</v>
          </cell>
          <cell r="J223">
            <v>4385.1340717390349</v>
          </cell>
          <cell r="K223">
            <v>4578.7455890095252</v>
          </cell>
          <cell r="L223">
            <v>4925.2542379471824</v>
          </cell>
          <cell r="M223">
            <v>5059.9086971479355</v>
          </cell>
          <cell r="N223">
            <v>5491.2305796720329</v>
          </cell>
          <cell r="O223">
            <v>5593.5954805401325</v>
          </cell>
          <cell r="P223">
            <v>5926.3175733184044</v>
          </cell>
          <cell r="Q223">
            <v>6182.9348882424329</v>
          </cell>
          <cell r="R223">
            <v>6169.7723192810736</v>
          </cell>
          <cell r="S223">
            <v>6245.6036993975076</v>
          </cell>
          <cell r="T223">
            <v>6577.8422959626059</v>
          </cell>
          <cell r="U223">
            <v>6928.8339007962168</v>
          </cell>
          <cell r="V223">
            <v>7490.3140941843267</v>
          </cell>
          <cell r="W223">
            <v>8257.6043067687824</v>
          </cell>
          <cell r="X223">
            <v>8802.0048065065639</v>
          </cell>
          <cell r="Y223">
            <v>9009.5800347258555</v>
          </cell>
          <cell r="Z223">
            <v>9145.9892087019052</v>
          </cell>
          <cell r="AA223">
            <v>9211.6710302419669</v>
          </cell>
          <cell r="AB223">
            <v>9178.9855009367984</v>
          </cell>
          <cell r="AC223">
            <v>9148.5358510380192</v>
          </cell>
          <cell r="AD223">
            <v>9307.2672479613648</v>
          </cell>
          <cell r="AE223">
            <v>9585.7986641014031</v>
          </cell>
        </row>
        <row r="224">
          <cell r="G224">
            <v>7052.2389172900575</v>
          </cell>
          <cell r="H224">
            <v>7205.2601294462738</v>
          </cell>
          <cell r="I224">
            <v>7354.4706581173587</v>
          </cell>
          <cell r="J224">
            <v>7513.9007470440247</v>
          </cell>
          <cell r="K224">
            <v>7845.6529125321231</v>
          </cell>
          <cell r="L224">
            <v>8439.3933896795734</v>
          </cell>
          <cell r="M224">
            <v>8670.1229922479361</v>
          </cell>
          <cell r="N224">
            <v>9409.1904328995261</v>
          </cell>
          <cell r="O224">
            <v>9584.5920722840365</v>
          </cell>
          <cell r="P224">
            <v>10154.709368719003</v>
          </cell>
          <cell r="Q224">
            <v>10594.421587950512</v>
          </cell>
          <cell r="R224">
            <v>10571.867605533151</v>
          </cell>
          <cell r="S224">
            <v>10701.80421736411</v>
          </cell>
          <cell r="T224">
            <v>11271.093045957972</v>
          </cell>
          <cell r="U224">
            <v>11872.515040957445</v>
          </cell>
          <cell r="V224">
            <v>12834.607961157768</v>
          </cell>
          <cell r="W224">
            <v>14047.589314524124</v>
          </cell>
          <cell r="X224">
            <v>15152.652396838437</v>
          </cell>
          <cell r="Y224">
            <v>15479.510456527292</v>
          </cell>
          <cell r="Z224">
            <v>15798.174448709171</v>
          </cell>
          <cell r="AA224">
            <v>16024.318633545427</v>
          </cell>
          <cell r="AB224">
            <v>15915.266706434264</v>
          </cell>
          <cell r="AC224">
            <v>15890.102655033168</v>
          </cell>
          <cell r="AD224">
            <v>16206.894670169306</v>
          </cell>
          <cell r="AE224">
            <v>16751.236087215875</v>
          </cell>
        </row>
        <row r="225">
          <cell r="G225">
            <v>50887.549088008323</v>
          </cell>
          <cell r="H225">
            <v>52096.128378848516</v>
          </cell>
          <cell r="I225">
            <v>53891.473390088919</v>
          </cell>
          <cell r="J225">
            <v>55301.704088136066</v>
          </cell>
          <cell r="K225">
            <v>56320.720929326286</v>
          </cell>
          <cell r="L225">
            <v>59598.948196798665</v>
          </cell>
          <cell r="M225">
            <v>59875.038133999398</v>
          </cell>
          <cell r="N225">
            <v>63090.538108352572</v>
          </cell>
          <cell r="O225">
            <v>62290.990920621967</v>
          </cell>
          <cell r="P225">
            <v>65911.63038498332</v>
          </cell>
          <cell r="Q225">
            <v>68983.639135362406</v>
          </cell>
          <cell r="R225">
            <v>69732.96582170199</v>
          </cell>
          <cell r="S225">
            <v>71331.440918664593</v>
          </cell>
          <cell r="T225">
            <v>74031.11753504441</v>
          </cell>
          <cell r="U225">
            <v>76942.356081206293</v>
          </cell>
          <cell r="V225">
            <v>81143.432123224557</v>
          </cell>
          <cell r="W225">
            <v>85690.254182846576</v>
          </cell>
          <cell r="X225">
            <v>88772.478710730531</v>
          </cell>
          <cell r="Y225">
            <v>89611.133454044131</v>
          </cell>
          <cell r="Z225">
            <v>90910.782716700836</v>
          </cell>
          <cell r="AA225">
            <v>92712.944275381815</v>
          </cell>
          <cell r="AB225">
            <v>92106.864078517261</v>
          </cell>
          <cell r="AC225">
            <v>91226.675126907721</v>
          </cell>
          <cell r="AD225">
            <v>92126.824590314762</v>
          </cell>
          <cell r="AE225">
            <v>94226.839366206506</v>
          </cell>
        </row>
        <row r="226">
          <cell r="G226">
            <v>19812.879259651741</v>
          </cell>
          <cell r="H226">
            <v>18032.884427272984</v>
          </cell>
          <cell r="I226">
            <v>18390.850686182566</v>
          </cell>
          <cell r="J226">
            <v>18811.272058336421</v>
          </cell>
          <cell r="K226">
            <v>19099.063705396456</v>
          </cell>
          <cell r="L226">
            <v>20186.310587606091</v>
          </cell>
          <cell r="M226">
            <v>20143.040724556799</v>
          </cell>
          <cell r="N226">
            <v>21387.69116528075</v>
          </cell>
          <cell r="O226">
            <v>21180.748251774428</v>
          </cell>
          <cell r="P226">
            <v>22080.758751653964</v>
          </cell>
          <cell r="Q226">
            <v>22493.41427857352</v>
          </cell>
          <cell r="R226">
            <v>21820.012288958882</v>
          </cell>
          <cell r="S226">
            <v>21851.072681430713</v>
          </cell>
          <cell r="T226">
            <v>22435.037007354465</v>
          </cell>
          <cell r="U226">
            <v>23237.856100070774</v>
          </cell>
          <cell r="V226">
            <v>24295.423566588957</v>
          </cell>
          <cell r="W226">
            <v>25676.409631101869</v>
          </cell>
          <cell r="X226">
            <v>26947.489232296917</v>
          </cell>
          <cell r="Y226">
            <v>27352.311253779546</v>
          </cell>
          <cell r="Z226">
            <v>27335.965576247774</v>
          </cell>
          <cell r="AA226">
            <v>27602.57300118457</v>
          </cell>
          <cell r="AB226">
            <v>27114.80587866436</v>
          </cell>
          <cell r="AC226">
            <v>26610.841990217854</v>
          </cell>
          <cell r="AD226">
            <v>26693.236756604154</v>
          </cell>
          <cell r="AE226">
            <v>27154.544217813003</v>
          </cell>
        </row>
        <row r="227">
          <cell r="G227">
            <v>7419.0906995658279</v>
          </cell>
          <cell r="H227">
            <v>10929.866269561855</v>
          </cell>
          <cell r="I227">
            <v>11146.832299299163</v>
          </cell>
          <cell r="J227">
            <v>11401.652840795985</v>
          </cell>
          <cell r="K227">
            <v>11576.085512870666</v>
          </cell>
          <cell r="L227">
            <v>12235.073988756241</v>
          </cell>
          <cell r="M227">
            <v>12208.847800786238</v>
          </cell>
          <cell r="N227">
            <v>12963.239752020037</v>
          </cell>
          <cell r="O227">
            <v>12837.810102693569</v>
          </cell>
          <cell r="P227">
            <v>13383.313205347922</v>
          </cell>
          <cell r="Q227">
            <v>13633.426809902779</v>
          </cell>
          <cell r="R227">
            <v>13225.27282201311</v>
          </cell>
          <cell r="S227">
            <v>13244.098758449756</v>
          </cell>
          <cell r="T227">
            <v>13598.043908726899</v>
          </cell>
          <cell r="U227">
            <v>14084.638571795298</v>
          </cell>
          <cell r="V227">
            <v>14725.638131610645</v>
          </cell>
          <cell r="W227">
            <v>15562.664125213003</v>
          </cell>
          <cell r="X227">
            <v>16333.074988492226</v>
          </cell>
          <cell r="Y227">
            <v>16578.44064674971</v>
          </cell>
          <cell r="Z227">
            <v>16857.311575218704</v>
          </cell>
          <cell r="AA227">
            <v>17266.656645919924</v>
          </cell>
          <cell r="AB227">
            <v>17209.046241024487</v>
          </cell>
          <cell r="AC227">
            <v>17136.3703707032</v>
          </cell>
          <cell r="AD227">
            <v>17456.408368183093</v>
          </cell>
          <cell r="AE227">
            <v>18058.866872371669</v>
          </cell>
        </row>
        <row r="228">
          <cell r="G228">
            <v>83364.422267462985</v>
          </cell>
          <cell r="H228">
            <v>83832.227579195271</v>
          </cell>
          <cell r="I228">
            <v>84473.651357137482</v>
          </cell>
          <cell r="J228">
            <v>85669.000717749455</v>
          </cell>
          <cell r="K228">
            <v>86953.915160136385</v>
          </cell>
          <cell r="L228">
            <v>91285.461447874812</v>
          </cell>
          <cell r="M228">
            <v>90938.245242666802</v>
          </cell>
          <cell r="N228">
            <v>95719.927133708654</v>
          </cell>
          <cell r="O228">
            <v>93952.396537730761</v>
          </cell>
          <cell r="P228">
            <v>96705.968870619268</v>
          </cell>
          <cell r="Q228">
            <v>98084.385907262404</v>
          </cell>
          <cell r="R228">
            <v>94854.133820205563</v>
          </cell>
          <cell r="S228">
            <v>94531.289301758676</v>
          </cell>
          <cell r="T228">
            <v>96314.095346684699</v>
          </cell>
          <cell r="U228">
            <v>98468.71184276056</v>
          </cell>
          <cell r="V228">
            <v>101998.44637128555</v>
          </cell>
          <cell r="W228">
            <v>108335.20040286546</v>
          </cell>
          <cell r="X228">
            <v>114395.71234984108</v>
          </cell>
          <cell r="Y228">
            <v>116727.38959742447</v>
          </cell>
          <cell r="Z228">
            <v>141998.01843454241</v>
          </cell>
          <cell r="AA228">
            <v>171946.05794425026</v>
          </cell>
          <cell r="AB228">
            <v>192464.78312542022</v>
          </cell>
          <cell r="AC228">
            <v>208908.64373695463</v>
          </cell>
          <cell r="AD228">
            <v>228706.45614921703</v>
          </cell>
          <cell r="AE228">
            <v>252084.95499626573</v>
          </cell>
        </row>
        <row r="229">
          <cell r="G229">
            <v>12778.134917081974</v>
          </cell>
          <cell r="H229">
            <v>12894.186073617273</v>
          </cell>
          <cell r="I229">
            <v>13178.009408971293</v>
          </cell>
          <cell r="J229">
            <v>13341.082749817862</v>
          </cell>
          <cell r="K229">
            <v>13581.568601140933</v>
          </cell>
          <cell r="L229">
            <v>14287.410756019724</v>
          </cell>
          <cell r="M229">
            <v>14217.523844548945</v>
          </cell>
          <cell r="N229">
            <v>14955.493690163396</v>
          </cell>
          <cell r="O229">
            <v>14749.068526871995</v>
          </cell>
          <cell r="P229">
            <v>15217.615920965041</v>
          </cell>
          <cell r="Q229">
            <v>15615.500853886677</v>
          </cell>
          <cell r="R229">
            <v>15768.602167633129</v>
          </cell>
          <cell r="S229">
            <v>16113.909210513591</v>
          </cell>
          <cell r="T229">
            <v>16679.827859739111</v>
          </cell>
          <cell r="U229">
            <v>17277.728711114269</v>
          </cell>
          <cell r="V229">
            <v>17914.590049087761</v>
          </cell>
          <cell r="W229">
            <v>18631.873619577422</v>
          </cell>
          <cell r="X229">
            <v>19246.310352174143</v>
          </cell>
          <cell r="Y229">
            <v>19226.799168199374</v>
          </cell>
          <cell r="Z229">
            <v>19109.077435323827</v>
          </cell>
          <cell r="AA229">
            <v>19277.963444280296</v>
          </cell>
          <cell r="AB229">
            <v>18940.524142835653</v>
          </cell>
          <cell r="AC229">
            <v>18579.144573461443</v>
          </cell>
          <cell r="AD229">
            <v>18559.369474301344</v>
          </cell>
          <cell r="AE229">
            <v>18786.218095097855</v>
          </cell>
        </row>
        <row r="230">
          <cell r="G230">
            <v>19927.728810231933</v>
          </cell>
          <cell r="H230">
            <v>20387.498878375507</v>
          </cell>
          <cell r="I230">
            <v>21039.067675030969</v>
          </cell>
          <cell r="J230">
            <v>21751.96518935723</v>
          </cell>
          <cell r="K230">
            <v>22543.066584433152</v>
          </cell>
          <cell r="L230">
            <v>23942.959888780144</v>
          </cell>
          <cell r="M230">
            <v>24443.241717863308</v>
          </cell>
          <cell r="N230">
            <v>25857.012921133639</v>
          </cell>
          <cell r="O230">
            <v>26019.551101581019</v>
          </cell>
          <cell r="P230">
            <v>27043.216886545717</v>
          </cell>
          <cell r="Q230">
            <v>27714.128414291805</v>
          </cell>
          <cell r="R230">
            <v>27458.778506721221</v>
          </cell>
          <cell r="S230">
            <v>28235.725930746761</v>
          </cell>
          <cell r="T230">
            <v>30700.328022192367</v>
          </cell>
          <cell r="U230">
            <v>33048.146988518049</v>
          </cell>
          <cell r="V230">
            <v>35494.528422093819</v>
          </cell>
          <cell r="W230">
            <v>37620.955907392017</v>
          </cell>
          <cell r="X230">
            <v>39513.733368011992</v>
          </cell>
          <cell r="Y230">
            <v>40010.808440145935</v>
          </cell>
          <cell r="Z230">
            <v>48908.818659119788</v>
          </cell>
          <cell r="AA230">
            <v>52282.519633483942</v>
          </cell>
          <cell r="AB230">
            <v>55374.912449867224</v>
          </cell>
          <cell r="AC230">
            <v>58076.99156480789</v>
          </cell>
          <cell r="AD230">
            <v>62210.734014487818</v>
          </cell>
          <cell r="AE230">
            <v>67374.994373915324</v>
          </cell>
        </row>
        <row r="231">
          <cell r="G231">
            <v>45108.374295171176</v>
          </cell>
          <cell r="H231">
            <v>46149.56065856183</v>
          </cell>
          <cell r="I231">
            <v>47625.090696060222</v>
          </cell>
          <cell r="J231">
            <v>49239.504556032982</v>
          </cell>
          <cell r="K231">
            <v>51031.017404918923</v>
          </cell>
          <cell r="L231">
            <v>54200.373325811925</v>
          </cell>
          <cell r="M231">
            <v>55333.543476117171</v>
          </cell>
          <cell r="N231">
            <v>58534.252384181593</v>
          </cell>
          <cell r="O231">
            <v>58902.884869384878</v>
          </cell>
          <cell r="P231">
            <v>61220.727174027903</v>
          </cell>
          <cell r="Q231">
            <v>62739.911562789377</v>
          </cell>
          <cell r="R231">
            <v>62162.601935177241</v>
          </cell>
          <cell r="S231">
            <v>63922.405058420525</v>
          </cell>
          <cell r="T231">
            <v>69503.539738679581</v>
          </cell>
          <cell r="U231">
            <v>74820.119795511695</v>
          </cell>
          <cell r="V231">
            <v>80359.598457471366</v>
          </cell>
          <cell r="W231">
            <v>86541.70128799032</v>
          </cell>
          <cell r="X231">
            <v>92483.477913026232</v>
          </cell>
          <cell r="Y231">
            <v>94848.756057148668</v>
          </cell>
          <cell r="Z231">
            <v>104876.15733776866</v>
          </cell>
          <cell r="AA231">
            <v>108880.94517899094</v>
          </cell>
          <cell r="AB231">
            <v>111269.29774283603</v>
          </cell>
          <cell r="AC231">
            <v>113174.32196937493</v>
          </cell>
          <cell r="AD231">
            <v>117725.13831993856</v>
          </cell>
          <cell r="AE231">
            <v>124056.03016699647</v>
          </cell>
        </row>
        <row r="232">
          <cell r="G232">
            <v>14732.614363471273</v>
          </cell>
          <cell r="H232">
            <v>15190.025849992297</v>
          </cell>
          <cell r="I232">
            <v>15978.652657210951</v>
          </cell>
          <cell r="J232">
            <v>16358.081684185232</v>
          </cell>
          <cell r="K232">
            <v>16802.815184019466</v>
          </cell>
          <cell r="L232">
            <v>17995.075095351578</v>
          </cell>
          <cell r="M232">
            <v>18068.872042573646</v>
          </cell>
          <cell r="N232">
            <v>19587.401185481136</v>
          </cell>
          <cell r="O232">
            <v>19396.744558816688</v>
          </cell>
          <cell r="P232">
            <v>20469.625724466405</v>
          </cell>
          <cell r="Q232">
            <v>22021.466826109994</v>
          </cell>
          <cell r="R232">
            <v>22443.493824552352</v>
          </cell>
          <cell r="S232">
            <v>23154.520006260926</v>
          </cell>
          <cell r="T232">
            <v>24297.299686122278</v>
          </cell>
          <cell r="U232">
            <v>25604.628317990238</v>
          </cell>
          <cell r="V232">
            <v>27252.115344501475</v>
          </cell>
          <cell r="W232">
            <v>29326.592850202847</v>
          </cell>
          <cell r="X232">
            <v>31071.045803116915</v>
          </cell>
          <cell r="Y232">
            <v>31809.338088577882</v>
          </cell>
          <cell r="Z232">
            <v>32253.678455315665</v>
          </cell>
          <cell r="AA232">
            <v>33031.407872308417</v>
          </cell>
          <cell r="AB232">
            <v>33044.701825989607</v>
          </cell>
          <cell r="AC232">
            <v>33079.38765057132</v>
          </cell>
          <cell r="AD232">
            <v>33840.932034592515</v>
          </cell>
          <cell r="AE232">
            <v>35028.551814055783</v>
          </cell>
        </row>
        <row r="233">
          <cell r="G233">
            <v>30607.73667734694</v>
          </cell>
          <cell r="H233">
            <v>31558.031715771514</v>
          </cell>
          <cell r="I233">
            <v>33196.443002222775</v>
          </cell>
          <cell r="J233">
            <v>33984.725615128584</v>
          </cell>
          <cell r="K233">
            <v>34908.681507727801</v>
          </cell>
          <cell r="L233">
            <v>37385.660577205868</v>
          </cell>
          <cell r="M233">
            <v>37538.977393382476</v>
          </cell>
          <cell r="N233">
            <v>40693.796965544178</v>
          </cell>
          <cell r="O233">
            <v>40297.698372262203</v>
          </cell>
          <cell r="P233">
            <v>42526.662179644067</v>
          </cell>
          <cell r="Q233">
            <v>45750.688997447731</v>
          </cell>
          <cell r="R233">
            <v>46627.471007780034</v>
          </cell>
          <cell r="S233">
            <v>48104.663147852298</v>
          </cell>
          <cell r="T233">
            <v>50478.844583575272</v>
          </cell>
          <cell r="U233">
            <v>53194.884624247505</v>
          </cell>
          <cell r="V233">
            <v>56617.620592401901</v>
          </cell>
          <cell r="W233">
            <v>59923.157134890702</v>
          </cell>
          <cell r="X233">
            <v>63973.486449511773</v>
          </cell>
          <cell r="Y233">
            <v>66181.538107032015</v>
          </cell>
          <cell r="Z233">
            <v>66453.563269918333</v>
          </cell>
          <cell r="AA233">
            <v>66959.267579956038</v>
          </cell>
          <cell r="AB233">
            <v>66094.364426773463</v>
          </cell>
          <cell r="AC233">
            <v>65334.982685483985</v>
          </cell>
          <cell r="AD233">
            <v>65811.632936669848</v>
          </cell>
          <cell r="AE233">
            <v>67051.855449590992</v>
          </cell>
        </row>
        <row r="236">
          <cell r="G236">
            <v>365235.87759901345</v>
          </cell>
          <cell r="H236">
            <v>354859.62782446295</v>
          </cell>
          <cell r="I236">
            <v>359099.12116031331</v>
          </cell>
          <cell r="J236">
            <v>363684.89253116085</v>
          </cell>
          <cell r="K236">
            <v>371183.65691280959</v>
          </cell>
          <cell r="L236">
            <v>393810.14448577375</v>
          </cell>
          <cell r="M236">
            <v>392919.76472724194</v>
          </cell>
          <cell r="N236">
            <v>416337.28299488511</v>
          </cell>
          <cell r="O236">
            <v>415847.40765335562</v>
          </cell>
          <cell r="P236">
            <v>440930.75205977412</v>
          </cell>
          <cell r="Q236">
            <v>462610.57949277834</v>
          </cell>
          <cell r="R236">
            <v>464545.80548638868</v>
          </cell>
          <cell r="S236">
            <v>474100.778496566</v>
          </cell>
          <cell r="T236">
            <v>490120.37038982578</v>
          </cell>
          <cell r="U236">
            <v>507824.3128671766</v>
          </cell>
          <cell r="V236">
            <v>523265.66056981642</v>
          </cell>
          <cell r="W236">
            <v>547621.81359517598</v>
          </cell>
          <cell r="X236">
            <v>577195.13074333861</v>
          </cell>
          <cell r="Y236">
            <v>597901.31757310289</v>
          </cell>
          <cell r="Z236">
            <v>606724.96847552957</v>
          </cell>
          <cell r="AA236">
            <v>621130.50828699535</v>
          </cell>
          <cell r="AB236">
            <v>615303.10013566166</v>
          </cell>
          <cell r="AC236">
            <v>604685.27239587845</v>
          </cell>
          <cell r="AD236">
            <v>611946.42316720472</v>
          </cell>
          <cell r="AE236">
            <v>621775.7724142184</v>
          </cell>
        </row>
        <row r="237">
          <cell r="G237">
            <v>128508.91989594916</v>
          </cell>
          <cell r="H237">
            <v>159878.80401357694</v>
          </cell>
          <cell r="I237">
            <v>161788.86949021256</v>
          </cell>
          <cell r="J237">
            <v>163854.9474116308</v>
          </cell>
          <cell r="K237">
            <v>167233.44805501943</v>
          </cell>
          <cell r="L237">
            <v>177427.60791020317</v>
          </cell>
          <cell r="M237">
            <v>177026.45534239855</v>
          </cell>
          <cell r="N237">
            <v>187577.00694092782</v>
          </cell>
          <cell r="O237">
            <v>187356.29802512456</v>
          </cell>
          <cell r="P237">
            <v>198657.37256252611</v>
          </cell>
          <cell r="Q237">
            <v>208425.02323177626</v>
          </cell>
          <cell r="R237">
            <v>209296.92184490184</v>
          </cell>
          <cell r="S237">
            <v>213601.82873615521</v>
          </cell>
          <cell r="T237">
            <v>220819.31134577713</v>
          </cell>
          <cell r="U237">
            <v>228795.66291599342</v>
          </cell>
          <cell r="V237">
            <v>235752.62282205813</v>
          </cell>
          <cell r="W237">
            <v>246726.06784295075</v>
          </cell>
          <cell r="X237">
            <v>260050.0590936582</v>
          </cell>
          <cell r="Y237">
            <v>269379.04477264325</v>
          </cell>
          <cell r="Z237">
            <v>274246.47257606586</v>
          </cell>
          <cell r="AA237">
            <v>283323.60322947107</v>
          </cell>
          <cell r="AB237">
            <v>282176.62280447973</v>
          </cell>
          <cell r="AC237">
            <v>278788.25314832455</v>
          </cell>
          <cell r="AD237">
            <v>283474.80692722125</v>
          </cell>
          <cell r="AE237">
            <v>289306.68472038873</v>
          </cell>
        </row>
        <row r="238">
          <cell r="G238">
            <v>182617.93879950672</v>
          </cell>
          <cell r="H238">
            <v>187597.13911690007</v>
          </cell>
          <cell r="I238">
            <v>189838.35439964873</v>
          </cell>
          <cell r="J238">
            <v>192262.63014803207</v>
          </cell>
          <cell r="K238">
            <v>196226.86455117722</v>
          </cell>
          <cell r="L238">
            <v>208188.39526396897</v>
          </cell>
          <cell r="M238">
            <v>207717.6945070184</v>
          </cell>
          <cell r="N238">
            <v>220097.40492705166</v>
          </cell>
          <cell r="O238">
            <v>219838.43150379052</v>
          </cell>
          <cell r="P238">
            <v>233098.78371397682</v>
          </cell>
          <cell r="Q238">
            <v>244559.86095151352</v>
          </cell>
          <cell r="R238">
            <v>245582.9214280509</v>
          </cell>
          <cell r="S238">
            <v>250634.17398117352</v>
          </cell>
          <cell r="T238">
            <v>259102.95818021009</v>
          </cell>
          <cell r="U238">
            <v>268462.17714857374</v>
          </cell>
          <cell r="V238">
            <v>276625.27158364275</v>
          </cell>
          <cell r="W238">
            <v>289501.19284710946</v>
          </cell>
          <cell r="X238">
            <v>305135.17669927207</v>
          </cell>
          <cell r="Y238">
            <v>316081.53719425993</v>
          </cell>
          <cell r="Z238">
            <v>318864.90587520832</v>
          </cell>
          <cell r="AA238">
            <v>321024.71413024032</v>
          </cell>
          <cell r="AB238">
            <v>314825.8482508192</v>
          </cell>
          <cell r="AC238">
            <v>306269.79725356057</v>
          </cell>
          <cell r="AD238">
            <v>307123.92753089877</v>
          </cell>
          <cell r="AE238">
            <v>309360.53101240424</v>
          </cell>
        </row>
        <row r="239">
          <cell r="G239">
            <v>22826.038376498713</v>
          </cell>
          <cell r="H239">
            <v>37085.098831852469</v>
          </cell>
          <cell r="I239">
            <v>37893.103890682374</v>
          </cell>
          <cell r="J239">
            <v>38462.381555532207</v>
          </cell>
          <cell r="K239">
            <v>38969.129623895285</v>
          </cell>
          <cell r="L239">
            <v>41122.671401230393</v>
          </cell>
          <cell r="M239">
            <v>41185.78757641455</v>
          </cell>
          <cell r="N239">
            <v>44212.728429698531</v>
          </cell>
          <cell r="O239">
            <v>44951.843483761288</v>
          </cell>
          <cell r="P239">
            <v>48023.926933948365</v>
          </cell>
          <cell r="Q239">
            <v>50150.466781839837</v>
          </cell>
          <cell r="R239">
            <v>50124.859380140115</v>
          </cell>
          <cell r="S239">
            <v>50689.163852827936</v>
          </cell>
          <cell r="T239">
            <v>51823.573400304151</v>
          </cell>
          <cell r="U239">
            <v>52861.045289321017</v>
          </cell>
          <cell r="V239">
            <v>54320.35492645581</v>
          </cell>
          <cell r="W239">
            <v>56926.871894878575</v>
          </cell>
          <cell r="X239">
            <v>59891.068626553875</v>
          </cell>
          <cell r="Y239">
            <v>62046.543913457623</v>
          </cell>
          <cell r="Z239">
            <v>63939.99342109407</v>
          </cell>
          <cell r="AA239">
            <v>65822.79068051881</v>
          </cell>
          <cell r="AB239">
            <v>65849.37613974858</v>
          </cell>
          <cell r="AC239">
            <v>65246.726750042319</v>
          </cell>
          <cell r="AD239">
            <v>66564.13506297869</v>
          </cell>
          <cell r="AE239">
            <v>68260.473116669134</v>
          </cell>
        </row>
        <row r="240">
          <cell r="G240">
            <v>73043.322804795869</v>
          </cell>
          <cell r="H240">
            <v>68495.559377511716</v>
          </cell>
          <cell r="I240">
            <v>69987.931252677838</v>
          </cell>
          <cell r="J240">
            <v>71039.377610467272</v>
          </cell>
          <cell r="K240">
            <v>71975.332845840443</v>
          </cell>
          <cell r="L240">
            <v>75952.888611573333</v>
          </cell>
          <cell r="M240">
            <v>76069.463135066151</v>
          </cell>
          <cell r="N240">
            <v>81660.172435542656</v>
          </cell>
          <cell r="O240">
            <v>83025.305620219151</v>
          </cell>
          <cell r="P240">
            <v>88699.392544701768</v>
          </cell>
          <cell r="Q240">
            <v>92627.076196842638</v>
          </cell>
          <cell r="R240">
            <v>92579.779752748451</v>
          </cell>
          <cell r="S240">
            <v>93622.040707511944</v>
          </cell>
          <cell r="T240">
            <v>95717.276232429431</v>
          </cell>
          <cell r="U240">
            <v>97633.469518009108</v>
          </cell>
          <cell r="V240">
            <v>100328.79009282413</v>
          </cell>
          <cell r="W240">
            <v>105142.983485933</v>
          </cell>
          <cell r="X240">
            <v>110617.80543966891</v>
          </cell>
          <cell r="Y240">
            <v>114598.93236534574</v>
          </cell>
          <cell r="Z240">
            <v>115858.64768204739</v>
          </cell>
          <cell r="AA240">
            <v>116478.30055393775</v>
          </cell>
          <cell r="AB240">
            <v>114286.39036749169</v>
          </cell>
          <cell r="AC240">
            <v>111201.59592874881</v>
          </cell>
          <cell r="AD240">
            <v>111549.77156105102</v>
          </cell>
          <cell r="AE240">
            <v>112441.44112659105</v>
          </cell>
        </row>
        <row r="241">
          <cell r="G241">
            <v>18260.830701198967</v>
          </cell>
          <cell r="H241">
            <v>17123.889844377929</v>
          </cell>
          <cell r="I241">
            <v>17496.982813169459</v>
          </cell>
          <cell r="J241">
            <v>17759.844402616818</v>
          </cell>
          <cell r="K241">
            <v>17993.833211460111</v>
          </cell>
          <cell r="L241">
            <v>18988.222152893333</v>
          </cell>
          <cell r="M241">
            <v>19017.365783766538</v>
          </cell>
          <cell r="N241">
            <v>20415.043108885664</v>
          </cell>
          <cell r="O241">
            <v>20756.326405054788</v>
          </cell>
          <cell r="P241">
            <v>22174.848136175442</v>
          </cell>
          <cell r="Q241">
            <v>23156.769049210659</v>
          </cell>
          <cell r="R241">
            <v>23144.944938187113</v>
          </cell>
          <cell r="S241">
            <v>23405.510176877986</v>
          </cell>
          <cell r="T241">
            <v>23929.319058107358</v>
          </cell>
          <cell r="U241">
            <v>24408.367379502277</v>
          </cell>
          <cell r="V241">
            <v>25082.197523206032</v>
          </cell>
          <cell r="W241">
            <v>26285.74587148325</v>
          </cell>
          <cell r="X241">
            <v>27654.451359917228</v>
          </cell>
          <cell r="Y241">
            <v>28649.733091336435</v>
          </cell>
          <cell r="Z241">
            <v>30793.004144602553</v>
          </cell>
          <cell r="AA241">
            <v>33283.211347743643</v>
          </cell>
          <cell r="AB241">
            <v>34566.484046841208</v>
          </cell>
          <cell r="AC241">
            <v>35406.47476373057</v>
          </cell>
          <cell r="AD241">
            <v>37197.32778087561</v>
          </cell>
          <cell r="AE241">
            <v>39251.843081514526</v>
          </cell>
        </row>
        <row r="242">
          <cell r="G242">
            <v>38043.397294164519</v>
          </cell>
          <cell r="H242">
            <v>33061.397754723999</v>
          </cell>
          <cell r="I242">
            <v>33781.73496506628</v>
          </cell>
          <cell r="J242">
            <v>34289.246496741514</v>
          </cell>
          <cell r="K242">
            <v>34741.012838946874</v>
          </cell>
          <cell r="L242">
            <v>36660.897200175481</v>
          </cell>
          <cell r="M242">
            <v>36717.165325062553</v>
          </cell>
          <cell r="N242">
            <v>39415.685719579902</v>
          </cell>
          <cell r="O242">
            <v>40074.60743095701</v>
          </cell>
          <cell r="P242">
            <v>42813.372489743997</v>
          </cell>
          <cell r="Q242">
            <v>44709.184607467789</v>
          </cell>
          <cell r="R242">
            <v>44686.35558665546</v>
          </cell>
          <cell r="S242">
            <v>45189.43351320739</v>
          </cell>
          <cell r="T242">
            <v>46200.760608112003</v>
          </cell>
          <cell r="U242">
            <v>47125.667696472541</v>
          </cell>
          <cell r="V242">
            <v>48426.643502937863</v>
          </cell>
          <cell r="W242">
            <v>50750.35563966936</v>
          </cell>
          <cell r="X242">
            <v>53392.939595384662</v>
          </cell>
          <cell r="Y242">
            <v>55314.547682069737</v>
          </cell>
          <cell r="Z242">
            <v>56206.338067598081</v>
          </cell>
          <cell r="AA242">
            <v>56867.860447024854</v>
          </cell>
          <cell r="AB242">
            <v>56094.0735060183</v>
          </cell>
          <cell r="AC242">
            <v>54855.157088644417</v>
          </cell>
          <cell r="AD242">
            <v>55287.638953758076</v>
          </cell>
          <cell r="AE242">
            <v>56002.286494712542</v>
          </cell>
        </row>
        <row r="243">
          <cell r="G243">
            <v>4628.0563230687512</v>
          </cell>
          <cell r="H243">
            <v>4701.4044369701423</v>
          </cell>
          <cell r="I243">
            <v>4765.7538702829233</v>
          </cell>
          <cell r="J243">
            <v>4856.2183556535629</v>
          </cell>
          <cell r="K243">
            <v>4946.6084717631393</v>
          </cell>
          <cell r="L243">
            <v>5278.2857012813538</v>
          </cell>
          <cell r="M243">
            <v>5357.0931278130192</v>
          </cell>
          <cell r="N243">
            <v>5747.3914872416699</v>
          </cell>
          <cell r="O243">
            <v>5732.4673645938337</v>
          </cell>
          <cell r="P243">
            <v>6142.1880301032079</v>
          </cell>
          <cell r="Q243">
            <v>6440.7376439136387</v>
          </cell>
          <cell r="R243">
            <v>6446.5319933809833</v>
          </cell>
          <cell r="S243">
            <v>6508.8716791976822</v>
          </cell>
          <cell r="T243">
            <v>6604.0308077340533</v>
          </cell>
          <cell r="U243">
            <v>6726.1553145885591</v>
          </cell>
          <cell r="V243">
            <v>6888.1269957209943</v>
          </cell>
          <cell r="W243">
            <v>7236.5674433278036</v>
          </cell>
          <cell r="X243">
            <v>7730.2118587169389</v>
          </cell>
          <cell r="Y243">
            <v>8038.0237502793789</v>
          </cell>
          <cell r="Z243">
            <v>8252.3093205514033</v>
          </cell>
          <cell r="AA243">
            <v>8409.382277396091</v>
          </cell>
          <cell r="AB243">
            <v>8362.9356517854412</v>
          </cell>
          <cell r="AC243">
            <v>8292.2030909308778</v>
          </cell>
          <cell r="AD243">
            <v>8458.0331189855751</v>
          </cell>
          <cell r="AE243">
            <v>8650.3301626552002</v>
          </cell>
        </row>
        <row r="244">
          <cell r="G244">
            <v>15523.354711945038</v>
          </cell>
          <cell r="H244">
            <v>15769.377817555918</v>
          </cell>
          <cell r="I244">
            <v>15985.217688356061</v>
          </cell>
          <cell r="J244">
            <v>16288.652261578984</v>
          </cell>
          <cell r="K244">
            <v>16591.837386580326</v>
          </cell>
          <cell r="L244">
            <v>17704.344003671897</v>
          </cell>
          <cell r="M244">
            <v>17968.678651002941</v>
          </cell>
          <cell r="N244">
            <v>19277.81135250035</v>
          </cell>
          <cell r="O244">
            <v>19227.753091871116</v>
          </cell>
          <cell r="P244">
            <v>20602.031791076501</v>
          </cell>
          <cell r="Q244">
            <v>21603.422273554581</v>
          </cell>
          <cell r="R244">
            <v>21622.857590635365</v>
          </cell>
          <cell r="S244">
            <v>21831.956397566515</v>
          </cell>
          <cell r="T244">
            <v>22151.137670055909</v>
          </cell>
          <cell r="U244">
            <v>22560.765796117001</v>
          </cell>
          <cell r="V244">
            <v>23104.048695889851</v>
          </cell>
          <cell r="W244">
            <v>24222.842301479006</v>
          </cell>
          <cell r="X244">
            <v>25741.472768522566</v>
          </cell>
          <cell r="Y244">
            <v>26592.666617849558</v>
          </cell>
          <cell r="Z244">
            <v>27217.575877861957</v>
          </cell>
          <cell r="AA244">
            <v>27703.370878767415</v>
          </cell>
          <cell r="AB244">
            <v>27506.937031022229</v>
          </cell>
          <cell r="AC244">
            <v>27126.465394959287</v>
          </cell>
          <cell r="AD244">
            <v>27532.444745598816</v>
          </cell>
          <cell r="AE244">
            <v>28038.123006593294</v>
          </cell>
        </row>
        <row r="245">
          <cell r="G245">
            <v>42989.038650593269</v>
          </cell>
          <cell r="H245">
            <v>46177.524094383676</v>
          </cell>
          <cell r="I245">
            <v>48049.097799709365</v>
          </cell>
          <cell r="J245">
            <v>50221.351556134323</v>
          </cell>
          <cell r="K245">
            <v>53009.132948004757</v>
          </cell>
          <cell r="L245">
            <v>57640.128982233764</v>
          </cell>
          <cell r="M245">
            <v>59025.056673692248</v>
          </cell>
          <cell r="N245">
            <v>64140.796106645364</v>
          </cell>
          <cell r="O245">
            <v>65738.378600449563</v>
          </cell>
          <cell r="P245">
            <v>72214.596280012745</v>
          </cell>
          <cell r="Q245">
            <v>79060.97595669709</v>
          </cell>
          <cell r="R245">
            <v>81293.356899375809</v>
          </cell>
          <cell r="S245">
            <v>84841.963710676544</v>
          </cell>
          <cell r="T245">
            <v>88452.881885079623</v>
          </cell>
          <cell r="U245">
            <v>92105.077335115246</v>
          </cell>
          <cell r="V245">
            <v>97065.846332970599</v>
          </cell>
          <cell r="W245">
            <v>102052.43951083547</v>
          </cell>
          <cell r="X245">
            <v>109775.5245398815</v>
          </cell>
          <cell r="Y245">
            <v>114575.40812346498</v>
          </cell>
          <cell r="Z245">
            <v>118916.91832645051</v>
          </cell>
          <cell r="AA245">
            <v>122334.77011979968</v>
          </cell>
          <cell r="AB245">
            <v>122593.4152380662</v>
          </cell>
          <cell r="AC245">
            <v>121709.85508655623</v>
          </cell>
          <cell r="AD245">
            <v>124569.45637297981</v>
          </cell>
          <cell r="AE245">
            <v>128234.69570832193</v>
          </cell>
        </row>
        <row r="246">
          <cell r="G246">
            <v>33299.04878638684</v>
          </cell>
          <cell r="H246">
            <v>30330.448544332252</v>
          </cell>
          <cell r="I246">
            <v>30989.602297357953</v>
          </cell>
          <cell r="J246">
            <v>31454.007198291205</v>
          </cell>
          <cell r="K246">
            <v>31867.401752508187</v>
          </cell>
          <cell r="L246">
            <v>33627.757716878958</v>
          </cell>
          <cell r="M246">
            <v>33678.283068356512</v>
          </cell>
          <cell r="N246">
            <v>36151.728628515026</v>
          </cell>
          <cell r="O246">
            <v>36753.502636978956</v>
          </cell>
          <cell r="P246">
            <v>39263.465870843895</v>
          </cell>
          <cell r="Q246">
            <v>41001.093157340103</v>
          </cell>
          <cell r="R246">
            <v>40978.97325122216</v>
          </cell>
          <cell r="S246">
            <v>41438.624077021566</v>
          </cell>
          <cell r="T246">
            <v>42363.69971619008</v>
          </cell>
          <cell r="U246">
            <v>43210.133146248801</v>
          </cell>
          <cell r="V246">
            <v>44401.32382270151</v>
          </cell>
          <cell r="W246">
            <v>46342.560297745775</v>
          </cell>
          <cell r="X246">
            <v>48642.611386782039</v>
          </cell>
          <cell r="Y246">
            <v>50263.175879098308</v>
          </cell>
          <cell r="Z246">
            <v>50977.817961385736</v>
          </cell>
          <cell r="AA246">
            <v>51339.024248911577</v>
          </cell>
          <cell r="AB246">
            <v>50538.39378639061</v>
          </cell>
          <cell r="AC246">
            <v>49436.659552163255</v>
          </cell>
          <cell r="AD246">
            <v>49738.779482392318</v>
          </cell>
          <cell r="AE246">
            <v>50267.876249741275</v>
          </cell>
        </row>
        <row r="247">
          <cell r="G247">
            <v>10691.658369472056</v>
          </cell>
          <cell r="H247">
            <v>15762.991449869804</v>
          </cell>
          <cell r="I247">
            <v>16105.559247965732</v>
          </cell>
          <cell r="J247">
            <v>16346.914415265306</v>
          </cell>
          <cell r="K247">
            <v>16561.759072574627</v>
          </cell>
          <cell r="L247">
            <v>17476.631003154402</v>
          </cell>
          <cell r="M247">
            <v>17502.889457004119</v>
          </cell>
          <cell r="N247">
            <v>18788.360100786689</v>
          </cell>
          <cell r="O247">
            <v>19101.107158790332</v>
          </cell>
          <cell r="P247">
            <v>20405.55634743558</v>
          </cell>
          <cell r="Q247">
            <v>21308.615991280461</v>
          </cell>
          <cell r="R247">
            <v>21297.120088392661</v>
          </cell>
          <cell r="S247">
            <v>21536.004522508803</v>
          </cell>
          <cell r="T247">
            <v>22016.774181070974</v>
          </cell>
          <cell r="U247">
            <v>22456.672816311991</v>
          </cell>
          <cell r="V247">
            <v>23075.744717627389</v>
          </cell>
          <cell r="W247">
            <v>24084.621784300914</v>
          </cell>
          <cell r="X247">
            <v>25279.97785026049</v>
          </cell>
          <cell r="Y247">
            <v>26122.198966740394</v>
          </cell>
          <cell r="Z247">
            <v>26801.516390175642</v>
          </cell>
          <cell r="AA247">
            <v>27292.56324226594</v>
          </cell>
          <cell r="AB247">
            <v>27183.612671531475</v>
          </cell>
          <cell r="AC247">
            <v>26965.245592442159</v>
          </cell>
          <cell r="AD247">
            <v>27407.916763462723</v>
          </cell>
          <cell r="AE247">
            <v>27972.689694185861</v>
          </cell>
        </row>
        <row r="248">
          <cell r="G248">
            <v>112714.25036667172</v>
          </cell>
          <cell r="H248">
            <v>114141.16481280299</v>
          </cell>
          <cell r="I248">
            <v>115190.36661142894</v>
          </cell>
          <cell r="J248">
            <v>116520.75449208662</v>
          </cell>
          <cell r="K248">
            <v>117639.50338136432</v>
          </cell>
          <cell r="L248">
            <v>125133.03018357205</v>
          </cell>
          <cell r="M248">
            <v>125028.1219180683</v>
          </cell>
          <cell r="N248">
            <v>132782.30628235237</v>
          </cell>
          <cell r="O248">
            <v>132776.26779086614</v>
          </cell>
          <cell r="P248">
            <v>140250.1217333712</v>
          </cell>
          <cell r="Q248">
            <v>146590.53423395441</v>
          </cell>
          <cell r="R248">
            <v>146845.81875868811</v>
          </cell>
          <cell r="S248">
            <v>147443.91759888123</v>
          </cell>
          <cell r="T248">
            <v>149119.28301449967</v>
          </cell>
          <cell r="U248">
            <v>151298.35382192422</v>
          </cell>
          <cell r="V248">
            <v>153935.93009441264</v>
          </cell>
          <cell r="W248">
            <v>164146.30188532348</v>
          </cell>
          <cell r="X248">
            <v>174886.41228830878</v>
          </cell>
          <cell r="Y248">
            <v>184122.16950487869</v>
          </cell>
          <cell r="Z248">
            <v>222578.6043170327</v>
          </cell>
          <cell r="AA248">
            <v>270108.4559566789</v>
          </cell>
          <cell r="AB248">
            <v>303077.22933959612</v>
          </cell>
          <cell r="AC248">
            <v>330226.38848079956</v>
          </cell>
          <cell r="AD248">
            <v>364736.77247703593</v>
          </cell>
          <cell r="AE248">
            <v>402666.75528648176</v>
          </cell>
        </row>
        <row r="249">
          <cell r="G249">
            <v>14752.415649731582</v>
          </cell>
          <cell r="H249">
            <v>14949.486256197217</v>
          </cell>
          <cell r="I249">
            <v>15653.173296422536</v>
          </cell>
          <cell r="J249">
            <v>16126.238339946436</v>
          </cell>
          <cell r="K249">
            <v>16429.953298851924</v>
          </cell>
          <cell r="L249">
            <v>17486.291276105734</v>
          </cell>
          <cell r="M249">
            <v>17416.657106211544</v>
          </cell>
          <cell r="N249">
            <v>18528.371104601782</v>
          </cell>
          <cell r="O249">
            <v>18478.233325586072</v>
          </cell>
          <cell r="P249">
            <v>19711.765341966311</v>
          </cell>
          <cell r="Q249">
            <v>20744.547614122177</v>
          </cell>
          <cell r="R249">
            <v>21201.557636324564</v>
          </cell>
          <cell r="S249">
            <v>21869.370611957627</v>
          </cell>
          <cell r="T249">
            <v>22409.704663340748</v>
          </cell>
          <cell r="U249">
            <v>23146.437011872487</v>
          </cell>
          <cell r="V249">
            <v>23754.6214532173</v>
          </cell>
          <cell r="W249">
            <v>24638.42210750085</v>
          </cell>
          <cell r="X249">
            <v>25998.629422016213</v>
          </cell>
          <cell r="Y249">
            <v>27022.019736324251</v>
          </cell>
          <cell r="Z249">
            <v>27815.476693020497</v>
          </cell>
          <cell r="AA249">
            <v>28513.040758287032</v>
          </cell>
          <cell r="AB249">
            <v>28522.892788035613</v>
          </cell>
          <cell r="AC249">
            <v>28160.258081621505</v>
          </cell>
          <cell r="AD249">
            <v>28635.095426973003</v>
          </cell>
          <cell r="AE249">
            <v>29323.666041989127</v>
          </cell>
        </row>
        <row r="250">
          <cell r="G250">
            <v>34875.560548544068</v>
          </cell>
          <cell r="H250">
            <v>35490.215717743871</v>
          </cell>
          <cell r="I250">
            <v>36041.055471905849</v>
          </cell>
          <cell r="J250">
            <v>36987.832605266187</v>
          </cell>
          <cell r="K250">
            <v>37609.896544160554</v>
          </cell>
          <cell r="L250">
            <v>39880.544867932578</v>
          </cell>
          <cell r="M250">
            <v>40403.524766928334</v>
          </cell>
          <cell r="N250">
            <v>43318.517315310317</v>
          </cell>
          <cell r="O250">
            <v>43477.324084102991</v>
          </cell>
          <cell r="P250">
            <v>46102.792950617768</v>
          </cell>
          <cell r="Q250">
            <v>48157.744443856565</v>
          </cell>
          <cell r="R250">
            <v>48381.995246132137</v>
          </cell>
          <cell r="S250">
            <v>49049.199908716473</v>
          </cell>
          <cell r="T250">
            <v>50428.752236485008</v>
          </cell>
          <cell r="U250">
            <v>51749.10969971741</v>
          </cell>
          <cell r="V250">
            <v>53283.685692529973</v>
          </cell>
          <cell r="W250">
            <v>55740.603359634508</v>
          </cell>
          <cell r="X250">
            <v>58846.279199835903</v>
          </cell>
          <cell r="Y250">
            <v>60989.003348343955</v>
          </cell>
          <cell r="Z250">
            <v>66855.58838065021</v>
          </cell>
          <cell r="AA250">
            <v>70982.670891079164</v>
          </cell>
          <cell r="AB250">
            <v>72875.175932513535</v>
          </cell>
          <cell r="AC250">
            <v>74055.453637505809</v>
          </cell>
          <cell r="AD250">
            <v>77727.363212703494</v>
          </cell>
          <cell r="AE250">
            <v>81944.81933887284</v>
          </cell>
        </row>
        <row r="251">
          <cell r="G251">
            <v>95092.731567875642</v>
          </cell>
          <cell r="H251">
            <v>96766.415545228316</v>
          </cell>
          <cell r="I251">
            <v>98266.332436564364</v>
          </cell>
          <cell r="J251">
            <v>100844.37260873445</v>
          </cell>
          <cell r="K251">
            <v>102538.23040020447</v>
          </cell>
          <cell r="L251">
            <v>108726.98855621848</v>
          </cell>
          <cell r="M251">
            <v>110149.4485241012</v>
          </cell>
          <cell r="N251">
            <v>118093.70785323142</v>
          </cell>
          <cell r="O251">
            <v>118524.17778565657</v>
          </cell>
          <cell r="P251">
            <v>125679.56328821628</v>
          </cell>
          <cell r="Q251">
            <v>131279.82577985615</v>
          </cell>
          <cell r="R251">
            <v>131888.41597728548</v>
          </cell>
          <cell r="S251">
            <v>133704.03605860649</v>
          </cell>
          <cell r="T251">
            <v>137459.9244662337</v>
          </cell>
          <cell r="U251">
            <v>141055.35189563283</v>
          </cell>
          <cell r="V251">
            <v>145235.13322236884</v>
          </cell>
          <cell r="W251">
            <v>153068.71128711573</v>
          </cell>
          <cell r="X251">
            <v>162786.7828709142</v>
          </cell>
          <cell r="Y251">
            <v>169902.61285857085</v>
          </cell>
          <cell r="Z251">
            <v>177924.99831106921</v>
          </cell>
          <cell r="AA251">
            <v>183099.6511936677</v>
          </cell>
          <cell r="AB251">
            <v>183290.58023238834</v>
          </cell>
          <cell r="AC251">
            <v>181910.0452579376</v>
          </cell>
          <cell r="AD251">
            <v>186440.59700101402</v>
          </cell>
          <cell r="AE251">
            <v>192071.4052546951</v>
          </cell>
        </row>
        <row r="252">
          <cell r="G252">
            <v>20269.095261833754</v>
          </cell>
          <cell r="H252">
            <v>20530.532236312658</v>
          </cell>
          <cell r="I252">
            <v>20719.297673345118</v>
          </cell>
          <cell r="J252">
            <v>20905.426610008475</v>
          </cell>
          <cell r="K252">
            <v>21238.400627835614</v>
          </cell>
          <cell r="L252">
            <v>22707.133589089823</v>
          </cell>
          <cell r="M252">
            <v>22914.0953188536</v>
          </cell>
          <cell r="N252">
            <v>24446.984147439664</v>
          </cell>
          <cell r="O252">
            <v>24508.760457259279</v>
          </cell>
          <cell r="P252">
            <v>26182.572155659302</v>
          </cell>
          <cell r="Q252">
            <v>27665.032170520342</v>
          </cell>
          <cell r="R252">
            <v>27944.373484518161</v>
          </cell>
          <cell r="S252">
            <v>28737.453154020208</v>
          </cell>
          <cell r="T252">
            <v>29887.275798005736</v>
          </cell>
          <cell r="U252">
            <v>31124.852838925988</v>
          </cell>
          <cell r="V252">
            <v>32286.30287308092</v>
          </cell>
          <cell r="W252">
            <v>34084.157085432591</v>
          </cell>
          <cell r="X252">
            <v>36026.430975225201</v>
          </cell>
          <cell r="Y252">
            <v>37766.179529638641</v>
          </cell>
          <cell r="Z252">
            <v>38453.867170200647</v>
          </cell>
          <cell r="AA252">
            <v>38998.349356101215</v>
          </cell>
          <cell r="AB252">
            <v>38753.276478936947</v>
          </cell>
          <cell r="AC252">
            <v>38078.707519783769</v>
          </cell>
          <cell r="AD252">
            <v>38623.220290712226</v>
          </cell>
          <cell r="AE252">
            <v>39376.63752481604</v>
          </cell>
        </row>
        <row r="253">
          <cell r="G253">
            <v>111590.53378044043</v>
          </cell>
          <cell r="H253">
            <v>113029.8625297102</v>
          </cell>
          <cell r="I253">
            <v>114069.10160800362</v>
          </cell>
          <cell r="J253">
            <v>115093.82555971152</v>
          </cell>
          <cell r="K253">
            <v>116926.99807700257</v>
          </cell>
          <cell r="L253">
            <v>125013.03709404237</v>
          </cell>
          <cell r="M253">
            <v>126152.45499099954</v>
          </cell>
          <cell r="N253">
            <v>134591.7010648037</v>
          </cell>
          <cell r="O253">
            <v>134931.80758158234</v>
          </cell>
          <cell r="P253">
            <v>144146.89776985085</v>
          </cell>
          <cell r="Q253">
            <v>152308.51042347541</v>
          </cell>
          <cell r="R253">
            <v>153846.41065697235</v>
          </cell>
          <cell r="S253">
            <v>158212.67281652676</v>
          </cell>
          <cell r="T253">
            <v>164542.96634653877</v>
          </cell>
          <cell r="U253">
            <v>171356.38750849618</v>
          </cell>
          <cell r="V253">
            <v>177750.69507853885</v>
          </cell>
          <cell r="W253">
            <v>186860.74176010364</v>
          </cell>
          <cell r="X253">
            <v>198849.0352817431</v>
          </cell>
          <cell r="Y253">
            <v>207459.88509259641</v>
          </cell>
          <cell r="Z253">
            <v>210238.94541030767</v>
          </cell>
          <cell r="AA253">
            <v>212559.78193989891</v>
          </cell>
          <cell r="AB253">
            <v>209370.44418938732</v>
          </cell>
          <cell r="AC253">
            <v>204710.6763606098</v>
          </cell>
          <cell r="AD253">
            <v>206356.08182021734</v>
          </cell>
          <cell r="AE253">
            <v>208941.43593905578</v>
          </cell>
        </row>
        <row r="256">
          <cell r="G256">
            <v>41700.08658172701</v>
          </cell>
          <cell r="H256">
            <v>42703.510343600574</v>
          </cell>
          <cell r="I256">
            <v>44257.002746285623</v>
          </cell>
          <cell r="J256">
            <v>46606.120598262525</v>
          </cell>
          <cell r="K256">
            <v>48934.561178675896</v>
          </cell>
          <cell r="L256">
            <v>49695.768483822583</v>
          </cell>
          <cell r="M256">
            <v>49546.517070036483</v>
          </cell>
          <cell r="N256">
            <v>52273.811962574538</v>
          </cell>
          <cell r="O256">
            <v>52585.807956194207</v>
          </cell>
          <cell r="P256">
            <v>56289.490101634299</v>
          </cell>
          <cell r="Q256">
            <v>59687.816054859606</v>
          </cell>
          <cell r="R256">
            <v>62488.410252297035</v>
          </cell>
          <cell r="S256">
            <v>66288.542174939212</v>
          </cell>
          <cell r="T256">
            <v>70860.892025420588</v>
          </cell>
          <cell r="U256">
            <v>78425.921481403377</v>
          </cell>
          <cell r="V256">
            <v>82710.375879353072</v>
          </cell>
          <cell r="W256">
            <v>87029.28237334211</v>
          </cell>
          <cell r="X256">
            <v>91919.753724823735</v>
          </cell>
          <cell r="Y256">
            <v>97412.530517584542</v>
          </cell>
          <cell r="Z256">
            <v>101803.61807623306</v>
          </cell>
          <cell r="AA256">
            <v>106254.40114189948</v>
          </cell>
          <cell r="AB256">
            <v>108563.77406324894</v>
          </cell>
          <cell r="AC256">
            <v>110216.79388037193</v>
          </cell>
          <cell r="AD256">
            <v>113386.61374144799</v>
          </cell>
          <cell r="AE256">
            <v>117712.63216067546</v>
          </cell>
        </row>
        <row r="257">
          <cell r="G257">
            <v>14672.252686163205</v>
          </cell>
          <cell r="H257">
            <v>19239.68134321988</v>
          </cell>
          <cell r="I257">
            <v>19939.593330695461</v>
          </cell>
          <cell r="J257">
            <v>20997.967186756636</v>
          </cell>
          <cell r="K257">
            <v>22047.02508465117</v>
          </cell>
          <cell r="L257">
            <v>22389.980168889302</v>
          </cell>
          <cell r="M257">
            <v>22322.736290852939</v>
          </cell>
          <cell r="N257">
            <v>23551.49440088233</v>
          </cell>
          <cell r="O257">
            <v>23692.06138119155</v>
          </cell>
          <cell r="P257">
            <v>25360.721959712802</v>
          </cell>
          <cell r="Q257">
            <v>26891.807060548002</v>
          </cell>
          <cell r="R257">
            <v>28153.589511143226</v>
          </cell>
          <cell r="S257">
            <v>29865.70466667843</v>
          </cell>
          <cell r="T257">
            <v>31925.735643175518</v>
          </cell>
          <cell r="U257">
            <v>35334.09141800685</v>
          </cell>
          <cell r="V257">
            <v>37264.413695563177</v>
          </cell>
          <cell r="W257">
            <v>39210.258054186605</v>
          </cell>
          <cell r="X257">
            <v>41413.615803083063</v>
          </cell>
          <cell r="Y257">
            <v>43888.336834956921</v>
          </cell>
          <cell r="Z257">
            <v>49736.807319184532</v>
          </cell>
          <cell r="AA257">
            <v>56142.539444000598</v>
          </cell>
          <cell r="AB257">
            <v>60827.935304007333</v>
          </cell>
          <cell r="AC257">
            <v>65095.991258090726</v>
          </cell>
          <cell r="AD257">
            <v>69834.495854563807</v>
          </cell>
          <cell r="AE257">
            <v>75291.428799324145</v>
          </cell>
        </row>
        <row r="258">
          <cell r="G258">
            <v>20850.043290863505</v>
          </cell>
          <cell r="H258">
            <v>22575.282569679115</v>
          </cell>
          <cell r="I258">
            <v>23396.538941304792</v>
          </cell>
          <cell r="J258">
            <v>24638.404044926261</v>
          </cell>
          <cell r="K258">
            <v>25869.338074156876</v>
          </cell>
          <cell r="L258">
            <v>26271.751596359642</v>
          </cell>
          <cell r="M258">
            <v>26192.849585423435</v>
          </cell>
          <cell r="N258">
            <v>27634.638617624529</v>
          </cell>
          <cell r="O258">
            <v>27799.575824423198</v>
          </cell>
          <cell r="P258">
            <v>29757.533620136724</v>
          </cell>
          <cell r="Q258">
            <v>31554.064351232275</v>
          </cell>
          <cell r="R258">
            <v>33034.603184256543</v>
          </cell>
          <cell r="S258">
            <v>35043.549316914716</v>
          </cell>
          <cell r="T258">
            <v>37460.729755981731</v>
          </cell>
          <cell r="U258">
            <v>41459.995302130206</v>
          </cell>
          <cell r="V258">
            <v>43724.979325981389</v>
          </cell>
          <cell r="W258">
            <v>46008.176508351571</v>
          </cell>
          <cell r="X258">
            <v>48593.532413997003</v>
          </cell>
          <cell r="Y258">
            <v>51497.298104241556</v>
          </cell>
          <cell r="Z258">
            <v>52757.518908787002</v>
          </cell>
          <cell r="AA258">
            <v>53903.877954527678</v>
          </cell>
          <cell r="AB258">
            <v>54125.33752447724</v>
          </cell>
          <cell r="AC258">
            <v>54033.163247066717</v>
          </cell>
          <cell r="AD258">
            <v>54801.231162971046</v>
          </cell>
          <cell r="AE258">
            <v>56126.369631058922</v>
          </cell>
        </row>
        <row r="259">
          <cell r="G259">
            <v>3084.9199261436966</v>
          </cell>
          <cell r="H259">
            <v>5192.3238248352354</v>
          </cell>
          <cell r="I259">
            <v>5441.9087153135188</v>
          </cell>
          <cell r="J259">
            <v>5708.9913981860245</v>
          </cell>
          <cell r="K259">
            <v>5939.2683798155113</v>
          </cell>
          <cell r="L259">
            <v>5907.767503560216</v>
          </cell>
          <cell r="M259">
            <v>5893.8371432833674</v>
          </cell>
          <cell r="N259">
            <v>6195.5678689534261</v>
          </cell>
          <cell r="O259">
            <v>6123.6377703355965</v>
          </cell>
          <cell r="P259">
            <v>6556.9250028957049</v>
          </cell>
          <cell r="Q259">
            <v>6960.5527448298462</v>
          </cell>
          <cell r="R259">
            <v>7163.8361106454095</v>
          </cell>
          <cell r="S259">
            <v>7643.6281214589717</v>
          </cell>
          <cell r="T259">
            <v>8227.1598087030998</v>
          </cell>
          <cell r="U259">
            <v>8657.9336583136501</v>
          </cell>
          <cell r="V259">
            <v>9040.8792984394131</v>
          </cell>
          <cell r="W259">
            <v>9412.5989064156402</v>
          </cell>
          <cell r="X259">
            <v>9908.961078993003</v>
          </cell>
          <cell r="Y259">
            <v>10279.707681731243</v>
          </cell>
          <cell r="Z259">
            <v>10839.759702525946</v>
          </cell>
          <cell r="AA259">
            <v>11663.103603960732</v>
          </cell>
          <cell r="AB259">
            <v>12117.020713681366</v>
          </cell>
          <cell r="AC259">
            <v>12408.832497687614</v>
          </cell>
          <cell r="AD259">
            <v>12917.727582640358</v>
          </cell>
          <cell r="AE259">
            <v>13578.615297081387</v>
          </cell>
        </row>
        <row r="260">
          <cell r="G260">
            <v>9871.7437636598297</v>
          </cell>
          <cell r="H260">
            <v>9590.1355545478818</v>
          </cell>
          <cell r="I260">
            <v>10051.114686975101</v>
          </cell>
          <cell r="J260">
            <v>10544.41195028686</v>
          </cell>
          <cell r="K260">
            <v>10969.729696910446</v>
          </cell>
          <cell r="L260">
            <v>10911.548103549427</v>
          </cell>
          <cell r="M260">
            <v>10885.818960320785</v>
          </cell>
          <cell r="N260">
            <v>11443.110581137555</v>
          </cell>
          <cell r="O260">
            <v>11310.256887980453</v>
          </cell>
          <cell r="P260">
            <v>12110.53118413112</v>
          </cell>
          <cell r="Q260">
            <v>12856.024895484399</v>
          </cell>
          <cell r="R260">
            <v>13231.48588365146</v>
          </cell>
          <cell r="S260">
            <v>14117.653730056369</v>
          </cell>
          <cell r="T260">
            <v>15195.427029610313</v>
          </cell>
          <cell r="U260">
            <v>15991.059149348286</v>
          </cell>
          <cell r="V260">
            <v>16698.353363407765</v>
          </cell>
          <cell r="W260">
            <v>17384.91328321179</v>
          </cell>
          <cell r="X260">
            <v>18301.685942189361</v>
          </cell>
          <cell r="Y260">
            <v>18986.448737537681</v>
          </cell>
          <cell r="Z260">
            <v>19186.457357777792</v>
          </cell>
          <cell r="AA260">
            <v>19421.389500806956</v>
          </cell>
          <cell r="AB260">
            <v>19309.143644282176</v>
          </cell>
          <cell r="AC260">
            <v>19047.886232108558</v>
          </cell>
          <cell r="AD260">
            <v>19147.291907871771</v>
          </cell>
          <cell r="AE260">
            <v>19450.207372063909</v>
          </cell>
        </row>
        <row r="261">
          <cell r="G261">
            <v>2467.9359409149574</v>
          </cell>
          <cell r="H261">
            <v>2397.5338886369705</v>
          </cell>
          <cell r="I261">
            <v>2512.7786717437752</v>
          </cell>
          <cell r="J261">
            <v>2636.1029875717149</v>
          </cell>
          <cell r="K261">
            <v>2742.4324242276116</v>
          </cell>
          <cell r="L261">
            <v>2727.8870258873567</v>
          </cell>
          <cell r="M261">
            <v>2721.4547400801962</v>
          </cell>
          <cell r="N261">
            <v>2860.7776452843887</v>
          </cell>
          <cell r="O261">
            <v>2827.5642219951133</v>
          </cell>
          <cell r="P261">
            <v>3027.6327960327799</v>
          </cell>
          <cell r="Q261">
            <v>3214.0062238710998</v>
          </cell>
          <cell r="R261">
            <v>3307.8714709128649</v>
          </cell>
          <cell r="S261">
            <v>3529.4134325140922</v>
          </cell>
          <cell r="T261">
            <v>3798.8567574025783</v>
          </cell>
          <cell r="U261">
            <v>3997.7647873370715</v>
          </cell>
          <cell r="V261">
            <v>4174.5883408519412</v>
          </cell>
          <cell r="W261">
            <v>4346.2283208029476</v>
          </cell>
          <cell r="X261">
            <v>4575.4214855473401</v>
          </cell>
          <cell r="Y261">
            <v>4746.6121843844203</v>
          </cell>
          <cell r="Z261">
            <v>5696.4113678519134</v>
          </cell>
          <cell r="AA261">
            <v>7141.6915145381108</v>
          </cell>
          <cell r="AB261">
            <v>8138.7616941484803</v>
          </cell>
          <cell r="AC261">
            <v>8936.3970229625047</v>
          </cell>
          <cell r="AD261">
            <v>9867.6418435425585</v>
          </cell>
          <cell r="AE261">
            <v>10933.03441460919</v>
          </cell>
        </row>
        <row r="262">
          <cell r="G262">
            <v>5141.5332102394941</v>
          </cell>
          <cell r="H262">
            <v>4628.9611906538521</v>
          </cell>
          <cell r="I262">
            <v>4851.4663368605652</v>
          </cell>
          <cell r="J262">
            <v>5089.5707801541757</v>
          </cell>
          <cell r="K262">
            <v>5294.8629088856933</v>
          </cell>
          <cell r="L262">
            <v>5266.7798503984886</v>
          </cell>
          <cell r="M262">
            <v>5254.3609221365559</v>
          </cell>
          <cell r="N262">
            <v>5523.3541256178196</v>
          </cell>
          <cell r="O262">
            <v>5459.2283803495338</v>
          </cell>
          <cell r="P262">
            <v>5845.504323759169</v>
          </cell>
          <cell r="Q262">
            <v>6205.3388055662963</v>
          </cell>
          <cell r="R262">
            <v>6386.5661024010788</v>
          </cell>
          <cell r="S262">
            <v>6814.3010959349658</v>
          </cell>
          <cell r="T262">
            <v>7334.5201009303946</v>
          </cell>
          <cell r="U262">
            <v>7718.5553612618451</v>
          </cell>
          <cell r="V262">
            <v>8059.9517313791303</v>
          </cell>
          <cell r="W262">
            <v>8391.3400841041475</v>
          </cell>
          <cell r="X262">
            <v>8833.8473912138234</v>
          </cell>
          <cell r="Y262">
            <v>9164.3683089257556</v>
          </cell>
          <cell r="Z262">
            <v>9427.4013538185536</v>
          </cell>
          <cell r="AA262">
            <v>9797.3565548521656</v>
          </cell>
          <cell r="AB262">
            <v>9932.861944815053</v>
          </cell>
          <cell r="AC262">
            <v>9966.4333527343661</v>
          </cell>
          <cell r="AD262">
            <v>10182.127978430055</v>
          </cell>
          <cell r="AE262">
            <v>10511.460426461397</v>
          </cell>
        </row>
        <row r="263">
          <cell r="G263">
            <v>38695.862157504649</v>
          </cell>
          <cell r="H263">
            <v>39188.4671848789</v>
          </cell>
          <cell r="I263">
            <v>39741.214823901777</v>
          </cell>
          <cell r="J263">
            <v>40107.89074653374</v>
          </cell>
          <cell r="K263">
            <v>41756.080499778414</v>
          </cell>
          <cell r="L263">
            <v>42655.293736363157</v>
          </cell>
          <cell r="M263">
            <v>41788.422279535007</v>
          </cell>
          <cell r="N263">
            <v>42758.588014985733</v>
          </cell>
          <cell r="O263">
            <v>42675.647914828987</v>
          </cell>
          <cell r="P263">
            <v>44698.188170030255</v>
          </cell>
          <cell r="Q263">
            <v>46622.423951739962</v>
          </cell>
          <cell r="R263">
            <v>47476.187309589091</v>
          </cell>
          <cell r="S263">
            <v>47987.913010357173</v>
          </cell>
          <cell r="T263">
            <v>48926.548887985504</v>
          </cell>
          <cell r="U263">
            <v>49631.181693389517</v>
          </cell>
          <cell r="V263">
            <v>51502.693953272537</v>
          </cell>
          <cell r="W263">
            <v>53982.101264314697</v>
          </cell>
          <cell r="X263">
            <v>56987.497434832425</v>
          </cell>
          <cell r="Y263">
            <v>57959.733733594301</v>
          </cell>
          <cell r="Z263">
            <v>59424.072963241932</v>
          </cell>
          <cell r="AA263">
            <v>62248.204735016327</v>
          </cell>
          <cell r="AB263">
            <v>63461.255420553018</v>
          </cell>
          <cell r="AC263">
            <v>63503.996144116907</v>
          </cell>
          <cell r="AD263">
            <v>64899.250469511047</v>
          </cell>
          <cell r="AE263">
            <v>67021.594229596027</v>
          </cell>
        </row>
        <row r="264">
          <cell r="G264">
            <v>15817.337232070206</v>
          </cell>
          <cell r="H264">
            <v>16018.694674591499</v>
          </cell>
          <cell r="I264">
            <v>16244.636036876404</v>
          </cell>
          <cell r="J264">
            <v>16394.518644467444</v>
          </cell>
          <cell r="K264">
            <v>17068.233395760493</v>
          </cell>
          <cell r="L264">
            <v>17435.796184482177</v>
          </cell>
          <cell r="M264">
            <v>17081.453435541836</v>
          </cell>
          <cell r="N264">
            <v>17478.018798168017</v>
          </cell>
          <cell r="O264">
            <v>17444.116167212251</v>
          </cell>
          <cell r="P264">
            <v>18270.850590436661</v>
          </cell>
          <cell r="Q264">
            <v>19057.402034863284</v>
          </cell>
          <cell r="R264">
            <v>19406.386711636154</v>
          </cell>
          <cell r="S264">
            <v>19615.559928824609</v>
          </cell>
          <cell r="T264">
            <v>19999.237133227925</v>
          </cell>
          <cell r="U264">
            <v>20287.263141344494</v>
          </cell>
          <cell r="V264">
            <v>21052.263296348981</v>
          </cell>
          <cell r="W264">
            <v>22167.22763662495</v>
          </cell>
          <cell r="X264">
            <v>23362.862099979786</v>
          </cell>
          <cell r="Y264">
            <v>23744.685317019321</v>
          </cell>
          <cell r="Z264">
            <v>23996.322284808713</v>
          </cell>
          <cell r="AA264">
            <v>23948.878801276289</v>
          </cell>
          <cell r="AB264">
            <v>23807.88839224822</v>
          </cell>
          <cell r="AC264">
            <v>23579.111074955865</v>
          </cell>
          <cell r="AD264">
            <v>23808.133708016674</v>
          </cell>
          <cell r="AE264">
            <v>24242.268569309461</v>
          </cell>
        </row>
        <row r="265">
          <cell r="G265">
            <v>5322.184838687871</v>
          </cell>
          <cell r="H265">
            <v>5545.0304646425429</v>
          </cell>
          <cell r="I265">
            <v>5646.0717363855647</v>
          </cell>
          <cell r="J265">
            <v>5772.714861515663</v>
          </cell>
          <cell r="K265">
            <v>5942.4333319450498</v>
          </cell>
          <cell r="L265">
            <v>6101.6843781988837</v>
          </cell>
          <cell r="M265">
            <v>5984.6208573422091</v>
          </cell>
          <cell r="N265">
            <v>6060.5218777927839</v>
          </cell>
          <cell r="O265">
            <v>5984.088884824102</v>
          </cell>
          <cell r="P265">
            <v>6250.5787353942815</v>
          </cell>
          <cell r="Q265">
            <v>6572.719636686692</v>
          </cell>
          <cell r="R265">
            <v>6621.4012106557939</v>
          </cell>
          <cell r="S265">
            <v>7007.3620811741166</v>
          </cell>
          <cell r="T265">
            <v>7493.6319939120322</v>
          </cell>
          <cell r="U265">
            <v>7852.5601573598751</v>
          </cell>
          <cell r="V265">
            <v>8244.2529789954897</v>
          </cell>
          <cell r="W265">
            <v>8590.1003647840844</v>
          </cell>
          <cell r="X265">
            <v>8791.169223543573</v>
          </cell>
          <cell r="Y265">
            <v>9001.664162895453</v>
          </cell>
          <cell r="Z265">
            <v>9312.348144124393</v>
          </cell>
          <cell r="AA265">
            <v>9600.2460714418157</v>
          </cell>
          <cell r="AB265">
            <v>9649.7064927956617</v>
          </cell>
          <cell r="AC265">
            <v>9594.2324440334487</v>
          </cell>
          <cell r="AD265">
            <v>9674.6836717986062</v>
          </cell>
          <cell r="AE265">
            <v>9849.4812135498341</v>
          </cell>
        </row>
        <row r="266">
          <cell r="G266">
            <v>40188.47897715179</v>
          </cell>
          <cell r="H266">
            <v>37894.786608260598</v>
          </cell>
          <cell r="I266">
            <v>39692.417744606828</v>
          </cell>
          <cell r="J266">
            <v>41616.076447625463</v>
          </cell>
          <cell r="K266">
            <v>43274.642682815946</v>
          </cell>
          <cell r="L266">
            <v>43037.119273569937</v>
          </cell>
          <cell r="M266">
            <v>42915.311055033781</v>
          </cell>
          <cell r="N266">
            <v>45084.536114695635</v>
          </cell>
          <cell r="O266">
            <v>44539.564838901228</v>
          </cell>
          <cell r="P266">
            <v>47662.286009123229</v>
          </cell>
          <cell r="Q266">
            <v>50573.227173981133</v>
          </cell>
          <cell r="R266">
            <v>52028.353540521784</v>
          </cell>
          <cell r="S266">
            <v>55480.383681701147</v>
          </cell>
          <cell r="T266">
            <v>59679.121785217372</v>
          </cell>
          <cell r="U266">
            <v>62780.458365300248</v>
          </cell>
          <cell r="V266">
            <v>65538.345071305797</v>
          </cell>
          <cell r="W266">
            <v>66650.46253738238</v>
          </cell>
          <cell r="X266">
            <v>67942.572302651621</v>
          </cell>
          <cell r="Y266">
            <v>68392.695694490918</v>
          </cell>
          <cell r="Z266">
            <v>68988.233738220995</v>
          </cell>
          <cell r="AA266">
            <v>69484.825010124769</v>
          </cell>
          <cell r="AB266">
            <v>68888.699697287899</v>
          </cell>
          <cell r="AC266">
            <v>67780.569700880937</v>
          </cell>
          <cell r="AD266">
            <v>67936.197356717166</v>
          </cell>
          <cell r="AE266">
            <v>68764.752407722292</v>
          </cell>
        </row>
        <row r="267">
          <cell r="G267">
            <v>1188.7545350603505</v>
          </cell>
          <cell r="H267">
            <v>1814.3315151782574</v>
          </cell>
          <cell r="I267">
            <v>1900.3987322087844</v>
          </cell>
          <cell r="J267">
            <v>1992.499913445489</v>
          </cell>
          <cell r="K267">
            <v>2071.9089630760959</v>
          </cell>
          <cell r="L267">
            <v>2060.5367864375899</v>
          </cell>
          <cell r="M267">
            <v>2054.7048367295088</v>
          </cell>
          <cell r="N267">
            <v>2158.5632758848569</v>
          </cell>
          <cell r="O267">
            <v>2132.4710703590135</v>
          </cell>
          <cell r="P267">
            <v>2281.9811201401903</v>
          </cell>
          <cell r="Q267">
            <v>2421.3515393175903</v>
          </cell>
          <cell r="R267">
            <v>2491.0202684932815</v>
          </cell>
          <cell r="S267">
            <v>2656.2970159581087</v>
          </cell>
          <cell r="T267">
            <v>2857.3247442295396</v>
          </cell>
          <cell r="U267">
            <v>3005.8109398265065</v>
          </cell>
          <cell r="V267">
            <v>3137.8533977435613</v>
          </cell>
          <cell r="W267">
            <v>3191.0995022312723</v>
          </cell>
          <cell r="X267">
            <v>3252.9633013979505</v>
          </cell>
          <cell r="Y267">
            <v>3274.5143676165139</v>
          </cell>
          <cell r="Z267">
            <v>3365.3187326417874</v>
          </cell>
          <cell r="AA267">
            <v>3474.0116701583424</v>
          </cell>
          <cell r="AB267">
            <v>3512.953897458478</v>
          </cell>
          <cell r="AC267">
            <v>3516.3128897770621</v>
          </cell>
          <cell r="AD267">
            <v>3581.1158402421911</v>
          </cell>
          <cell r="AE267">
            <v>3680.4791879235472</v>
          </cell>
        </row>
        <row r="268">
          <cell r="G268">
            <v>3849.7950827751201</v>
          </cell>
          <cell r="H268">
            <v>3906.2891171259025</v>
          </cell>
          <cell r="I268">
            <v>3961.8719573742533</v>
          </cell>
          <cell r="J268">
            <v>4034.5396870432041</v>
          </cell>
          <cell r="K268">
            <v>4138.6436132460585</v>
          </cell>
          <cell r="L268">
            <v>4100.6830786251285</v>
          </cell>
          <cell r="M268">
            <v>4035.3829999262734</v>
          </cell>
          <cell r="N268">
            <v>4110.6521986094058</v>
          </cell>
          <cell r="O268">
            <v>4006.1320247028834</v>
          </cell>
          <cell r="P268">
            <v>4254.9883579236111</v>
          </cell>
          <cell r="Q268">
            <v>4437.9947273019006</v>
          </cell>
          <cell r="R268">
            <v>4680.7221218276991</v>
          </cell>
          <cell r="S268">
            <v>4828.4799985370428</v>
          </cell>
          <cell r="T268">
            <v>5017.4618558662078</v>
          </cell>
          <cell r="U268">
            <v>5345.4511655331662</v>
          </cell>
          <cell r="V268">
            <v>5516.9923667331486</v>
          </cell>
          <cell r="W268">
            <v>5867.6518045882958</v>
          </cell>
          <cell r="X268">
            <v>6329.7630600932562</v>
          </cell>
          <cell r="Y268">
            <v>6722.9459400846354</v>
          </cell>
          <cell r="Z268">
            <v>6861.7784227451157</v>
          </cell>
          <cell r="AA268">
            <v>6955.8284829545846</v>
          </cell>
          <cell r="AB268">
            <v>6957.0865987713378</v>
          </cell>
          <cell r="AC268">
            <v>6912.3452832716694</v>
          </cell>
          <cell r="AD268">
            <v>6996.4987096325658</v>
          </cell>
          <cell r="AE268">
            <v>7149.722042615902</v>
          </cell>
        </row>
        <row r="269">
          <cell r="G269">
            <v>534.44742790618818</v>
          </cell>
          <cell r="H269">
            <v>549.59350482299533</v>
          </cell>
          <cell r="I269">
            <v>558.80354351382152</v>
          </cell>
          <cell r="J269">
            <v>563.62274980553275</v>
          </cell>
          <cell r="K269">
            <v>587.5147936961863</v>
          </cell>
          <cell r="L269">
            <v>579.97784016970309</v>
          </cell>
          <cell r="M269">
            <v>560.90805620046797</v>
          </cell>
          <cell r="N269">
            <v>573.68000690966471</v>
          </cell>
          <cell r="O269">
            <v>553.53475886949707</v>
          </cell>
          <cell r="P269">
            <v>576.68826299924194</v>
          </cell>
          <cell r="Q269">
            <v>617.12387357911405</v>
          </cell>
          <cell r="R269">
            <v>611.47974591985735</v>
          </cell>
          <cell r="S269">
            <v>612.49116303855203</v>
          </cell>
          <cell r="T269">
            <v>617.39099685506926</v>
          </cell>
          <cell r="U269">
            <v>625.42155541820807</v>
          </cell>
          <cell r="V269">
            <v>634.89317973156528</v>
          </cell>
          <cell r="W269">
            <v>649.66639439859387</v>
          </cell>
          <cell r="X269">
            <v>664.18689457805033</v>
          </cell>
          <cell r="Y269">
            <v>675.222447049018</v>
          </cell>
          <cell r="Z269">
            <v>689.29368563316996</v>
          </cell>
          <cell r="AA269">
            <v>708.88049415932687</v>
          </cell>
          <cell r="AB269">
            <v>715.26417571277989</v>
          </cell>
          <cell r="AC269">
            <v>712.08311568624777</v>
          </cell>
          <cell r="AD269">
            <v>720.56979461845128</v>
          </cell>
          <cell r="AE269">
            <v>738.00039313122193</v>
          </cell>
        </row>
        <row r="270">
          <cell r="G270">
            <v>3115.2089672205038</v>
          </cell>
          <cell r="H270">
            <v>3197.5651166446492</v>
          </cell>
          <cell r="I270">
            <v>3229.0497286223444</v>
          </cell>
          <cell r="J270">
            <v>3272.3257565644481</v>
          </cell>
          <cell r="K270">
            <v>3286.9654885929872</v>
          </cell>
          <cell r="L270">
            <v>3293.264126133221</v>
          </cell>
          <cell r="M270">
            <v>3300.0809674539782</v>
          </cell>
          <cell r="N270">
            <v>3451.930911696365</v>
          </cell>
          <cell r="O270">
            <v>3297.3681869148945</v>
          </cell>
          <cell r="P270">
            <v>3489.5232829070401</v>
          </cell>
          <cell r="Q270">
            <v>3673.2929341504673</v>
          </cell>
          <cell r="R270">
            <v>3717.6174958107317</v>
          </cell>
          <cell r="S270">
            <v>3800.0880835238581</v>
          </cell>
          <cell r="T270">
            <v>3887.0650904153217</v>
          </cell>
          <cell r="U270">
            <v>4056.124578585614</v>
          </cell>
          <cell r="V270">
            <v>4194.5406633190933</v>
          </cell>
          <cell r="W270">
            <v>4344.0884180067906</v>
          </cell>
          <cell r="X270">
            <v>4474.3387921523226</v>
          </cell>
          <cell r="Y270">
            <v>4678.5785905776456</v>
          </cell>
          <cell r="Z270">
            <v>5141.8087527319158</v>
          </cell>
          <cell r="AA270">
            <v>5563.8893544924167</v>
          </cell>
          <cell r="AB270">
            <v>5764.1241758474371</v>
          </cell>
          <cell r="AC270">
            <v>5987.6855187118917</v>
          </cell>
          <cell r="AD270">
            <v>6250.8438285058528</v>
          </cell>
          <cell r="AE270">
            <v>6624.8401927575715</v>
          </cell>
        </row>
        <row r="271">
          <cell r="G271">
            <v>11420.491920913755</v>
          </cell>
          <cell r="H271">
            <v>11592.720625003223</v>
          </cell>
          <cell r="I271">
            <v>11658.563357544677</v>
          </cell>
          <cell r="J271">
            <v>11749.065090113814</v>
          </cell>
          <cell r="K271">
            <v>11779.680679758576</v>
          </cell>
          <cell r="L271">
            <v>11687.872839212228</v>
          </cell>
          <cell r="M271">
            <v>11490.221763086443</v>
          </cell>
          <cell r="N271">
            <v>11768.452142521628</v>
          </cell>
          <cell r="O271">
            <v>11179.822225067792</v>
          </cell>
          <cell r="P271">
            <v>11601.176974790342</v>
          </cell>
          <cell r="Q271">
            <v>12023.171597635273</v>
          </cell>
          <cell r="R271">
            <v>12026.872322236679</v>
          </cell>
          <cell r="S271">
            <v>12163.184919060364</v>
          </cell>
          <cell r="T271">
            <v>12304.230792458153</v>
          </cell>
          <cell r="U271">
            <v>12644.901097631564</v>
          </cell>
          <cell r="V271">
            <v>12931.671530017473</v>
          </cell>
          <cell r="W271">
            <v>13317.881753484435</v>
          </cell>
          <cell r="X271">
            <v>13653.779577349764</v>
          </cell>
          <cell r="Y271">
            <v>14138.492855194008</v>
          </cell>
          <cell r="Z271">
            <v>14622.668209005438</v>
          </cell>
          <cell r="AA271">
            <v>15006.014751748147</v>
          </cell>
          <cell r="AB271">
            <v>15029.928175957646</v>
          </cell>
          <cell r="AC271">
            <v>15034.086030244467</v>
          </cell>
          <cell r="AD271">
            <v>15245.007781740544</v>
          </cell>
          <cell r="AE271">
            <v>15663.703138796815</v>
          </cell>
        </row>
        <row r="272">
          <cell r="G272">
            <v>3691.5192148666688</v>
          </cell>
          <cell r="H272">
            <v>3753.6667501636275</v>
          </cell>
          <cell r="I272">
            <v>3908.1283727573941</v>
          </cell>
          <cell r="J272">
            <v>3990.3782404125386</v>
          </cell>
          <cell r="K272">
            <v>4054.2488327687715</v>
          </cell>
          <cell r="L272">
            <v>4020.6948301558132</v>
          </cell>
          <cell r="M272">
            <v>3920.8513231352058</v>
          </cell>
          <cell r="N272">
            <v>4041.18327816493</v>
          </cell>
          <cell r="O272">
            <v>3904.2872844354733</v>
          </cell>
          <cell r="P272">
            <v>3990.4226943218055</v>
          </cell>
          <cell r="Q272">
            <v>4159.7894375329506</v>
          </cell>
          <cell r="R272">
            <v>4196.5362378426089</v>
          </cell>
          <cell r="S272">
            <v>4339.6995561507783</v>
          </cell>
          <cell r="T272">
            <v>4479.5142833859791</v>
          </cell>
          <cell r="U272">
            <v>4693.9937824858698</v>
          </cell>
          <cell r="V272">
            <v>4845.6041433523815</v>
          </cell>
          <cell r="W272">
            <v>4995.1928652936713</v>
          </cell>
          <cell r="X272">
            <v>5242.7236629585241</v>
          </cell>
          <cell r="Y272">
            <v>5545.2672924388035</v>
          </cell>
          <cell r="Z272">
            <v>5673.8896302172889</v>
          </cell>
          <cell r="AA272">
            <v>5924.0874725941449</v>
          </cell>
          <cell r="AB272">
            <v>5934.4464396809926</v>
          </cell>
          <cell r="AC272">
            <v>5912.4372921907834</v>
          </cell>
          <cell r="AD272">
            <v>6006.6769874874071</v>
          </cell>
          <cell r="AE272">
            <v>6164.8604393322439</v>
          </cell>
        </row>
        <row r="273">
          <cell r="G273">
            <v>17497.207948601801</v>
          </cell>
          <cell r="H273">
            <v>17791.777280438058</v>
          </cell>
          <cell r="I273">
            <v>18901.054967077107</v>
          </cell>
          <cell r="J273">
            <v>19491.738538742164</v>
          </cell>
          <cell r="K273">
            <v>19950.42997123814</v>
          </cell>
          <cell r="L273">
            <v>19905.594194185171</v>
          </cell>
          <cell r="M273">
            <v>19584.467713881531</v>
          </cell>
          <cell r="N273">
            <v>20522.118178496305</v>
          </cell>
          <cell r="O273">
            <v>20034.834221414225</v>
          </cell>
          <cell r="P273">
            <v>20616.976813630718</v>
          </cell>
          <cell r="Q273">
            <v>21762.89295682016</v>
          </cell>
          <cell r="R273">
            <v>22193.060520158731</v>
          </cell>
          <cell r="S273">
            <v>23288.74802317745</v>
          </cell>
          <cell r="T273">
            <v>24369.151315222582</v>
          </cell>
          <cell r="U273">
            <v>25933.512365323673</v>
          </cell>
          <cell r="V273">
            <v>27027.347784204048</v>
          </cell>
          <cell r="W273">
            <v>28045.729928476008</v>
          </cell>
          <cell r="X273">
            <v>28851.325810615399</v>
          </cell>
          <cell r="Y273">
            <v>28873.897229677121</v>
          </cell>
          <cell r="Z273">
            <v>29028.51577124407</v>
          </cell>
          <cell r="AA273">
            <v>28959.754956209981</v>
          </cell>
          <cell r="AB273">
            <v>28706.819769662256</v>
          </cell>
          <cell r="AC273">
            <v>28180.95717693547</v>
          </cell>
          <cell r="AD273">
            <v>28203.027422428651</v>
          </cell>
          <cell r="AE273">
            <v>28506.77394470897</v>
          </cell>
        </row>
        <row r="276">
          <cell r="G276">
            <v>53708.756626847957</v>
          </cell>
          <cell r="H276">
            <v>50349.464058565485</v>
          </cell>
          <cell r="I276">
            <v>50585.765733522334</v>
          </cell>
          <cell r="J276">
            <v>50756.917170227302</v>
          </cell>
          <cell r="K276">
            <v>50890.56319950617</v>
          </cell>
          <cell r="L276">
            <v>50409.683971895211</v>
          </cell>
          <cell r="M276">
            <v>49748.857660934671</v>
          </cell>
          <cell r="N276">
            <v>51074.418525560905</v>
          </cell>
          <cell r="O276">
            <v>50637.294229816769</v>
          </cell>
          <cell r="P276">
            <v>51882.363343747689</v>
          </cell>
          <cell r="Q276">
            <v>53040.286432316985</v>
          </cell>
          <cell r="R276">
            <v>53738.485192411041</v>
          </cell>
          <cell r="S276">
            <v>55949.769545049654</v>
          </cell>
          <cell r="T276">
            <v>57329.270888827872</v>
          </cell>
          <cell r="U276">
            <v>59883.340093594605</v>
          </cell>
          <cell r="V276">
            <v>62238.988957004687</v>
          </cell>
          <cell r="W276">
            <v>64365.633187934131</v>
          </cell>
          <cell r="X276">
            <v>65570.953790492698</v>
          </cell>
          <cell r="Y276">
            <v>67305.727422033131</v>
          </cell>
          <cell r="Z276">
            <v>68196.039917622096</v>
          </cell>
          <cell r="AA276">
            <v>68883.240349581378</v>
          </cell>
          <cell r="AB276">
            <v>68252.643635550878</v>
          </cell>
          <cell r="AC276">
            <v>68712.851087571893</v>
          </cell>
          <cell r="AD276">
            <v>69589.365365579099</v>
          </cell>
          <cell r="AE276">
            <v>71181.30416701932</v>
          </cell>
        </row>
        <row r="277">
          <cell r="G277">
            <v>18897.525479816875</v>
          </cell>
          <cell r="H277">
            <v>22684.496812891877</v>
          </cell>
          <cell r="I277">
            <v>22790.96040079034</v>
          </cell>
          <cell r="J277">
            <v>22868.071136585651</v>
          </cell>
          <cell r="K277">
            <v>22928.284149413474</v>
          </cell>
          <cell r="L277">
            <v>22711.628351579398</v>
          </cell>
          <cell r="M277">
            <v>22413.899018702621</v>
          </cell>
          <cell r="N277">
            <v>23011.11850794945</v>
          </cell>
          <cell r="O277">
            <v>22814.176099940669</v>
          </cell>
          <cell r="P277">
            <v>23375.130757053677</v>
          </cell>
          <cell r="Q277">
            <v>23896.822558612297</v>
          </cell>
          <cell r="R277">
            <v>24211.389711297299</v>
          </cell>
          <cell r="S277">
            <v>25207.663927671896</v>
          </cell>
          <cell r="T277">
            <v>25829.18581318625</v>
          </cell>
          <cell r="U277">
            <v>26979.898652314874</v>
          </cell>
          <cell r="V277">
            <v>28041.214996658913</v>
          </cell>
          <cell r="W277">
            <v>28999.35536976318</v>
          </cell>
          <cell r="X277">
            <v>29542.401693661457</v>
          </cell>
          <cell r="Y277">
            <v>30323.988303401613</v>
          </cell>
          <cell r="Z277">
            <v>31006.105312805237</v>
          </cell>
          <cell r="AA277">
            <v>31737.357087980727</v>
          </cell>
          <cell r="AB277">
            <v>31853.529467166318</v>
          </cell>
          <cell r="AC277">
            <v>32575.680823859493</v>
          </cell>
          <cell r="AD277">
            <v>33518.523530953906</v>
          </cell>
          <cell r="AE277">
            <v>34882.341931854091</v>
          </cell>
        </row>
        <row r="278">
          <cell r="G278">
            <v>26854.378313423978</v>
          </cell>
          <cell r="H278">
            <v>26617.32886145165</v>
          </cell>
          <cell r="I278">
            <v>26742.250139372747</v>
          </cell>
          <cell r="J278">
            <v>26832.72963426046</v>
          </cell>
          <cell r="K278">
            <v>26903.381832428946</v>
          </cell>
          <cell r="L278">
            <v>26649.16421992223</v>
          </cell>
          <cell r="M278">
            <v>26299.817279134986</v>
          </cell>
          <cell r="N278">
            <v>27000.577259789123</v>
          </cell>
          <cell r="O278">
            <v>26769.490765608803</v>
          </cell>
          <cell r="P278">
            <v>27427.698646872188</v>
          </cell>
          <cell r="Q278">
            <v>28039.836635250114</v>
          </cell>
          <cell r="R278">
            <v>28408.940584131567</v>
          </cell>
          <cell r="S278">
            <v>29577.939776494393</v>
          </cell>
          <cell r="T278">
            <v>30307.215482179141</v>
          </cell>
          <cell r="U278">
            <v>31657.428463177443</v>
          </cell>
          <cell r="V278">
            <v>32902.746196978107</v>
          </cell>
          <cell r="W278">
            <v>34027.00024663622</v>
          </cell>
          <cell r="X278">
            <v>34664.19501050633</v>
          </cell>
          <cell r="Y278">
            <v>35581.286008678158</v>
          </cell>
          <cell r="Z278">
            <v>36083.497426165137</v>
          </cell>
          <cell r="AA278">
            <v>36494.12300096816</v>
          </cell>
          <cell r="AB278">
            <v>36205.695140698299</v>
          </cell>
          <cell r="AC278">
            <v>36506.780251500866</v>
          </cell>
          <cell r="AD278">
            <v>37031.665828922414</v>
          </cell>
          <cell r="AE278">
            <v>37945.836580810574</v>
          </cell>
        </row>
        <row r="279">
          <cell r="G279">
            <v>2899.3137186553386</v>
          </cell>
          <cell r="H279">
            <v>4653.2063275829678</v>
          </cell>
          <cell r="I279">
            <v>4722.1827958588665</v>
          </cell>
          <cell r="J279">
            <v>4803.0505198635774</v>
          </cell>
          <cell r="K279">
            <v>4864.1054718609148</v>
          </cell>
          <cell r="L279">
            <v>4847.1465088239911</v>
          </cell>
          <cell r="M279">
            <v>4921.2901977497777</v>
          </cell>
          <cell r="N279">
            <v>5132.826898850004</v>
          </cell>
          <cell r="O279">
            <v>5165.3941277993135</v>
          </cell>
          <cell r="P279">
            <v>5307.180926289423</v>
          </cell>
          <cell r="Q279">
            <v>5413.9324826064094</v>
          </cell>
          <cell r="R279">
            <v>5527.7892431994651</v>
          </cell>
          <cell r="S279">
            <v>5793.8879649185292</v>
          </cell>
          <cell r="T279">
            <v>6012.6273752844645</v>
          </cell>
          <cell r="U279">
            <v>6396.3583829453282</v>
          </cell>
          <cell r="V279">
            <v>6644.3243452930392</v>
          </cell>
          <cell r="W279">
            <v>6897.2765527024421</v>
          </cell>
          <cell r="X279">
            <v>7099.8649378566442</v>
          </cell>
          <cell r="Y279">
            <v>7280.7841604239902</v>
          </cell>
          <cell r="Z279">
            <v>7440.8024860006608</v>
          </cell>
          <cell r="AA279">
            <v>7753.3183815559305</v>
          </cell>
          <cell r="AB279">
            <v>7831.6449985303652</v>
          </cell>
          <cell r="AC279">
            <v>8006.5157584517292</v>
          </cell>
          <cell r="AD279">
            <v>8228.1687845852503</v>
          </cell>
          <cell r="AE279">
            <v>8541.3880336494094</v>
          </cell>
        </row>
        <row r="280">
          <cell r="G280">
            <v>9277.8038996970827</v>
          </cell>
          <cell r="H280">
            <v>8594.3945235766678</v>
          </cell>
          <cell r="I280">
            <v>8721.7929107257623</v>
          </cell>
          <cell r="J280">
            <v>8871.1542489927488</v>
          </cell>
          <cell r="K280">
            <v>8983.9217276176933</v>
          </cell>
          <cell r="L280">
            <v>8952.5988055744328</v>
          </cell>
          <cell r="M280">
            <v>9089.5409631323892</v>
          </cell>
          <cell r="N280">
            <v>9480.2457239968408</v>
          </cell>
          <cell r="O280">
            <v>9540.3968530088641</v>
          </cell>
          <cell r="P280">
            <v>9802.2747064011619</v>
          </cell>
          <cell r="Q280">
            <v>9999.4430514959204</v>
          </cell>
          <cell r="R280">
            <v>10209.734590453189</v>
          </cell>
          <cell r="S280">
            <v>10701.214493916017</v>
          </cell>
          <cell r="T280">
            <v>11105.222538733551</v>
          </cell>
          <cell r="U280">
            <v>11813.967313539215</v>
          </cell>
          <cell r="V280">
            <v>12271.956312694891</v>
          </cell>
          <cell r="W280">
            <v>12739.154823364681</v>
          </cell>
          <cell r="X280">
            <v>13113.332193834716</v>
          </cell>
          <cell r="Y280">
            <v>13447.486982206243</v>
          </cell>
          <cell r="Z280">
            <v>13640.857864027112</v>
          </cell>
          <cell r="AA280">
            <v>13872.69083053642</v>
          </cell>
          <cell r="AB280">
            <v>13796.657277388424</v>
          </cell>
          <cell r="AC280">
            <v>13921.166336675924</v>
          </cell>
          <cell r="AD280">
            <v>14127.797044953708</v>
          </cell>
          <cell r="AE280">
            <v>14478.709794728822</v>
          </cell>
        </row>
        <row r="281">
          <cell r="G281">
            <v>2319.4509749242707</v>
          </cell>
          <cell r="H281">
            <v>2148.5986308941669</v>
          </cell>
          <cell r="I281">
            <v>2180.4482276814406</v>
          </cell>
          <cell r="J281">
            <v>2217.7885622481872</v>
          </cell>
          <cell r="K281">
            <v>2245.9804319044233</v>
          </cell>
          <cell r="L281">
            <v>2238.1497013936082</v>
          </cell>
          <cell r="M281">
            <v>2272.3852407830973</v>
          </cell>
          <cell r="N281">
            <v>2370.0614309992102</v>
          </cell>
          <cell r="O281">
            <v>2385.099213252216</v>
          </cell>
          <cell r="P281">
            <v>2450.5686766002905</v>
          </cell>
          <cell r="Q281">
            <v>2499.8607628739801</v>
          </cell>
          <cell r="R281">
            <v>2552.4336476132971</v>
          </cell>
          <cell r="S281">
            <v>2675.3036234790043</v>
          </cell>
          <cell r="T281">
            <v>2776.3056346833878</v>
          </cell>
          <cell r="U281">
            <v>2953.4918283848037</v>
          </cell>
          <cell r="V281">
            <v>3067.9890781737226</v>
          </cell>
          <cell r="W281">
            <v>3184.7887058411702</v>
          </cell>
          <cell r="X281">
            <v>3278.3330484586791</v>
          </cell>
          <cell r="Y281">
            <v>3361.8717455515607</v>
          </cell>
          <cell r="Z281">
            <v>3632.5223696265007</v>
          </cell>
          <cell r="AA281">
            <v>4441.9015054216325</v>
          </cell>
          <cell r="AB281">
            <v>4903.0609251577835</v>
          </cell>
          <cell r="AC281">
            <v>5365.9975567944002</v>
          </cell>
          <cell r="AD281">
            <v>5858.7859645388498</v>
          </cell>
          <cell r="AE281">
            <v>6441.6862271514865</v>
          </cell>
        </row>
        <row r="282">
          <cell r="G282">
            <v>4832.1895310922318</v>
          </cell>
          <cell r="H282">
            <v>4148.337474535304</v>
          </cell>
          <cell r="I282">
            <v>4209.8300557934908</v>
          </cell>
          <cell r="J282">
            <v>4281.9237018415006</v>
          </cell>
          <cell r="K282">
            <v>4336.3542444708164</v>
          </cell>
          <cell r="L282">
            <v>4321.2353142230195</v>
          </cell>
          <cell r="M282">
            <v>4387.3344771696347</v>
          </cell>
          <cell r="N282">
            <v>4575.9196295648571</v>
          </cell>
          <cell r="O282">
            <v>4604.9533424031115</v>
          </cell>
          <cell r="P282">
            <v>4731.3563961607624</v>
          </cell>
          <cell r="Q282">
            <v>4826.5255011518029</v>
          </cell>
          <cell r="R282">
            <v>4928.0289019138954</v>
          </cell>
          <cell r="S282">
            <v>5165.2561429862953</v>
          </cell>
          <cell r="T282">
            <v>5360.2625169353532</v>
          </cell>
          <cell r="U282">
            <v>5702.3590428909547</v>
          </cell>
          <cell r="V282">
            <v>5923.4209132659416</v>
          </cell>
          <cell r="W282">
            <v>6148.928025435609</v>
          </cell>
          <cell r="X282">
            <v>6329.5357464083654</v>
          </cell>
          <cell r="Y282">
            <v>6490.8253901516618</v>
          </cell>
          <cell r="Z282">
            <v>6641.7124607483611</v>
          </cell>
          <cell r="AA282">
            <v>6948.1408095370089</v>
          </cell>
          <cell r="AB282">
            <v>7035.7465017183213</v>
          </cell>
          <cell r="AC282">
            <v>7207.6309870677396</v>
          </cell>
          <cell r="AD282">
            <v>7421.5670118882181</v>
          </cell>
          <cell r="AE282">
            <v>7719.1351981849666</v>
          </cell>
        </row>
        <row r="283">
          <cell r="G283">
            <v>52715.95523740026</v>
          </cell>
          <cell r="H283">
            <v>52972.193082349717</v>
          </cell>
          <cell r="I283">
            <v>53212.466582069668</v>
          </cell>
          <cell r="J283">
            <v>53938.137008894228</v>
          </cell>
          <cell r="K283">
            <v>54658.14918677666</v>
          </cell>
          <cell r="L283">
            <v>54742.833531026023</v>
          </cell>
          <cell r="M283">
            <v>54443.844986943564</v>
          </cell>
          <cell r="N283">
            <v>55849.634953873981</v>
          </cell>
          <cell r="O283">
            <v>55878.248310892755</v>
          </cell>
          <cell r="P283">
            <v>57396.258918086387</v>
          </cell>
          <cell r="Q283">
            <v>58035.309287294032</v>
          </cell>
          <cell r="R283">
            <v>59654.398509755512</v>
          </cell>
          <cell r="S283">
            <v>62104.8709686109</v>
          </cell>
          <cell r="T283">
            <v>63526.574546607473</v>
          </cell>
          <cell r="U283">
            <v>65957.962889180169</v>
          </cell>
          <cell r="V283">
            <v>68171.241513705259</v>
          </cell>
          <cell r="W283">
            <v>70617.724740144578</v>
          </cell>
          <cell r="X283">
            <v>71464.039108899116</v>
          </cell>
          <cell r="Y283">
            <v>72789.143125892486</v>
          </cell>
          <cell r="Z283">
            <v>75215.745131270101</v>
          </cell>
          <cell r="AA283">
            <v>76186.560911929831</v>
          </cell>
          <cell r="AB283">
            <v>76853.980700327316</v>
          </cell>
          <cell r="AC283">
            <v>77917.122126248083</v>
          </cell>
          <cell r="AD283">
            <v>79216.483772401363</v>
          </cell>
          <cell r="AE283">
            <v>81328.70406933871</v>
          </cell>
        </row>
        <row r="284">
          <cell r="G284">
            <v>12325.222891105739</v>
          </cell>
          <cell r="H284">
            <v>12411.478571584297</v>
          </cell>
          <cell r="I284">
            <v>12492.3602782791</v>
          </cell>
          <cell r="J284">
            <v>12736.637997994008</v>
          </cell>
          <cell r="K284">
            <v>12979.011018139992</v>
          </cell>
          <cell r="L284">
            <v>13082.905311561863</v>
          </cell>
          <cell r="M284">
            <v>13062.787028174751</v>
          </cell>
          <cell r="N284">
            <v>13424.845554871805</v>
          </cell>
          <cell r="O284">
            <v>13548.59001540821</v>
          </cell>
          <cell r="P284">
            <v>13980.657672693853</v>
          </cell>
          <cell r="Q284">
            <v>14151.634240852109</v>
          </cell>
          <cell r="R284">
            <v>14662.608287554143</v>
          </cell>
          <cell r="S284">
            <v>15342.221667490938</v>
          </cell>
          <cell r="T284">
            <v>15752.539658883021</v>
          </cell>
          <cell r="U284">
            <v>16413.182641424464</v>
          </cell>
          <cell r="V284">
            <v>17008.725904970168</v>
          </cell>
          <cell r="W284">
            <v>17714.846912884725</v>
          </cell>
          <cell r="X284">
            <v>18311.517709238116</v>
          </cell>
          <cell r="Y284">
            <v>18790.104072193208</v>
          </cell>
          <cell r="Z284">
            <v>19448.410032238226</v>
          </cell>
          <cell r="AA284">
            <v>20279.403781524616</v>
          </cell>
          <cell r="AB284">
            <v>20865.767577195416</v>
          </cell>
          <cell r="AC284">
            <v>21460.307798955622</v>
          </cell>
          <cell r="AD284">
            <v>22071.159594989709</v>
          </cell>
          <cell r="AE284">
            <v>22914.833275438461</v>
          </cell>
        </row>
        <row r="285">
          <cell r="G285">
            <v>4064.3381986614581</v>
          </cell>
          <cell r="H285">
            <v>4110.6155283892722</v>
          </cell>
          <cell r="I285">
            <v>4130.4447133594185</v>
          </cell>
          <cell r="J285">
            <v>4205.0534065292159</v>
          </cell>
          <cell r="K285">
            <v>4217.0450784455206</v>
          </cell>
          <cell r="L285">
            <v>4170.9267556090681</v>
          </cell>
          <cell r="M285">
            <v>4134.7945018280743</v>
          </cell>
          <cell r="N285">
            <v>4282.9160340500976</v>
          </cell>
          <cell r="O285">
            <v>4275.4670964137213</v>
          </cell>
          <cell r="P285">
            <v>4429.7057135800214</v>
          </cell>
          <cell r="Q285">
            <v>4571.3057004235488</v>
          </cell>
          <cell r="R285">
            <v>4650.7392960571424</v>
          </cell>
          <cell r="S285">
            <v>4871.7140546202527</v>
          </cell>
          <cell r="T285">
            <v>5071.655054028929</v>
          </cell>
          <cell r="U285">
            <v>5305.9233944586949</v>
          </cell>
          <cell r="V285">
            <v>5510.6914731726365</v>
          </cell>
          <cell r="W285">
            <v>5667.2540484688725</v>
          </cell>
          <cell r="X285">
            <v>5754.0571342942558</v>
          </cell>
          <cell r="Y285">
            <v>5912.2142025016201</v>
          </cell>
          <cell r="Z285">
            <v>6003.5111888109896</v>
          </cell>
          <cell r="AA285">
            <v>6134.9943818498568</v>
          </cell>
          <cell r="AB285">
            <v>6108.7349988576152</v>
          </cell>
          <cell r="AC285">
            <v>6173.6786485485254</v>
          </cell>
          <cell r="AD285">
            <v>6269.9374728963212</v>
          </cell>
          <cell r="AE285">
            <v>6430.4101834982612</v>
          </cell>
        </row>
        <row r="286">
          <cell r="G286">
            <v>23923.707463310635</v>
          </cell>
          <cell r="H286">
            <v>21647.641659652782</v>
          </cell>
          <cell r="I286">
            <v>22128.313168026249</v>
          </cell>
          <cell r="J286">
            <v>22691.850441645358</v>
          </cell>
          <cell r="K286">
            <v>23117.319831479061</v>
          </cell>
          <cell r="L286">
            <v>23149.057701051199</v>
          </cell>
          <cell r="M286">
            <v>23825.879336971771</v>
          </cell>
          <cell r="N286">
            <v>25078.936527734691</v>
          </cell>
          <cell r="O286">
            <v>25532.814116989506</v>
          </cell>
          <cell r="P286">
            <v>26363.909867431343</v>
          </cell>
          <cell r="Q286">
            <v>27020.037905563124</v>
          </cell>
          <cell r="R286">
            <v>27745.751550098303</v>
          </cell>
          <cell r="S286">
            <v>29311.199170970409</v>
          </cell>
          <cell r="T286">
            <v>30699.76709413149</v>
          </cell>
          <cell r="U286">
            <v>33060.000699184602</v>
          </cell>
          <cell r="V286">
            <v>34490.685630520056</v>
          </cell>
          <cell r="W286">
            <v>35472.814235427039</v>
          </cell>
          <cell r="X286">
            <v>35945.792596740102</v>
          </cell>
          <cell r="Y286">
            <v>36599.196670922705</v>
          </cell>
          <cell r="Z286">
            <v>37338.175449304828</v>
          </cell>
          <cell r="AA286">
            <v>37764.39848142652</v>
          </cell>
          <cell r="AB286">
            <v>37576.372594239103</v>
          </cell>
          <cell r="AC286">
            <v>37973.19540543147</v>
          </cell>
          <cell r="AD286">
            <v>38602.990098158494</v>
          </cell>
          <cell r="AE286">
            <v>39622.564281848492</v>
          </cell>
        </row>
        <row r="287">
          <cell r="G287">
            <v>996.27006530550568</v>
          </cell>
          <cell r="H287">
            <v>1459.1695219378896</v>
          </cell>
          <cell r="I287">
            <v>1491.5694122404775</v>
          </cell>
          <cell r="J287">
            <v>1529.5549086316887</v>
          </cell>
          <cell r="K287">
            <v>1558.2338740323387</v>
          </cell>
          <cell r="L287">
            <v>1560.3731801377803</v>
          </cell>
          <cell r="M287">
            <v>1605.9946625352893</v>
          </cell>
          <cell r="N287">
            <v>1690.4575749741171</v>
          </cell>
          <cell r="O287">
            <v>1721.0514084892775</v>
          </cell>
          <cell r="P287">
            <v>1777.0718105230519</v>
          </cell>
          <cell r="Q287">
            <v>1821.2984311768487</v>
          </cell>
          <cell r="R287">
            <v>1870.2155025331188</v>
          </cell>
          <cell r="S287">
            <v>1975.7352396241201</v>
          </cell>
          <cell r="T287">
            <v>2069.3323170551284</v>
          </cell>
          <cell r="U287">
            <v>2228.4249792163846</v>
          </cell>
          <cell r="V287">
            <v>2324.8609734979896</v>
          </cell>
          <cell r="W287">
            <v>2391.0618165013484</v>
          </cell>
          <cell r="X287">
            <v>2422.9431465887023</v>
          </cell>
          <cell r="Y287">
            <v>2466.986157164506</v>
          </cell>
          <cell r="Z287">
            <v>2548.1271595340168</v>
          </cell>
          <cell r="AA287">
            <v>2591.155501135403</v>
          </cell>
          <cell r="AB287">
            <v>2602.4683840851649</v>
          </cell>
          <cell r="AC287">
            <v>2654.8483583836405</v>
          </cell>
          <cell r="AD287">
            <v>2724.2999372452</v>
          </cell>
          <cell r="AE287">
            <v>2822.2253817942296</v>
          </cell>
        </row>
        <row r="288">
          <cell r="G288">
            <v>6892.3787896395215</v>
          </cell>
          <cell r="H288">
            <v>6928.1609750366788</v>
          </cell>
          <cell r="I288">
            <v>6982.6206747894967</v>
          </cell>
          <cell r="J288">
            <v>7002.6744270450472</v>
          </cell>
          <cell r="K288">
            <v>7017.2232277010353</v>
          </cell>
          <cell r="L288">
            <v>6982.0498196612562</v>
          </cell>
          <cell r="M288">
            <v>6901.8684594309616</v>
          </cell>
          <cell r="N288">
            <v>7198.137989982336</v>
          </cell>
          <cell r="O288">
            <v>7124.1508540068598</v>
          </cell>
          <cell r="P288">
            <v>7324.0058826836794</v>
          </cell>
          <cell r="Q288">
            <v>7473.4110288347356</v>
          </cell>
          <cell r="R288">
            <v>7621.4968117202607</v>
          </cell>
          <cell r="S288">
            <v>7927.3463352318622</v>
          </cell>
          <cell r="T288">
            <v>8076.0865137607298</v>
          </cell>
          <cell r="U288">
            <v>8366.4477846220634</v>
          </cell>
          <cell r="V288">
            <v>8638.4901170356188</v>
          </cell>
          <cell r="W288">
            <v>8983.0887739326063</v>
          </cell>
          <cell r="X288">
            <v>9271.6822999805772</v>
          </cell>
          <cell r="Y288">
            <v>9518.2206653226694</v>
          </cell>
          <cell r="Z288">
            <v>10391.498689374765</v>
          </cell>
          <cell r="AA288">
            <v>13044.720292089158</v>
          </cell>
          <cell r="AB288">
            <v>14581.489120295437</v>
          </cell>
          <cell r="AC288">
            <v>16100.012982795835</v>
          </cell>
          <cell r="AD288">
            <v>17707.540694802836</v>
          </cell>
          <cell r="AE288">
            <v>19596.207526869926</v>
          </cell>
        </row>
        <row r="289">
          <cell r="G289">
            <v>1781.7556093565017</v>
          </cell>
          <cell r="H289">
            <v>1783.0538360074877</v>
          </cell>
          <cell r="I289">
            <v>1788.8878421921647</v>
          </cell>
          <cell r="J289">
            <v>1807.4316475648882</v>
          </cell>
          <cell r="K289">
            <v>1812.4722930184073</v>
          </cell>
          <cell r="L289">
            <v>1793.6088525783809</v>
          </cell>
          <cell r="M289">
            <v>1774.6486729597157</v>
          </cell>
          <cell r="N289">
            <v>1823.0509687537462</v>
          </cell>
          <cell r="O289">
            <v>1794.2995981969964</v>
          </cell>
          <cell r="P289">
            <v>1840.40380825741</v>
          </cell>
          <cell r="Q289">
            <v>1872.8279339126823</v>
          </cell>
          <cell r="R289">
            <v>1897.4249208326673</v>
          </cell>
          <cell r="S289">
            <v>1968.2360718720968</v>
          </cell>
          <cell r="T289">
            <v>2005.124253123417</v>
          </cell>
          <cell r="U289">
            <v>2074.6913217054471</v>
          </cell>
          <cell r="V289">
            <v>2157.0993395020882</v>
          </cell>
          <cell r="W289">
            <v>2230.5387643737845</v>
          </cell>
          <cell r="X289">
            <v>2244.3283016341893</v>
          </cell>
          <cell r="Y289">
            <v>2286.2415552117754</v>
          </cell>
          <cell r="Z289">
            <v>2326.3694648036135</v>
          </cell>
          <cell r="AA289">
            <v>2374.7982364656368</v>
          </cell>
          <cell r="AB289">
            <v>2372.028004997203</v>
          </cell>
          <cell r="AC289">
            <v>2401.8374704377493</v>
          </cell>
          <cell r="AD289">
            <v>2445.1309775396853</v>
          </cell>
          <cell r="AE289">
            <v>2516.1911582055527</v>
          </cell>
        </row>
        <row r="290">
          <cell r="G290">
            <v>2766.2306421587773</v>
          </cell>
          <cell r="H290">
            <v>2818.4580776956645</v>
          </cell>
          <cell r="I290">
            <v>2891.2487001949826</v>
          </cell>
          <cell r="J290">
            <v>2928.2449547405686</v>
          </cell>
          <cell r="K290">
            <v>2963.6022730245368</v>
          </cell>
          <cell r="L290">
            <v>2967.139006534268</v>
          </cell>
          <cell r="M290">
            <v>2966.3889493279867</v>
          </cell>
          <cell r="N290">
            <v>3122.6086524580405</v>
          </cell>
          <cell r="O290">
            <v>3102.4778216604896</v>
          </cell>
          <cell r="P290">
            <v>3203.2341197678347</v>
          </cell>
          <cell r="Q290">
            <v>3308.1437877260823</v>
          </cell>
          <cell r="R290">
            <v>3416.7948674728191</v>
          </cell>
          <cell r="S290">
            <v>3565.1526112071565</v>
          </cell>
          <cell r="T290">
            <v>3680.8949130500373</v>
          </cell>
          <cell r="U290">
            <v>3890.9266215566536</v>
          </cell>
          <cell r="V290">
            <v>4108.0317271811991</v>
          </cell>
          <cell r="W290">
            <v>4297.4681162204697</v>
          </cell>
          <cell r="X290">
            <v>4366.5805978291328</v>
          </cell>
          <cell r="Y290">
            <v>4487.4959667609901</v>
          </cell>
          <cell r="Z290">
            <v>4926.8541427762138</v>
          </cell>
          <cell r="AA290">
            <v>5327.6338130134527</v>
          </cell>
          <cell r="AB290">
            <v>5467.5606581810716</v>
          </cell>
          <cell r="AC290">
            <v>5692.4167839611218</v>
          </cell>
          <cell r="AD290">
            <v>6015.7371534228814</v>
          </cell>
          <cell r="AE290">
            <v>6447.6555798742547</v>
          </cell>
        </row>
        <row r="291">
          <cell r="G291">
            <v>4846.9173570763787</v>
          </cell>
          <cell r="H291">
            <v>5008.2207596646458</v>
          </cell>
          <cell r="I291">
            <v>5233.033158836829</v>
          </cell>
          <cell r="J291">
            <v>5347.2953599171369</v>
          </cell>
          <cell r="K291">
            <v>5456.4957387404911</v>
          </cell>
          <cell r="L291">
            <v>5518.8324925047837</v>
          </cell>
          <cell r="M291">
            <v>5571.4355115558528</v>
          </cell>
          <cell r="N291">
            <v>5978.1045452741855</v>
          </cell>
          <cell r="O291">
            <v>5993.7545762651171</v>
          </cell>
          <cell r="P291">
            <v>6251.1086086014566</v>
          </cell>
          <cell r="Q291">
            <v>6545.0150556943636</v>
          </cell>
          <cell r="R291">
            <v>6857.360364281305</v>
          </cell>
          <cell r="S291">
            <v>7216.4853030157956</v>
          </cell>
          <cell r="T291">
            <v>7527.399842884297</v>
          </cell>
          <cell r="U291">
            <v>8068.4471852160214</v>
          </cell>
          <cell r="V291">
            <v>8637.0155147854675</v>
          </cell>
          <cell r="W291">
            <v>9132.2699067393223</v>
          </cell>
          <cell r="X291">
            <v>9334.210585621915</v>
          </cell>
          <cell r="Y291">
            <v>9652.3734184585046</v>
          </cell>
          <cell r="Z291">
            <v>10129.531809913426</v>
          </cell>
          <cell r="AA291">
            <v>10549.414687247838</v>
          </cell>
          <cell r="AB291">
            <v>10617.785206666567</v>
          </cell>
          <cell r="AC291">
            <v>10850.415661333316</v>
          </cell>
          <cell r="AD291">
            <v>11208.394192480373</v>
          </cell>
          <cell r="AE291">
            <v>11723.25428099248</v>
          </cell>
        </row>
        <row r="292">
          <cell r="G292">
            <v>8982.682049718147</v>
          </cell>
          <cell r="H292">
            <v>9133.9571886090871</v>
          </cell>
          <cell r="I292">
            <v>9228.0551391407607</v>
          </cell>
          <cell r="J292">
            <v>9325.9303391624871</v>
          </cell>
          <cell r="K292">
            <v>9435.3594788008522</v>
          </cell>
          <cell r="L292">
            <v>9402.5029670648019</v>
          </cell>
          <cell r="M292">
            <v>9317.0133829133265</v>
          </cell>
          <cell r="N292">
            <v>9594.8534284338602</v>
          </cell>
          <cell r="O292">
            <v>9549.1543135264837</v>
          </cell>
          <cell r="P292">
            <v>9905.9247494187312</v>
          </cell>
          <cell r="Q292">
            <v>10179.873946420012</v>
          </cell>
          <cell r="R292">
            <v>10570.47967384969</v>
          </cell>
          <cell r="S292">
            <v>11214.050773343295</v>
          </cell>
          <cell r="T292">
            <v>11613.829592872014</v>
          </cell>
          <cell r="U292">
            <v>12097.143965452469</v>
          </cell>
          <cell r="V292">
            <v>12642.748453845543</v>
          </cell>
          <cell r="W292">
            <v>13013.240075139931</v>
          </cell>
          <cell r="X292">
            <v>13291.521251566393</v>
          </cell>
          <cell r="Y292">
            <v>13704.521907588638</v>
          </cell>
          <cell r="Z292">
            <v>14204.638505637235</v>
          </cell>
          <cell r="AA292">
            <v>14704.160551185496</v>
          </cell>
          <cell r="AB292">
            <v>14715.028570659057</v>
          </cell>
          <cell r="AC292">
            <v>14928.119440779048</v>
          </cell>
          <cell r="AD292">
            <v>15215.031073933886</v>
          </cell>
          <cell r="AE292">
            <v>15656.809695717346</v>
          </cell>
        </row>
        <row r="293">
          <cell r="G293">
            <v>11026.806939503975</v>
          </cell>
          <cell r="H293">
            <v>11212.506682861736</v>
          </cell>
          <cell r="I293">
            <v>11328.017832891619</v>
          </cell>
          <cell r="J293">
            <v>11448.165794138758</v>
          </cell>
          <cell r="K293">
            <v>11582.496942638683</v>
          </cell>
          <cell r="L293">
            <v>11542.163508858694</v>
          </cell>
          <cell r="M293">
            <v>11437.219669751494</v>
          </cell>
          <cell r="N293">
            <v>11778.285792882729</v>
          </cell>
          <cell r="O293">
            <v>11722.187256320849</v>
          </cell>
          <cell r="P293">
            <v>12160.145395831078</v>
          </cell>
          <cell r="Q293">
            <v>12496.43525779497</v>
          </cell>
          <cell r="R293">
            <v>12975.92834482533</v>
          </cell>
          <cell r="S293">
            <v>13765.952329497366</v>
          </cell>
          <cell r="T293">
            <v>14256.705963773478</v>
          </cell>
          <cell r="U293">
            <v>14850.004741135788</v>
          </cell>
          <cell r="V293">
            <v>15519.768551714615</v>
          </cell>
          <cell r="W293">
            <v>15983.555698489869</v>
          </cell>
          <cell r="X293">
            <v>16194.710846388716</v>
          </cell>
          <cell r="Y293">
            <v>16576.532245536484</v>
          </cell>
          <cell r="Z293">
            <v>16934.510115706671</v>
          </cell>
          <cell r="AA293">
            <v>17217.490214471542</v>
          </cell>
          <cell r="AB293">
            <v>17241.166059223928</v>
          </cell>
          <cell r="AC293">
            <v>17506.071071606191</v>
          </cell>
          <cell r="AD293">
            <v>17889.73979428424</v>
          </cell>
          <cell r="AE293">
            <v>18472.572870047712</v>
          </cell>
        </row>
      </sheetData>
      <sheetData sheetId="7">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Base</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row r="208">
          <cell r="G208" t="str">
            <v>Low</v>
          </cell>
          <cell r="H208">
            <v>42.389799174074071</v>
          </cell>
          <cell r="I208">
            <v>36.465809974074077</v>
          </cell>
          <cell r="J208">
            <v>35.569335074074075</v>
          </cell>
          <cell r="K208">
            <v>38.272286974074078</v>
          </cell>
          <cell r="L208">
            <v>34.157084474074075</v>
          </cell>
          <cell r="M208">
            <v>35.53257534037408</v>
          </cell>
          <cell r="N208">
            <v>36.773434690474069</v>
          </cell>
          <cell r="O208">
            <v>42.359566936074067</v>
          </cell>
          <cell r="P208">
            <v>51.593021086074074</v>
          </cell>
          <cell r="Q208">
            <v>51.05823207407407</v>
          </cell>
          <cell r="R208">
            <v>58.828523630074066</v>
          </cell>
          <cell r="S208">
            <v>69.276658966074081</v>
          </cell>
          <cell r="T208">
            <v>78.406612488074074</v>
          </cell>
          <cell r="U208">
            <v>74.656716200074086</v>
          </cell>
          <cell r="V208">
            <v>62.619136074074078</v>
          </cell>
          <cell r="W208">
            <v>48.797968286074081</v>
          </cell>
          <cell r="X208">
            <v>52.20252758307408</v>
          </cell>
          <cell r="Y208">
            <v>51.00957789207407</v>
          </cell>
          <cell r="Z208">
            <v>67.083563074074078</v>
          </cell>
          <cell r="AA208">
            <v>72.079969074074057</v>
          </cell>
          <cell r="AB208">
            <v>65.729459982444979</v>
          </cell>
          <cell r="AC208">
            <v>64.942320409137878</v>
          </cell>
          <cell r="AD208">
            <v>63.362334928324181</v>
          </cell>
          <cell r="AE208">
            <v>65.142943044759335</v>
          </cell>
        </row>
        <row r="209">
          <cell r="G209" t="str">
            <v>High</v>
          </cell>
          <cell r="H209">
            <v>42.389799174074071</v>
          </cell>
          <cell r="I209">
            <v>36.465809974074077</v>
          </cell>
          <cell r="J209">
            <v>35.569335074074075</v>
          </cell>
          <cell r="K209">
            <v>38.272286974074078</v>
          </cell>
          <cell r="L209">
            <v>34.157084474074075</v>
          </cell>
          <cell r="M209">
            <v>35.53257534037408</v>
          </cell>
          <cell r="N209">
            <v>36.773434690474069</v>
          </cell>
          <cell r="O209">
            <v>42.359566936074067</v>
          </cell>
          <cell r="P209">
            <v>51.593021086074074</v>
          </cell>
          <cell r="Q209">
            <v>51.05823207407407</v>
          </cell>
          <cell r="R209">
            <v>58.828523630074066</v>
          </cell>
          <cell r="S209">
            <v>69.276658966074081</v>
          </cell>
          <cell r="T209">
            <v>78.406612488074074</v>
          </cell>
          <cell r="U209">
            <v>74.656716200074086</v>
          </cell>
          <cell r="V209">
            <v>62.619136074074078</v>
          </cell>
          <cell r="W209">
            <v>48.797968286074081</v>
          </cell>
          <cell r="X209">
            <v>52.20252758307408</v>
          </cell>
          <cell r="Y209">
            <v>51.00957789207407</v>
          </cell>
          <cell r="Z209">
            <v>67.083563074074078</v>
          </cell>
          <cell r="AA209">
            <v>72.079969074074057</v>
          </cell>
          <cell r="AB209">
            <v>65.729459982444979</v>
          </cell>
          <cell r="AC209">
            <v>64.942320409137878</v>
          </cell>
          <cell r="AD209">
            <v>63.362334928324181</v>
          </cell>
          <cell r="AE209">
            <v>65.142943044759335</v>
          </cell>
        </row>
        <row r="210">
          <cell r="G210" t="str">
            <v>Base</v>
          </cell>
        </row>
        <row r="211">
          <cell r="G211" t="str">
            <v>Low</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G212" t="str">
            <v>High</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4">
          <cell r="G214">
            <v>1986</v>
          </cell>
          <cell r="H214">
            <v>1987</v>
          </cell>
          <cell r="I214">
            <v>1988</v>
          </cell>
          <cell r="J214">
            <v>1989</v>
          </cell>
          <cell r="K214">
            <v>1990</v>
          </cell>
          <cell r="L214">
            <v>1991</v>
          </cell>
          <cell r="M214">
            <v>1992</v>
          </cell>
          <cell r="N214">
            <v>1993</v>
          </cell>
          <cell r="O214">
            <v>1994</v>
          </cell>
          <cell r="P214">
            <v>1995</v>
          </cell>
          <cell r="Q214">
            <v>1996</v>
          </cell>
          <cell r="R214">
            <v>1997</v>
          </cell>
          <cell r="S214">
            <v>1998</v>
          </cell>
          <cell r="T214">
            <v>1999</v>
          </cell>
          <cell r="U214">
            <v>2000</v>
          </cell>
          <cell r="V214">
            <v>2001</v>
          </cell>
          <cell r="W214">
            <v>2002</v>
          </cell>
          <cell r="X214">
            <v>2003</v>
          </cell>
          <cell r="Y214">
            <v>2004</v>
          </cell>
          <cell r="Z214">
            <v>2005</v>
          </cell>
          <cell r="AA214">
            <v>2006</v>
          </cell>
          <cell r="AB214">
            <v>2007</v>
          </cell>
          <cell r="AC214">
            <v>2008</v>
          </cell>
          <cell r="AD214">
            <v>2009</v>
          </cell>
          <cell r="AE214">
            <v>2010</v>
          </cell>
        </row>
        <row r="216">
          <cell r="G216">
            <v>208998.69198523989</v>
          </cell>
          <cell r="H216">
            <v>200145.98024940802</v>
          </cell>
          <cell r="I216">
            <v>204298.48758186327</v>
          </cell>
          <cell r="J216">
            <v>212514.47308934119</v>
          </cell>
          <cell r="K216">
            <v>218248.8879770175</v>
          </cell>
          <cell r="L216">
            <v>230735.79972918943</v>
          </cell>
          <cell r="M216">
            <v>231528.43027437758</v>
          </cell>
          <cell r="N216">
            <v>244878.83743148466</v>
          </cell>
          <cell r="O216">
            <v>242786.25970780815</v>
          </cell>
          <cell r="P216">
            <v>255559.09058324914</v>
          </cell>
          <cell r="Q216">
            <v>268008.32621918456</v>
          </cell>
          <cell r="R216">
            <v>265489.37581064156</v>
          </cell>
          <cell r="S216">
            <v>272482.6174634418</v>
          </cell>
          <cell r="T216">
            <v>284410.89610058442</v>
          </cell>
          <cell r="U216">
            <v>300017.95217937022</v>
          </cell>
          <cell r="V216">
            <v>317942.85702325829</v>
          </cell>
          <cell r="W216">
            <v>335695.10260296741</v>
          </cell>
          <cell r="X216">
            <v>348922.95366756298</v>
          </cell>
          <cell r="Y216">
            <v>353537.99027757213</v>
          </cell>
          <cell r="Z216">
            <v>354596.7797693297</v>
          </cell>
          <cell r="AA216">
            <v>359853.55392939574</v>
          </cell>
          <cell r="AB216">
            <v>355546.86718435638</v>
          </cell>
          <cell r="AC216">
            <v>351120.83370566339</v>
          </cell>
          <cell r="AD216">
            <v>353655.16843746061</v>
          </cell>
          <cell r="AE216">
            <v>360684.15806895884</v>
          </cell>
        </row>
        <row r="217">
          <cell r="G217">
            <v>73536.576809621445</v>
          </cell>
          <cell r="H217">
            <v>90173.965820167112</v>
          </cell>
          <cell r="I217">
            <v>92044.840537701777</v>
          </cell>
          <cell r="J217">
            <v>95746.478689050549</v>
          </cell>
          <cell r="K217">
            <v>98330.06758469365</v>
          </cell>
          <cell r="L217">
            <v>103955.93302619121</v>
          </cell>
          <cell r="M217">
            <v>104313.04556775086</v>
          </cell>
          <cell r="N217">
            <v>110327.95107407245</v>
          </cell>
          <cell r="O217">
            <v>109385.15905848605</v>
          </cell>
          <cell r="P217">
            <v>115139.84278160419</v>
          </cell>
          <cell r="Q217">
            <v>120748.73358881973</v>
          </cell>
          <cell r="R217">
            <v>119613.84320651177</v>
          </cell>
          <cell r="S217">
            <v>122764.58514490072</v>
          </cell>
          <cell r="T217">
            <v>128138.76347603065</v>
          </cell>
          <cell r="U217">
            <v>135170.38179605946</v>
          </cell>
          <cell r="V217">
            <v>143246.28596714657</v>
          </cell>
          <cell r="W217">
            <v>151244.40006437257</v>
          </cell>
          <cell r="X217">
            <v>157204.08902883093</v>
          </cell>
          <cell r="Y217">
            <v>159283.35213974226</v>
          </cell>
          <cell r="Z217">
            <v>162515.65727255808</v>
          </cell>
          <cell r="AA217">
            <v>167612.08530117007</v>
          </cell>
          <cell r="AB217">
            <v>168423.08861424751</v>
          </cell>
          <cell r="AC217">
            <v>169187.35438208625</v>
          </cell>
          <cell r="AD217">
            <v>173048.3572794295</v>
          </cell>
          <cell r="AE217">
            <v>179117.10252840212</v>
          </cell>
        </row>
        <row r="218">
          <cell r="G218">
            <v>104499.34599261994</v>
          </cell>
          <cell r="H218">
            <v>105807.50910078075</v>
          </cell>
          <cell r="I218">
            <v>108002.7390865257</v>
          </cell>
          <cell r="J218">
            <v>112346.13364419344</v>
          </cell>
          <cell r="K218">
            <v>115377.64171974598</v>
          </cell>
          <cell r="L218">
            <v>121978.86862029215</v>
          </cell>
          <cell r="M218">
            <v>122397.89409119615</v>
          </cell>
          <cell r="N218">
            <v>129455.60928994505</v>
          </cell>
          <cell r="O218">
            <v>128349.36455664544</v>
          </cell>
          <cell r="P218">
            <v>135101.74308261863</v>
          </cell>
          <cell r="Q218">
            <v>141683.05244094582</v>
          </cell>
          <cell r="R218">
            <v>140351.40507064035</v>
          </cell>
          <cell r="S218">
            <v>144048.39403289961</v>
          </cell>
          <cell r="T218">
            <v>150354.29859757473</v>
          </cell>
          <cell r="U218">
            <v>158604.99504441186</v>
          </cell>
          <cell r="V218">
            <v>168081.02613950011</v>
          </cell>
          <cell r="W218">
            <v>177465.78062417047</v>
          </cell>
          <cell r="X218">
            <v>184458.70633847601</v>
          </cell>
          <cell r="Y218">
            <v>186898.45320476568</v>
          </cell>
          <cell r="Z218">
            <v>186028.83658052023</v>
          </cell>
          <cell r="AA218">
            <v>187392.62346713556</v>
          </cell>
          <cell r="AB218">
            <v>183688.58010542323</v>
          </cell>
          <cell r="AC218">
            <v>179917.79537687683</v>
          </cell>
          <cell r="AD218">
            <v>179846.95356055681</v>
          </cell>
          <cell r="AE218">
            <v>182057.43147324634</v>
          </cell>
        </row>
        <row r="219">
          <cell r="G219">
            <v>13423.836588687245</v>
          </cell>
          <cell r="H219">
            <v>21791.875763514865</v>
          </cell>
          <cell r="I219">
            <v>22224.659925521173</v>
          </cell>
          <cell r="J219">
            <v>22732.952835002077</v>
          </cell>
          <cell r="K219">
            <v>23080.895311996119</v>
          </cell>
          <cell r="L219">
            <v>24394.967985397427</v>
          </cell>
          <cell r="M219">
            <v>24342.77819338522</v>
          </cell>
          <cell r="N219">
            <v>25847.114822320538</v>
          </cell>
          <cell r="O219">
            <v>25597.201842348808</v>
          </cell>
          <cell r="P219">
            <v>26685.15216798272</v>
          </cell>
          <cell r="Q219">
            <v>27183.979842094126</v>
          </cell>
          <cell r="R219">
            <v>26370.318525564584</v>
          </cell>
          <cell r="S219">
            <v>26408.046610476242</v>
          </cell>
          <cell r="T219">
            <v>27113.984701041256</v>
          </cell>
          <cell r="U219">
            <v>28084.473978898819</v>
          </cell>
          <cell r="V219">
            <v>29362.800335296797</v>
          </cell>
          <cell r="W219">
            <v>30805.387561284086</v>
          </cell>
          <cell r="X219">
            <v>32039.384416567875</v>
          </cell>
          <cell r="Y219">
            <v>32288.612309161115</v>
          </cell>
          <cell r="Z219">
            <v>32756.354184115167</v>
          </cell>
          <cell r="AA219">
            <v>33718.918515821199</v>
          </cell>
          <cell r="AB219">
            <v>33600.302576498187</v>
          </cell>
          <cell r="AC219">
            <v>33338.384168395656</v>
          </cell>
          <cell r="AD219">
            <v>33752.759044080267</v>
          </cell>
          <cell r="AE219">
            <v>34616.681984882525</v>
          </cell>
        </row>
        <row r="220">
          <cell r="G220">
            <v>42956.277083799177</v>
          </cell>
          <cell r="H220">
            <v>40249.231290308788</v>
          </cell>
          <cell r="I220">
            <v>41048.576423532184</v>
          </cell>
          <cell r="J220">
            <v>41987.384954699257</v>
          </cell>
          <cell r="K220">
            <v>42630.028909915964</v>
          </cell>
          <cell r="L220">
            <v>45057.099233644389</v>
          </cell>
          <cell r="M220">
            <v>44960.705557740206</v>
          </cell>
          <cell r="N220">
            <v>47739.190235863898</v>
          </cell>
          <cell r="O220">
            <v>47277.605127611147</v>
          </cell>
          <cell r="P220">
            <v>49287.03124420641</v>
          </cell>
          <cell r="Q220">
            <v>50208.35764342035</v>
          </cell>
          <cell r="R220">
            <v>48705.538754566136</v>
          </cell>
          <cell r="S220">
            <v>48775.221898515229</v>
          </cell>
          <cell r="T220">
            <v>50079.077784632274</v>
          </cell>
          <cell r="U220">
            <v>51871.555303921945</v>
          </cell>
          <cell r="V220">
            <v>54232.602775994215</v>
          </cell>
          <cell r="W220">
            <v>56897.037336162713</v>
          </cell>
          <cell r="X220">
            <v>59176.208958597657</v>
          </cell>
          <cell r="Y220">
            <v>59636.528721881943</v>
          </cell>
          <cell r="Z220">
            <v>59267.380594230824</v>
          </cell>
          <cell r="AA220">
            <v>59661.108667141169</v>
          </cell>
          <cell r="AB220">
            <v>58346.611071043306</v>
          </cell>
          <cell r="AC220">
            <v>56953.433458145395</v>
          </cell>
          <cell r="AD220">
            <v>56761.820168837978</v>
          </cell>
          <cell r="AE220">
            <v>57298.25438694148</v>
          </cell>
        </row>
        <row r="221">
          <cell r="G221">
            <v>10739.069270949794</v>
          </cell>
          <cell r="H221">
            <v>10062.307822577197</v>
          </cell>
          <cell r="I221">
            <v>10262.144105883046</v>
          </cell>
          <cell r="J221">
            <v>10496.846238674814</v>
          </cell>
          <cell r="K221">
            <v>10657.507227478991</v>
          </cell>
          <cell r="L221">
            <v>11264.274808411097</v>
          </cell>
          <cell r="M221">
            <v>11240.176389435052</v>
          </cell>
          <cell r="N221">
            <v>11934.797558965975</v>
          </cell>
          <cell r="O221">
            <v>11819.401281902787</v>
          </cell>
          <cell r="P221">
            <v>12321.757811051602</v>
          </cell>
          <cell r="Q221">
            <v>12552.089410855087</v>
          </cell>
          <cell r="R221">
            <v>12176.384688641534</v>
          </cell>
          <cell r="S221">
            <v>12193.805474628807</v>
          </cell>
          <cell r="T221">
            <v>12519.769446158069</v>
          </cell>
          <cell r="U221">
            <v>12967.888825980486</v>
          </cell>
          <cell r="V221">
            <v>13558.150693998554</v>
          </cell>
          <cell r="W221">
            <v>14224.259334040678</v>
          </cell>
          <cell r="X221">
            <v>14794.052239649414</v>
          </cell>
          <cell r="Y221">
            <v>14909.132180470486</v>
          </cell>
          <cell r="Z221">
            <v>16089.783930114661</v>
          </cell>
          <cell r="AA221">
            <v>17617.092653342384</v>
          </cell>
          <cell r="AB221">
            <v>18419.311769849035</v>
          </cell>
          <cell r="AC221">
            <v>19009.848165719726</v>
          </cell>
          <cell r="AD221">
            <v>19949.851202602753</v>
          </cell>
          <cell r="AE221">
            <v>21177.433659989274</v>
          </cell>
        </row>
        <row r="222">
          <cell r="G222">
            <v>22373.060981145409</v>
          </cell>
          <cell r="H222">
            <v>19427.476132820269</v>
          </cell>
          <cell r="I222">
            <v>19813.303588395116</v>
          </cell>
          <cell r="J222">
            <v>20266.447157796101</v>
          </cell>
          <cell r="K222">
            <v>20576.638177640001</v>
          </cell>
          <cell r="L222">
            <v>21748.135105042526</v>
          </cell>
          <cell r="M222">
            <v>21701.60786022446</v>
          </cell>
          <cell r="N222">
            <v>23042.725268910268</v>
          </cell>
          <cell r="O222">
            <v>22819.927630635757</v>
          </cell>
          <cell r="P222">
            <v>23789.836288996135</v>
          </cell>
          <cell r="Q222">
            <v>24234.541592860558</v>
          </cell>
          <cell r="R222">
            <v>23509.161823876082</v>
          </cell>
          <cell r="S222">
            <v>23542.796444278309</v>
          </cell>
          <cell r="T222">
            <v>24172.140863938701</v>
          </cell>
          <cell r="U222">
            <v>25037.332896388816</v>
          </cell>
          <cell r="V222">
            <v>26176.96195119722</v>
          </cell>
          <cell r="W222">
            <v>27463.02971362921</v>
          </cell>
          <cell r="X222">
            <v>28563.138979768595</v>
          </cell>
          <cell r="Y222">
            <v>28785.325862051341</v>
          </cell>
          <cell r="Z222">
            <v>28924.071606197242</v>
          </cell>
          <cell r="AA222">
            <v>29469.866159102188</v>
          </cell>
          <cell r="AB222">
            <v>29116.933433380244</v>
          </cell>
          <cell r="AC222">
            <v>28678.217716061263</v>
          </cell>
          <cell r="AD222">
            <v>28831.690819149815</v>
          </cell>
          <cell r="AE222">
            <v>29362.860829323748</v>
          </cell>
        </row>
        <row r="223">
          <cell r="G223">
            <v>4115.706901028545</v>
          </cell>
          <cell r="H223">
            <v>4205.010520242442</v>
          </cell>
          <cell r="I223">
            <v>4292.0902136220993</v>
          </cell>
          <cell r="J223">
            <v>4385.1340717390349</v>
          </cell>
          <cell r="K223">
            <v>4578.7455890095252</v>
          </cell>
          <cell r="L223">
            <v>4925.2542379471824</v>
          </cell>
          <cell r="M223">
            <v>5059.9086971479355</v>
          </cell>
          <cell r="N223">
            <v>5491.2305796720329</v>
          </cell>
          <cell r="O223">
            <v>5593.5954805401325</v>
          </cell>
          <cell r="P223">
            <v>5926.3175733184044</v>
          </cell>
          <cell r="Q223">
            <v>6182.9348882424329</v>
          </cell>
          <cell r="R223">
            <v>6169.7723192810736</v>
          </cell>
          <cell r="S223">
            <v>6245.6036993975076</v>
          </cell>
          <cell r="T223">
            <v>6577.8422959626059</v>
          </cell>
          <cell r="U223">
            <v>6928.8339007962168</v>
          </cell>
          <cell r="V223">
            <v>7490.3140941843267</v>
          </cell>
          <cell r="W223">
            <v>8257.6043067687824</v>
          </cell>
          <cell r="X223">
            <v>8802.0048065065639</v>
          </cell>
          <cell r="Y223">
            <v>9009.5800347258555</v>
          </cell>
          <cell r="Z223">
            <v>9145.9892087019052</v>
          </cell>
          <cell r="AA223">
            <v>9211.6710302419669</v>
          </cell>
          <cell r="AB223">
            <v>9178.9855009367984</v>
          </cell>
          <cell r="AC223">
            <v>9148.5358510380192</v>
          </cell>
          <cell r="AD223">
            <v>9307.2672479613648</v>
          </cell>
          <cell r="AE223">
            <v>9585.7986641014031</v>
          </cell>
        </row>
        <row r="224">
          <cell r="G224">
            <v>7052.2389172900575</v>
          </cell>
          <cell r="H224">
            <v>7205.2601294462738</v>
          </cell>
          <cell r="I224">
            <v>7354.4706581173587</v>
          </cell>
          <cell r="J224">
            <v>7513.9007470440247</v>
          </cell>
          <cell r="K224">
            <v>7845.6529125321231</v>
          </cell>
          <cell r="L224">
            <v>8439.3933896795734</v>
          </cell>
          <cell r="M224">
            <v>8670.1229922479361</v>
          </cell>
          <cell r="N224">
            <v>9409.1904328995261</v>
          </cell>
          <cell r="O224">
            <v>9584.5920722840365</v>
          </cell>
          <cell r="P224">
            <v>10154.709368719003</v>
          </cell>
          <cell r="Q224">
            <v>10594.421587950512</v>
          </cell>
          <cell r="R224">
            <v>10571.867605533151</v>
          </cell>
          <cell r="S224">
            <v>10701.80421736411</v>
          </cell>
          <cell r="T224">
            <v>11271.093045957972</v>
          </cell>
          <cell r="U224">
            <v>11872.515040957445</v>
          </cell>
          <cell r="V224">
            <v>12834.607961157768</v>
          </cell>
          <cell r="W224">
            <v>14047.589314524124</v>
          </cell>
          <cell r="X224">
            <v>15152.652396838437</v>
          </cell>
          <cell r="Y224">
            <v>15479.510456527292</v>
          </cell>
          <cell r="Z224">
            <v>15798.174448709171</v>
          </cell>
          <cell r="AA224">
            <v>16024.318633545427</v>
          </cell>
          <cell r="AB224">
            <v>15915.266706434264</v>
          </cell>
          <cell r="AC224">
            <v>15890.102655033168</v>
          </cell>
          <cell r="AD224">
            <v>16206.894670169306</v>
          </cell>
          <cell r="AE224">
            <v>16751.236087215875</v>
          </cell>
        </row>
        <row r="225">
          <cell r="G225">
            <v>50887.549088008323</v>
          </cell>
          <cell r="H225">
            <v>52096.128378848516</v>
          </cell>
          <cell r="I225">
            <v>53891.473390088919</v>
          </cell>
          <cell r="J225">
            <v>55301.704088136066</v>
          </cell>
          <cell r="K225">
            <v>56320.720929326286</v>
          </cell>
          <cell r="L225">
            <v>59598.948196798665</v>
          </cell>
          <cell r="M225">
            <v>59875.038133999398</v>
          </cell>
          <cell r="N225">
            <v>63090.538108352572</v>
          </cell>
          <cell r="O225">
            <v>62290.990920621967</v>
          </cell>
          <cell r="P225">
            <v>65911.63038498332</v>
          </cell>
          <cell r="Q225">
            <v>68983.639135362406</v>
          </cell>
          <cell r="R225">
            <v>69732.96582170199</v>
          </cell>
          <cell r="S225">
            <v>71331.440918664593</v>
          </cell>
          <cell r="T225">
            <v>74031.11753504441</v>
          </cell>
          <cell r="U225">
            <v>76942.356081206293</v>
          </cell>
          <cell r="V225">
            <v>81143.432123224557</v>
          </cell>
          <cell r="W225">
            <v>85690.254182846576</v>
          </cell>
          <cell r="X225">
            <v>88772.478710730531</v>
          </cell>
          <cell r="Y225">
            <v>89611.133454044131</v>
          </cell>
          <cell r="Z225">
            <v>90910.782716700836</v>
          </cell>
          <cell r="AA225">
            <v>92712.944275381815</v>
          </cell>
          <cell r="AB225">
            <v>92106.864078517261</v>
          </cell>
          <cell r="AC225">
            <v>91226.675126907721</v>
          </cell>
          <cell r="AD225">
            <v>92126.824590314762</v>
          </cell>
          <cell r="AE225">
            <v>94226.839366206506</v>
          </cell>
        </row>
        <row r="226">
          <cell r="G226">
            <v>19812.879259651741</v>
          </cell>
          <cell r="H226">
            <v>18032.884427272984</v>
          </cell>
          <cell r="I226">
            <v>18390.850686182566</v>
          </cell>
          <cell r="J226">
            <v>18811.272058336421</v>
          </cell>
          <cell r="K226">
            <v>19099.063705396456</v>
          </cell>
          <cell r="L226">
            <v>20186.310587606091</v>
          </cell>
          <cell r="M226">
            <v>20143.040724556799</v>
          </cell>
          <cell r="N226">
            <v>21387.69116528075</v>
          </cell>
          <cell r="O226">
            <v>21180.748251774428</v>
          </cell>
          <cell r="P226">
            <v>22080.758751653964</v>
          </cell>
          <cell r="Q226">
            <v>22493.41427857352</v>
          </cell>
          <cell r="R226">
            <v>21820.012288958882</v>
          </cell>
          <cell r="S226">
            <v>21851.072681430713</v>
          </cell>
          <cell r="T226">
            <v>22435.037007354465</v>
          </cell>
          <cell r="U226">
            <v>23237.856100070774</v>
          </cell>
          <cell r="V226">
            <v>24295.423566588957</v>
          </cell>
          <cell r="W226">
            <v>25676.409631101869</v>
          </cell>
          <cell r="X226">
            <v>26947.489232296917</v>
          </cell>
          <cell r="Y226">
            <v>27352.311253779546</v>
          </cell>
          <cell r="Z226">
            <v>27335.965576247774</v>
          </cell>
          <cell r="AA226">
            <v>27602.57300118457</v>
          </cell>
          <cell r="AB226">
            <v>27114.80587866436</v>
          </cell>
          <cell r="AC226">
            <v>26610.841990217854</v>
          </cell>
          <cell r="AD226">
            <v>26693.236756604154</v>
          </cell>
          <cell r="AE226">
            <v>27154.544217813003</v>
          </cell>
        </row>
        <row r="227">
          <cell r="G227">
            <v>7419.0906995658279</v>
          </cell>
          <cell r="H227">
            <v>10929.866269561855</v>
          </cell>
          <cell r="I227">
            <v>11146.832299299163</v>
          </cell>
          <cell r="J227">
            <v>11401.652840795985</v>
          </cell>
          <cell r="K227">
            <v>11576.085512870666</v>
          </cell>
          <cell r="L227">
            <v>12235.073988756241</v>
          </cell>
          <cell r="M227">
            <v>12208.847800786238</v>
          </cell>
          <cell r="N227">
            <v>12963.239752020037</v>
          </cell>
          <cell r="O227">
            <v>12837.810102693569</v>
          </cell>
          <cell r="P227">
            <v>13383.313205347922</v>
          </cell>
          <cell r="Q227">
            <v>13633.426809902779</v>
          </cell>
          <cell r="R227">
            <v>13225.27282201311</v>
          </cell>
          <cell r="S227">
            <v>13244.098758449756</v>
          </cell>
          <cell r="T227">
            <v>13598.043908726899</v>
          </cell>
          <cell r="U227">
            <v>14084.638571795298</v>
          </cell>
          <cell r="V227">
            <v>14725.638131610645</v>
          </cell>
          <cell r="W227">
            <v>15562.664125213003</v>
          </cell>
          <cell r="X227">
            <v>16333.074988492226</v>
          </cell>
          <cell r="Y227">
            <v>16578.44064674971</v>
          </cell>
          <cell r="Z227">
            <v>16857.311575218704</v>
          </cell>
          <cell r="AA227">
            <v>17266.656645919924</v>
          </cell>
          <cell r="AB227">
            <v>17209.046241024487</v>
          </cell>
          <cell r="AC227">
            <v>17136.3703707032</v>
          </cell>
          <cell r="AD227">
            <v>17456.408368183093</v>
          </cell>
          <cell r="AE227">
            <v>18058.866872371669</v>
          </cell>
        </row>
        <row r="228">
          <cell r="G228">
            <v>83364.422267462985</v>
          </cell>
          <cell r="H228">
            <v>83832.227579195271</v>
          </cell>
          <cell r="I228">
            <v>84473.651357137482</v>
          </cell>
          <cell r="J228">
            <v>85669.000717749455</v>
          </cell>
          <cell r="K228">
            <v>86953.915160136385</v>
          </cell>
          <cell r="L228">
            <v>91285.461447874812</v>
          </cell>
          <cell r="M228">
            <v>90938.245242666802</v>
          </cell>
          <cell r="N228">
            <v>95719.927133708654</v>
          </cell>
          <cell r="O228">
            <v>93952.396537730761</v>
          </cell>
          <cell r="P228">
            <v>96705.968870619268</v>
          </cell>
          <cell r="Q228">
            <v>98084.385907262404</v>
          </cell>
          <cell r="R228">
            <v>94854.133820205563</v>
          </cell>
          <cell r="S228">
            <v>94531.289301758676</v>
          </cell>
          <cell r="T228">
            <v>96314.095346684699</v>
          </cell>
          <cell r="U228">
            <v>98468.71184276056</v>
          </cell>
          <cell r="V228">
            <v>101998.44637128555</v>
          </cell>
          <cell r="W228">
            <v>108335.20040286546</v>
          </cell>
          <cell r="X228">
            <v>114395.71234984108</v>
          </cell>
          <cell r="Y228">
            <v>116727.38959742447</v>
          </cell>
          <cell r="Z228">
            <v>141998.01843454241</v>
          </cell>
          <cell r="AA228">
            <v>171946.05794425026</v>
          </cell>
          <cell r="AB228">
            <v>192464.78312542022</v>
          </cell>
          <cell r="AC228">
            <v>208908.64373695463</v>
          </cell>
          <cell r="AD228">
            <v>228706.45614921703</v>
          </cell>
          <cell r="AE228">
            <v>252084.95499626573</v>
          </cell>
        </row>
        <row r="229">
          <cell r="G229">
            <v>12778.134917081974</v>
          </cell>
          <cell r="H229">
            <v>12894.186073617273</v>
          </cell>
          <cell r="I229">
            <v>13178.009408971293</v>
          </cell>
          <cell r="J229">
            <v>13341.082749817862</v>
          </cell>
          <cell r="K229">
            <v>13581.568601140933</v>
          </cell>
          <cell r="L229">
            <v>14287.410756019724</v>
          </cell>
          <cell r="M229">
            <v>14217.523844548945</v>
          </cell>
          <cell r="N229">
            <v>14955.493690163396</v>
          </cell>
          <cell r="O229">
            <v>14749.068526871995</v>
          </cell>
          <cell r="P229">
            <v>15217.615920965041</v>
          </cell>
          <cell r="Q229">
            <v>15615.500853886677</v>
          </cell>
          <cell r="R229">
            <v>15768.602167633129</v>
          </cell>
          <cell r="S229">
            <v>16113.909210513591</v>
          </cell>
          <cell r="T229">
            <v>16679.827859739111</v>
          </cell>
          <cell r="U229">
            <v>17277.728711114269</v>
          </cell>
          <cell r="V229">
            <v>17914.590049087761</v>
          </cell>
          <cell r="W229">
            <v>18631.873619577422</v>
          </cell>
          <cell r="X229">
            <v>19246.310352174143</v>
          </cell>
          <cell r="Y229">
            <v>19226.799168199374</v>
          </cell>
          <cell r="Z229">
            <v>19109.077435323827</v>
          </cell>
          <cell r="AA229">
            <v>19277.963444280296</v>
          </cell>
          <cell r="AB229">
            <v>18940.524142835653</v>
          </cell>
          <cell r="AC229">
            <v>18579.144573461443</v>
          </cell>
          <cell r="AD229">
            <v>18559.369474301344</v>
          </cell>
          <cell r="AE229">
            <v>18786.218095097855</v>
          </cell>
        </row>
        <row r="230">
          <cell r="G230">
            <v>19927.728810231933</v>
          </cell>
          <cell r="H230">
            <v>20387.498878375507</v>
          </cell>
          <cell r="I230">
            <v>21039.067675030969</v>
          </cell>
          <cell r="J230">
            <v>21751.96518935723</v>
          </cell>
          <cell r="K230">
            <v>22543.066584433152</v>
          </cell>
          <cell r="L230">
            <v>23942.959888780144</v>
          </cell>
          <cell r="M230">
            <v>24443.241717863308</v>
          </cell>
          <cell r="N230">
            <v>25857.012921133639</v>
          </cell>
          <cell r="O230">
            <v>26019.551101581019</v>
          </cell>
          <cell r="P230">
            <v>27043.216886545717</v>
          </cell>
          <cell r="Q230">
            <v>27714.128414291805</v>
          </cell>
          <cell r="R230">
            <v>27458.778506721221</v>
          </cell>
          <cell r="S230">
            <v>28235.725930746761</v>
          </cell>
          <cell r="T230">
            <v>30700.328022192367</v>
          </cell>
          <cell r="U230">
            <v>33048.146988518049</v>
          </cell>
          <cell r="V230">
            <v>35494.528422093819</v>
          </cell>
          <cell r="W230">
            <v>37620.955907392017</v>
          </cell>
          <cell r="X230">
            <v>39513.733368011992</v>
          </cell>
          <cell r="Y230">
            <v>40010.808440145935</v>
          </cell>
          <cell r="Z230">
            <v>48908.818659119788</v>
          </cell>
          <cell r="AA230">
            <v>52282.519633483942</v>
          </cell>
          <cell r="AB230">
            <v>55374.912449867224</v>
          </cell>
          <cell r="AC230">
            <v>58076.99156480789</v>
          </cell>
          <cell r="AD230">
            <v>62210.734014487818</v>
          </cell>
          <cell r="AE230">
            <v>67374.994373915324</v>
          </cell>
        </row>
        <row r="231">
          <cell r="G231">
            <v>45108.374295171176</v>
          </cell>
          <cell r="H231">
            <v>46149.56065856183</v>
          </cell>
          <cell r="I231">
            <v>47625.090696060222</v>
          </cell>
          <cell r="J231">
            <v>49239.504556032982</v>
          </cell>
          <cell r="K231">
            <v>51031.017404918923</v>
          </cell>
          <cell r="L231">
            <v>54200.373325811925</v>
          </cell>
          <cell r="M231">
            <v>55333.543476117171</v>
          </cell>
          <cell r="N231">
            <v>58534.252384181593</v>
          </cell>
          <cell r="O231">
            <v>58902.884869384878</v>
          </cell>
          <cell r="P231">
            <v>61220.727174027903</v>
          </cell>
          <cell r="Q231">
            <v>62739.911562789377</v>
          </cell>
          <cell r="R231">
            <v>62162.601935177241</v>
          </cell>
          <cell r="S231">
            <v>63922.405058420525</v>
          </cell>
          <cell r="T231">
            <v>69503.539738679581</v>
          </cell>
          <cell r="U231">
            <v>74820.119795511695</v>
          </cell>
          <cell r="V231">
            <v>80359.598457471366</v>
          </cell>
          <cell r="W231">
            <v>86541.70128799032</v>
          </cell>
          <cell r="X231">
            <v>92483.477913026232</v>
          </cell>
          <cell r="Y231">
            <v>94848.756057148668</v>
          </cell>
          <cell r="Z231">
            <v>104876.15733776866</v>
          </cell>
          <cell r="AA231">
            <v>108880.94517899094</v>
          </cell>
          <cell r="AB231">
            <v>111269.29774283603</v>
          </cell>
          <cell r="AC231">
            <v>113174.32196937493</v>
          </cell>
          <cell r="AD231">
            <v>117725.13831993856</v>
          </cell>
          <cell r="AE231">
            <v>124056.03016699647</v>
          </cell>
        </row>
        <row r="232">
          <cell r="G232">
            <v>14732.614363471273</v>
          </cell>
          <cell r="H232">
            <v>15190.025849992297</v>
          </cell>
          <cell r="I232">
            <v>15978.652657210951</v>
          </cell>
          <cell r="J232">
            <v>16358.081684185232</v>
          </cell>
          <cell r="K232">
            <v>16802.815184019466</v>
          </cell>
          <cell r="L232">
            <v>17995.075095351578</v>
          </cell>
          <cell r="M232">
            <v>18068.872042573646</v>
          </cell>
          <cell r="N232">
            <v>19587.401185481136</v>
          </cell>
          <cell r="O232">
            <v>19396.744558816688</v>
          </cell>
          <cell r="P232">
            <v>20469.625724466405</v>
          </cell>
          <cell r="Q232">
            <v>22021.466826109994</v>
          </cell>
          <cell r="R232">
            <v>22443.493824552352</v>
          </cell>
          <cell r="S232">
            <v>23154.520006260926</v>
          </cell>
          <cell r="T232">
            <v>24297.299686122278</v>
          </cell>
          <cell r="U232">
            <v>25604.628317990238</v>
          </cell>
          <cell r="V232">
            <v>27252.115344501475</v>
          </cell>
          <cell r="W232">
            <v>29326.592850202847</v>
          </cell>
          <cell r="X232">
            <v>31071.045803116915</v>
          </cell>
          <cell r="Y232">
            <v>31809.338088577882</v>
          </cell>
          <cell r="Z232">
            <v>32253.678455315665</v>
          </cell>
          <cell r="AA232">
            <v>33031.407872308417</v>
          </cell>
          <cell r="AB232">
            <v>33044.701825989607</v>
          </cell>
          <cell r="AC232">
            <v>33079.38765057132</v>
          </cell>
          <cell r="AD232">
            <v>33840.932034592515</v>
          </cell>
          <cell r="AE232">
            <v>35028.551814055783</v>
          </cell>
        </row>
        <row r="233">
          <cell r="G233">
            <v>30607.73667734694</v>
          </cell>
          <cell r="H233">
            <v>31558.031715771514</v>
          </cell>
          <cell r="I233">
            <v>33196.443002222775</v>
          </cell>
          <cell r="J233">
            <v>33984.725615128584</v>
          </cell>
          <cell r="K233">
            <v>34908.681507727801</v>
          </cell>
          <cell r="L233">
            <v>37385.660577205868</v>
          </cell>
          <cell r="M233">
            <v>37538.977393382476</v>
          </cell>
          <cell r="N233">
            <v>40693.796965544178</v>
          </cell>
          <cell r="O233">
            <v>40297.698372262203</v>
          </cell>
          <cell r="P233">
            <v>42526.662179644067</v>
          </cell>
          <cell r="Q233">
            <v>45750.688997447731</v>
          </cell>
          <cell r="R233">
            <v>46627.471007780034</v>
          </cell>
          <cell r="S233">
            <v>48104.663147852298</v>
          </cell>
          <cell r="T233">
            <v>50478.844583575272</v>
          </cell>
          <cell r="U233">
            <v>53194.884624247505</v>
          </cell>
          <cell r="V233">
            <v>56617.620592401901</v>
          </cell>
          <cell r="W233">
            <v>59923.157134890702</v>
          </cell>
          <cell r="X233">
            <v>63973.486449511773</v>
          </cell>
          <cell r="Y233">
            <v>66181.538107032015</v>
          </cell>
          <cell r="Z233">
            <v>66453.563269918333</v>
          </cell>
          <cell r="AA233">
            <v>66959.267579956038</v>
          </cell>
          <cell r="AB233">
            <v>66094.364426773463</v>
          </cell>
          <cell r="AC233">
            <v>65334.982685483985</v>
          </cell>
          <cell r="AD233">
            <v>65811.632936669848</v>
          </cell>
          <cell r="AE233">
            <v>67051.855449590992</v>
          </cell>
        </row>
        <row r="236">
          <cell r="G236">
            <v>365235.87759901345</v>
          </cell>
          <cell r="H236">
            <v>354859.62782446295</v>
          </cell>
          <cell r="I236">
            <v>359099.12116031331</v>
          </cell>
          <cell r="J236">
            <v>363684.89253116085</v>
          </cell>
          <cell r="K236">
            <v>371183.65691280959</v>
          </cell>
          <cell r="L236">
            <v>393810.14448577375</v>
          </cell>
          <cell r="M236">
            <v>392919.76472724194</v>
          </cell>
          <cell r="N236">
            <v>416337.28299488511</v>
          </cell>
          <cell r="O236">
            <v>415847.40765335562</v>
          </cell>
          <cell r="P236">
            <v>440930.75205977412</v>
          </cell>
          <cell r="Q236">
            <v>462610.57949277834</v>
          </cell>
          <cell r="R236">
            <v>464545.80548638868</v>
          </cell>
          <cell r="S236">
            <v>474100.778496566</v>
          </cell>
          <cell r="T236">
            <v>490120.37038982578</v>
          </cell>
          <cell r="U236">
            <v>507824.3128671766</v>
          </cell>
          <cell r="V236">
            <v>523265.66056981642</v>
          </cell>
          <cell r="W236">
            <v>547621.81359517598</v>
          </cell>
          <cell r="X236">
            <v>577195.13074333861</v>
          </cell>
          <cell r="Y236">
            <v>597901.31757310289</v>
          </cell>
          <cell r="Z236">
            <v>606724.96847552957</v>
          </cell>
          <cell r="AA236">
            <v>621130.50828699535</v>
          </cell>
          <cell r="AB236">
            <v>615303.10013566166</v>
          </cell>
          <cell r="AC236">
            <v>604685.27239587845</v>
          </cell>
          <cell r="AD236">
            <v>611946.42316720472</v>
          </cell>
          <cell r="AE236">
            <v>621775.7724142184</v>
          </cell>
        </row>
        <row r="237">
          <cell r="G237">
            <v>128508.91989594916</v>
          </cell>
          <cell r="H237">
            <v>159878.80401357694</v>
          </cell>
          <cell r="I237">
            <v>161788.86949021256</v>
          </cell>
          <cell r="J237">
            <v>163854.9474116308</v>
          </cell>
          <cell r="K237">
            <v>167233.44805501943</v>
          </cell>
          <cell r="L237">
            <v>177427.60791020317</v>
          </cell>
          <cell r="M237">
            <v>177026.45534239855</v>
          </cell>
          <cell r="N237">
            <v>187577.00694092782</v>
          </cell>
          <cell r="O237">
            <v>187356.29802512456</v>
          </cell>
          <cell r="P237">
            <v>198657.37256252611</v>
          </cell>
          <cell r="Q237">
            <v>208425.02323177626</v>
          </cell>
          <cell r="R237">
            <v>209296.92184490184</v>
          </cell>
          <cell r="S237">
            <v>213601.82873615521</v>
          </cell>
          <cell r="T237">
            <v>220819.31134577713</v>
          </cell>
          <cell r="U237">
            <v>228795.66291599342</v>
          </cell>
          <cell r="V237">
            <v>235752.62282205813</v>
          </cell>
          <cell r="W237">
            <v>246726.06784295075</v>
          </cell>
          <cell r="X237">
            <v>260050.0590936582</v>
          </cell>
          <cell r="Y237">
            <v>269379.04477264325</v>
          </cell>
          <cell r="Z237">
            <v>274246.47257606586</v>
          </cell>
          <cell r="AA237">
            <v>283323.60322947107</v>
          </cell>
          <cell r="AB237">
            <v>282176.62280447973</v>
          </cell>
          <cell r="AC237">
            <v>278788.25314832455</v>
          </cell>
          <cell r="AD237">
            <v>283474.80692722125</v>
          </cell>
          <cell r="AE237">
            <v>289306.68472038873</v>
          </cell>
        </row>
        <row r="238">
          <cell r="G238">
            <v>182617.93879950672</v>
          </cell>
          <cell r="H238">
            <v>187597.13911690007</v>
          </cell>
          <cell r="I238">
            <v>189838.35439964873</v>
          </cell>
          <cell r="J238">
            <v>192262.63014803207</v>
          </cell>
          <cell r="K238">
            <v>196226.86455117722</v>
          </cell>
          <cell r="L238">
            <v>208188.39526396897</v>
          </cell>
          <cell r="M238">
            <v>207717.6945070184</v>
          </cell>
          <cell r="N238">
            <v>220097.40492705166</v>
          </cell>
          <cell r="O238">
            <v>219838.43150379052</v>
          </cell>
          <cell r="P238">
            <v>233098.78371397682</v>
          </cell>
          <cell r="Q238">
            <v>244559.86095151352</v>
          </cell>
          <cell r="R238">
            <v>245582.9214280509</v>
          </cell>
          <cell r="S238">
            <v>250634.17398117352</v>
          </cell>
          <cell r="T238">
            <v>259102.95818021009</v>
          </cell>
          <cell r="U238">
            <v>268462.17714857374</v>
          </cell>
          <cell r="V238">
            <v>276625.27158364275</v>
          </cell>
          <cell r="W238">
            <v>289501.19284710946</v>
          </cell>
          <cell r="X238">
            <v>305135.17669927207</v>
          </cell>
          <cell r="Y238">
            <v>316081.53719425993</v>
          </cell>
          <cell r="Z238">
            <v>318864.90587520832</v>
          </cell>
          <cell r="AA238">
            <v>321024.71413024032</v>
          </cell>
          <cell r="AB238">
            <v>314825.8482508192</v>
          </cell>
          <cell r="AC238">
            <v>306269.79725356057</v>
          </cell>
          <cell r="AD238">
            <v>307123.92753089877</v>
          </cell>
          <cell r="AE238">
            <v>309360.53101240424</v>
          </cell>
        </row>
        <row r="239">
          <cell r="G239">
            <v>22826.038376498713</v>
          </cell>
          <cell r="H239">
            <v>37085.098831852469</v>
          </cell>
          <cell r="I239">
            <v>37893.103890682374</v>
          </cell>
          <cell r="J239">
            <v>38462.381555532207</v>
          </cell>
          <cell r="K239">
            <v>38969.129623895285</v>
          </cell>
          <cell r="L239">
            <v>41122.671401230393</v>
          </cell>
          <cell r="M239">
            <v>41185.78757641455</v>
          </cell>
          <cell r="N239">
            <v>44212.728429698531</v>
          </cell>
          <cell r="O239">
            <v>44951.843483761288</v>
          </cell>
          <cell r="P239">
            <v>48023.926933948365</v>
          </cell>
          <cell r="Q239">
            <v>50150.466781839837</v>
          </cell>
          <cell r="R239">
            <v>50124.859380140115</v>
          </cell>
          <cell r="S239">
            <v>50689.163852827936</v>
          </cell>
          <cell r="T239">
            <v>51823.573400304151</v>
          </cell>
          <cell r="U239">
            <v>52861.045289321017</v>
          </cell>
          <cell r="V239">
            <v>54320.35492645581</v>
          </cell>
          <cell r="W239">
            <v>56926.871894878575</v>
          </cell>
          <cell r="X239">
            <v>59891.068626553875</v>
          </cell>
          <cell r="Y239">
            <v>62046.543913457623</v>
          </cell>
          <cell r="Z239">
            <v>63939.99342109407</v>
          </cell>
          <cell r="AA239">
            <v>65822.79068051881</v>
          </cell>
          <cell r="AB239">
            <v>65849.37613974858</v>
          </cell>
          <cell r="AC239">
            <v>65246.726750042319</v>
          </cell>
          <cell r="AD239">
            <v>66564.13506297869</v>
          </cell>
          <cell r="AE239">
            <v>68260.473116669134</v>
          </cell>
        </row>
        <row r="240">
          <cell r="G240">
            <v>73043.322804795869</v>
          </cell>
          <cell r="H240">
            <v>68495.559377511716</v>
          </cell>
          <cell r="I240">
            <v>69987.931252677838</v>
          </cell>
          <cell r="J240">
            <v>71039.377610467272</v>
          </cell>
          <cell r="K240">
            <v>71975.332845840443</v>
          </cell>
          <cell r="L240">
            <v>75952.888611573333</v>
          </cell>
          <cell r="M240">
            <v>76069.463135066151</v>
          </cell>
          <cell r="N240">
            <v>81660.172435542656</v>
          </cell>
          <cell r="O240">
            <v>83025.305620219151</v>
          </cell>
          <cell r="P240">
            <v>88699.392544701768</v>
          </cell>
          <cell r="Q240">
            <v>92627.076196842638</v>
          </cell>
          <cell r="R240">
            <v>92579.779752748451</v>
          </cell>
          <cell r="S240">
            <v>93622.040707511944</v>
          </cell>
          <cell r="T240">
            <v>95717.276232429431</v>
          </cell>
          <cell r="U240">
            <v>97633.469518009108</v>
          </cell>
          <cell r="V240">
            <v>100328.79009282413</v>
          </cell>
          <cell r="W240">
            <v>105142.983485933</v>
          </cell>
          <cell r="X240">
            <v>110617.80543966891</v>
          </cell>
          <cell r="Y240">
            <v>114598.93236534574</v>
          </cell>
          <cell r="Z240">
            <v>115858.64768204739</v>
          </cell>
          <cell r="AA240">
            <v>116478.30055393775</v>
          </cell>
          <cell r="AB240">
            <v>114286.39036749169</v>
          </cell>
          <cell r="AC240">
            <v>111201.59592874881</v>
          </cell>
          <cell r="AD240">
            <v>111549.77156105102</v>
          </cell>
          <cell r="AE240">
            <v>112441.44112659105</v>
          </cell>
        </row>
        <row r="241">
          <cell r="G241">
            <v>18260.830701198967</v>
          </cell>
          <cell r="H241">
            <v>17123.889844377929</v>
          </cell>
          <cell r="I241">
            <v>17496.982813169459</v>
          </cell>
          <cell r="J241">
            <v>17759.844402616818</v>
          </cell>
          <cell r="K241">
            <v>17993.833211460111</v>
          </cell>
          <cell r="L241">
            <v>18988.222152893333</v>
          </cell>
          <cell r="M241">
            <v>19017.365783766538</v>
          </cell>
          <cell r="N241">
            <v>20415.043108885664</v>
          </cell>
          <cell r="O241">
            <v>20756.326405054788</v>
          </cell>
          <cell r="P241">
            <v>22174.848136175442</v>
          </cell>
          <cell r="Q241">
            <v>23156.769049210659</v>
          </cell>
          <cell r="R241">
            <v>23144.944938187113</v>
          </cell>
          <cell r="S241">
            <v>23405.510176877986</v>
          </cell>
          <cell r="T241">
            <v>23929.319058107358</v>
          </cell>
          <cell r="U241">
            <v>24408.367379502277</v>
          </cell>
          <cell r="V241">
            <v>25082.197523206032</v>
          </cell>
          <cell r="W241">
            <v>26285.74587148325</v>
          </cell>
          <cell r="X241">
            <v>27654.451359917228</v>
          </cell>
          <cell r="Y241">
            <v>28649.733091336435</v>
          </cell>
          <cell r="Z241">
            <v>30793.004144602553</v>
          </cell>
          <cell r="AA241">
            <v>33283.211347743643</v>
          </cell>
          <cell r="AB241">
            <v>34566.484046841208</v>
          </cell>
          <cell r="AC241">
            <v>35406.47476373057</v>
          </cell>
          <cell r="AD241">
            <v>37197.32778087561</v>
          </cell>
          <cell r="AE241">
            <v>39251.843081514526</v>
          </cell>
        </row>
        <row r="242">
          <cell r="G242">
            <v>38043.397294164519</v>
          </cell>
          <cell r="H242">
            <v>33061.397754723999</v>
          </cell>
          <cell r="I242">
            <v>33781.73496506628</v>
          </cell>
          <cell r="J242">
            <v>34289.246496741514</v>
          </cell>
          <cell r="K242">
            <v>34741.012838946874</v>
          </cell>
          <cell r="L242">
            <v>36660.897200175481</v>
          </cell>
          <cell r="M242">
            <v>36717.165325062553</v>
          </cell>
          <cell r="N242">
            <v>39415.685719579902</v>
          </cell>
          <cell r="O242">
            <v>40074.60743095701</v>
          </cell>
          <cell r="P242">
            <v>42813.372489743997</v>
          </cell>
          <cell r="Q242">
            <v>44709.184607467789</v>
          </cell>
          <cell r="R242">
            <v>44686.35558665546</v>
          </cell>
          <cell r="S242">
            <v>45189.43351320739</v>
          </cell>
          <cell r="T242">
            <v>46200.760608112003</v>
          </cell>
          <cell r="U242">
            <v>47125.667696472541</v>
          </cell>
          <cell r="V242">
            <v>48426.643502937863</v>
          </cell>
          <cell r="W242">
            <v>50750.35563966936</v>
          </cell>
          <cell r="X242">
            <v>53392.939595384662</v>
          </cell>
          <cell r="Y242">
            <v>55314.547682069737</v>
          </cell>
          <cell r="Z242">
            <v>56206.338067598081</v>
          </cell>
          <cell r="AA242">
            <v>56867.860447024854</v>
          </cell>
          <cell r="AB242">
            <v>56094.0735060183</v>
          </cell>
          <cell r="AC242">
            <v>54855.157088644417</v>
          </cell>
          <cell r="AD242">
            <v>55287.638953758076</v>
          </cell>
          <cell r="AE242">
            <v>56002.286494712542</v>
          </cell>
        </row>
        <row r="243">
          <cell r="G243">
            <v>4628.0563230687512</v>
          </cell>
          <cell r="H243">
            <v>4701.4044369701423</v>
          </cell>
          <cell r="I243">
            <v>4765.7538702829233</v>
          </cell>
          <cell r="J243">
            <v>4856.2183556535629</v>
          </cell>
          <cell r="K243">
            <v>4946.6084717631393</v>
          </cell>
          <cell r="L243">
            <v>5278.2857012813538</v>
          </cell>
          <cell r="M243">
            <v>5357.0931278130192</v>
          </cell>
          <cell r="N243">
            <v>5747.3914872416699</v>
          </cell>
          <cell r="O243">
            <v>5732.4673645938337</v>
          </cell>
          <cell r="P243">
            <v>6142.1880301032079</v>
          </cell>
          <cell r="Q243">
            <v>6440.7376439136387</v>
          </cell>
          <cell r="R243">
            <v>6446.5319933809833</v>
          </cell>
          <cell r="S243">
            <v>6508.8716791976822</v>
          </cell>
          <cell r="T243">
            <v>6604.0308077340533</v>
          </cell>
          <cell r="U243">
            <v>6726.1553145885591</v>
          </cell>
          <cell r="V243">
            <v>6888.1269957209943</v>
          </cell>
          <cell r="W243">
            <v>7236.5674433278036</v>
          </cell>
          <cell r="X243">
            <v>7730.2118587169389</v>
          </cell>
          <cell r="Y243">
            <v>8038.0237502793789</v>
          </cell>
          <cell r="Z243">
            <v>8252.3093205514033</v>
          </cell>
          <cell r="AA243">
            <v>8409.382277396091</v>
          </cell>
          <cell r="AB243">
            <v>8362.9356517854412</v>
          </cell>
          <cell r="AC243">
            <v>8292.2030909308778</v>
          </cell>
          <cell r="AD243">
            <v>8458.0331189855751</v>
          </cell>
          <cell r="AE243">
            <v>8650.3301626552002</v>
          </cell>
        </row>
        <row r="244">
          <cell r="G244">
            <v>15523.354711945038</v>
          </cell>
          <cell r="H244">
            <v>15769.377817555918</v>
          </cell>
          <cell r="I244">
            <v>15985.217688356061</v>
          </cell>
          <cell r="J244">
            <v>16288.652261578984</v>
          </cell>
          <cell r="K244">
            <v>16591.837386580326</v>
          </cell>
          <cell r="L244">
            <v>17704.344003671897</v>
          </cell>
          <cell r="M244">
            <v>17968.678651002941</v>
          </cell>
          <cell r="N244">
            <v>19277.81135250035</v>
          </cell>
          <cell r="O244">
            <v>19227.753091871116</v>
          </cell>
          <cell r="P244">
            <v>20602.031791076501</v>
          </cell>
          <cell r="Q244">
            <v>21603.422273554581</v>
          </cell>
          <cell r="R244">
            <v>21622.857590635365</v>
          </cell>
          <cell r="S244">
            <v>21831.956397566515</v>
          </cell>
          <cell r="T244">
            <v>22151.137670055909</v>
          </cell>
          <cell r="U244">
            <v>22560.765796117001</v>
          </cell>
          <cell r="V244">
            <v>23104.048695889851</v>
          </cell>
          <cell r="W244">
            <v>24222.842301479006</v>
          </cell>
          <cell r="X244">
            <v>25741.472768522566</v>
          </cell>
          <cell r="Y244">
            <v>26592.666617849558</v>
          </cell>
          <cell r="Z244">
            <v>27217.575877861957</v>
          </cell>
          <cell r="AA244">
            <v>27703.370878767415</v>
          </cell>
          <cell r="AB244">
            <v>27506.937031022229</v>
          </cell>
          <cell r="AC244">
            <v>27126.465394959287</v>
          </cell>
          <cell r="AD244">
            <v>27532.444745598816</v>
          </cell>
          <cell r="AE244">
            <v>28038.123006593294</v>
          </cell>
        </row>
        <row r="245">
          <cell r="G245">
            <v>42989.038650593269</v>
          </cell>
          <cell r="H245">
            <v>46177.524094383676</v>
          </cell>
          <cell r="I245">
            <v>48049.097799709365</v>
          </cell>
          <cell r="J245">
            <v>50221.351556134323</v>
          </cell>
          <cell r="K245">
            <v>53009.132948004757</v>
          </cell>
          <cell r="L245">
            <v>57640.128982233764</v>
          </cell>
          <cell r="M245">
            <v>59025.056673692248</v>
          </cell>
          <cell r="N245">
            <v>64140.796106645364</v>
          </cell>
          <cell r="O245">
            <v>65738.378600449563</v>
          </cell>
          <cell r="P245">
            <v>72214.596280012745</v>
          </cell>
          <cell r="Q245">
            <v>79060.97595669709</v>
          </cell>
          <cell r="R245">
            <v>81293.356899375809</v>
          </cell>
          <cell r="S245">
            <v>84841.963710676544</v>
          </cell>
          <cell r="T245">
            <v>88452.881885079623</v>
          </cell>
          <cell r="U245">
            <v>92105.077335115246</v>
          </cell>
          <cell r="V245">
            <v>97065.846332970599</v>
          </cell>
          <cell r="W245">
            <v>102052.43951083547</v>
          </cell>
          <cell r="X245">
            <v>109775.5245398815</v>
          </cell>
          <cell r="Y245">
            <v>114575.40812346498</v>
          </cell>
          <cell r="Z245">
            <v>118916.91832645051</v>
          </cell>
          <cell r="AA245">
            <v>122334.77011979968</v>
          </cell>
          <cell r="AB245">
            <v>122593.4152380662</v>
          </cell>
          <cell r="AC245">
            <v>121709.85508655623</v>
          </cell>
          <cell r="AD245">
            <v>124569.45637297981</v>
          </cell>
          <cell r="AE245">
            <v>128234.69570832193</v>
          </cell>
        </row>
        <row r="246">
          <cell r="G246">
            <v>33299.04878638684</v>
          </cell>
          <cell r="H246">
            <v>30330.448544332252</v>
          </cell>
          <cell r="I246">
            <v>30989.602297357953</v>
          </cell>
          <cell r="J246">
            <v>31454.007198291205</v>
          </cell>
          <cell r="K246">
            <v>31867.401752508187</v>
          </cell>
          <cell r="L246">
            <v>33627.757716878958</v>
          </cell>
          <cell r="M246">
            <v>33678.283068356512</v>
          </cell>
          <cell r="N246">
            <v>36151.728628515026</v>
          </cell>
          <cell r="O246">
            <v>36753.502636978956</v>
          </cell>
          <cell r="P246">
            <v>39263.465870843895</v>
          </cell>
          <cell r="Q246">
            <v>41001.093157340103</v>
          </cell>
          <cell r="R246">
            <v>40978.97325122216</v>
          </cell>
          <cell r="S246">
            <v>41438.624077021566</v>
          </cell>
          <cell r="T246">
            <v>42363.69971619008</v>
          </cell>
          <cell r="U246">
            <v>43210.133146248801</v>
          </cell>
          <cell r="V246">
            <v>44401.32382270151</v>
          </cell>
          <cell r="W246">
            <v>46342.560297745775</v>
          </cell>
          <cell r="X246">
            <v>48642.611386782039</v>
          </cell>
          <cell r="Y246">
            <v>50263.175879098308</v>
          </cell>
          <cell r="Z246">
            <v>50977.817961385736</v>
          </cell>
          <cell r="AA246">
            <v>51339.024248911577</v>
          </cell>
          <cell r="AB246">
            <v>50538.39378639061</v>
          </cell>
          <cell r="AC246">
            <v>49436.659552163255</v>
          </cell>
          <cell r="AD246">
            <v>49738.779482392318</v>
          </cell>
          <cell r="AE246">
            <v>50267.876249741275</v>
          </cell>
        </row>
        <row r="247">
          <cell r="G247">
            <v>10691.658369472056</v>
          </cell>
          <cell r="H247">
            <v>15762.991449869804</v>
          </cell>
          <cell r="I247">
            <v>16105.559247965732</v>
          </cell>
          <cell r="J247">
            <v>16346.914415265306</v>
          </cell>
          <cell r="K247">
            <v>16561.759072574627</v>
          </cell>
          <cell r="L247">
            <v>17476.631003154402</v>
          </cell>
          <cell r="M247">
            <v>17502.889457004119</v>
          </cell>
          <cell r="N247">
            <v>18788.360100786689</v>
          </cell>
          <cell r="O247">
            <v>19101.107158790332</v>
          </cell>
          <cell r="P247">
            <v>20405.55634743558</v>
          </cell>
          <cell r="Q247">
            <v>21308.615991280461</v>
          </cell>
          <cell r="R247">
            <v>21297.120088392661</v>
          </cell>
          <cell r="S247">
            <v>21536.004522508803</v>
          </cell>
          <cell r="T247">
            <v>22016.774181070974</v>
          </cell>
          <cell r="U247">
            <v>22456.672816311991</v>
          </cell>
          <cell r="V247">
            <v>23075.744717627389</v>
          </cell>
          <cell r="W247">
            <v>24084.621784300914</v>
          </cell>
          <cell r="X247">
            <v>25279.97785026049</v>
          </cell>
          <cell r="Y247">
            <v>26122.198966740394</v>
          </cell>
          <cell r="Z247">
            <v>26801.516390175642</v>
          </cell>
          <cell r="AA247">
            <v>27292.56324226594</v>
          </cell>
          <cell r="AB247">
            <v>27183.612671531475</v>
          </cell>
          <cell r="AC247">
            <v>26965.245592442159</v>
          </cell>
          <cell r="AD247">
            <v>27407.916763462723</v>
          </cell>
          <cell r="AE247">
            <v>27972.689694185861</v>
          </cell>
        </row>
        <row r="248">
          <cell r="G248">
            <v>112714.25036667172</v>
          </cell>
          <cell r="H248">
            <v>114141.16481280299</v>
          </cell>
          <cell r="I248">
            <v>115190.36661142894</v>
          </cell>
          <cell r="J248">
            <v>116520.75449208662</v>
          </cell>
          <cell r="K248">
            <v>117639.50338136432</v>
          </cell>
          <cell r="L248">
            <v>125133.03018357205</v>
          </cell>
          <cell r="M248">
            <v>125028.1219180683</v>
          </cell>
          <cell r="N248">
            <v>132782.30628235237</v>
          </cell>
          <cell r="O248">
            <v>132776.26779086614</v>
          </cell>
          <cell r="P248">
            <v>140250.1217333712</v>
          </cell>
          <cell r="Q248">
            <v>146590.53423395441</v>
          </cell>
          <cell r="R248">
            <v>146845.81875868811</v>
          </cell>
          <cell r="S248">
            <v>147443.91759888123</v>
          </cell>
          <cell r="T248">
            <v>149119.28301449967</v>
          </cell>
          <cell r="U248">
            <v>151298.35382192422</v>
          </cell>
          <cell r="V248">
            <v>153935.93009441264</v>
          </cell>
          <cell r="W248">
            <v>164146.30188532348</v>
          </cell>
          <cell r="X248">
            <v>174886.41228830878</v>
          </cell>
          <cell r="Y248">
            <v>184122.16950487869</v>
          </cell>
          <cell r="Z248">
            <v>222578.6043170327</v>
          </cell>
          <cell r="AA248">
            <v>270108.4559566789</v>
          </cell>
          <cell r="AB248">
            <v>303077.22933959612</v>
          </cell>
          <cell r="AC248">
            <v>330226.38848079956</v>
          </cell>
          <cell r="AD248">
            <v>364736.77247703593</v>
          </cell>
          <cell r="AE248">
            <v>402666.75528648176</v>
          </cell>
        </row>
        <row r="249">
          <cell r="G249">
            <v>14752.415649731582</v>
          </cell>
          <cell r="H249">
            <v>14949.486256197217</v>
          </cell>
          <cell r="I249">
            <v>15653.173296422536</v>
          </cell>
          <cell r="J249">
            <v>16126.238339946436</v>
          </cell>
          <cell r="K249">
            <v>16429.953298851924</v>
          </cell>
          <cell r="L249">
            <v>17486.291276105734</v>
          </cell>
          <cell r="M249">
            <v>17416.657106211544</v>
          </cell>
          <cell r="N249">
            <v>18528.371104601782</v>
          </cell>
          <cell r="O249">
            <v>18478.233325586072</v>
          </cell>
          <cell r="P249">
            <v>19711.765341966311</v>
          </cell>
          <cell r="Q249">
            <v>20744.547614122177</v>
          </cell>
          <cell r="R249">
            <v>21201.557636324564</v>
          </cell>
          <cell r="S249">
            <v>21869.370611957627</v>
          </cell>
          <cell r="T249">
            <v>22409.704663340748</v>
          </cell>
          <cell r="U249">
            <v>23146.437011872487</v>
          </cell>
          <cell r="V249">
            <v>23754.6214532173</v>
          </cell>
          <cell r="W249">
            <v>24638.42210750085</v>
          </cell>
          <cell r="X249">
            <v>25998.629422016213</v>
          </cell>
          <cell r="Y249">
            <v>27022.019736324251</v>
          </cell>
          <cell r="Z249">
            <v>27815.476693020497</v>
          </cell>
          <cell r="AA249">
            <v>28513.040758287032</v>
          </cell>
          <cell r="AB249">
            <v>28522.892788035613</v>
          </cell>
          <cell r="AC249">
            <v>28160.258081621505</v>
          </cell>
          <cell r="AD249">
            <v>28635.095426973003</v>
          </cell>
          <cell r="AE249">
            <v>29323.666041989127</v>
          </cell>
        </row>
        <row r="250">
          <cell r="G250">
            <v>34875.560548544068</v>
          </cell>
          <cell r="H250">
            <v>35490.215717743871</v>
          </cell>
          <cell r="I250">
            <v>36041.055471905849</v>
          </cell>
          <cell r="J250">
            <v>36987.832605266187</v>
          </cell>
          <cell r="K250">
            <v>37609.896544160554</v>
          </cell>
          <cell r="L250">
            <v>39880.544867932578</v>
          </cell>
          <cell r="M250">
            <v>40403.524766928334</v>
          </cell>
          <cell r="N250">
            <v>43318.517315310317</v>
          </cell>
          <cell r="O250">
            <v>43477.324084102991</v>
          </cell>
          <cell r="P250">
            <v>46102.792950617768</v>
          </cell>
          <cell r="Q250">
            <v>48157.744443856565</v>
          </cell>
          <cell r="R250">
            <v>48381.995246132137</v>
          </cell>
          <cell r="S250">
            <v>49049.199908716473</v>
          </cell>
          <cell r="T250">
            <v>50428.752236485008</v>
          </cell>
          <cell r="U250">
            <v>51749.10969971741</v>
          </cell>
          <cell r="V250">
            <v>53283.685692529973</v>
          </cell>
          <cell r="W250">
            <v>55740.603359634508</v>
          </cell>
          <cell r="X250">
            <v>58846.279199835903</v>
          </cell>
          <cell r="Y250">
            <v>60989.003348343955</v>
          </cell>
          <cell r="Z250">
            <v>66855.58838065021</v>
          </cell>
          <cell r="AA250">
            <v>70982.670891079164</v>
          </cell>
          <cell r="AB250">
            <v>72875.175932513535</v>
          </cell>
          <cell r="AC250">
            <v>74055.453637505809</v>
          </cell>
          <cell r="AD250">
            <v>77727.363212703494</v>
          </cell>
          <cell r="AE250">
            <v>81944.81933887284</v>
          </cell>
        </row>
        <row r="251">
          <cell r="G251">
            <v>95092.731567875642</v>
          </cell>
          <cell r="H251">
            <v>96766.415545228316</v>
          </cell>
          <cell r="I251">
            <v>98266.332436564364</v>
          </cell>
          <cell r="J251">
            <v>100844.37260873445</v>
          </cell>
          <cell r="K251">
            <v>102538.23040020447</v>
          </cell>
          <cell r="L251">
            <v>108726.98855621848</v>
          </cell>
          <cell r="M251">
            <v>110149.4485241012</v>
          </cell>
          <cell r="N251">
            <v>118093.70785323142</v>
          </cell>
          <cell r="O251">
            <v>118524.17778565657</v>
          </cell>
          <cell r="P251">
            <v>125679.56328821628</v>
          </cell>
          <cell r="Q251">
            <v>131279.82577985615</v>
          </cell>
          <cell r="R251">
            <v>131888.41597728548</v>
          </cell>
          <cell r="S251">
            <v>133704.03605860649</v>
          </cell>
          <cell r="T251">
            <v>137459.9244662337</v>
          </cell>
          <cell r="U251">
            <v>141055.35189563283</v>
          </cell>
          <cell r="V251">
            <v>145235.13322236884</v>
          </cell>
          <cell r="W251">
            <v>153068.71128711573</v>
          </cell>
          <cell r="X251">
            <v>162786.7828709142</v>
          </cell>
          <cell r="Y251">
            <v>169902.61285857085</v>
          </cell>
          <cell r="Z251">
            <v>177924.99831106921</v>
          </cell>
          <cell r="AA251">
            <v>183099.6511936677</v>
          </cell>
          <cell r="AB251">
            <v>183290.58023238834</v>
          </cell>
          <cell r="AC251">
            <v>181910.0452579376</v>
          </cell>
          <cell r="AD251">
            <v>186440.59700101402</v>
          </cell>
          <cell r="AE251">
            <v>192071.4052546951</v>
          </cell>
        </row>
        <row r="252">
          <cell r="G252">
            <v>20269.095261833754</v>
          </cell>
          <cell r="H252">
            <v>20530.532236312658</v>
          </cell>
          <cell r="I252">
            <v>20719.297673345118</v>
          </cell>
          <cell r="J252">
            <v>20905.426610008475</v>
          </cell>
          <cell r="K252">
            <v>21238.400627835614</v>
          </cell>
          <cell r="L252">
            <v>22707.133589089823</v>
          </cell>
          <cell r="M252">
            <v>22914.0953188536</v>
          </cell>
          <cell r="N252">
            <v>24446.984147439664</v>
          </cell>
          <cell r="O252">
            <v>24508.760457259279</v>
          </cell>
          <cell r="P252">
            <v>26182.572155659302</v>
          </cell>
          <cell r="Q252">
            <v>27665.032170520342</v>
          </cell>
          <cell r="R252">
            <v>27944.373484518161</v>
          </cell>
          <cell r="S252">
            <v>28737.453154020208</v>
          </cell>
          <cell r="T252">
            <v>29887.275798005736</v>
          </cell>
          <cell r="U252">
            <v>31124.852838925988</v>
          </cell>
          <cell r="V252">
            <v>32286.30287308092</v>
          </cell>
          <cell r="W252">
            <v>34084.157085432591</v>
          </cell>
          <cell r="X252">
            <v>36026.430975225201</v>
          </cell>
          <cell r="Y252">
            <v>37766.179529638641</v>
          </cell>
          <cell r="Z252">
            <v>38453.867170200647</v>
          </cell>
          <cell r="AA252">
            <v>38998.349356101215</v>
          </cell>
          <cell r="AB252">
            <v>38753.276478936947</v>
          </cell>
          <cell r="AC252">
            <v>38078.707519783769</v>
          </cell>
          <cell r="AD252">
            <v>38623.220290712226</v>
          </cell>
          <cell r="AE252">
            <v>39376.63752481604</v>
          </cell>
        </row>
        <row r="253">
          <cell r="G253">
            <v>111590.53378044043</v>
          </cell>
          <cell r="H253">
            <v>113029.8625297102</v>
          </cell>
          <cell r="I253">
            <v>114069.10160800362</v>
          </cell>
          <cell r="J253">
            <v>115093.82555971152</v>
          </cell>
          <cell r="K253">
            <v>116926.99807700257</v>
          </cell>
          <cell r="L253">
            <v>125013.03709404237</v>
          </cell>
          <cell r="M253">
            <v>126152.45499099954</v>
          </cell>
          <cell r="N253">
            <v>134591.7010648037</v>
          </cell>
          <cell r="O253">
            <v>134931.80758158234</v>
          </cell>
          <cell r="P253">
            <v>144146.89776985085</v>
          </cell>
          <cell r="Q253">
            <v>152308.51042347541</v>
          </cell>
          <cell r="R253">
            <v>153846.41065697235</v>
          </cell>
          <cell r="S253">
            <v>158212.67281652676</v>
          </cell>
          <cell r="T253">
            <v>164542.96634653877</v>
          </cell>
          <cell r="U253">
            <v>171356.38750849618</v>
          </cell>
          <cell r="V253">
            <v>177750.69507853885</v>
          </cell>
          <cell r="W253">
            <v>186860.74176010364</v>
          </cell>
          <cell r="X253">
            <v>198849.0352817431</v>
          </cell>
          <cell r="Y253">
            <v>207459.88509259641</v>
          </cell>
          <cell r="Z253">
            <v>210238.94541030767</v>
          </cell>
          <cell r="AA253">
            <v>212559.78193989891</v>
          </cell>
          <cell r="AB253">
            <v>209370.44418938732</v>
          </cell>
          <cell r="AC253">
            <v>204710.6763606098</v>
          </cell>
          <cell r="AD253">
            <v>206356.08182021734</v>
          </cell>
          <cell r="AE253">
            <v>208941.43593905578</v>
          </cell>
        </row>
        <row r="256">
          <cell r="G256">
            <v>41700.08658172701</v>
          </cell>
          <cell r="H256">
            <v>42703.510343600574</v>
          </cell>
          <cell r="I256">
            <v>44257.002746285623</v>
          </cell>
          <cell r="J256">
            <v>46606.120598262525</v>
          </cell>
          <cell r="K256">
            <v>48934.561178675896</v>
          </cell>
          <cell r="L256">
            <v>49695.768483822583</v>
          </cell>
          <cell r="M256">
            <v>49546.517070036483</v>
          </cell>
          <cell r="N256">
            <v>52273.811962574538</v>
          </cell>
          <cell r="O256">
            <v>52585.807956194207</v>
          </cell>
          <cell r="P256">
            <v>56289.490101634299</v>
          </cell>
          <cell r="Q256">
            <v>59687.816054859606</v>
          </cell>
          <cell r="R256">
            <v>62488.410252297035</v>
          </cell>
          <cell r="S256">
            <v>66288.542174939212</v>
          </cell>
          <cell r="T256">
            <v>70860.892025420588</v>
          </cell>
          <cell r="U256">
            <v>78425.921481403377</v>
          </cell>
          <cell r="V256">
            <v>82710.375879353072</v>
          </cell>
          <cell r="W256">
            <v>87029.28237334211</v>
          </cell>
          <cell r="X256">
            <v>91919.753724823735</v>
          </cell>
          <cell r="Y256">
            <v>97412.530517584542</v>
          </cell>
          <cell r="Z256">
            <v>101803.61807623306</v>
          </cell>
          <cell r="AA256">
            <v>106254.40114189948</v>
          </cell>
          <cell r="AB256">
            <v>108563.77406324894</v>
          </cell>
          <cell r="AC256">
            <v>110216.79388037193</v>
          </cell>
          <cell r="AD256">
            <v>113386.61374144799</v>
          </cell>
          <cell r="AE256">
            <v>117712.63216067546</v>
          </cell>
        </row>
        <row r="257">
          <cell r="G257">
            <v>14672.252686163205</v>
          </cell>
          <cell r="H257">
            <v>19239.68134321988</v>
          </cell>
          <cell r="I257">
            <v>19939.593330695461</v>
          </cell>
          <cell r="J257">
            <v>20997.967186756636</v>
          </cell>
          <cell r="K257">
            <v>22047.02508465117</v>
          </cell>
          <cell r="L257">
            <v>22389.980168889302</v>
          </cell>
          <cell r="M257">
            <v>22322.736290852939</v>
          </cell>
          <cell r="N257">
            <v>23551.49440088233</v>
          </cell>
          <cell r="O257">
            <v>23692.06138119155</v>
          </cell>
          <cell r="P257">
            <v>25360.721959712802</v>
          </cell>
          <cell r="Q257">
            <v>26891.807060548002</v>
          </cell>
          <cell r="R257">
            <v>28153.589511143226</v>
          </cell>
          <cell r="S257">
            <v>29865.70466667843</v>
          </cell>
          <cell r="T257">
            <v>31925.735643175518</v>
          </cell>
          <cell r="U257">
            <v>35334.09141800685</v>
          </cell>
          <cell r="V257">
            <v>37264.413695563177</v>
          </cell>
          <cell r="W257">
            <v>39210.258054186605</v>
          </cell>
          <cell r="X257">
            <v>41413.615803083063</v>
          </cell>
          <cell r="Y257">
            <v>43888.336834956921</v>
          </cell>
          <cell r="Z257">
            <v>49736.807319184532</v>
          </cell>
          <cell r="AA257">
            <v>56142.539444000598</v>
          </cell>
          <cell r="AB257">
            <v>60827.935304007333</v>
          </cell>
          <cell r="AC257">
            <v>65095.991258090726</v>
          </cell>
          <cell r="AD257">
            <v>69834.495854563807</v>
          </cell>
          <cell r="AE257">
            <v>75291.428799324145</v>
          </cell>
        </row>
        <row r="258">
          <cell r="G258">
            <v>20850.043290863505</v>
          </cell>
          <cell r="H258">
            <v>22575.282569679115</v>
          </cell>
          <cell r="I258">
            <v>23396.538941304792</v>
          </cell>
          <cell r="J258">
            <v>24638.404044926261</v>
          </cell>
          <cell r="K258">
            <v>25869.338074156876</v>
          </cell>
          <cell r="L258">
            <v>26271.751596359642</v>
          </cell>
          <cell r="M258">
            <v>26192.849585423435</v>
          </cell>
          <cell r="N258">
            <v>27634.638617624529</v>
          </cell>
          <cell r="O258">
            <v>27799.575824423198</v>
          </cell>
          <cell r="P258">
            <v>29757.533620136724</v>
          </cell>
          <cell r="Q258">
            <v>31554.064351232275</v>
          </cell>
          <cell r="R258">
            <v>33034.603184256543</v>
          </cell>
          <cell r="S258">
            <v>35043.549316914716</v>
          </cell>
          <cell r="T258">
            <v>37460.729755981731</v>
          </cell>
          <cell r="U258">
            <v>41459.995302130206</v>
          </cell>
          <cell r="V258">
            <v>43724.979325981389</v>
          </cell>
          <cell r="W258">
            <v>46008.176508351571</v>
          </cell>
          <cell r="X258">
            <v>48593.532413997003</v>
          </cell>
          <cell r="Y258">
            <v>51497.298104241556</v>
          </cell>
          <cell r="Z258">
            <v>52757.518908787002</v>
          </cell>
          <cell r="AA258">
            <v>53903.877954527678</v>
          </cell>
          <cell r="AB258">
            <v>54125.33752447724</v>
          </cell>
          <cell r="AC258">
            <v>54033.163247066717</v>
          </cell>
          <cell r="AD258">
            <v>54801.231162971046</v>
          </cell>
          <cell r="AE258">
            <v>56126.369631058922</v>
          </cell>
        </row>
        <row r="259">
          <cell r="G259">
            <v>3084.9199261436966</v>
          </cell>
          <cell r="H259">
            <v>5192.3238248352354</v>
          </cell>
          <cell r="I259">
            <v>5441.9087153135188</v>
          </cell>
          <cell r="J259">
            <v>5708.9913981860245</v>
          </cell>
          <cell r="K259">
            <v>5939.2683798155113</v>
          </cell>
          <cell r="L259">
            <v>5907.767503560216</v>
          </cell>
          <cell r="M259">
            <v>5893.8371432833674</v>
          </cell>
          <cell r="N259">
            <v>6195.5678689534261</v>
          </cell>
          <cell r="O259">
            <v>6123.6377703355965</v>
          </cell>
          <cell r="P259">
            <v>6556.9250028957049</v>
          </cell>
          <cell r="Q259">
            <v>6960.5527448298462</v>
          </cell>
          <cell r="R259">
            <v>7163.8361106454095</v>
          </cell>
          <cell r="S259">
            <v>7643.6281214589717</v>
          </cell>
          <cell r="T259">
            <v>8227.1598087030998</v>
          </cell>
          <cell r="U259">
            <v>8657.9336583136501</v>
          </cell>
          <cell r="V259">
            <v>9040.8792984394131</v>
          </cell>
          <cell r="W259">
            <v>9412.5989064156402</v>
          </cell>
          <cell r="X259">
            <v>9908.961078993003</v>
          </cell>
          <cell r="Y259">
            <v>10279.707681731243</v>
          </cell>
          <cell r="Z259">
            <v>10839.759702525946</v>
          </cell>
          <cell r="AA259">
            <v>11663.103603960732</v>
          </cell>
          <cell r="AB259">
            <v>12117.020713681366</v>
          </cell>
          <cell r="AC259">
            <v>12408.832497687614</v>
          </cell>
          <cell r="AD259">
            <v>12917.727582640358</v>
          </cell>
          <cell r="AE259">
            <v>13578.615297081387</v>
          </cell>
        </row>
        <row r="260">
          <cell r="G260">
            <v>9871.7437636598297</v>
          </cell>
          <cell r="H260">
            <v>9590.1355545478818</v>
          </cell>
          <cell r="I260">
            <v>10051.114686975101</v>
          </cell>
          <cell r="J260">
            <v>10544.41195028686</v>
          </cell>
          <cell r="K260">
            <v>10969.729696910446</v>
          </cell>
          <cell r="L260">
            <v>10911.548103549427</v>
          </cell>
          <cell r="M260">
            <v>10885.818960320785</v>
          </cell>
          <cell r="N260">
            <v>11443.110581137555</v>
          </cell>
          <cell r="O260">
            <v>11310.256887980453</v>
          </cell>
          <cell r="P260">
            <v>12110.53118413112</v>
          </cell>
          <cell r="Q260">
            <v>12856.024895484399</v>
          </cell>
          <cell r="R260">
            <v>13231.48588365146</v>
          </cell>
          <cell r="S260">
            <v>14117.653730056369</v>
          </cell>
          <cell r="T260">
            <v>15195.427029610313</v>
          </cell>
          <cell r="U260">
            <v>15991.059149348286</v>
          </cell>
          <cell r="V260">
            <v>16698.353363407765</v>
          </cell>
          <cell r="W260">
            <v>17384.91328321179</v>
          </cell>
          <cell r="X260">
            <v>18301.685942189361</v>
          </cell>
          <cell r="Y260">
            <v>18986.448737537681</v>
          </cell>
          <cell r="Z260">
            <v>19186.457357777792</v>
          </cell>
          <cell r="AA260">
            <v>19421.389500806956</v>
          </cell>
          <cell r="AB260">
            <v>19309.143644282176</v>
          </cell>
          <cell r="AC260">
            <v>19047.886232108558</v>
          </cell>
          <cell r="AD260">
            <v>19147.291907871771</v>
          </cell>
          <cell r="AE260">
            <v>19450.207372063909</v>
          </cell>
        </row>
        <row r="261">
          <cell r="G261">
            <v>2467.9359409149574</v>
          </cell>
          <cell r="H261">
            <v>2397.5338886369705</v>
          </cell>
          <cell r="I261">
            <v>2512.7786717437752</v>
          </cell>
          <cell r="J261">
            <v>2636.1029875717149</v>
          </cell>
          <cell r="K261">
            <v>2742.4324242276116</v>
          </cell>
          <cell r="L261">
            <v>2727.8870258873567</v>
          </cell>
          <cell r="M261">
            <v>2721.4547400801962</v>
          </cell>
          <cell r="N261">
            <v>2860.7776452843887</v>
          </cell>
          <cell r="O261">
            <v>2827.5642219951133</v>
          </cell>
          <cell r="P261">
            <v>3027.6327960327799</v>
          </cell>
          <cell r="Q261">
            <v>3214.0062238710998</v>
          </cell>
          <cell r="R261">
            <v>3307.8714709128649</v>
          </cell>
          <cell r="S261">
            <v>3529.4134325140922</v>
          </cell>
          <cell r="T261">
            <v>3798.8567574025783</v>
          </cell>
          <cell r="U261">
            <v>3997.7647873370715</v>
          </cell>
          <cell r="V261">
            <v>4174.5883408519412</v>
          </cell>
          <cell r="W261">
            <v>4346.2283208029476</v>
          </cell>
          <cell r="X261">
            <v>4575.4214855473401</v>
          </cell>
          <cell r="Y261">
            <v>4746.6121843844203</v>
          </cell>
          <cell r="Z261">
            <v>5696.4113678519134</v>
          </cell>
          <cell r="AA261">
            <v>7141.6915145381108</v>
          </cell>
          <cell r="AB261">
            <v>8138.7616941484803</v>
          </cell>
          <cell r="AC261">
            <v>8936.3970229625047</v>
          </cell>
          <cell r="AD261">
            <v>9867.6418435425585</v>
          </cell>
          <cell r="AE261">
            <v>10933.03441460919</v>
          </cell>
        </row>
        <row r="262">
          <cell r="G262">
            <v>5141.5332102394941</v>
          </cell>
          <cell r="H262">
            <v>4628.9611906538521</v>
          </cell>
          <cell r="I262">
            <v>4851.4663368605652</v>
          </cell>
          <cell r="J262">
            <v>5089.5707801541757</v>
          </cell>
          <cell r="K262">
            <v>5294.8629088856933</v>
          </cell>
          <cell r="L262">
            <v>5266.7798503984886</v>
          </cell>
          <cell r="M262">
            <v>5254.3609221365559</v>
          </cell>
          <cell r="N262">
            <v>5523.3541256178196</v>
          </cell>
          <cell r="O262">
            <v>5459.2283803495338</v>
          </cell>
          <cell r="P262">
            <v>5845.504323759169</v>
          </cell>
          <cell r="Q262">
            <v>6205.3388055662963</v>
          </cell>
          <cell r="R262">
            <v>6386.5661024010788</v>
          </cell>
          <cell r="S262">
            <v>6814.3010959349658</v>
          </cell>
          <cell r="T262">
            <v>7334.5201009303946</v>
          </cell>
          <cell r="U262">
            <v>7718.5553612618451</v>
          </cell>
          <cell r="V262">
            <v>8059.9517313791303</v>
          </cell>
          <cell r="W262">
            <v>8391.3400841041475</v>
          </cell>
          <cell r="X262">
            <v>8833.8473912138234</v>
          </cell>
          <cell r="Y262">
            <v>9164.3683089257556</v>
          </cell>
          <cell r="Z262">
            <v>9427.4013538185536</v>
          </cell>
          <cell r="AA262">
            <v>9797.3565548521656</v>
          </cell>
          <cell r="AB262">
            <v>9932.861944815053</v>
          </cell>
          <cell r="AC262">
            <v>9966.4333527343661</v>
          </cell>
          <cell r="AD262">
            <v>10182.127978430055</v>
          </cell>
          <cell r="AE262">
            <v>10511.460426461397</v>
          </cell>
        </row>
        <row r="263">
          <cell r="G263">
            <v>38695.862157504649</v>
          </cell>
          <cell r="H263">
            <v>39188.4671848789</v>
          </cell>
          <cell r="I263">
            <v>39741.214823901777</v>
          </cell>
          <cell r="J263">
            <v>40107.89074653374</v>
          </cell>
          <cell r="K263">
            <v>41756.080499778414</v>
          </cell>
          <cell r="L263">
            <v>42655.293736363157</v>
          </cell>
          <cell r="M263">
            <v>41788.422279535007</v>
          </cell>
          <cell r="N263">
            <v>42758.588014985733</v>
          </cell>
          <cell r="O263">
            <v>42675.647914828987</v>
          </cell>
          <cell r="P263">
            <v>44698.188170030255</v>
          </cell>
          <cell r="Q263">
            <v>46622.423951739962</v>
          </cell>
          <cell r="R263">
            <v>47476.187309589091</v>
          </cell>
          <cell r="S263">
            <v>47987.913010357173</v>
          </cell>
          <cell r="T263">
            <v>48926.548887985504</v>
          </cell>
          <cell r="U263">
            <v>49631.181693389517</v>
          </cell>
          <cell r="V263">
            <v>51502.693953272537</v>
          </cell>
          <cell r="W263">
            <v>53982.101264314697</v>
          </cell>
          <cell r="X263">
            <v>56987.497434832425</v>
          </cell>
          <cell r="Y263">
            <v>57959.733733594301</v>
          </cell>
          <cell r="Z263">
            <v>59424.072963241932</v>
          </cell>
          <cell r="AA263">
            <v>62248.204735016327</v>
          </cell>
          <cell r="AB263">
            <v>63461.255420553018</v>
          </cell>
          <cell r="AC263">
            <v>63503.996144116907</v>
          </cell>
          <cell r="AD263">
            <v>64899.250469511047</v>
          </cell>
          <cell r="AE263">
            <v>67021.594229596027</v>
          </cell>
        </row>
        <row r="264">
          <cell r="G264">
            <v>15817.337232070206</v>
          </cell>
          <cell r="H264">
            <v>16018.694674591499</v>
          </cell>
          <cell r="I264">
            <v>16244.636036876404</v>
          </cell>
          <cell r="J264">
            <v>16394.518644467444</v>
          </cell>
          <cell r="K264">
            <v>17068.233395760493</v>
          </cell>
          <cell r="L264">
            <v>17435.796184482177</v>
          </cell>
          <cell r="M264">
            <v>17081.453435541836</v>
          </cell>
          <cell r="N264">
            <v>17478.018798168017</v>
          </cell>
          <cell r="O264">
            <v>17444.116167212251</v>
          </cell>
          <cell r="P264">
            <v>18270.850590436661</v>
          </cell>
          <cell r="Q264">
            <v>19057.402034863284</v>
          </cell>
          <cell r="R264">
            <v>19406.386711636154</v>
          </cell>
          <cell r="S264">
            <v>19615.559928824609</v>
          </cell>
          <cell r="T264">
            <v>19999.237133227925</v>
          </cell>
          <cell r="U264">
            <v>20287.263141344494</v>
          </cell>
          <cell r="V264">
            <v>21052.263296348981</v>
          </cell>
          <cell r="W264">
            <v>22167.22763662495</v>
          </cell>
          <cell r="X264">
            <v>23362.862099979786</v>
          </cell>
          <cell r="Y264">
            <v>23744.685317019321</v>
          </cell>
          <cell r="Z264">
            <v>23996.322284808713</v>
          </cell>
          <cell r="AA264">
            <v>23948.878801276289</v>
          </cell>
          <cell r="AB264">
            <v>23807.88839224822</v>
          </cell>
          <cell r="AC264">
            <v>23579.111074955865</v>
          </cell>
          <cell r="AD264">
            <v>23808.133708016674</v>
          </cell>
          <cell r="AE264">
            <v>24242.268569309461</v>
          </cell>
        </row>
        <row r="265">
          <cell r="G265">
            <v>5322.184838687871</v>
          </cell>
          <cell r="H265">
            <v>5545.0304646425429</v>
          </cell>
          <cell r="I265">
            <v>5646.0717363855647</v>
          </cell>
          <cell r="J265">
            <v>5772.714861515663</v>
          </cell>
          <cell r="K265">
            <v>5942.4333319450498</v>
          </cell>
          <cell r="L265">
            <v>6101.6843781988837</v>
          </cell>
          <cell r="M265">
            <v>5984.6208573422091</v>
          </cell>
          <cell r="N265">
            <v>6060.5218777927839</v>
          </cell>
          <cell r="O265">
            <v>5984.088884824102</v>
          </cell>
          <cell r="P265">
            <v>6250.5787353942815</v>
          </cell>
          <cell r="Q265">
            <v>6572.719636686692</v>
          </cell>
          <cell r="R265">
            <v>6621.4012106557939</v>
          </cell>
          <cell r="S265">
            <v>7007.3620811741166</v>
          </cell>
          <cell r="T265">
            <v>7493.6319939120322</v>
          </cell>
          <cell r="U265">
            <v>7852.5601573598751</v>
          </cell>
          <cell r="V265">
            <v>8244.2529789954897</v>
          </cell>
          <cell r="W265">
            <v>8590.1003647840844</v>
          </cell>
          <cell r="X265">
            <v>8791.169223543573</v>
          </cell>
          <cell r="Y265">
            <v>9001.664162895453</v>
          </cell>
          <cell r="Z265">
            <v>9312.348144124393</v>
          </cell>
          <cell r="AA265">
            <v>9600.2460714418157</v>
          </cell>
          <cell r="AB265">
            <v>9649.7064927956617</v>
          </cell>
          <cell r="AC265">
            <v>9594.2324440334487</v>
          </cell>
          <cell r="AD265">
            <v>9674.6836717986062</v>
          </cell>
          <cell r="AE265">
            <v>9849.4812135498341</v>
          </cell>
        </row>
        <row r="266">
          <cell r="G266">
            <v>40188.47897715179</v>
          </cell>
          <cell r="H266">
            <v>37894.786608260598</v>
          </cell>
          <cell r="I266">
            <v>39692.417744606828</v>
          </cell>
          <cell r="J266">
            <v>41616.076447625463</v>
          </cell>
          <cell r="K266">
            <v>43274.642682815946</v>
          </cell>
          <cell r="L266">
            <v>43037.119273569937</v>
          </cell>
          <cell r="M266">
            <v>42915.311055033781</v>
          </cell>
          <cell r="N266">
            <v>45084.536114695635</v>
          </cell>
          <cell r="O266">
            <v>44539.564838901228</v>
          </cell>
          <cell r="P266">
            <v>47662.286009123229</v>
          </cell>
          <cell r="Q266">
            <v>50573.227173981133</v>
          </cell>
          <cell r="R266">
            <v>52028.353540521784</v>
          </cell>
          <cell r="S266">
            <v>55480.383681701147</v>
          </cell>
          <cell r="T266">
            <v>59679.121785217372</v>
          </cell>
          <cell r="U266">
            <v>62780.458365300248</v>
          </cell>
          <cell r="V266">
            <v>65538.345071305797</v>
          </cell>
          <cell r="W266">
            <v>66650.46253738238</v>
          </cell>
          <cell r="X266">
            <v>67942.572302651621</v>
          </cell>
          <cell r="Y266">
            <v>68392.695694490918</v>
          </cell>
          <cell r="Z266">
            <v>68988.233738220995</v>
          </cell>
          <cell r="AA266">
            <v>69484.825010124769</v>
          </cell>
          <cell r="AB266">
            <v>68888.699697287899</v>
          </cell>
          <cell r="AC266">
            <v>67780.569700880937</v>
          </cell>
          <cell r="AD266">
            <v>67936.197356717166</v>
          </cell>
          <cell r="AE266">
            <v>68764.752407722292</v>
          </cell>
        </row>
        <row r="267">
          <cell r="G267">
            <v>1188.7545350603505</v>
          </cell>
          <cell r="H267">
            <v>1814.3315151782574</v>
          </cell>
          <cell r="I267">
            <v>1900.3987322087844</v>
          </cell>
          <cell r="J267">
            <v>1992.499913445489</v>
          </cell>
          <cell r="K267">
            <v>2071.9089630760959</v>
          </cell>
          <cell r="L267">
            <v>2060.5367864375899</v>
          </cell>
          <cell r="M267">
            <v>2054.7048367295088</v>
          </cell>
          <cell r="N267">
            <v>2158.5632758848569</v>
          </cell>
          <cell r="O267">
            <v>2132.4710703590135</v>
          </cell>
          <cell r="P267">
            <v>2281.9811201401903</v>
          </cell>
          <cell r="Q267">
            <v>2421.3515393175903</v>
          </cell>
          <cell r="R267">
            <v>2491.0202684932815</v>
          </cell>
          <cell r="S267">
            <v>2656.2970159581087</v>
          </cell>
          <cell r="T267">
            <v>2857.3247442295396</v>
          </cell>
          <cell r="U267">
            <v>3005.8109398265065</v>
          </cell>
          <cell r="V267">
            <v>3137.8533977435613</v>
          </cell>
          <cell r="W267">
            <v>3191.0995022312723</v>
          </cell>
          <cell r="X267">
            <v>3252.9633013979505</v>
          </cell>
          <cell r="Y267">
            <v>3274.5143676165139</v>
          </cell>
          <cell r="Z267">
            <v>3365.3187326417874</v>
          </cell>
          <cell r="AA267">
            <v>3474.0116701583424</v>
          </cell>
          <cell r="AB267">
            <v>3512.953897458478</v>
          </cell>
          <cell r="AC267">
            <v>3516.3128897770621</v>
          </cell>
          <cell r="AD267">
            <v>3581.1158402421911</v>
          </cell>
          <cell r="AE267">
            <v>3680.4791879235472</v>
          </cell>
        </row>
        <row r="268">
          <cell r="G268">
            <v>3849.7950827751201</v>
          </cell>
          <cell r="H268">
            <v>3906.2891171259025</v>
          </cell>
          <cell r="I268">
            <v>3961.8719573742533</v>
          </cell>
          <cell r="J268">
            <v>4034.5396870432041</v>
          </cell>
          <cell r="K268">
            <v>4138.6436132460585</v>
          </cell>
          <cell r="L268">
            <v>4100.6830786251285</v>
          </cell>
          <cell r="M268">
            <v>4035.3829999262734</v>
          </cell>
          <cell r="N268">
            <v>4110.6521986094058</v>
          </cell>
          <cell r="O268">
            <v>4006.1320247028834</v>
          </cell>
          <cell r="P268">
            <v>4254.9883579236111</v>
          </cell>
          <cell r="Q268">
            <v>4437.9947273019006</v>
          </cell>
          <cell r="R268">
            <v>4680.7221218276991</v>
          </cell>
          <cell r="S268">
            <v>4828.4799985370428</v>
          </cell>
          <cell r="T268">
            <v>5017.4618558662078</v>
          </cell>
          <cell r="U268">
            <v>5345.4511655331662</v>
          </cell>
          <cell r="V268">
            <v>5516.9923667331486</v>
          </cell>
          <cell r="W268">
            <v>5867.6518045882958</v>
          </cell>
          <cell r="X268">
            <v>6329.7630600932562</v>
          </cell>
          <cell r="Y268">
            <v>6722.9459400846354</v>
          </cell>
          <cell r="Z268">
            <v>6861.7784227451157</v>
          </cell>
          <cell r="AA268">
            <v>6955.8284829545846</v>
          </cell>
          <cell r="AB268">
            <v>6957.0865987713378</v>
          </cell>
          <cell r="AC268">
            <v>6912.3452832716694</v>
          </cell>
          <cell r="AD268">
            <v>6996.4987096325658</v>
          </cell>
          <cell r="AE268">
            <v>7149.722042615902</v>
          </cell>
        </row>
        <row r="269">
          <cell r="G269">
            <v>534.44742790618818</v>
          </cell>
          <cell r="H269">
            <v>549.59350482299533</v>
          </cell>
          <cell r="I269">
            <v>558.80354351382152</v>
          </cell>
          <cell r="J269">
            <v>563.62274980553275</v>
          </cell>
          <cell r="K269">
            <v>587.5147936961863</v>
          </cell>
          <cell r="L269">
            <v>579.97784016970309</v>
          </cell>
          <cell r="M269">
            <v>560.90805620046797</v>
          </cell>
          <cell r="N269">
            <v>573.68000690966471</v>
          </cell>
          <cell r="O269">
            <v>553.53475886949707</v>
          </cell>
          <cell r="P269">
            <v>576.68826299924194</v>
          </cell>
          <cell r="Q269">
            <v>617.12387357911405</v>
          </cell>
          <cell r="R269">
            <v>611.47974591985735</v>
          </cell>
          <cell r="S269">
            <v>612.49116303855203</v>
          </cell>
          <cell r="T269">
            <v>617.39099685506926</v>
          </cell>
          <cell r="U269">
            <v>625.42155541820807</v>
          </cell>
          <cell r="V269">
            <v>634.89317973156528</v>
          </cell>
          <cell r="W269">
            <v>649.66639439859387</v>
          </cell>
          <cell r="X269">
            <v>664.18689457805033</v>
          </cell>
          <cell r="Y269">
            <v>675.222447049018</v>
          </cell>
          <cell r="Z269">
            <v>689.29368563316996</v>
          </cell>
          <cell r="AA269">
            <v>708.88049415932687</v>
          </cell>
          <cell r="AB269">
            <v>715.26417571277989</v>
          </cell>
          <cell r="AC269">
            <v>712.08311568624777</v>
          </cell>
          <cell r="AD269">
            <v>720.56979461845128</v>
          </cell>
          <cell r="AE269">
            <v>738.00039313122193</v>
          </cell>
        </row>
        <row r="270">
          <cell r="G270">
            <v>3115.2089672205038</v>
          </cell>
          <cell r="H270">
            <v>3197.5651166446492</v>
          </cell>
          <cell r="I270">
            <v>3229.0497286223444</v>
          </cell>
          <cell r="J270">
            <v>3272.3257565644481</v>
          </cell>
          <cell r="K270">
            <v>3286.9654885929872</v>
          </cell>
          <cell r="L270">
            <v>3293.264126133221</v>
          </cell>
          <cell r="M270">
            <v>3300.0809674539782</v>
          </cell>
          <cell r="N270">
            <v>3451.930911696365</v>
          </cell>
          <cell r="O270">
            <v>3297.3681869148945</v>
          </cell>
          <cell r="P270">
            <v>3489.5232829070401</v>
          </cell>
          <cell r="Q270">
            <v>3673.2929341504673</v>
          </cell>
          <cell r="R270">
            <v>3717.6174958107317</v>
          </cell>
          <cell r="S270">
            <v>3800.0880835238581</v>
          </cell>
          <cell r="T270">
            <v>3887.0650904153217</v>
          </cell>
          <cell r="U270">
            <v>4056.124578585614</v>
          </cell>
          <cell r="V270">
            <v>4194.5406633190933</v>
          </cell>
          <cell r="W270">
            <v>4344.0884180067906</v>
          </cell>
          <cell r="X270">
            <v>4474.3387921523226</v>
          </cell>
          <cell r="Y270">
            <v>4678.5785905776456</v>
          </cell>
          <cell r="Z270">
            <v>5141.8087527319158</v>
          </cell>
          <cell r="AA270">
            <v>5563.8893544924167</v>
          </cell>
          <cell r="AB270">
            <v>5764.1241758474371</v>
          </cell>
          <cell r="AC270">
            <v>5987.6855187118917</v>
          </cell>
          <cell r="AD270">
            <v>6250.8438285058528</v>
          </cell>
          <cell r="AE270">
            <v>6624.8401927575715</v>
          </cell>
        </row>
        <row r="271">
          <cell r="G271">
            <v>11420.491920913755</v>
          </cell>
          <cell r="H271">
            <v>11592.720625003223</v>
          </cell>
          <cell r="I271">
            <v>11658.563357544677</v>
          </cell>
          <cell r="J271">
            <v>11749.065090113814</v>
          </cell>
          <cell r="K271">
            <v>11779.680679758576</v>
          </cell>
          <cell r="L271">
            <v>11687.872839212228</v>
          </cell>
          <cell r="M271">
            <v>11490.221763086443</v>
          </cell>
          <cell r="N271">
            <v>11768.452142521628</v>
          </cell>
          <cell r="O271">
            <v>11179.822225067792</v>
          </cell>
          <cell r="P271">
            <v>11601.176974790342</v>
          </cell>
          <cell r="Q271">
            <v>12023.171597635273</v>
          </cell>
          <cell r="R271">
            <v>12026.872322236679</v>
          </cell>
          <cell r="S271">
            <v>12163.184919060364</v>
          </cell>
          <cell r="T271">
            <v>12304.230792458153</v>
          </cell>
          <cell r="U271">
            <v>12644.901097631564</v>
          </cell>
          <cell r="V271">
            <v>12931.671530017473</v>
          </cell>
          <cell r="W271">
            <v>13317.881753484435</v>
          </cell>
          <cell r="X271">
            <v>13653.779577349764</v>
          </cell>
          <cell r="Y271">
            <v>14138.492855194008</v>
          </cell>
          <cell r="Z271">
            <v>14622.668209005438</v>
          </cell>
          <cell r="AA271">
            <v>15006.014751748147</v>
          </cell>
          <cell r="AB271">
            <v>15029.928175957646</v>
          </cell>
          <cell r="AC271">
            <v>15034.086030244467</v>
          </cell>
          <cell r="AD271">
            <v>15245.007781740544</v>
          </cell>
          <cell r="AE271">
            <v>15663.703138796815</v>
          </cell>
        </row>
        <row r="272">
          <cell r="G272">
            <v>3691.5192148666688</v>
          </cell>
          <cell r="H272">
            <v>3753.6667501636275</v>
          </cell>
          <cell r="I272">
            <v>3908.1283727573941</v>
          </cell>
          <cell r="J272">
            <v>3990.3782404125386</v>
          </cell>
          <cell r="K272">
            <v>4054.2488327687715</v>
          </cell>
          <cell r="L272">
            <v>4020.6948301558132</v>
          </cell>
          <cell r="M272">
            <v>3920.8513231352058</v>
          </cell>
          <cell r="N272">
            <v>4041.18327816493</v>
          </cell>
          <cell r="O272">
            <v>3904.2872844354733</v>
          </cell>
          <cell r="P272">
            <v>3990.4226943218055</v>
          </cell>
          <cell r="Q272">
            <v>4159.7894375329506</v>
          </cell>
          <cell r="R272">
            <v>4196.5362378426089</v>
          </cell>
          <cell r="S272">
            <v>4339.6995561507783</v>
          </cell>
          <cell r="T272">
            <v>4479.5142833859791</v>
          </cell>
          <cell r="U272">
            <v>4693.9937824858698</v>
          </cell>
          <cell r="V272">
            <v>4845.6041433523815</v>
          </cell>
          <cell r="W272">
            <v>4995.1928652936713</v>
          </cell>
          <cell r="X272">
            <v>5242.7236629585241</v>
          </cell>
          <cell r="Y272">
            <v>5545.2672924388035</v>
          </cell>
          <cell r="Z272">
            <v>5673.8896302172889</v>
          </cell>
          <cell r="AA272">
            <v>5924.0874725941449</v>
          </cell>
          <cell r="AB272">
            <v>5934.4464396809926</v>
          </cell>
          <cell r="AC272">
            <v>5912.4372921907834</v>
          </cell>
          <cell r="AD272">
            <v>6006.6769874874071</v>
          </cell>
          <cell r="AE272">
            <v>6164.8604393322439</v>
          </cell>
        </row>
        <row r="273">
          <cell r="G273">
            <v>17497.207948601801</v>
          </cell>
          <cell r="H273">
            <v>17791.777280438058</v>
          </cell>
          <cell r="I273">
            <v>18901.054967077107</v>
          </cell>
          <cell r="J273">
            <v>19491.738538742164</v>
          </cell>
          <cell r="K273">
            <v>19950.42997123814</v>
          </cell>
          <cell r="L273">
            <v>19905.594194185171</v>
          </cell>
          <cell r="M273">
            <v>19584.467713881531</v>
          </cell>
          <cell r="N273">
            <v>20522.118178496305</v>
          </cell>
          <cell r="O273">
            <v>20034.834221414225</v>
          </cell>
          <cell r="P273">
            <v>20616.976813630718</v>
          </cell>
          <cell r="Q273">
            <v>21762.89295682016</v>
          </cell>
          <cell r="R273">
            <v>22193.060520158731</v>
          </cell>
          <cell r="S273">
            <v>23288.74802317745</v>
          </cell>
          <cell r="T273">
            <v>24369.151315222582</v>
          </cell>
          <cell r="U273">
            <v>25933.512365323673</v>
          </cell>
          <cell r="V273">
            <v>27027.347784204048</v>
          </cell>
          <cell r="W273">
            <v>28045.729928476008</v>
          </cell>
          <cell r="X273">
            <v>28851.325810615399</v>
          </cell>
          <cell r="Y273">
            <v>28873.897229677121</v>
          </cell>
          <cell r="Z273">
            <v>29028.51577124407</v>
          </cell>
          <cell r="AA273">
            <v>28959.754956209981</v>
          </cell>
          <cell r="AB273">
            <v>28706.819769662256</v>
          </cell>
          <cell r="AC273">
            <v>28180.95717693547</v>
          </cell>
          <cell r="AD273">
            <v>28203.027422428651</v>
          </cell>
          <cell r="AE273">
            <v>28506.77394470897</v>
          </cell>
        </row>
        <row r="276">
          <cell r="G276">
            <v>53708.756626847957</v>
          </cell>
          <cell r="H276">
            <v>50349.464058565485</v>
          </cell>
          <cell r="I276">
            <v>50585.765733522334</v>
          </cell>
          <cell r="J276">
            <v>50756.917170227302</v>
          </cell>
          <cell r="K276">
            <v>50890.56319950617</v>
          </cell>
          <cell r="L276">
            <v>50409.683971895211</v>
          </cell>
          <cell r="M276">
            <v>49748.857660934671</v>
          </cell>
          <cell r="N276">
            <v>51074.418525560905</v>
          </cell>
          <cell r="O276">
            <v>50637.294229816769</v>
          </cell>
          <cell r="P276">
            <v>51882.363343747689</v>
          </cell>
          <cell r="Q276">
            <v>53040.286432316985</v>
          </cell>
          <cell r="R276">
            <v>53738.485192411041</v>
          </cell>
          <cell r="S276">
            <v>55949.769545049654</v>
          </cell>
          <cell r="T276">
            <v>57329.270888827872</v>
          </cell>
          <cell r="U276">
            <v>59883.340093594605</v>
          </cell>
          <cell r="V276">
            <v>62238.988957004687</v>
          </cell>
          <cell r="W276">
            <v>64365.633187934131</v>
          </cell>
          <cell r="X276">
            <v>65570.953790492698</v>
          </cell>
          <cell r="Y276">
            <v>67305.727422033131</v>
          </cell>
          <cell r="Z276">
            <v>68196.039917622096</v>
          </cell>
          <cell r="AA276">
            <v>68883.240349581378</v>
          </cell>
          <cell r="AB276">
            <v>68252.643635550878</v>
          </cell>
          <cell r="AC276">
            <v>68712.851087571893</v>
          </cell>
          <cell r="AD276">
            <v>69589.365365579099</v>
          </cell>
          <cell r="AE276">
            <v>71181.30416701932</v>
          </cell>
        </row>
        <row r="277">
          <cell r="G277">
            <v>18897.525479816875</v>
          </cell>
          <cell r="H277">
            <v>22684.496812891877</v>
          </cell>
          <cell r="I277">
            <v>22790.96040079034</v>
          </cell>
          <cell r="J277">
            <v>22868.071136585651</v>
          </cell>
          <cell r="K277">
            <v>22928.284149413474</v>
          </cell>
          <cell r="L277">
            <v>22711.628351579398</v>
          </cell>
          <cell r="M277">
            <v>22413.899018702621</v>
          </cell>
          <cell r="N277">
            <v>23011.11850794945</v>
          </cell>
          <cell r="O277">
            <v>22814.176099940669</v>
          </cell>
          <cell r="P277">
            <v>23375.130757053677</v>
          </cell>
          <cell r="Q277">
            <v>23896.822558612297</v>
          </cell>
          <cell r="R277">
            <v>24211.389711297299</v>
          </cell>
          <cell r="S277">
            <v>25207.663927671896</v>
          </cell>
          <cell r="T277">
            <v>25829.18581318625</v>
          </cell>
          <cell r="U277">
            <v>26979.898652314874</v>
          </cell>
          <cell r="V277">
            <v>28041.214996658913</v>
          </cell>
          <cell r="W277">
            <v>28999.35536976318</v>
          </cell>
          <cell r="X277">
            <v>29542.401693661457</v>
          </cell>
          <cell r="Y277">
            <v>30323.988303401613</v>
          </cell>
          <cell r="Z277">
            <v>31006.105312805237</v>
          </cell>
          <cell r="AA277">
            <v>31737.357087980727</v>
          </cell>
          <cell r="AB277">
            <v>31853.529467166318</v>
          </cell>
          <cell r="AC277">
            <v>32575.680823859493</v>
          </cell>
          <cell r="AD277">
            <v>33518.523530953906</v>
          </cell>
          <cell r="AE277">
            <v>34882.341931854091</v>
          </cell>
        </row>
        <row r="278">
          <cell r="G278">
            <v>26854.378313423978</v>
          </cell>
          <cell r="H278">
            <v>26617.32886145165</v>
          </cell>
          <cell r="I278">
            <v>26742.250139372747</v>
          </cell>
          <cell r="J278">
            <v>26832.72963426046</v>
          </cell>
          <cell r="K278">
            <v>26903.381832428946</v>
          </cell>
          <cell r="L278">
            <v>26649.16421992223</v>
          </cell>
          <cell r="M278">
            <v>26299.817279134986</v>
          </cell>
          <cell r="N278">
            <v>27000.577259789123</v>
          </cell>
          <cell r="O278">
            <v>26769.490765608803</v>
          </cell>
          <cell r="P278">
            <v>27427.698646872188</v>
          </cell>
          <cell r="Q278">
            <v>28039.836635250114</v>
          </cell>
          <cell r="R278">
            <v>28408.940584131567</v>
          </cell>
          <cell r="S278">
            <v>29577.939776494393</v>
          </cell>
          <cell r="T278">
            <v>30307.215482179141</v>
          </cell>
          <cell r="U278">
            <v>31657.428463177443</v>
          </cell>
          <cell r="V278">
            <v>32902.746196978107</v>
          </cell>
          <cell r="W278">
            <v>34027.00024663622</v>
          </cell>
          <cell r="X278">
            <v>34664.19501050633</v>
          </cell>
          <cell r="Y278">
            <v>35581.286008678158</v>
          </cell>
          <cell r="Z278">
            <v>36083.497426165137</v>
          </cell>
          <cell r="AA278">
            <v>36494.12300096816</v>
          </cell>
          <cell r="AB278">
            <v>36205.695140698299</v>
          </cell>
          <cell r="AC278">
            <v>36506.780251500866</v>
          </cell>
          <cell r="AD278">
            <v>37031.665828922414</v>
          </cell>
          <cell r="AE278">
            <v>37945.836580810574</v>
          </cell>
        </row>
        <row r="279">
          <cell r="G279">
            <v>2899.3137186553386</v>
          </cell>
          <cell r="H279">
            <v>4653.2063275829678</v>
          </cell>
          <cell r="I279">
            <v>4722.1827958588665</v>
          </cell>
          <cell r="J279">
            <v>4803.0505198635774</v>
          </cell>
          <cell r="K279">
            <v>4864.1054718609148</v>
          </cell>
          <cell r="L279">
            <v>4847.1465088239911</v>
          </cell>
          <cell r="M279">
            <v>4921.2901977497777</v>
          </cell>
          <cell r="N279">
            <v>5132.826898850004</v>
          </cell>
          <cell r="O279">
            <v>5165.3941277993135</v>
          </cell>
          <cell r="P279">
            <v>5307.180926289423</v>
          </cell>
          <cell r="Q279">
            <v>5413.9324826064094</v>
          </cell>
          <cell r="R279">
            <v>5527.7892431994651</v>
          </cell>
          <cell r="S279">
            <v>5793.8879649185292</v>
          </cell>
          <cell r="T279">
            <v>6012.6273752844645</v>
          </cell>
          <cell r="U279">
            <v>6396.3583829453282</v>
          </cell>
          <cell r="V279">
            <v>6644.3243452930392</v>
          </cell>
          <cell r="W279">
            <v>6897.2765527024421</v>
          </cell>
          <cell r="X279">
            <v>7099.8649378566442</v>
          </cell>
          <cell r="Y279">
            <v>7280.7841604239902</v>
          </cell>
          <cell r="Z279">
            <v>7440.8024860006608</v>
          </cell>
          <cell r="AA279">
            <v>7753.3183815559305</v>
          </cell>
          <cell r="AB279">
            <v>7831.6449985303652</v>
          </cell>
          <cell r="AC279">
            <v>8006.5157584517292</v>
          </cell>
          <cell r="AD279">
            <v>8228.1687845852503</v>
          </cell>
          <cell r="AE279">
            <v>8541.3880336494094</v>
          </cell>
        </row>
        <row r="280">
          <cell r="G280">
            <v>9277.8038996970827</v>
          </cell>
          <cell r="H280">
            <v>8594.3945235766678</v>
          </cell>
          <cell r="I280">
            <v>8721.7929107257623</v>
          </cell>
          <cell r="J280">
            <v>8871.1542489927488</v>
          </cell>
          <cell r="K280">
            <v>8983.9217276176933</v>
          </cell>
          <cell r="L280">
            <v>8952.5988055744328</v>
          </cell>
          <cell r="M280">
            <v>9089.5409631323892</v>
          </cell>
          <cell r="N280">
            <v>9480.2457239968408</v>
          </cell>
          <cell r="O280">
            <v>9540.3968530088641</v>
          </cell>
          <cell r="P280">
            <v>9802.2747064011619</v>
          </cell>
          <cell r="Q280">
            <v>9999.4430514959204</v>
          </cell>
          <cell r="R280">
            <v>10209.734590453189</v>
          </cell>
          <cell r="S280">
            <v>10701.214493916017</v>
          </cell>
          <cell r="T280">
            <v>11105.222538733551</v>
          </cell>
          <cell r="U280">
            <v>11813.967313539215</v>
          </cell>
          <cell r="V280">
            <v>12271.956312694891</v>
          </cell>
          <cell r="W280">
            <v>12739.154823364681</v>
          </cell>
          <cell r="X280">
            <v>13113.332193834716</v>
          </cell>
          <cell r="Y280">
            <v>13447.486982206243</v>
          </cell>
          <cell r="Z280">
            <v>13640.857864027112</v>
          </cell>
          <cell r="AA280">
            <v>13872.69083053642</v>
          </cell>
          <cell r="AB280">
            <v>13796.657277388424</v>
          </cell>
          <cell r="AC280">
            <v>13921.166336675924</v>
          </cell>
          <cell r="AD280">
            <v>14127.797044953708</v>
          </cell>
          <cell r="AE280">
            <v>14478.709794728822</v>
          </cell>
        </row>
        <row r="281">
          <cell r="G281">
            <v>2319.4509749242707</v>
          </cell>
          <cell r="H281">
            <v>2148.5986308941669</v>
          </cell>
          <cell r="I281">
            <v>2180.4482276814406</v>
          </cell>
          <cell r="J281">
            <v>2217.7885622481872</v>
          </cell>
          <cell r="K281">
            <v>2245.9804319044233</v>
          </cell>
          <cell r="L281">
            <v>2238.1497013936082</v>
          </cell>
          <cell r="M281">
            <v>2272.3852407830973</v>
          </cell>
          <cell r="N281">
            <v>2370.0614309992102</v>
          </cell>
          <cell r="O281">
            <v>2385.099213252216</v>
          </cell>
          <cell r="P281">
            <v>2450.5686766002905</v>
          </cell>
          <cell r="Q281">
            <v>2499.8607628739801</v>
          </cell>
          <cell r="R281">
            <v>2552.4336476132971</v>
          </cell>
          <cell r="S281">
            <v>2675.3036234790043</v>
          </cell>
          <cell r="T281">
            <v>2776.3056346833878</v>
          </cell>
          <cell r="U281">
            <v>2953.4918283848037</v>
          </cell>
          <cell r="V281">
            <v>3067.9890781737226</v>
          </cell>
          <cell r="W281">
            <v>3184.7887058411702</v>
          </cell>
          <cell r="X281">
            <v>3278.3330484586791</v>
          </cell>
          <cell r="Y281">
            <v>3361.8717455515607</v>
          </cell>
          <cell r="Z281">
            <v>3632.5223696265007</v>
          </cell>
          <cell r="AA281">
            <v>4441.9015054216325</v>
          </cell>
          <cell r="AB281">
            <v>4903.0609251577835</v>
          </cell>
          <cell r="AC281">
            <v>5365.9975567944002</v>
          </cell>
          <cell r="AD281">
            <v>5858.7859645388498</v>
          </cell>
          <cell r="AE281">
            <v>6441.6862271514865</v>
          </cell>
        </row>
        <row r="282">
          <cell r="G282">
            <v>4832.1895310922318</v>
          </cell>
          <cell r="H282">
            <v>4148.337474535304</v>
          </cell>
          <cell r="I282">
            <v>4209.8300557934908</v>
          </cell>
          <cell r="J282">
            <v>4281.9237018415006</v>
          </cell>
          <cell r="K282">
            <v>4336.3542444708164</v>
          </cell>
          <cell r="L282">
            <v>4321.2353142230195</v>
          </cell>
          <cell r="M282">
            <v>4387.3344771696347</v>
          </cell>
          <cell r="N282">
            <v>4575.9196295648571</v>
          </cell>
          <cell r="O282">
            <v>4604.9533424031115</v>
          </cell>
          <cell r="P282">
            <v>4731.3563961607624</v>
          </cell>
          <cell r="Q282">
            <v>4826.5255011518029</v>
          </cell>
          <cell r="R282">
            <v>4928.0289019138954</v>
          </cell>
          <cell r="S282">
            <v>5165.2561429862953</v>
          </cell>
          <cell r="T282">
            <v>5360.2625169353532</v>
          </cell>
          <cell r="U282">
            <v>5702.3590428909547</v>
          </cell>
          <cell r="V282">
            <v>5923.4209132659416</v>
          </cell>
          <cell r="W282">
            <v>6148.928025435609</v>
          </cell>
          <cell r="X282">
            <v>6329.5357464083654</v>
          </cell>
          <cell r="Y282">
            <v>6490.8253901516618</v>
          </cell>
          <cell r="Z282">
            <v>6641.7124607483611</v>
          </cell>
          <cell r="AA282">
            <v>6948.1408095370089</v>
          </cell>
          <cell r="AB282">
            <v>7035.7465017183213</v>
          </cell>
          <cell r="AC282">
            <v>7207.6309870677396</v>
          </cell>
          <cell r="AD282">
            <v>7421.5670118882181</v>
          </cell>
          <cell r="AE282">
            <v>7719.1351981849666</v>
          </cell>
        </row>
        <row r="283">
          <cell r="G283">
            <v>52715.95523740026</v>
          </cell>
          <cell r="H283">
            <v>52972.193082349717</v>
          </cell>
          <cell r="I283">
            <v>53212.466582069668</v>
          </cell>
          <cell r="J283">
            <v>53938.137008894228</v>
          </cell>
          <cell r="K283">
            <v>54658.14918677666</v>
          </cell>
          <cell r="L283">
            <v>54742.833531026023</v>
          </cell>
          <cell r="M283">
            <v>54443.844986943564</v>
          </cell>
          <cell r="N283">
            <v>55849.634953873981</v>
          </cell>
          <cell r="O283">
            <v>55878.248310892755</v>
          </cell>
          <cell r="P283">
            <v>57396.258918086387</v>
          </cell>
          <cell r="Q283">
            <v>58035.309287294032</v>
          </cell>
          <cell r="R283">
            <v>59654.398509755512</v>
          </cell>
          <cell r="S283">
            <v>62104.8709686109</v>
          </cell>
          <cell r="T283">
            <v>63526.574546607473</v>
          </cell>
          <cell r="U283">
            <v>65957.962889180169</v>
          </cell>
          <cell r="V283">
            <v>68171.241513705259</v>
          </cell>
          <cell r="W283">
            <v>70617.724740144578</v>
          </cell>
          <cell r="X283">
            <v>71464.039108899116</v>
          </cell>
          <cell r="Y283">
            <v>72789.143125892486</v>
          </cell>
          <cell r="Z283">
            <v>75215.745131270101</v>
          </cell>
          <cell r="AA283">
            <v>76186.560911929831</v>
          </cell>
          <cell r="AB283">
            <v>76853.980700327316</v>
          </cell>
          <cell r="AC283">
            <v>77917.122126248083</v>
          </cell>
          <cell r="AD283">
            <v>79216.483772401363</v>
          </cell>
          <cell r="AE283">
            <v>81328.70406933871</v>
          </cell>
        </row>
        <row r="284">
          <cell r="G284">
            <v>12325.222891105739</v>
          </cell>
          <cell r="H284">
            <v>12411.478571584297</v>
          </cell>
          <cell r="I284">
            <v>12492.3602782791</v>
          </cell>
          <cell r="J284">
            <v>12736.637997994008</v>
          </cell>
          <cell r="K284">
            <v>12979.011018139992</v>
          </cell>
          <cell r="L284">
            <v>13082.905311561863</v>
          </cell>
          <cell r="M284">
            <v>13062.787028174751</v>
          </cell>
          <cell r="N284">
            <v>13424.845554871805</v>
          </cell>
          <cell r="O284">
            <v>13548.59001540821</v>
          </cell>
          <cell r="P284">
            <v>13980.657672693853</v>
          </cell>
          <cell r="Q284">
            <v>14151.634240852109</v>
          </cell>
          <cell r="R284">
            <v>14662.608287554143</v>
          </cell>
          <cell r="S284">
            <v>15342.221667490938</v>
          </cell>
          <cell r="T284">
            <v>15752.539658883021</v>
          </cell>
          <cell r="U284">
            <v>16413.182641424464</v>
          </cell>
          <cell r="V284">
            <v>17008.725904970168</v>
          </cell>
          <cell r="W284">
            <v>17714.846912884725</v>
          </cell>
          <cell r="X284">
            <v>18311.517709238116</v>
          </cell>
          <cell r="Y284">
            <v>18790.104072193208</v>
          </cell>
          <cell r="Z284">
            <v>19448.410032238226</v>
          </cell>
          <cell r="AA284">
            <v>20279.403781524616</v>
          </cell>
          <cell r="AB284">
            <v>20865.767577195416</v>
          </cell>
          <cell r="AC284">
            <v>21460.307798955622</v>
          </cell>
          <cell r="AD284">
            <v>22071.159594989709</v>
          </cell>
          <cell r="AE284">
            <v>22914.833275438461</v>
          </cell>
        </row>
        <row r="285">
          <cell r="G285">
            <v>4064.3381986614581</v>
          </cell>
          <cell r="H285">
            <v>4110.6155283892722</v>
          </cell>
          <cell r="I285">
            <v>4130.4447133594185</v>
          </cell>
          <cell r="J285">
            <v>4205.0534065292159</v>
          </cell>
          <cell r="K285">
            <v>4217.0450784455206</v>
          </cell>
          <cell r="L285">
            <v>4170.9267556090681</v>
          </cell>
          <cell r="M285">
            <v>4134.7945018280743</v>
          </cell>
          <cell r="N285">
            <v>4282.9160340500976</v>
          </cell>
          <cell r="O285">
            <v>4275.4670964137213</v>
          </cell>
          <cell r="P285">
            <v>4429.7057135800214</v>
          </cell>
          <cell r="Q285">
            <v>4571.3057004235488</v>
          </cell>
          <cell r="R285">
            <v>4650.7392960571424</v>
          </cell>
          <cell r="S285">
            <v>4871.7140546202527</v>
          </cell>
          <cell r="T285">
            <v>5071.655054028929</v>
          </cell>
          <cell r="U285">
            <v>5305.9233944586949</v>
          </cell>
          <cell r="V285">
            <v>5510.6914731726365</v>
          </cell>
          <cell r="W285">
            <v>5667.2540484688725</v>
          </cell>
          <cell r="X285">
            <v>5754.0571342942558</v>
          </cell>
          <cell r="Y285">
            <v>5912.2142025016201</v>
          </cell>
          <cell r="Z285">
            <v>6003.5111888109896</v>
          </cell>
          <cell r="AA285">
            <v>6134.9943818498568</v>
          </cell>
          <cell r="AB285">
            <v>6108.7349988576152</v>
          </cell>
          <cell r="AC285">
            <v>6173.6786485485254</v>
          </cell>
          <cell r="AD285">
            <v>6269.9374728963212</v>
          </cell>
          <cell r="AE285">
            <v>6430.4101834982612</v>
          </cell>
        </row>
        <row r="286">
          <cell r="G286">
            <v>23923.707463310635</v>
          </cell>
          <cell r="H286">
            <v>21647.641659652782</v>
          </cell>
          <cell r="I286">
            <v>22128.313168026249</v>
          </cell>
          <cell r="J286">
            <v>22691.850441645358</v>
          </cell>
          <cell r="K286">
            <v>23117.319831479061</v>
          </cell>
          <cell r="L286">
            <v>23149.057701051199</v>
          </cell>
          <cell r="M286">
            <v>23825.879336971771</v>
          </cell>
          <cell r="N286">
            <v>25078.936527734691</v>
          </cell>
          <cell r="O286">
            <v>25532.814116989506</v>
          </cell>
          <cell r="P286">
            <v>26363.909867431343</v>
          </cell>
          <cell r="Q286">
            <v>27020.037905563124</v>
          </cell>
          <cell r="R286">
            <v>27745.751550098303</v>
          </cell>
          <cell r="S286">
            <v>29311.199170970409</v>
          </cell>
          <cell r="T286">
            <v>30699.76709413149</v>
          </cell>
          <cell r="U286">
            <v>33060.000699184602</v>
          </cell>
          <cell r="V286">
            <v>34490.685630520056</v>
          </cell>
          <cell r="W286">
            <v>35472.814235427039</v>
          </cell>
          <cell r="X286">
            <v>35945.792596740102</v>
          </cell>
          <cell r="Y286">
            <v>36599.196670922705</v>
          </cell>
          <cell r="Z286">
            <v>37338.175449304828</v>
          </cell>
          <cell r="AA286">
            <v>37764.39848142652</v>
          </cell>
          <cell r="AB286">
            <v>37576.372594239103</v>
          </cell>
          <cell r="AC286">
            <v>37973.19540543147</v>
          </cell>
          <cell r="AD286">
            <v>38602.990098158494</v>
          </cell>
          <cell r="AE286">
            <v>39622.564281848492</v>
          </cell>
        </row>
        <row r="287">
          <cell r="G287">
            <v>996.27006530550568</v>
          </cell>
          <cell r="H287">
            <v>1459.1695219378896</v>
          </cell>
          <cell r="I287">
            <v>1491.5694122404775</v>
          </cell>
          <cell r="J287">
            <v>1529.5549086316887</v>
          </cell>
          <cell r="K287">
            <v>1558.2338740323387</v>
          </cell>
          <cell r="L287">
            <v>1560.3731801377803</v>
          </cell>
          <cell r="M287">
            <v>1605.9946625352893</v>
          </cell>
          <cell r="N287">
            <v>1690.4575749741171</v>
          </cell>
          <cell r="O287">
            <v>1721.0514084892775</v>
          </cell>
          <cell r="P287">
            <v>1777.0718105230519</v>
          </cell>
          <cell r="Q287">
            <v>1821.2984311768487</v>
          </cell>
          <cell r="R287">
            <v>1870.2155025331188</v>
          </cell>
          <cell r="S287">
            <v>1975.7352396241201</v>
          </cell>
          <cell r="T287">
            <v>2069.3323170551284</v>
          </cell>
          <cell r="U287">
            <v>2228.4249792163846</v>
          </cell>
          <cell r="V287">
            <v>2324.8609734979896</v>
          </cell>
          <cell r="W287">
            <v>2391.0618165013484</v>
          </cell>
          <cell r="X287">
            <v>2422.9431465887023</v>
          </cell>
          <cell r="Y287">
            <v>2466.986157164506</v>
          </cell>
          <cell r="Z287">
            <v>2548.1271595340168</v>
          </cell>
          <cell r="AA287">
            <v>2591.155501135403</v>
          </cell>
          <cell r="AB287">
            <v>2602.4683840851649</v>
          </cell>
          <cell r="AC287">
            <v>2654.8483583836405</v>
          </cell>
          <cell r="AD287">
            <v>2724.2999372452</v>
          </cell>
          <cell r="AE287">
            <v>2822.2253817942296</v>
          </cell>
        </row>
        <row r="288">
          <cell r="G288">
            <v>6892.3787896395215</v>
          </cell>
          <cell r="H288">
            <v>6928.1609750366788</v>
          </cell>
          <cell r="I288">
            <v>6982.6206747894967</v>
          </cell>
          <cell r="J288">
            <v>7002.6744270450472</v>
          </cell>
          <cell r="K288">
            <v>7017.2232277010353</v>
          </cell>
          <cell r="L288">
            <v>6982.0498196612562</v>
          </cell>
          <cell r="M288">
            <v>6901.8684594309616</v>
          </cell>
          <cell r="N288">
            <v>7198.137989982336</v>
          </cell>
          <cell r="O288">
            <v>7124.1508540068598</v>
          </cell>
          <cell r="P288">
            <v>7324.0058826836794</v>
          </cell>
          <cell r="Q288">
            <v>7473.4110288347356</v>
          </cell>
          <cell r="R288">
            <v>7621.4968117202607</v>
          </cell>
          <cell r="S288">
            <v>7927.3463352318622</v>
          </cell>
          <cell r="T288">
            <v>8076.0865137607298</v>
          </cell>
          <cell r="U288">
            <v>8366.4477846220634</v>
          </cell>
          <cell r="V288">
            <v>8638.4901170356188</v>
          </cell>
          <cell r="W288">
            <v>8983.0887739326063</v>
          </cell>
          <cell r="X288">
            <v>9271.6822999805772</v>
          </cell>
          <cell r="Y288">
            <v>9518.2206653226694</v>
          </cell>
          <cell r="Z288">
            <v>10391.498689374765</v>
          </cell>
          <cell r="AA288">
            <v>13044.720292089158</v>
          </cell>
          <cell r="AB288">
            <v>14581.489120295437</v>
          </cell>
          <cell r="AC288">
            <v>16100.012982795835</v>
          </cell>
          <cell r="AD288">
            <v>17707.540694802836</v>
          </cell>
          <cell r="AE288">
            <v>19596.207526869926</v>
          </cell>
        </row>
        <row r="289">
          <cell r="G289">
            <v>1781.7556093565017</v>
          </cell>
          <cell r="H289">
            <v>1783.0538360074877</v>
          </cell>
          <cell r="I289">
            <v>1788.8878421921647</v>
          </cell>
          <cell r="J289">
            <v>1807.4316475648882</v>
          </cell>
          <cell r="K289">
            <v>1812.4722930184073</v>
          </cell>
          <cell r="L289">
            <v>1793.6088525783809</v>
          </cell>
          <cell r="M289">
            <v>1774.6486729597157</v>
          </cell>
          <cell r="N289">
            <v>1823.0509687537462</v>
          </cell>
          <cell r="O289">
            <v>1794.2995981969964</v>
          </cell>
          <cell r="P289">
            <v>1840.40380825741</v>
          </cell>
          <cell r="Q289">
            <v>1872.8279339126823</v>
          </cell>
          <cell r="R289">
            <v>1897.4249208326673</v>
          </cell>
          <cell r="S289">
            <v>1968.2360718720968</v>
          </cell>
          <cell r="T289">
            <v>2005.124253123417</v>
          </cell>
          <cell r="U289">
            <v>2074.6913217054471</v>
          </cell>
          <cell r="V289">
            <v>2157.0993395020882</v>
          </cell>
          <cell r="W289">
            <v>2230.5387643737845</v>
          </cell>
          <cell r="X289">
            <v>2244.3283016341893</v>
          </cell>
          <cell r="Y289">
            <v>2286.2415552117754</v>
          </cell>
          <cell r="Z289">
            <v>2326.3694648036135</v>
          </cell>
          <cell r="AA289">
            <v>2374.7982364656368</v>
          </cell>
          <cell r="AB289">
            <v>2372.028004997203</v>
          </cell>
          <cell r="AC289">
            <v>2401.8374704377493</v>
          </cell>
          <cell r="AD289">
            <v>2445.1309775396853</v>
          </cell>
          <cell r="AE289">
            <v>2516.1911582055527</v>
          </cell>
        </row>
        <row r="290">
          <cell r="G290">
            <v>2766.2306421587773</v>
          </cell>
          <cell r="H290">
            <v>2818.4580776956645</v>
          </cell>
          <cell r="I290">
            <v>2891.2487001949826</v>
          </cell>
          <cell r="J290">
            <v>2928.2449547405686</v>
          </cell>
          <cell r="K290">
            <v>2963.6022730245368</v>
          </cell>
          <cell r="L290">
            <v>2967.139006534268</v>
          </cell>
          <cell r="M290">
            <v>2966.3889493279867</v>
          </cell>
          <cell r="N290">
            <v>3122.6086524580405</v>
          </cell>
          <cell r="O290">
            <v>3102.4778216604896</v>
          </cell>
          <cell r="P290">
            <v>3203.2341197678347</v>
          </cell>
          <cell r="Q290">
            <v>3308.1437877260823</v>
          </cell>
          <cell r="R290">
            <v>3416.7948674728191</v>
          </cell>
          <cell r="S290">
            <v>3565.1526112071565</v>
          </cell>
          <cell r="T290">
            <v>3680.8949130500373</v>
          </cell>
          <cell r="U290">
            <v>3890.9266215566536</v>
          </cell>
          <cell r="V290">
            <v>4108.0317271811991</v>
          </cell>
          <cell r="W290">
            <v>4297.4681162204697</v>
          </cell>
          <cell r="X290">
            <v>4366.5805978291328</v>
          </cell>
          <cell r="Y290">
            <v>4487.4959667609901</v>
          </cell>
          <cell r="Z290">
            <v>4926.8541427762138</v>
          </cell>
          <cell r="AA290">
            <v>5327.6338130134527</v>
          </cell>
          <cell r="AB290">
            <v>5467.5606581810716</v>
          </cell>
          <cell r="AC290">
            <v>5692.4167839611218</v>
          </cell>
          <cell r="AD290">
            <v>6015.7371534228814</v>
          </cell>
          <cell r="AE290">
            <v>6447.6555798742547</v>
          </cell>
        </row>
        <row r="291">
          <cell r="G291">
            <v>4846.9173570763787</v>
          </cell>
          <cell r="H291">
            <v>5008.2207596646458</v>
          </cell>
          <cell r="I291">
            <v>5233.033158836829</v>
          </cell>
          <cell r="J291">
            <v>5347.2953599171369</v>
          </cell>
          <cell r="K291">
            <v>5456.4957387404911</v>
          </cell>
          <cell r="L291">
            <v>5518.8324925047837</v>
          </cell>
          <cell r="M291">
            <v>5571.4355115558528</v>
          </cell>
          <cell r="N291">
            <v>5978.1045452741855</v>
          </cell>
          <cell r="O291">
            <v>5993.7545762651171</v>
          </cell>
          <cell r="P291">
            <v>6251.1086086014566</v>
          </cell>
          <cell r="Q291">
            <v>6545.0150556943636</v>
          </cell>
          <cell r="R291">
            <v>6857.360364281305</v>
          </cell>
          <cell r="S291">
            <v>7216.4853030157956</v>
          </cell>
          <cell r="T291">
            <v>7527.399842884297</v>
          </cell>
          <cell r="U291">
            <v>8068.4471852160214</v>
          </cell>
          <cell r="V291">
            <v>8637.0155147854675</v>
          </cell>
          <cell r="W291">
            <v>9132.2699067393223</v>
          </cell>
          <cell r="X291">
            <v>9334.210585621915</v>
          </cell>
          <cell r="Y291">
            <v>9652.3734184585046</v>
          </cell>
          <cell r="Z291">
            <v>10129.531809913426</v>
          </cell>
          <cell r="AA291">
            <v>10549.414687247838</v>
          </cell>
          <cell r="AB291">
            <v>10617.785206666567</v>
          </cell>
          <cell r="AC291">
            <v>10850.415661333316</v>
          </cell>
          <cell r="AD291">
            <v>11208.394192480373</v>
          </cell>
          <cell r="AE291">
            <v>11723.25428099248</v>
          </cell>
        </row>
        <row r="292">
          <cell r="G292">
            <v>8982.682049718147</v>
          </cell>
          <cell r="H292">
            <v>9133.9571886090871</v>
          </cell>
          <cell r="I292">
            <v>9228.0551391407607</v>
          </cell>
          <cell r="J292">
            <v>9325.9303391624871</v>
          </cell>
          <cell r="K292">
            <v>9435.3594788008522</v>
          </cell>
          <cell r="L292">
            <v>9402.5029670648019</v>
          </cell>
          <cell r="M292">
            <v>9317.0133829133265</v>
          </cell>
          <cell r="N292">
            <v>9594.8534284338602</v>
          </cell>
          <cell r="O292">
            <v>9549.1543135264837</v>
          </cell>
          <cell r="P292">
            <v>9905.9247494187312</v>
          </cell>
          <cell r="Q292">
            <v>10179.873946420012</v>
          </cell>
          <cell r="R292">
            <v>10570.47967384969</v>
          </cell>
          <cell r="S292">
            <v>11214.050773343295</v>
          </cell>
          <cell r="T292">
            <v>11613.829592872014</v>
          </cell>
          <cell r="U292">
            <v>12097.143965452469</v>
          </cell>
          <cell r="V292">
            <v>12642.748453845543</v>
          </cell>
          <cell r="W292">
            <v>13013.240075139931</v>
          </cell>
          <cell r="X292">
            <v>13291.521251566393</v>
          </cell>
          <cell r="Y292">
            <v>13704.521907588638</v>
          </cell>
          <cell r="Z292">
            <v>14204.638505637235</v>
          </cell>
          <cell r="AA292">
            <v>14704.160551185496</v>
          </cell>
          <cell r="AB292">
            <v>14715.028570659057</v>
          </cell>
          <cell r="AC292">
            <v>14928.119440779048</v>
          </cell>
          <cell r="AD292">
            <v>15215.031073933886</v>
          </cell>
          <cell r="AE292">
            <v>15656.809695717346</v>
          </cell>
        </row>
        <row r="293">
          <cell r="G293">
            <v>11026.806939503975</v>
          </cell>
          <cell r="H293">
            <v>11212.506682861736</v>
          </cell>
          <cell r="I293">
            <v>11328.017832891619</v>
          </cell>
          <cell r="J293">
            <v>11448.165794138758</v>
          </cell>
          <cell r="K293">
            <v>11582.496942638683</v>
          </cell>
          <cell r="L293">
            <v>11542.163508858694</v>
          </cell>
          <cell r="M293">
            <v>11437.219669751494</v>
          </cell>
          <cell r="N293">
            <v>11778.285792882729</v>
          </cell>
          <cell r="O293">
            <v>11722.187256320849</v>
          </cell>
          <cell r="P293">
            <v>12160.145395831078</v>
          </cell>
          <cell r="Q293">
            <v>12496.43525779497</v>
          </cell>
          <cell r="R293">
            <v>12975.92834482533</v>
          </cell>
          <cell r="S293">
            <v>13765.952329497366</v>
          </cell>
          <cell r="T293">
            <v>14256.705963773478</v>
          </cell>
          <cell r="U293">
            <v>14850.004741135788</v>
          </cell>
          <cell r="V293">
            <v>15519.768551714615</v>
          </cell>
          <cell r="W293">
            <v>15983.555698489869</v>
          </cell>
          <cell r="X293">
            <v>16194.710846388716</v>
          </cell>
          <cell r="Y293">
            <v>16576.532245536484</v>
          </cell>
          <cell r="Z293">
            <v>16934.510115706671</v>
          </cell>
          <cell r="AA293">
            <v>17217.490214471542</v>
          </cell>
          <cell r="AB293">
            <v>17241.166059223928</v>
          </cell>
          <cell r="AC293">
            <v>17506.071071606191</v>
          </cell>
          <cell r="AD293">
            <v>17889.73979428424</v>
          </cell>
          <cell r="AE293">
            <v>18472.572870047712</v>
          </cell>
        </row>
      </sheetData>
      <sheetData sheetId="8">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High</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sheetData>
      <sheetData sheetId="9">
        <row r="34">
          <cell r="R34">
            <v>2241.6830724899996</v>
          </cell>
          <cell r="S34">
            <v>2163.8976968000002</v>
          </cell>
          <cell r="T34">
            <v>2301.1241944899998</v>
          </cell>
          <cell r="U34">
            <v>2076.5717068700001</v>
          </cell>
          <cell r="V34">
            <v>1996.0602896399998</v>
          </cell>
          <cell r="W34">
            <v>2250.2497511900001</v>
          </cell>
          <cell r="X34">
            <v>2163.1746260100003</v>
          </cell>
          <cell r="Y34">
            <v>2140.9822397200001</v>
          </cell>
          <cell r="Z34">
            <v>2292.7090752799995</v>
          </cell>
          <cell r="AA34">
            <v>2500.0165227299999</v>
          </cell>
          <cell r="AB34">
            <v>2481.8948666900001</v>
          </cell>
          <cell r="AC34">
            <v>2045.6792533299999</v>
          </cell>
          <cell r="AD34">
            <v>2094.8695493</v>
          </cell>
          <cell r="AE34">
            <v>1953.9369025999999</v>
          </cell>
        </row>
        <row r="35">
          <cell r="R35">
            <v>256.05469590000001</v>
          </cell>
          <cell r="S35">
            <v>253.2667701</v>
          </cell>
          <cell r="T35">
            <v>300.73964699999999</v>
          </cell>
          <cell r="U35">
            <v>328.24825880000003</v>
          </cell>
          <cell r="V35">
            <v>306.030933</v>
          </cell>
          <cell r="W35">
            <v>712.26009299999998</v>
          </cell>
          <cell r="X35">
            <v>203.55615209999999</v>
          </cell>
          <cell r="Y35">
            <v>366.60731587999999</v>
          </cell>
          <cell r="Z35">
            <v>507.35561760000002</v>
          </cell>
          <cell r="AA35">
            <v>485.31207719999998</v>
          </cell>
          <cell r="AB35">
            <v>378.14491860999999</v>
          </cell>
          <cell r="AC35">
            <v>411.35808100000003</v>
          </cell>
          <cell r="AD35">
            <v>0.71504779399999996</v>
          </cell>
          <cell r="AE35">
            <v>11.82402203</v>
          </cell>
        </row>
        <row r="36">
          <cell r="R36">
            <v>8899.5570035499986</v>
          </cell>
          <cell r="S36">
            <v>8817.6527938600011</v>
          </cell>
          <cell r="T36">
            <v>9245.813338269998</v>
          </cell>
          <cell r="U36">
            <v>9011.5451928240018</v>
          </cell>
          <cell r="V36">
            <v>9024.3629158299973</v>
          </cell>
          <cell r="W36">
            <v>8728.339281479999</v>
          </cell>
          <cell r="X36">
            <v>9126.2937245939993</v>
          </cell>
          <cell r="Y36">
            <v>8944.5317642250011</v>
          </cell>
          <cell r="Z36">
            <v>8800.5436373460016</v>
          </cell>
          <cell r="AA36">
            <v>8714.2793057930012</v>
          </cell>
          <cell r="AB36">
            <v>8450.0425825519997</v>
          </cell>
          <cell r="AC36">
            <v>8358.6997653549988</v>
          </cell>
          <cell r="AD36">
            <v>8113.2350019459991</v>
          </cell>
          <cell r="AE36">
            <v>7787.2052215100011</v>
          </cell>
        </row>
        <row r="37">
          <cell r="R37">
            <v>7661.6714371359994</v>
          </cell>
          <cell r="S37">
            <v>7776.286964425999</v>
          </cell>
          <cell r="T37">
            <v>7610.5201791749996</v>
          </cell>
          <cell r="U37">
            <v>7263.6624161199998</v>
          </cell>
          <cell r="V37">
            <v>7044.5252494289998</v>
          </cell>
          <cell r="W37">
            <v>6466.0726085319993</v>
          </cell>
          <cell r="X37">
            <v>6855.5085877819974</v>
          </cell>
          <cell r="Y37">
            <v>6963.2062946820006</v>
          </cell>
          <cell r="Z37">
            <v>7246.9256291289994</v>
          </cell>
          <cell r="AA37">
            <v>6912.3675650869991</v>
          </cell>
          <cell r="AB37">
            <v>7691.2867780759989</v>
          </cell>
          <cell r="AC37">
            <v>7979.0961733929998</v>
          </cell>
          <cell r="AD37">
            <v>6385.7180026869992</v>
          </cell>
          <cell r="AE37">
            <v>7075.2106742209999</v>
          </cell>
        </row>
        <row r="38">
          <cell r="R38">
            <v>4086.4875090620003</v>
          </cell>
          <cell r="S38">
            <v>4240.3955410879998</v>
          </cell>
          <cell r="T38">
            <v>4356.9694699659995</v>
          </cell>
          <cell r="U38">
            <v>4400.4775716160002</v>
          </cell>
          <cell r="V38">
            <v>4080.6638443390002</v>
          </cell>
          <cell r="W38">
            <v>3924.871003623</v>
          </cell>
          <cell r="X38">
            <v>4080.422248201</v>
          </cell>
          <cell r="Y38">
            <v>4088.9620284799998</v>
          </cell>
          <cell r="Z38">
            <v>4163.5420287199995</v>
          </cell>
          <cell r="AA38">
            <v>4512.5430191099995</v>
          </cell>
          <cell r="AB38">
            <v>4114.052655085</v>
          </cell>
          <cell r="AC38">
            <v>4448.8855489999996</v>
          </cell>
          <cell r="AD38">
            <v>4409.0903840000001</v>
          </cell>
          <cell r="AE38">
            <v>4408.891697</v>
          </cell>
        </row>
        <row r="39">
          <cell r="R39">
            <v>26505.950918524995</v>
          </cell>
          <cell r="S39">
            <v>27057.599951766999</v>
          </cell>
          <cell r="T39">
            <v>27768.108498663994</v>
          </cell>
          <cell r="U39">
            <v>28144.485808357993</v>
          </cell>
          <cell r="V39">
            <v>26713.211992282002</v>
          </cell>
          <cell r="W39">
            <v>26647.198376786</v>
          </cell>
          <cell r="X39">
            <v>26558.064847981997</v>
          </cell>
          <cell r="Y39">
            <v>26862.425029590002</v>
          </cell>
          <cell r="Z39">
            <v>28236.490102593994</v>
          </cell>
          <cell r="AA39">
            <v>29004.628378201</v>
          </cell>
          <cell r="AB39">
            <v>30663.798993526001</v>
          </cell>
          <cell r="AC39">
            <v>30112.770027643008</v>
          </cell>
          <cell r="AD39">
            <v>29742.328145847001</v>
          </cell>
          <cell r="AE39">
            <v>30186.76773027801</v>
          </cell>
        </row>
        <row r="40">
          <cell r="R40">
            <v>3879.7012499000002</v>
          </cell>
          <cell r="S40">
            <v>3811.8713759000002</v>
          </cell>
          <cell r="T40">
            <v>3687.7944449499996</v>
          </cell>
          <cell r="U40">
            <v>4052.86802012</v>
          </cell>
          <cell r="V40">
            <v>3732.9431664399999</v>
          </cell>
          <cell r="W40">
            <v>3838.0874855900001</v>
          </cell>
          <cell r="X40">
            <v>3896.3264584699996</v>
          </cell>
          <cell r="Y40">
            <v>4023.3897939200001</v>
          </cell>
          <cell r="Z40">
            <v>4441.6666339499998</v>
          </cell>
          <cell r="AA40">
            <v>4460.4758901999994</v>
          </cell>
          <cell r="AB40">
            <v>4050.5395106700003</v>
          </cell>
          <cell r="AC40">
            <v>3608.3347951999999</v>
          </cell>
          <cell r="AD40">
            <v>2971.5261042699999</v>
          </cell>
          <cell r="AE40">
            <v>3218.6991336999999</v>
          </cell>
        </row>
        <row r="41">
          <cell r="R41">
            <v>1816.3775173840002</v>
          </cell>
          <cell r="S41">
            <v>1729.1725085159999</v>
          </cell>
          <cell r="T41">
            <v>1809.3160340530001</v>
          </cell>
          <cell r="U41">
            <v>2002.7971589010001</v>
          </cell>
          <cell r="V41">
            <v>1569.27393001</v>
          </cell>
          <cell r="W41">
            <v>1822.5725142000001</v>
          </cell>
          <cell r="X41">
            <v>1313.8137009700001</v>
          </cell>
          <cell r="Y41">
            <v>1811.0114443580001</v>
          </cell>
          <cell r="Z41">
            <v>1966.132555659</v>
          </cell>
          <cell r="AA41">
            <v>1843.8253456399998</v>
          </cell>
          <cell r="AB41">
            <v>1715.36095056</v>
          </cell>
          <cell r="AC41">
            <v>1500.40197229</v>
          </cell>
          <cell r="AD41">
            <v>1188.2826425000001</v>
          </cell>
          <cell r="AE41">
            <v>1479.3628395000001</v>
          </cell>
        </row>
        <row r="42">
          <cell r="R42">
            <v>5746.479911376</v>
          </cell>
          <cell r="S42">
            <v>5566.126728625999</v>
          </cell>
          <cell r="T42">
            <v>5531.0785744169998</v>
          </cell>
          <cell r="U42">
            <v>5509.7806142379995</v>
          </cell>
          <cell r="V42">
            <v>5673.9444785799997</v>
          </cell>
          <cell r="W42">
            <v>5348.2846288990004</v>
          </cell>
          <cell r="X42">
            <v>5709.1822707800002</v>
          </cell>
          <cell r="Y42">
            <v>5327.3116683639983</v>
          </cell>
          <cell r="Z42">
            <v>5951.8128832550001</v>
          </cell>
          <cell r="AA42">
            <v>6332.950077589001</v>
          </cell>
          <cell r="AB42">
            <v>5853.6235859630006</v>
          </cell>
          <cell r="AC42">
            <v>4927.4810865630006</v>
          </cell>
          <cell r="AD42">
            <v>3630.7389282130007</v>
          </cell>
          <cell r="AE42">
            <v>3869.402575519</v>
          </cell>
        </row>
        <row r="43">
          <cell r="R43">
            <v>3542.670451942</v>
          </cell>
          <cell r="S43">
            <v>3695.7599722179998</v>
          </cell>
          <cell r="T43">
            <v>3595.7598673529997</v>
          </cell>
          <cell r="U43">
            <v>3703.5822214660002</v>
          </cell>
          <cell r="V43">
            <v>3891.4965771289999</v>
          </cell>
          <cell r="W43">
            <v>3776.8268019760003</v>
          </cell>
          <cell r="X43">
            <v>3572.9034326199999</v>
          </cell>
          <cell r="Y43">
            <v>3426.6527044069999</v>
          </cell>
          <cell r="Z43">
            <v>3694.4458117259996</v>
          </cell>
          <cell r="AA43">
            <v>3759.6007925679996</v>
          </cell>
          <cell r="AB43">
            <v>3996.2397316549996</v>
          </cell>
          <cell r="AC43">
            <v>4240.3662453959996</v>
          </cell>
          <cell r="AD43">
            <v>4298.4174826000008</v>
          </cell>
          <cell r="AE43">
            <v>4308.9514624540006</v>
          </cell>
        </row>
        <row r="44">
          <cell r="R44">
            <v>6722.875926398</v>
          </cell>
          <cell r="S44">
            <v>6549.6763158989997</v>
          </cell>
          <cell r="T44">
            <v>9735.1093495830009</v>
          </cell>
          <cell r="U44">
            <v>10917.79018881</v>
          </cell>
          <cell r="V44">
            <v>10471.642102559999</v>
          </cell>
          <cell r="W44">
            <v>9700.2649560009995</v>
          </cell>
          <cell r="X44">
            <v>9166.7088366469998</v>
          </cell>
          <cell r="Y44">
            <v>10082.399690292999</v>
          </cell>
          <cell r="Z44">
            <v>10930.476474950001</v>
          </cell>
          <cell r="AA44">
            <v>11077.385120202998</v>
          </cell>
          <cell r="AB44">
            <v>12644.081003894002</v>
          </cell>
          <cell r="AC44">
            <v>12620.560673337999</v>
          </cell>
          <cell r="AD44">
            <v>10752.502854922999</v>
          </cell>
          <cell r="AE44">
            <v>12228.901004306003</v>
          </cell>
        </row>
        <row r="45">
          <cell r="R45">
            <v>987.87010710000004</v>
          </cell>
          <cell r="S45">
            <v>1056.3657720000001</v>
          </cell>
          <cell r="T45">
            <v>1077.3572095</v>
          </cell>
          <cell r="U45">
            <v>1157.7823619999999</v>
          </cell>
          <cell r="V45">
            <v>865.11798090000002</v>
          </cell>
          <cell r="W45">
            <v>810.12230950000003</v>
          </cell>
          <cell r="X45">
            <v>561.35247136999999</v>
          </cell>
          <cell r="Y45">
            <v>530.68944077000003</v>
          </cell>
          <cell r="Z45">
            <v>562.70049167000002</v>
          </cell>
          <cell r="AA45">
            <v>522.48133399999995</v>
          </cell>
          <cell r="AB45">
            <v>728.54446539999992</v>
          </cell>
          <cell r="AC45">
            <v>648.91529459800006</v>
          </cell>
          <cell r="AD45">
            <v>674.46126260000005</v>
          </cell>
          <cell r="AE45">
            <v>807.73480789999996</v>
          </cell>
        </row>
        <row r="46">
          <cell r="R46">
            <v>8028.1012373619997</v>
          </cell>
          <cell r="S46">
            <v>8070.8592808919984</v>
          </cell>
          <cell r="T46">
            <v>8108.7047170469987</v>
          </cell>
          <cell r="U46">
            <v>8459.6545123170017</v>
          </cell>
          <cell r="V46">
            <v>8153.1399437289983</v>
          </cell>
          <cell r="W46">
            <v>8067.6336821470004</v>
          </cell>
          <cell r="X46">
            <v>7874.9026928249996</v>
          </cell>
          <cell r="Y46">
            <v>8092.7712354900013</v>
          </cell>
          <cell r="Z46">
            <v>8903.6919559619982</v>
          </cell>
          <cell r="AA46">
            <v>9583.8892045320008</v>
          </cell>
          <cell r="AB46">
            <v>10360.924623815999</v>
          </cell>
          <cell r="AC46">
            <v>10390.091238621</v>
          </cell>
          <cell r="AD46">
            <v>8070.4875509460007</v>
          </cell>
          <cell r="AE46">
            <v>8686.678736459</v>
          </cell>
        </row>
        <row r="47">
          <cell r="R47">
            <v>41792.478669936005</v>
          </cell>
          <cell r="S47">
            <v>46010.360973889998</v>
          </cell>
          <cell r="T47">
            <v>44345.152375557009</v>
          </cell>
          <cell r="U47">
            <v>39409.983743543999</v>
          </cell>
          <cell r="V47">
            <v>38522.503463543995</v>
          </cell>
          <cell r="W47">
            <v>36928.813054537</v>
          </cell>
          <cell r="X47">
            <v>31917.853005771005</v>
          </cell>
          <cell r="Y47">
            <v>30913.049653784004</v>
          </cell>
          <cell r="Z47">
            <v>36563.309115559001</v>
          </cell>
          <cell r="AA47">
            <v>36231.182085049993</v>
          </cell>
          <cell r="AB47">
            <v>41925.344552873998</v>
          </cell>
          <cell r="AC47">
            <v>40010.464847378003</v>
          </cell>
          <cell r="AD47">
            <v>34259.478258410003</v>
          </cell>
          <cell r="AE47">
            <v>33961.319954475999</v>
          </cell>
        </row>
        <row r="48">
          <cell r="R48">
            <v>18481.578407179994</v>
          </cell>
          <cell r="S48">
            <v>21586.36417348</v>
          </cell>
          <cell r="T48">
            <v>21592.211247160001</v>
          </cell>
          <cell r="U48">
            <v>17487.501183939999</v>
          </cell>
          <cell r="V48">
            <v>19724.441197800003</v>
          </cell>
          <cell r="W48">
            <v>24393.497758800004</v>
          </cell>
          <cell r="X48">
            <v>22613.35078796</v>
          </cell>
          <cell r="Y48">
            <v>22396.87912998</v>
          </cell>
          <cell r="Z48">
            <v>23725.38254327</v>
          </cell>
          <cell r="AA48">
            <v>22484.80126941</v>
          </cell>
          <cell r="AB48">
            <v>22984.535535661998</v>
          </cell>
          <cell r="AC48">
            <v>23356.263114869998</v>
          </cell>
          <cell r="AD48">
            <v>21977.079059080002</v>
          </cell>
          <cell r="AE48">
            <v>22840.553454469999</v>
          </cell>
        </row>
        <row r="49">
          <cell r="R49">
            <v>749.90207379999993</v>
          </cell>
          <cell r="S49">
            <v>935.18946029999995</v>
          </cell>
          <cell r="T49">
            <v>917.65450629999998</v>
          </cell>
          <cell r="U49">
            <v>688.46132488000001</v>
          </cell>
          <cell r="V49">
            <v>819.13943889999996</v>
          </cell>
          <cell r="W49">
            <v>819.53012970000009</v>
          </cell>
          <cell r="X49">
            <v>287.03224672000005</v>
          </cell>
          <cell r="Y49">
            <v>244.79613380000001</v>
          </cell>
          <cell r="Z49">
            <v>275.05236581000003</v>
          </cell>
          <cell r="AA49">
            <v>316.49096226999995</v>
          </cell>
          <cell r="AB49">
            <v>282.88455316299996</v>
          </cell>
          <cell r="AC49">
            <v>239.51335706</v>
          </cell>
          <cell r="AD49">
            <v>245.71880753400001</v>
          </cell>
          <cell r="AE49">
            <v>308.6148187</v>
          </cell>
        </row>
        <row r="50">
          <cell r="R50">
            <v>40.069969979999996</v>
          </cell>
          <cell r="S50">
            <v>49.290437079999997</v>
          </cell>
          <cell r="T50">
            <v>44.181923900000001</v>
          </cell>
          <cell r="U50">
            <v>31.744433829999998</v>
          </cell>
          <cell r="V50">
            <v>54.459537689999998</v>
          </cell>
          <cell r="W50">
            <v>52.790640359999998</v>
          </cell>
          <cell r="X50">
            <v>43.922344730000006</v>
          </cell>
          <cell r="Y50">
            <v>39.602347330000001</v>
          </cell>
          <cell r="Z50">
            <v>40.60147078</v>
          </cell>
          <cell r="AA50">
            <v>38.540427280000003</v>
          </cell>
          <cell r="AB50">
            <v>36.793157460000003</v>
          </cell>
          <cell r="AC50">
            <v>28.552671589999999</v>
          </cell>
          <cell r="AD50">
            <v>33.155464689999995</v>
          </cell>
          <cell r="AE50">
            <v>33.495301169999998</v>
          </cell>
        </row>
        <row r="51">
          <cell r="R51">
            <v>6917.5240422659999</v>
          </cell>
          <cell r="S51">
            <v>7154.4176529240003</v>
          </cell>
          <cell r="T51">
            <v>6954.8331545249976</v>
          </cell>
          <cell r="U51">
            <v>7466.3359534339979</v>
          </cell>
          <cell r="V51">
            <v>6631.2142074649992</v>
          </cell>
          <cell r="W51">
            <v>6846.4082258890021</v>
          </cell>
          <cell r="X51">
            <v>7440.8036104329985</v>
          </cell>
          <cell r="Y51">
            <v>7458.7309479640007</v>
          </cell>
          <cell r="Z51">
            <v>8233.4972310660014</v>
          </cell>
          <cell r="AA51">
            <v>9313.2930892950026</v>
          </cell>
          <cell r="AB51">
            <v>9743.0205369740015</v>
          </cell>
          <cell r="AC51">
            <v>9752.3034524309987</v>
          </cell>
          <cell r="AD51">
            <v>8962.0381981580013</v>
          </cell>
          <cell r="AE51">
            <v>9637.3531107639992</v>
          </cell>
        </row>
        <row r="52">
          <cell r="R52">
            <v>4004.0712452110001</v>
          </cell>
          <cell r="S52">
            <v>4139.9692471550006</v>
          </cell>
          <cell r="T52">
            <v>4212.7945610890001</v>
          </cell>
          <cell r="U52">
            <v>4270.1149149959992</v>
          </cell>
          <cell r="V52">
            <v>4021.7182798519993</v>
          </cell>
          <cell r="W52">
            <v>4150.6466018599995</v>
          </cell>
          <cell r="X52">
            <v>4351.1031298949993</v>
          </cell>
          <cell r="Y52">
            <v>4871.9967591999994</v>
          </cell>
          <cell r="Z52">
            <v>5226.982737368</v>
          </cell>
          <cell r="AA52">
            <v>5449.5668509220013</v>
          </cell>
          <cell r="AB52">
            <v>5596.5540052040005</v>
          </cell>
          <cell r="AC52">
            <v>4880.9543222960001</v>
          </cell>
          <cell r="AD52">
            <v>3866.1307475399994</v>
          </cell>
          <cell r="AE52">
            <v>4116.998073406</v>
          </cell>
        </row>
        <row r="53">
          <cell r="R53">
            <v>33164.658018429996</v>
          </cell>
          <cell r="S53">
            <v>33170.663591147008</v>
          </cell>
          <cell r="T53">
            <v>30528.007657471997</v>
          </cell>
          <cell r="U53">
            <v>32426.967795426008</v>
          </cell>
          <cell r="V53">
            <v>30920.321995161001</v>
          </cell>
          <cell r="W53">
            <v>30918.806798735004</v>
          </cell>
          <cell r="X53">
            <v>31688.631427576969</v>
          </cell>
          <cell r="Y53">
            <v>33667.820920850994</v>
          </cell>
          <cell r="Z53">
            <v>36171.043930711028</v>
          </cell>
          <cell r="AA53">
            <v>38514.50851054598</v>
          </cell>
          <cell r="AB53">
            <v>38765.897106021977</v>
          </cell>
          <cell r="AC53">
            <v>36751.652896097214</v>
          </cell>
          <cell r="AD53">
            <v>29684.407380997109</v>
          </cell>
          <cell r="AE53">
            <v>31122.570124542992</v>
          </cell>
        </row>
        <row r="55">
          <cell r="K55">
            <v>1990</v>
          </cell>
          <cell r="L55">
            <v>1991</v>
          </cell>
          <cell r="M55">
            <v>1992</v>
          </cell>
          <cell r="N55">
            <v>1993</v>
          </cell>
          <cell r="O55">
            <v>1994</v>
          </cell>
          <cell r="P55">
            <v>1995</v>
          </cell>
          <cell r="Q55">
            <v>1996</v>
          </cell>
          <cell r="R55">
            <v>1997</v>
          </cell>
          <cell r="S55">
            <v>1998</v>
          </cell>
          <cell r="T55">
            <v>1999</v>
          </cell>
          <cell r="U55">
            <v>2000</v>
          </cell>
          <cell r="V55">
            <v>2001</v>
          </cell>
          <cell r="W55">
            <v>2002</v>
          </cell>
          <cell r="X55">
            <v>2003</v>
          </cell>
          <cell r="Y55">
            <v>2004</v>
          </cell>
          <cell r="Z55">
            <v>2005</v>
          </cell>
          <cell r="AA55">
            <v>2006</v>
          </cell>
          <cell r="AB55">
            <v>2007</v>
          </cell>
          <cell r="AC55">
            <v>2008</v>
          </cell>
          <cell r="AD55">
            <v>2009</v>
          </cell>
          <cell r="AE55">
            <v>2010</v>
          </cell>
        </row>
        <row r="56">
          <cell r="K56">
            <v>52.55</v>
          </cell>
          <cell r="L56">
            <v>55.366999999999997</v>
          </cell>
          <cell r="M56">
            <v>57.883000000000003</v>
          </cell>
          <cell r="N56">
            <v>61.042000000000002</v>
          </cell>
          <cell r="O56">
            <v>62.982999999999997</v>
          </cell>
          <cell r="P56">
            <v>63.107999999999997</v>
          </cell>
          <cell r="Q56">
            <v>66.042000000000002</v>
          </cell>
          <cell r="R56">
            <v>68.266999999999996</v>
          </cell>
          <cell r="S56">
            <v>69.266999999999996</v>
          </cell>
          <cell r="T56">
            <v>68.957999999999998</v>
          </cell>
          <cell r="U56">
            <v>70.3</v>
          </cell>
          <cell r="V56">
            <v>69</v>
          </cell>
          <cell r="W56">
            <v>65.433000000000007</v>
          </cell>
          <cell r="X56">
            <v>62.392000000000003</v>
          </cell>
          <cell r="Y56">
            <v>62.25</v>
          </cell>
          <cell r="Z56">
            <v>63.55</v>
          </cell>
          <cell r="AA56">
            <v>66.091999999999999</v>
          </cell>
          <cell r="AB56">
            <v>66.242000000000004</v>
          </cell>
          <cell r="AC56">
            <v>62.957999999999998</v>
          </cell>
          <cell r="AD56">
            <v>54.8</v>
          </cell>
          <cell r="AE56">
            <v>53.2</v>
          </cell>
        </row>
        <row r="57">
          <cell r="K57">
            <v>19.5</v>
          </cell>
          <cell r="L57">
            <v>19.132999999999999</v>
          </cell>
          <cell r="M57">
            <v>20</v>
          </cell>
          <cell r="N57">
            <v>20.399999999999999</v>
          </cell>
          <cell r="O57">
            <v>20.707999999999998</v>
          </cell>
          <cell r="P57">
            <v>21.308</v>
          </cell>
          <cell r="Q57">
            <v>22.007999999999999</v>
          </cell>
          <cell r="R57">
            <v>22.207999999999998</v>
          </cell>
          <cell r="S57">
            <v>22.183</v>
          </cell>
          <cell r="T57">
            <v>22.6</v>
          </cell>
          <cell r="U57">
            <v>22.55</v>
          </cell>
          <cell r="V57">
            <v>21.382999999999999</v>
          </cell>
          <cell r="W57">
            <v>20.016999999999999</v>
          </cell>
          <cell r="X57">
            <v>18.975000000000001</v>
          </cell>
          <cell r="Y57">
            <v>19.167000000000002</v>
          </cell>
          <cell r="Z57">
            <v>19.574999999999999</v>
          </cell>
          <cell r="AA57">
            <v>20.2</v>
          </cell>
          <cell r="AB57">
            <v>20.442</v>
          </cell>
          <cell r="AC57">
            <v>19.917000000000002</v>
          </cell>
          <cell r="AD57">
            <v>17.417000000000002</v>
          </cell>
          <cell r="AE57">
            <v>16.542000000000002</v>
          </cell>
        </row>
        <row r="58">
          <cell r="K58">
            <v>204.15700000000001</v>
          </cell>
          <cell r="L58">
            <v>196.375</v>
          </cell>
          <cell r="M58">
            <v>193.01</v>
          </cell>
          <cell r="N58">
            <v>194.80099999999999</v>
          </cell>
          <cell r="O58">
            <v>202.876</v>
          </cell>
          <cell r="P58">
            <v>210.71700000000001</v>
          </cell>
          <cell r="Q58">
            <v>217.52500000000001</v>
          </cell>
          <cell r="R58">
            <v>226.88200000000001</v>
          </cell>
          <cell r="S58">
            <v>228.47300000000001</v>
          </cell>
          <cell r="T58">
            <v>224.44900000000001</v>
          </cell>
          <cell r="U58">
            <v>225.08199999999999</v>
          </cell>
          <cell r="V58">
            <v>215.715</v>
          </cell>
          <cell r="W58">
            <v>201.59100000000001</v>
          </cell>
          <cell r="X58">
            <v>194.80799999999999</v>
          </cell>
          <cell r="Y58">
            <v>199.892</v>
          </cell>
          <cell r="Z58">
            <v>203.98400000000001</v>
          </cell>
          <cell r="AA58">
            <v>207.45</v>
          </cell>
          <cell r="AB58">
            <v>204.02500000000001</v>
          </cell>
          <cell r="AC58">
            <v>195.083</v>
          </cell>
          <cell r="AD58">
            <v>167.04900000000001</v>
          </cell>
          <cell r="AE58">
            <v>163.9</v>
          </cell>
        </row>
        <row r="59">
          <cell r="K59">
            <v>335.97500000000002</v>
          </cell>
          <cell r="L59">
            <v>328.6</v>
          </cell>
          <cell r="M59">
            <v>325.17500000000001</v>
          </cell>
          <cell r="N59">
            <v>317.25</v>
          </cell>
          <cell r="O59">
            <v>311.733</v>
          </cell>
          <cell r="P59">
            <v>311.30799999999999</v>
          </cell>
          <cell r="Q59">
            <v>324.84199999999998</v>
          </cell>
          <cell r="R59">
            <v>350.40800000000002</v>
          </cell>
          <cell r="S59">
            <v>360.625</v>
          </cell>
          <cell r="T59">
            <v>343.56700000000001</v>
          </cell>
          <cell r="U59">
            <v>331.88299999999998</v>
          </cell>
          <cell r="V59">
            <v>316.05</v>
          </cell>
          <cell r="W59">
            <v>284.94200000000001</v>
          </cell>
          <cell r="X59">
            <v>267.19200000000001</v>
          </cell>
          <cell r="Y59">
            <v>263.72500000000002</v>
          </cell>
          <cell r="Z59">
            <v>272.58300000000003</v>
          </cell>
          <cell r="AA59">
            <v>285.82499999999999</v>
          </cell>
          <cell r="AB59">
            <v>293.21699999999998</v>
          </cell>
          <cell r="AC59">
            <v>291.04199999999997</v>
          </cell>
          <cell r="AD59">
            <v>265.483</v>
          </cell>
          <cell r="AE59">
            <v>258.11700000000002</v>
          </cell>
        </row>
        <row r="60">
          <cell r="K60">
            <v>612.18200000000002</v>
          </cell>
          <cell r="L60">
            <v>599.47500000000002</v>
          </cell>
          <cell r="M60">
            <v>596.06799999999998</v>
          </cell>
          <cell r="N60">
            <v>593.49299999999994</v>
          </cell>
          <cell r="O60">
            <v>598.29999999999995</v>
          </cell>
          <cell r="P60">
            <v>606.44100000000003</v>
          </cell>
          <cell r="Q60">
            <v>630.41699999999992</v>
          </cell>
          <cell r="R60">
            <v>667.76499999999999</v>
          </cell>
          <cell r="S60">
            <v>680.548</v>
          </cell>
          <cell r="T60">
            <v>659.57400000000007</v>
          </cell>
          <cell r="U60">
            <v>649.81500000000005</v>
          </cell>
          <cell r="V60">
            <v>622.14800000000002</v>
          </cell>
          <cell r="W60">
            <v>571.98299999999995</v>
          </cell>
          <cell r="X60">
            <v>543.36699999999996</v>
          </cell>
          <cell r="Y60">
            <v>545.03399999999999</v>
          </cell>
          <cell r="Z60">
            <v>559.69200000000001</v>
          </cell>
          <cell r="AA60">
            <v>579.56700000000001</v>
          </cell>
          <cell r="AB60">
            <v>583.92599999999993</v>
          </cell>
          <cell r="AC60">
            <v>569</v>
          </cell>
          <cell r="AD60">
            <v>504.74900000000002</v>
          </cell>
          <cell r="AE60">
            <v>491.75900000000001</v>
          </cell>
        </row>
        <row r="63">
          <cell r="R63">
            <v>5561</v>
          </cell>
          <cell r="S63">
            <v>5511</v>
          </cell>
          <cell r="T63">
            <v>5838</v>
          </cell>
          <cell r="U63">
            <v>5356</v>
          </cell>
          <cell r="V63">
            <v>5261</v>
          </cell>
          <cell r="W63">
            <v>5442</v>
          </cell>
          <cell r="X63">
            <v>5246</v>
          </cell>
          <cell r="Y63">
            <v>5046</v>
          </cell>
          <cell r="Z63">
            <v>5210</v>
          </cell>
          <cell r="AA63">
            <v>5741</v>
          </cell>
          <cell r="AB63">
            <v>5611</v>
          </cell>
          <cell r="AC63">
            <v>4441</v>
          </cell>
          <cell r="AD63">
            <v>4359</v>
          </cell>
          <cell r="AE63">
            <v>4070</v>
          </cell>
        </row>
        <row r="64">
          <cell r="R64">
            <v>471</v>
          </cell>
          <cell r="S64">
            <v>472</v>
          </cell>
          <cell r="T64">
            <v>532</v>
          </cell>
          <cell r="U64">
            <v>572</v>
          </cell>
          <cell r="V64">
            <v>511</v>
          </cell>
          <cell r="W64">
            <v>1141</v>
          </cell>
          <cell r="X64">
            <v>311</v>
          </cell>
          <cell r="Y64">
            <v>528</v>
          </cell>
          <cell r="Z64">
            <v>686</v>
          </cell>
          <cell r="AA64">
            <v>622</v>
          </cell>
          <cell r="AB64">
            <v>494</v>
          </cell>
          <cell r="AC64">
            <v>528</v>
          </cell>
          <cell r="AD64">
            <v>1</v>
          </cell>
          <cell r="AE64">
            <v>21</v>
          </cell>
        </row>
        <row r="65">
          <cell r="R65">
            <v>20517</v>
          </cell>
          <cell r="S65">
            <v>20752</v>
          </cell>
          <cell r="T65">
            <v>19820</v>
          </cell>
          <cell r="U65">
            <v>18901</v>
          </cell>
          <cell r="V65">
            <v>18107</v>
          </cell>
          <cell r="W65">
            <v>15947</v>
          </cell>
          <cell r="X65">
            <v>16534</v>
          </cell>
          <cell r="Y65">
            <v>15968</v>
          </cell>
          <cell r="Z65">
            <v>14992</v>
          </cell>
          <cell r="AA65">
            <v>14275</v>
          </cell>
          <cell r="AB65">
            <v>13733</v>
          </cell>
          <cell r="AC65">
            <v>14005</v>
          </cell>
          <cell r="AD65">
            <v>13118</v>
          </cell>
          <cell r="AE65">
            <v>11896</v>
          </cell>
        </row>
        <row r="66">
          <cell r="R66">
            <v>16784</v>
          </cell>
          <cell r="S66">
            <v>16968</v>
          </cell>
          <cell r="T66">
            <v>16248</v>
          </cell>
          <cell r="U66">
            <v>15603</v>
          </cell>
          <cell r="V66">
            <v>14433</v>
          </cell>
          <cell r="W66">
            <v>12367</v>
          </cell>
          <cell r="X66">
            <v>11875</v>
          </cell>
          <cell r="Y66">
            <v>11897</v>
          </cell>
          <cell r="Z66">
            <v>12704</v>
          </cell>
          <cell r="AA66">
            <v>13455</v>
          </cell>
          <cell r="AB66">
            <v>14273</v>
          </cell>
          <cell r="AC66">
            <v>14356</v>
          </cell>
          <cell r="AD66">
            <v>12445</v>
          </cell>
          <cell r="AE66">
            <v>12051</v>
          </cell>
        </row>
        <row r="67">
          <cell r="R67">
            <v>14657</v>
          </cell>
          <cell r="S67">
            <v>14498</v>
          </cell>
          <cell r="T67">
            <v>14353</v>
          </cell>
          <cell r="U67">
            <v>13734</v>
          </cell>
          <cell r="V67">
            <v>13209</v>
          </cell>
          <cell r="W67">
            <v>12665</v>
          </cell>
          <cell r="X67">
            <v>12555</v>
          </cell>
          <cell r="Y67">
            <v>12330</v>
          </cell>
          <cell r="Z67">
            <v>11864</v>
          </cell>
          <cell r="AA67">
            <v>12741</v>
          </cell>
          <cell r="AB67">
            <v>11430</v>
          </cell>
          <cell r="AC67">
            <v>12221</v>
          </cell>
          <cell r="AD67">
            <v>12099</v>
          </cell>
          <cell r="AE67">
            <v>11904</v>
          </cell>
        </row>
        <row r="68">
          <cell r="R68">
            <v>64864</v>
          </cell>
          <cell r="S68">
            <v>63666</v>
          </cell>
          <cell r="T68">
            <v>64446</v>
          </cell>
          <cell r="U68">
            <v>64955</v>
          </cell>
          <cell r="V68">
            <v>62868</v>
          </cell>
          <cell r="W68">
            <v>60760</v>
          </cell>
          <cell r="X68">
            <v>60488</v>
          </cell>
          <cell r="Y68">
            <v>59934</v>
          </cell>
          <cell r="Z68">
            <v>58992</v>
          </cell>
          <cell r="AA68">
            <v>59320</v>
          </cell>
          <cell r="AB68">
            <v>62434</v>
          </cell>
          <cell r="AC68">
            <v>62832</v>
          </cell>
          <cell r="AD68">
            <v>62266</v>
          </cell>
          <cell r="AE68">
            <v>62860</v>
          </cell>
        </row>
        <row r="69">
          <cell r="R69">
            <v>26496</v>
          </cell>
          <cell r="S69">
            <v>25874</v>
          </cell>
          <cell r="T69">
            <v>24842</v>
          </cell>
          <cell r="U69">
            <v>25486</v>
          </cell>
          <cell r="V69">
            <v>22660</v>
          </cell>
          <cell r="W69">
            <v>22153</v>
          </cell>
          <cell r="X69">
            <v>22029</v>
          </cell>
          <cell r="Y69">
            <v>22790</v>
          </cell>
          <cell r="Z69">
            <v>23420</v>
          </cell>
          <cell r="AA69">
            <v>23046</v>
          </cell>
          <cell r="AB69">
            <v>21291</v>
          </cell>
          <cell r="AC69">
            <v>19378</v>
          </cell>
          <cell r="AD69">
            <v>15880</v>
          </cell>
          <cell r="AE69">
            <v>15041</v>
          </cell>
        </row>
        <row r="70">
          <cell r="R70">
            <v>12252</v>
          </cell>
          <cell r="S70">
            <v>11657</v>
          </cell>
          <cell r="T70">
            <v>12130</v>
          </cell>
          <cell r="U70">
            <v>12879</v>
          </cell>
          <cell r="V70">
            <v>9662</v>
          </cell>
          <cell r="W70">
            <v>10770</v>
          </cell>
          <cell r="X70">
            <v>7440</v>
          </cell>
          <cell r="Y70">
            <v>10362</v>
          </cell>
          <cell r="Z70">
            <v>10507</v>
          </cell>
          <cell r="AA70">
            <v>9746</v>
          </cell>
          <cell r="AB70">
            <v>9142</v>
          </cell>
          <cell r="AC70">
            <v>8120</v>
          </cell>
          <cell r="AD70">
            <v>6428</v>
          </cell>
          <cell r="AE70">
            <v>6879</v>
          </cell>
        </row>
        <row r="71">
          <cell r="R71">
            <v>38812</v>
          </cell>
          <cell r="S71">
            <v>37565</v>
          </cell>
          <cell r="T71">
            <v>37205</v>
          </cell>
          <cell r="U71">
            <v>34589</v>
          </cell>
          <cell r="V71">
            <v>34285</v>
          </cell>
          <cell r="W71">
            <v>31009</v>
          </cell>
          <cell r="X71">
            <v>32445</v>
          </cell>
          <cell r="Y71">
            <v>30309</v>
          </cell>
          <cell r="Z71">
            <v>31736</v>
          </cell>
          <cell r="AA71">
            <v>33173</v>
          </cell>
          <cell r="AB71">
            <v>31198</v>
          </cell>
          <cell r="AC71">
            <v>26786</v>
          </cell>
          <cell r="AD71">
            <v>19729</v>
          </cell>
          <cell r="AE71">
            <v>18380</v>
          </cell>
        </row>
        <row r="72">
          <cell r="R72">
            <v>11310</v>
          </cell>
          <cell r="S72">
            <v>11351</v>
          </cell>
          <cell r="T72">
            <v>10908</v>
          </cell>
          <cell r="U72">
            <v>11080</v>
          </cell>
          <cell r="V72">
            <v>11527</v>
          </cell>
          <cell r="W72">
            <v>10644</v>
          </cell>
          <cell r="X72">
            <v>10047</v>
          </cell>
          <cell r="Y72">
            <v>9659</v>
          </cell>
          <cell r="Z72">
            <v>9617</v>
          </cell>
          <cell r="AA72">
            <v>9655</v>
          </cell>
          <cell r="AB72">
            <v>10137</v>
          </cell>
          <cell r="AC72">
            <v>10393</v>
          </cell>
          <cell r="AD72">
            <v>10385</v>
          </cell>
          <cell r="AE72">
            <v>10513</v>
          </cell>
        </row>
        <row r="73">
          <cell r="R73">
            <v>55429</v>
          </cell>
          <cell r="S73">
            <v>57601</v>
          </cell>
          <cell r="T73">
            <v>69099</v>
          </cell>
          <cell r="U73">
            <v>73302</v>
          </cell>
          <cell r="V73">
            <v>75464</v>
          </cell>
          <cell r="W73">
            <v>63198</v>
          </cell>
          <cell r="X73">
            <v>53968</v>
          </cell>
          <cell r="Y73">
            <v>53006</v>
          </cell>
          <cell r="Z73">
            <v>54157</v>
          </cell>
          <cell r="AA73">
            <v>56045</v>
          </cell>
          <cell r="AB73">
            <v>53965</v>
          </cell>
          <cell r="AC73">
            <v>50956</v>
          </cell>
          <cell r="AD73">
            <v>45309</v>
          </cell>
          <cell r="AE73">
            <v>44491</v>
          </cell>
        </row>
        <row r="74">
          <cell r="R74">
            <v>1969</v>
          </cell>
          <cell r="S74">
            <v>1920</v>
          </cell>
          <cell r="T74">
            <v>1820</v>
          </cell>
          <cell r="U74">
            <v>1906</v>
          </cell>
          <cell r="V74">
            <v>1506</v>
          </cell>
          <cell r="W74">
            <v>1223</v>
          </cell>
          <cell r="X74">
            <v>844</v>
          </cell>
          <cell r="Y74">
            <v>782</v>
          </cell>
          <cell r="Z74">
            <v>765</v>
          </cell>
          <cell r="AA74">
            <v>714</v>
          </cell>
          <cell r="AB74">
            <v>898</v>
          </cell>
          <cell r="AC74">
            <v>895</v>
          </cell>
          <cell r="AD74">
            <v>1130</v>
          </cell>
          <cell r="AE74">
            <v>1160</v>
          </cell>
        </row>
        <row r="75">
          <cell r="R75">
            <v>41716</v>
          </cell>
          <cell r="S75">
            <v>42787</v>
          </cell>
          <cell r="T75">
            <v>41996</v>
          </cell>
          <cell r="U75">
            <v>42475</v>
          </cell>
          <cell r="V75">
            <v>40521</v>
          </cell>
          <cell r="W75">
            <v>37406</v>
          </cell>
          <cell r="X75">
            <v>36377</v>
          </cell>
          <cell r="Y75">
            <v>38029</v>
          </cell>
          <cell r="Z75">
            <v>40003</v>
          </cell>
          <cell r="AA75">
            <v>41483</v>
          </cell>
          <cell r="AB75">
            <v>43588</v>
          </cell>
          <cell r="AC75">
            <v>44269</v>
          </cell>
          <cell r="AD75">
            <v>37338</v>
          </cell>
          <cell r="AE75">
            <v>36808</v>
          </cell>
        </row>
        <row r="76">
          <cell r="R76">
            <v>136196</v>
          </cell>
          <cell r="S76">
            <v>145117</v>
          </cell>
          <cell r="T76">
            <v>133689</v>
          </cell>
          <cell r="U76">
            <v>120895</v>
          </cell>
          <cell r="V76">
            <v>116259</v>
          </cell>
          <cell r="W76">
            <v>103705</v>
          </cell>
          <cell r="X76">
            <v>94377</v>
          </cell>
          <cell r="Y76">
            <v>92283</v>
          </cell>
          <cell r="Z76">
            <v>99083</v>
          </cell>
          <cell r="AA76">
            <v>109159</v>
          </cell>
          <cell r="AB76">
            <v>114018</v>
          </cell>
          <cell r="AC76">
            <v>113610</v>
          </cell>
          <cell r="AD76">
            <v>104792</v>
          </cell>
          <cell r="AE76">
            <v>102399</v>
          </cell>
        </row>
        <row r="77">
          <cell r="R77">
            <v>4522</v>
          </cell>
          <cell r="S77">
            <v>4417</v>
          </cell>
          <cell r="T77">
            <v>4358</v>
          </cell>
          <cell r="U77">
            <v>4131</v>
          </cell>
          <cell r="V77">
            <v>4143</v>
          </cell>
          <cell r="W77">
            <v>4491</v>
          </cell>
          <cell r="X77">
            <v>4541</v>
          </cell>
          <cell r="Y77">
            <v>3992</v>
          </cell>
          <cell r="Z77">
            <v>3894</v>
          </cell>
          <cell r="AA77">
            <v>3842</v>
          </cell>
          <cell r="AB77">
            <v>3986</v>
          </cell>
          <cell r="AC77">
            <v>4010</v>
          </cell>
          <cell r="AD77">
            <v>3788</v>
          </cell>
          <cell r="AE77">
            <v>3799</v>
          </cell>
        </row>
        <row r="78">
          <cell r="R78">
            <v>7719</v>
          </cell>
          <cell r="S78">
            <v>8266</v>
          </cell>
          <cell r="T78">
            <v>8083</v>
          </cell>
          <cell r="U78">
            <v>6149</v>
          </cell>
          <cell r="V78">
            <v>7395</v>
          </cell>
          <cell r="W78">
            <v>7256</v>
          </cell>
          <cell r="X78">
            <v>3020</v>
          </cell>
          <cell r="Y78">
            <v>2667</v>
          </cell>
          <cell r="Z78">
            <v>3108</v>
          </cell>
          <cell r="AA78">
            <v>3455</v>
          </cell>
          <cell r="AB78">
            <v>3252</v>
          </cell>
          <cell r="AC78">
            <v>2718</v>
          </cell>
          <cell r="AD78">
            <v>2714</v>
          </cell>
          <cell r="AE78">
            <v>3162</v>
          </cell>
        </row>
        <row r="79">
          <cell r="R79">
            <v>415</v>
          </cell>
          <cell r="S79">
            <v>438</v>
          </cell>
          <cell r="T79">
            <v>392</v>
          </cell>
          <cell r="U79">
            <v>289</v>
          </cell>
          <cell r="V79">
            <v>493</v>
          </cell>
          <cell r="W79">
            <v>465</v>
          </cell>
          <cell r="X79">
            <v>484</v>
          </cell>
          <cell r="Y79">
            <v>457</v>
          </cell>
          <cell r="Z79">
            <v>477</v>
          </cell>
          <cell r="AA79">
            <v>441</v>
          </cell>
          <cell r="AB79">
            <v>439</v>
          </cell>
          <cell r="AC79">
            <v>321</v>
          </cell>
          <cell r="AD79">
            <v>363</v>
          </cell>
          <cell r="AE79">
            <v>338</v>
          </cell>
        </row>
        <row r="80">
          <cell r="R80">
            <v>10704</v>
          </cell>
          <cell r="S80">
            <v>11187</v>
          </cell>
          <cell r="T80">
            <v>10829</v>
          </cell>
          <cell r="U80">
            <v>11239</v>
          </cell>
          <cell r="V80">
            <v>10120</v>
          </cell>
          <cell r="W80">
            <v>9916</v>
          </cell>
          <cell r="X80">
            <v>10325</v>
          </cell>
          <cell r="Y80">
            <v>10128</v>
          </cell>
          <cell r="Z80">
            <v>10274</v>
          </cell>
          <cell r="AA80">
            <v>11333</v>
          </cell>
          <cell r="AB80">
            <v>11574</v>
          </cell>
          <cell r="AC80">
            <v>12133</v>
          </cell>
          <cell r="AD80">
            <v>11425</v>
          </cell>
          <cell r="AE80">
            <v>11543</v>
          </cell>
        </row>
        <row r="81">
          <cell r="R81">
            <v>15915</v>
          </cell>
          <cell r="S81">
            <v>16513</v>
          </cell>
          <cell r="T81">
            <v>16722</v>
          </cell>
          <cell r="U81">
            <v>17285</v>
          </cell>
          <cell r="V81">
            <v>16260</v>
          </cell>
          <cell r="W81">
            <v>15733</v>
          </cell>
          <cell r="X81">
            <v>16244</v>
          </cell>
          <cell r="Y81">
            <v>18165</v>
          </cell>
          <cell r="Z81">
            <v>18418</v>
          </cell>
          <cell r="AA81">
            <v>19210</v>
          </cell>
          <cell r="AB81">
            <v>19936</v>
          </cell>
          <cell r="AC81">
            <v>18985</v>
          </cell>
          <cell r="AD81">
            <v>16540</v>
          </cell>
          <cell r="AE81">
            <v>15951</v>
          </cell>
        </row>
        <row r="82">
          <cell r="R82">
            <v>179937</v>
          </cell>
          <cell r="S82">
            <v>182930</v>
          </cell>
          <cell r="T82">
            <v>165785</v>
          </cell>
          <cell r="U82">
            <v>166299</v>
          </cell>
          <cell r="V82">
            <v>158635</v>
          </cell>
          <cell r="W82">
            <v>148754</v>
          </cell>
          <cell r="X82">
            <v>144987</v>
          </cell>
          <cell r="Y82">
            <v>147412</v>
          </cell>
          <cell r="Z82">
            <v>150939</v>
          </cell>
          <cell r="AA82">
            <v>153451</v>
          </cell>
          <cell r="AB82">
            <v>153455</v>
          </cell>
          <cell r="AC82">
            <v>148403</v>
          </cell>
          <cell r="AD82">
            <v>125607</v>
          </cell>
          <cell r="AE82">
            <v>119972</v>
          </cell>
        </row>
        <row r="83">
          <cell r="R83">
            <v>666246</v>
          </cell>
          <cell r="S83">
            <v>679490</v>
          </cell>
          <cell r="T83">
            <v>659095</v>
          </cell>
          <cell r="U83">
            <v>647125</v>
          </cell>
          <cell r="V83">
            <v>623319</v>
          </cell>
          <cell r="W83">
            <v>575045</v>
          </cell>
          <cell r="X83">
            <v>544137</v>
          </cell>
          <cell r="Y83">
            <v>545744</v>
          </cell>
          <cell r="Z83">
            <v>560846</v>
          </cell>
          <cell r="AA83">
            <v>580907</v>
          </cell>
          <cell r="AB83">
            <v>584854</v>
          </cell>
          <cell r="AC83">
            <v>569360</v>
          </cell>
          <cell r="AD83">
            <v>505716</v>
          </cell>
          <cell r="AE83">
            <v>493238</v>
          </cell>
        </row>
        <row r="84">
          <cell r="R84">
            <v>0.99772524765448922</v>
          </cell>
          <cell r="S84">
            <v>0.99844537049554183</v>
          </cell>
          <cell r="T84">
            <v>0.99927377367816184</v>
          </cell>
          <cell r="U84">
            <v>0.99586036025638069</v>
          </cell>
          <cell r="V84">
            <v>1.0018821888039502</v>
          </cell>
          <cell r="W84">
            <v>1.0053533059548974</v>
          </cell>
          <cell r="X84">
            <v>1.0014170901066866</v>
          </cell>
          <cell r="Y84">
            <v>1.0013026710260278</v>
          </cell>
          <cell r="Z84">
            <v>1.0020618483022805</v>
          </cell>
          <cell r="AA84">
            <v>1.002312070908109</v>
          </cell>
          <cell r="AB84">
            <v>1.0015892424725052</v>
          </cell>
          <cell r="AC84">
            <v>1.0006326889279438</v>
          </cell>
          <cell r="AD84">
            <v>1.0019158036964908</v>
          </cell>
          <cell r="AE84">
            <v>1.0030075707816226</v>
          </cell>
        </row>
      </sheetData>
      <sheetData sheetId="10">
        <row r="20">
          <cell r="H20">
            <v>420.90410493345433</v>
          </cell>
          <cell r="I20">
            <v>423.13679518832237</v>
          </cell>
          <cell r="J20">
            <v>394.67431530947567</v>
          </cell>
          <cell r="K20">
            <v>468.25061854804272</v>
          </cell>
          <cell r="L20">
            <v>344.52373444721451</v>
          </cell>
          <cell r="M20">
            <v>445.49503488725964</v>
          </cell>
          <cell r="N20">
            <v>348.28403706589631</v>
          </cell>
          <cell r="O20">
            <v>362.3397594571631</v>
          </cell>
          <cell r="P20">
            <v>371.606224056516</v>
          </cell>
          <cell r="Q20">
            <v>312.50970489313931</v>
          </cell>
          <cell r="R20">
            <v>335.2975740310236</v>
          </cell>
          <cell r="S20">
            <v>342.2055640259951</v>
          </cell>
          <cell r="T20">
            <v>402.99180686349803</v>
          </cell>
          <cell r="U20">
            <v>414.03797570414213</v>
          </cell>
          <cell r="V20">
            <v>389.97709928167609</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25.562876348592489</v>
          </cell>
          <cell r="I21">
            <v>25.698333253680506</v>
          </cell>
          <cell r="J21">
            <v>13.848576325371898</v>
          </cell>
          <cell r="K21">
            <v>28.066991307719697</v>
          </cell>
          <cell r="L21">
            <v>16.117144199118059</v>
          </cell>
          <cell r="M21">
            <v>37.124640142297991</v>
          </cell>
          <cell r="N21">
            <v>24.163570975730682</v>
          </cell>
          <cell r="O21">
            <v>20.725655611245173</v>
          </cell>
          <cell r="P21">
            <v>16.890770559431886</v>
          </cell>
          <cell r="Q21">
            <v>14.204568678363051</v>
          </cell>
          <cell r="R21">
            <v>15.240536736838072</v>
          </cell>
          <cell r="S21">
            <v>43.601175474442854</v>
          </cell>
          <cell r="T21">
            <v>51.34627945462649</v>
          </cell>
          <cell r="U21">
            <v>52.753693876351583</v>
          </cell>
          <cell r="V21">
            <v>49.688014634735822</v>
          </cell>
          <cell r="W21">
            <v>47.389006316911576</v>
          </cell>
          <cell r="X21">
            <v>39.719600078948531</v>
          </cell>
          <cell r="Y21">
            <v>42.946811008193642</v>
          </cell>
          <cell r="Z21">
            <v>42.912847331836325</v>
          </cell>
          <cell r="AA21">
            <v>45.360843253028662</v>
          </cell>
          <cell r="AB21">
            <v>43.780346509804978</v>
          </cell>
          <cell r="AC21">
            <v>37.521853433522573</v>
          </cell>
          <cell r="AD21">
            <v>21.874406648760488</v>
          </cell>
          <cell r="AE21">
            <v>28.568841979826072</v>
          </cell>
        </row>
        <row r="22">
          <cell r="G22">
            <v>148.09067407337858</v>
          </cell>
          <cell r="H22">
            <v>147.57241187782651</v>
          </cell>
          <cell r="I22">
            <v>148.35520903287315</v>
          </cell>
          <cell r="J22">
            <v>165.79860767185517</v>
          </cell>
          <cell r="K22">
            <v>173.03383335582868</v>
          </cell>
          <cell r="L22">
            <v>144.04017279599154</v>
          </cell>
          <cell r="M22">
            <v>167.02077778073459</v>
          </cell>
          <cell r="N22">
            <v>156.95175264438686</v>
          </cell>
          <cell r="O22">
            <v>159.76203940526821</v>
          </cell>
          <cell r="P22">
            <v>160.37081910472003</v>
          </cell>
          <cell r="Q22">
            <v>134.84041862377427</v>
          </cell>
          <cell r="R22">
            <v>144.66695632902375</v>
          </cell>
          <cell r="S22">
            <v>123.14160260115491</v>
          </cell>
          <cell r="T22">
            <v>145.02256658050578</v>
          </cell>
          <cell r="U22">
            <v>148.98487297542223</v>
          </cell>
          <cell r="V22">
            <v>140.3064744760587</v>
          </cell>
          <cell r="W22">
            <v>145.5638815883764</v>
          </cell>
          <cell r="X22">
            <v>115.86372571929033</v>
          </cell>
          <cell r="Y22">
            <v>125.98853086440919</v>
          </cell>
          <cell r="Z22">
            <v>141.5697676064546</v>
          </cell>
          <cell r="AA22">
            <v>139.73676861475923</v>
          </cell>
          <cell r="AB22">
            <v>137.37429289745472</v>
          </cell>
          <cell r="AC22">
            <v>118.55546948593621</v>
          </cell>
          <cell r="AD22">
            <v>121.9097195623316</v>
          </cell>
          <cell r="AE22">
            <v>123.60453687075486</v>
          </cell>
        </row>
        <row r="23">
          <cell r="G23">
            <v>285.87082646496032</v>
          </cell>
          <cell r="H23">
            <v>284.87051536995608</v>
          </cell>
          <cell r="I23">
            <v>286.38156346652335</v>
          </cell>
          <cell r="J23">
            <v>292.12065892251803</v>
          </cell>
          <cell r="K23">
            <v>295.25657380571096</v>
          </cell>
          <cell r="L23">
            <v>273.72255952617945</v>
          </cell>
          <cell r="M23">
            <v>296.99142911960104</v>
          </cell>
          <cell r="N23">
            <v>303.2728886913564</v>
          </cell>
          <cell r="O23">
            <v>305.80805486181697</v>
          </cell>
          <cell r="P23">
            <v>304.02727286374443</v>
          </cell>
          <cell r="Q23">
            <v>255.67266336902762</v>
          </cell>
          <cell r="R23">
            <v>274.31306879249058</v>
          </cell>
          <cell r="S23">
            <v>295.74791991806399</v>
          </cell>
          <cell r="T23">
            <v>348.28133891832391</v>
          </cell>
          <cell r="U23">
            <v>357.82579254635169</v>
          </cell>
          <cell r="V23">
            <v>337.03000536087393</v>
          </cell>
          <cell r="W23">
            <v>341.86317827135667</v>
          </cell>
          <cell r="X23">
            <v>297.0016363582576</v>
          </cell>
          <cell r="Y23">
            <v>256.94850517252331</v>
          </cell>
          <cell r="Z23">
            <v>276.85700974362169</v>
          </cell>
          <cell r="AA23">
            <v>297.90433494381182</v>
          </cell>
          <cell r="AB23">
            <v>295.22513781900727</v>
          </cell>
          <cell r="AC23">
            <v>265.07383573829964</v>
          </cell>
          <cell r="AD23">
            <v>267.25903800414943</v>
          </cell>
          <cell r="AE23">
            <v>299.10375236482099</v>
          </cell>
        </row>
        <row r="24">
          <cell r="G24">
            <v>881.99616063500446</v>
          </cell>
          <cell r="H24">
            <v>878.90990852982929</v>
          </cell>
          <cell r="I24">
            <v>883.57190094139946</v>
          </cell>
          <cell r="J24">
            <v>866.44215822922081</v>
          </cell>
          <cell r="K24">
            <v>964.60788783349199</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947.64197928500766</v>
          </cell>
          <cell r="U24">
            <v>973.60245291650426</v>
          </cell>
          <cell r="V24">
            <v>917.00158079266578</v>
          </cell>
          <cell r="W24">
            <v>926.19414624671435</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842.12418774695084</v>
          </cell>
        </row>
      </sheetData>
      <sheetData sheetId="11">
        <row r="20">
          <cell r="H20">
            <v>420.90410493345433</v>
          </cell>
          <cell r="I20">
            <v>423.13679518832231</v>
          </cell>
          <cell r="J20">
            <v>394.67431530947567</v>
          </cell>
          <cell r="K20">
            <v>468.25061854804272</v>
          </cell>
          <cell r="L20">
            <v>344.52373444721451</v>
          </cell>
          <cell r="M20">
            <v>445.49503488725958</v>
          </cell>
          <cell r="N20">
            <v>348.28403706589631</v>
          </cell>
          <cell r="O20">
            <v>362.3397594571631</v>
          </cell>
          <cell r="P20">
            <v>371.60622405651606</v>
          </cell>
          <cell r="Q20">
            <v>312.50970489313931</v>
          </cell>
          <cell r="R20">
            <v>335.29757403102366</v>
          </cell>
          <cell r="S20">
            <v>342.2055640259951</v>
          </cell>
          <cell r="T20">
            <v>402.99180686349797</v>
          </cell>
          <cell r="U20">
            <v>414.03797570414213</v>
          </cell>
          <cell r="V20">
            <v>389.97709928167603</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25.562876348592493</v>
          </cell>
          <cell r="I21">
            <v>25.698333253680506</v>
          </cell>
          <cell r="J21">
            <v>13.848576325371896</v>
          </cell>
          <cell r="K21">
            <v>28.066991307719693</v>
          </cell>
          <cell r="L21">
            <v>16.117144199118062</v>
          </cell>
          <cell r="M21">
            <v>37.124640142297984</v>
          </cell>
          <cell r="N21">
            <v>24.163570975730682</v>
          </cell>
          <cell r="O21">
            <v>20.725655611245173</v>
          </cell>
          <cell r="P21">
            <v>16.890770559431886</v>
          </cell>
          <cell r="Q21">
            <v>14.204568678363051</v>
          </cell>
          <cell r="R21">
            <v>15.240536736838074</v>
          </cell>
          <cell r="S21">
            <v>43.601175474442854</v>
          </cell>
          <cell r="T21">
            <v>51.34627945462649</v>
          </cell>
          <cell r="U21">
            <v>52.753693876351583</v>
          </cell>
          <cell r="V21">
            <v>49.688014634735815</v>
          </cell>
          <cell r="W21">
            <v>47.389006316911583</v>
          </cell>
          <cell r="X21">
            <v>39.719600078948538</v>
          </cell>
          <cell r="Y21">
            <v>42.946811008193649</v>
          </cell>
          <cell r="Z21">
            <v>42.912847331836332</v>
          </cell>
          <cell r="AA21">
            <v>45.360843253028669</v>
          </cell>
          <cell r="AB21">
            <v>43.780346509804978</v>
          </cell>
          <cell r="AC21">
            <v>37.521853433522573</v>
          </cell>
          <cell r="AD21">
            <v>21.874406648760488</v>
          </cell>
          <cell r="AE21">
            <v>28.568841979826072</v>
          </cell>
        </row>
        <row r="22">
          <cell r="G22">
            <v>148.09067407337858</v>
          </cell>
          <cell r="H22">
            <v>147.57241187782651</v>
          </cell>
          <cell r="I22">
            <v>148.35520903287318</v>
          </cell>
          <cell r="J22">
            <v>165.79860767185514</v>
          </cell>
          <cell r="K22">
            <v>173.03383335582868</v>
          </cell>
          <cell r="L22">
            <v>144.04017279599154</v>
          </cell>
          <cell r="M22">
            <v>167.02077778073456</v>
          </cell>
          <cell r="N22">
            <v>156.95175264438686</v>
          </cell>
          <cell r="O22">
            <v>159.76203940526821</v>
          </cell>
          <cell r="P22">
            <v>160.37081910472</v>
          </cell>
          <cell r="Q22">
            <v>134.84041862377427</v>
          </cell>
          <cell r="R22">
            <v>144.66695632902378</v>
          </cell>
          <cell r="S22">
            <v>123.14160260115491</v>
          </cell>
          <cell r="T22">
            <v>145.02256658050578</v>
          </cell>
          <cell r="U22">
            <v>148.98487297542223</v>
          </cell>
          <cell r="V22">
            <v>140.30647447605867</v>
          </cell>
          <cell r="W22">
            <v>145.56388158837643</v>
          </cell>
          <cell r="X22">
            <v>115.86372571929033</v>
          </cell>
          <cell r="Y22">
            <v>125.98853086440919</v>
          </cell>
          <cell r="Z22">
            <v>141.5697676064546</v>
          </cell>
          <cell r="AA22">
            <v>139.7367686147592</v>
          </cell>
          <cell r="AB22">
            <v>137.37429289745472</v>
          </cell>
          <cell r="AC22">
            <v>118.55546948593621</v>
          </cell>
          <cell r="AD22">
            <v>121.90971956233162</v>
          </cell>
          <cell r="AE22">
            <v>123.60453687075486</v>
          </cell>
        </row>
        <row r="23">
          <cell r="G23">
            <v>285.87082646496026</v>
          </cell>
          <cell r="H23">
            <v>284.87051536995608</v>
          </cell>
          <cell r="I23">
            <v>286.38156346652335</v>
          </cell>
          <cell r="J23">
            <v>292.12065892251798</v>
          </cell>
          <cell r="K23">
            <v>295.2565738057109</v>
          </cell>
          <cell r="L23">
            <v>273.72255952617945</v>
          </cell>
          <cell r="M23">
            <v>296.99142911960104</v>
          </cell>
          <cell r="N23">
            <v>303.27288869135646</v>
          </cell>
          <cell r="O23">
            <v>305.80805486181691</v>
          </cell>
          <cell r="P23">
            <v>304.02727286374443</v>
          </cell>
          <cell r="Q23">
            <v>255.67266336902762</v>
          </cell>
          <cell r="R23">
            <v>274.31306879249058</v>
          </cell>
          <cell r="S23">
            <v>295.74791991806393</v>
          </cell>
          <cell r="T23">
            <v>348.28133891832385</v>
          </cell>
          <cell r="U23">
            <v>357.82579254635169</v>
          </cell>
          <cell r="V23">
            <v>337.03000536087387</v>
          </cell>
          <cell r="W23">
            <v>341.86317827135667</v>
          </cell>
          <cell r="X23">
            <v>297.0016363582576</v>
          </cell>
          <cell r="Y23">
            <v>256.94850517252331</v>
          </cell>
          <cell r="Z23">
            <v>276.85700974362169</v>
          </cell>
          <cell r="AA23">
            <v>297.90433494381182</v>
          </cell>
          <cell r="AB23">
            <v>295.22513781900722</v>
          </cell>
          <cell r="AC23">
            <v>265.07383573829964</v>
          </cell>
          <cell r="AD23">
            <v>267.25903800414949</v>
          </cell>
          <cell r="AE23">
            <v>299.10375236482099</v>
          </cell>
        </row>
        <row r="24">
          <cell r="G24">
            <v>881.99616063500446</v>
          </cell>
          <cell r="H24">
            <v>878.90990852982941</v>
          </cell>
          <cell r="I24">
            <v>883.57190094139935</v>
          </cell>
          <cell r="J24">
            <v>866.44215822922069</v>
          </cell>
          <cell r="K24">
            <v>964.60788783349187</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947.64197928500778</v>
          </cell>
          <cell r="U24">
            <v>973.60245291650426</v>
          </cell>
          <cell r="V24">
            <v>917.00158079266578</v>
          </cell>
          <cell r="W24">
            <v>926.19414624671447</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842.12418774695072</v>
          </cell>
        </row>
        <row r="50">
          <cell r="G50">
            <v>1988</v>
          </cell>
          <cell r="H50">
            <v>1989</v>
          </cell>
          <cell r="I50">
            <v>1990</v>
          </cell>
          <cell r="J50">
            <v>1991</v>
          </cell>
          <cell r="K50">
            <v>1992</v>
          </cell>
          <cell r="L50">
            <v>1993</v>
          </cell>
          <cell r="M50">
            <v>1994</v>
          </cell>
          <cell r="N50">
            <v>1995</v>
          </cell>
          <cell r="O50">
            <v>1996</v>
          </cell>
          <cell r="P50">
            <v>1997</v>
          </cell>
          <cell r="Q50">
            <v>1998</v>
          </cell>
          <cell r="R50">
            <v>1999</v>
          </cell>
          <cell r="S50">
            <v>2000</v>
          </cell>
          <cell r="T50">
            <v>2001</v>
          </cell>
          <cell r="U50">
            <v>2002</v>
          </cell>
          <cell r="V50">
            <v>2003</v>
          </cell>
          <cell r="W50">
            <v>2004</v>
          </cell>
          <cell r="X50">
            <v>2005</v>
          </cell>
          <cell r="Y50">
            <v>2006</v>
          </cell>
          <cell r="Z50">
            <v>2007</v>
          </cell>
          <cell r="AA50">
            <v>2008</v>
          </cell>
          <cell r="AB50">
            <v>2009</v>
          </cell>
          <cell r="AC50">
            <v>2010</v>
          </cell>
          <cell r="AD50">
            <v>2011</v>
          </cell>
          <cell r="AE50">
            <v>2012</v>
          </cell>
        </row>
        <row r="51">
          <cell r="G51">
            <v>422.38208634660771</v>
          </cell>
          <cell r="H51">
            <v>420.90410493345433</v>
          </cell>
          <cell r="I51">
            <v>423.13679518832231</v>
          </cell>
          <cell r="J51">
            <v>394.67431530947567</v>
          </cell>
          <cell r="K51">
            <v>468.25061854804272</v>
          </cell>
          <cell r="L51">
            <v>344.52373444721451</v>
          </cell>
          <cell r="M51">
            <v>445.49503488725958</v>
          </cell>
          <cell r="N51">
            <v>348.28403706589631</v>
          </cell>
          <cell r="O51">
            <v>362.3397594571631</v>
          </cell>
          <cell r="P51">
            <v>371.60622405651606</v>
          </cell>
          <cell r="Q51">
            <v>312.50970489313931</v>
          </cell>
          <cell r="R51">
            <v>335.29757403102366</v>
          </cell>
          <cell r="S51">
            <v>342.2055640259951</v>
          </cell>
          <cell r="T51">
            <v>402.99180686349797</v>
          </cell>
          <cell r="U51">
            <v>414.03797570414213</v>
          </cell>
          <cell r="V51">
            <v>389.97709928167603</v>
          </cell>
          <cell r="W51">
            <v>391.37822136142915</v>
          </cell>
          <cell r="X51">
            <v>293.2540267496567</v>
          </cell>
          <cell r="Y51">
            <v>312.26727082893217</v>
          </cell>
          <cell r="Z51">
            <v>358.48883909919152</v>
          </cell>
          <cell r="AA51">
            <v>360.66110448832524</v>
          </cell>
          <cell r="AB51">
            <v>326.86508800620044</v>
          </cell>
          <cell r="AC51">
            <v>307.34855388727095</v>
          </cell>
          <cell r="AD51">
            <v>315.74630914426245</v>
          </cell>
          <cell r="AE51">
            <v>390.84711724540011</v>
          </cell>
        </row>
        <row r="52">
          <cell r="G52">
            <v>25.652573750057851</v>
          </cell>
          <cell r="H52">
            <v>25.562876348592493</v>
          </cell>
          <cell r="I52">
            <v>25.698333253680506</v>
          </cell>
          <cell r="J52">
            <v>13.848576325371896</v>
          </cell>
          <cell r="K52">
            <v>28.066991307719693</v>
          </cell>
          <cell r="L52">
            <v>16.117144199118062</v>
          </cell>
          <cell r="M52">
            <v>37.124640142297984</v>
          </cell>
          <cell r="N52">
            <v>24.163570975730682</v>
          </cell>
          <cell r="O52">
            <v>20.725655611245173</v>
          </cell>
          <cell r="P52">
            <v>16.890770559431886</v>
          </cell>
          <cell r="Q52">
            <v>14.204568678363051</v>
          </cell>
          <cell r="R52">
            <v>15.240536736838074</v>
          </cell>
          <cell r="S52">
            <v>43.601175474442854</v>
          </cell>
          <cell r="T52">
            <v>51.34627945462649</v>
          </cell>
          <cell r="U52">
            <v>52.753693876351583</v>
          </cell>
          <cell r="V52">
            <v>49.688014634735815</v>
          </cell>
          <cell r="W52">
            <v>47.389006316911583</v>
          </cell>
          <cell r="X52">
            <v>39.719600078948538</v>
          </cell>
          <cell r="Y52">
            <v>42.946811008193649</v>
          </cell>
          <cell r="Z52">
            <v>42.912847331836332</v>
          </cell>
          <cell r="AA52">
            <v>45.360843253028669</v>
          </cell>
          <cell r="AB52">
            <v>43.780346509804978</v>
          </cell>
          <cell r="AC52">
            <v>37.521853433522573</v>
          </cell>
          <cell r="AD52">
            <v>21.874406648760488</v>
          </cell>
          <cell r="AE52">
            <v>28.568841979826072</v>
          </cell>
        </row>
        <row r="53">
          <cell r="G53">
            <v>148.09067407337858</v>
          </cell>
          <cell r="H53">
            <v>147.57241187782651</v>
          </cell>
          <cell r="I53">
            <v>148.35520903287318</v>
          </cell>
          <cell r="J53">
            <v>165.79860767185514</v>
          </cell>
          <cell r="K53">
            <v>173.03383335582868</v>
          </cell>
          <cell r="L53">
            <v>144.04017279599154</v>
          </cell>
          <cell r="M53">
            <v>167.02077778073456</v>
          </cell>
          <cell r="N53">
            <v>156.95175264438686</v>
          </cell>
          <cell r="O53">
            <v>159.76203940526821</v>
          </cell>
          <cell r="P53">
            <v>160.37081910472</v>
          </cell>
          <cell r="Q53">
            <v>134.84041862377427</v>
          </cell>
          <cell r="R53">
            <v>144.66695632902378</v>
          </cell>
          <cell r="S53">
            <v>123.14160260115491</v>
          </cell>
          <cell r="T53">
            <v>145.02256658050578</v>
          </cell>
          <cell r="U53">
            <v>148.98487297542223</v>
          </cell>
          <cell r="V53">
            <v>140.30647447605867</v>
          </cell>
          <cell r="W53">
            <v>145.56388158837643</v>
          </cell>
          <cell r="X53">
            <v>115.86372571929033</v>
          </cell>
          <cell r="Y53">
            <v>125.98853086440919</v>
          </cell>
          <cell r="Z53">
            <v>141.5697676064546</v>
          </cell>
          <cell r="AA53">
            <v>139.7367686147592</v>
          </cell>
          <cell r="AB53">
            <v>137.37429289745472</v>
          </cell>
          <cell r="AC53">
            <v>118.55546948593621</v>
          </cell>
          <cell r="AD53">
            <v>121.90971956233162</v>
          </cell>
          <cell r="AE53">
            <v>123.60453687075486</v>
          </cell>
        </row>
        <row r="54">
          <cell r="G54">
            <v>285.87082646496026</v>
          </cell>
          <cell r="H54">
            <v>284.87051536995608</v>
          </cell>
          <cell r="I54">
            <v>286.38156346652335</v>
          </cell>
          <cell r="J54">
            <v>292.12065892251798</v>
          </cell>
          <cell r="K54">
            <v>295.2565738057109</v>
          </cell>
          <cell r="L54">
            <v>273.72255952617945</v>
          </cell>
          <cell r="M54">
            <v>296.99142911960104</v>
          </cell>
          <cell r="N54">
            <v>303.27288869135646</v>
          </cell>
          <cell r="O54">
            <v>305.80805486181691</v>
          </cell>
          <cell r="P54">
            <v>304.02727286374443</v>
          </cell>
          <cell r="Q54">
            <v>255.67266336902762</v>
          </cell>
          <cell r="R54">
            <v>274.31306879249058</v>
          </cell>
          <cell r="S54">
            <v>295.74791991806393</v>
          </cell>
          <cell r="T54">
            <v>348.28133891832385</v>
          </cell>
          <cell r="U54">
            <v>357.82579254635169</v>
          </cell>
          <cell r="V54">
            <v>337.03000536087387</v>
          </cell>
          <cell r="W54">
            <v>341.86317827135667</v>
          </cell>
          <cell r="X54">
            <v>297.0016363582576</v>
          </cell>
          <cell r="Y54">
            <v>256.94850517252331</v>
          </cell>
          <cell r="Z54">
            <v>276.85700974362169</v>
          </cell>
          <cell r="AA54">
            <v>297.90433494381182</v>
          </cell>
          <cell r="AB54">
            <v>295.22513781900722</v>
          </cell>
          <cell r="AC54">
            <v>265.07383573829964</v>
          </cell>
          <cell r="AD54">
            <v>267.25903800414949</v>
          </cell>
          <cell r="AE54">
            <v>299.10375236482099</v>
          </cell>
        </row>
        <row r="55">
          <cell r="G55">
            <v>881.99616063500446</v>
          </cell>
          <cell r="H55">
            <v>878.90990852982941</v>
          </cell>
          <cell r="I55">
            <v>883.57190094139935</v>
          </cell>
          <cell r="J55">
            <v>866.44215822922069</v>
          </cell>
          <cell r="K55">
            <v>964.60788783349187</v>
          </cell>
          <cell r="L55">
            <v>778.40348106905492</v>
          </cell>
          <cell r="M55">
            <v>946.6318819298931</v>
          </cell>
          <cell r="N55">
            <v>832.67224937737035</v>
          </cell>
          <cell r="O55">
            <v>848.63549634990864</v>
          </cell>
          <cell r="P55">
            <v>852.89507384849344</v>
          </cell>
          <cell r="Q55">
            <v>717.22734293522569</v>
          </cell>
          <cell r="R55">
            <v>769.51812330024813</v>
          </cell>
          <cell r="S55">
            <v>804.69619959655552</v>
          </cell>
          <cell r="T55">
            <v>947.64197928500778</v>
          </cell>
          <cell r="U55">
            <v>973.60245291650426</v>
          </cell>
          <cell r="V55">
            <v>917.00158079266578</v>
          </cell>
          <cell r="W55">
            <v>926.19414624671447</v>
          </cell>
          <cell r="X55">
            <v>745.8391027960281</v>
          </cell>
          <cell r="Y55">
            <v>738.15110558736103</v>
          </cell>
          <cell r="Z55">
            <v>819.82857199685373</v>
          </cell>
          <cell r="AA55">
            <v>843.66301387825172</v>
          </cell>
          <cell r="AB55">
            <v>803.24492655162635</v>
          </cell>
          <cell r="AC55">
            <v>728.49965144856913</v>
          </cell>
          <cell r="AD55">
            <v>726.78953384067529</v>
          </cell>
          <cell r="AE55">
            <v>842.12418774695072</v>
          </cell>
        </row>
      </sheetData>
      <sheetData sheetId="12">
        <row r="20">
          <cell r="H20">
            <v>420.90410493345433</v>
          </cell>
          <cell r="I20">
            <v>423.13679518832231</v>
          </cell>
          <cell r="J20">
            <v>394.67431530947567</v>
          </cell>
          <cell r="K20">
            <v>468.25061854804272</v>
          </cell>
          <cell r="L20">
            <v>344.52373444721451</v>
          </cell>
          <cell r="M20">
            <v>445.49503488725958</v>
          </cell>
          <cell r="N20">
            <v>348.28403706589631</v>
          </cell>
          <cell r="O20">
            <v>362.3397594571631</v>
          </cell>
          <cell r="P20">
            <v>371.60622405651606</v>
          </cell>
          <cell r="Q20">
            <v>312.50970489313931</v>
          </cell>
          <cell r="R20">
            <v>335.29757403102366</v>
          </cell>
          <cell r="S20">
            <v>342.2055640259951</v>
          </cell>
          <cell r="T20">
            <v>402.99180686349797</v>
          </cell>
          <cell r="U20">
            <v>414.03797570414213</v>
          </cell>
          <cell r="V20">
            <v>389.97709928167603</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25.562876348592493</v>
          </cell>
          <cell r="I21">
            <v>25.698333253680506</v>
          </cell>
          <cell r="J21">
            <v>13.848576325371896</v>
          </cell>
          <cell r="K21">
            <v>28.066991307719693</v>
          </cell>
          <cell r="L21">
            <v>16.117144199118062</v>
          </cell>
          <cell r="M21">
            <v>37.124640142297984</v>
          </cell>
          <cell r="N21">
            <v>24.163570975730682</v>
          </cell>
          <cell r="O21">
            <v>20.725655611245173</v>
          </cell>
          <cell r="P21">
            <v>16.890770559431886</v>
          </cell>
          <cell r="Q21">
            <v>14.204568678363051</v>
          </cell>
          <cell r="R21">
            <v>15.240536736838074</v>
          </cell>
          <cell r="S21">
            <v>43.601175474442854</v>
          </cell>
          <cell r="T21">
            <v>51.34627945462649</v>
          </cell>
          <cell r="U21">
            <v>52.753693876351583</v>
          </cell>
          <cell r="V21">
            <v>49.688014634735815</v>
          </cell>
          <cell r="W21">
            <v>47.389006316911583</v>
          </cell>
          <cell r="X21">
            <v>39.719600078948538</v>
          </cell>
          <cell r="Y21">
            <v>42.946811008193649</v>
          </cell>
          <cell r="Z21">
            <v>42.912847331836332</v>
          </cell>
          <cell r="AA21">
            <v>45.360843253028669</v>
          </cell>
          <cell r="AB21">
            <v>43.780346509804978</v>
          </cell>
          <cell r="AC21">
            <v>37.521853433522573</v>
          </cell>
          <cell r="AD21">
            <v>21.874406648760488</v>
          </cell>
          <cell r="AE21">
            <v>28.568841979826072</v>
          </cell>
        </row>
        <row r="22">
          <cell r="G22">
            <v>148.09067407337858</v>
          </cell>
          <cell r="H22">
            <v>147.57241187782651</v>
          </cell>
          <cell r="I22">
            <v>148.35520903287318</v>
          </cell>
          <cell r="J22">
            <v>165.79860767185514</v>
          </cell>
          <cell r="K22">
            <v>173.03383335582868</v>
          </cell>
          <cell r="L22">
            <v>144.04017279599154</v>
          </cell>
          <cell r="M22">
            <v>167.02077778073456</v>
          </cell>
          <cell r="N22">
            <v>156.95175264438686</v>
          </cell>
          <cell r="O22">
            <v>159.76203940526821</v>
          </cell>
          <cell r="P22">
            <v>160.37081910472</v>
          </cell>
          <cell r="Q22">
            <v>134.84041862377427</v>
          </cell>
          <cell r="R22">
            <v>144.66695632902378</v>
          </cell>
          <cell r="S22">
            <v>123.14160260115491</v>
          </cell>
          <cell r="T22">
            <v>145.02256658050578</v>
          </cell>
          <cell r="U22">
            <v>148.98487297542223</v>
          </cell>
          <cell r="V22">
            <v>140.30647447605867</v>
          </cell>
          <cell r="W22">
            <v>145.56388158837643</v>
          </cell>
          <cell r="X22">
            <v>115.86372571929033</v>
          </cell>
          <cell r="Y22">
            <v>125.98853086440919</v>
          </cell>
          <cell r="Z22">
            <v>141.5697676064546</v>
          </cell>
          <cell r="AA22">
            <v>139.7367686147592</v>
          </cell>
          <cell r="AB22">
            <v>137.37429289745472</v>
          </cell>
          <cell r="AC22">
            <v>118.55546948593621</v>
          </cell>
          <cell r="AD22">
            <v>121.90971956233162</v>
          </cell>
          <cell r="AE22">
            <v>123.60453687075486</v>
          </cell>
        </row>
        <row r="23">
          <cell r="G23">
            <v>285.87082646496026</v>
          </cell>
          <cell r="H23">
            <v>284.87051536995608</v>
          </cell>
          <cell r="I23">
            <v>286.38156346652335</v>
          </cell>
          <cell r="J23">
            <v>292.12065892251798</v>
          </cell>
          <cell r="K23">
            <v>295.2565738057109</v>
          </cell>
          <cell r="L23">
            <v>273.72255952617945</v>
          </cell>
          <cell r="M23">
            <v>296.99142911960104</v>
          </cell>
          <cell r="N23">
            <v>303.27288869135646</v>
          </cell>
          <cell r="O23">
            <v>305.80805486181691</v>
          </cell>
          <cell r="P23">
            <v>304.02727286374443</v>
          </cell>
          <cell r="Q23">
            <v>255.67266336902762</v>
          </cell>
          <cell r="R23">
            <v>274.31306879249058</v>
          </cell>
          <cell r="S23">
            <v>295.74791991806393</v>
          </cell>
          <cell r="T23">
            <v>348.28133891832385</v>
          </cell>
          <cell r="U23">
            <v>357.82579254635169</v>
          </cell>
          <cell r="V23">
            <v>337.03000536087387</v>
          </cell>
          <cell r="W23">
            <v>341.86317827135667</v>
          </cell>
          <cell r="X23">
            <v>297.0016363582576</v>
          </cell>
          <cell r="Y23">
            <v>256.94850517252331</v>
          </cell>
          <cell r="Z23">
            <v>276.85700974362169</v>
          </cell>
          <cell r="AA23">
            <v>297.90433494381182</v>
          </cell>
          <cell r="AB23">
            <v>295.22513781900722</v>
          </cell>
          <cell r="AC23">
            <v>265.07383573829964</v>
          </cell>
          <cell r="AD23">
            <v>267.25903800414949</v>
          </cell>
          <cell r="AE23">
            <v>299.10375236482099</v>
          </cell>
        </row>
        <row r="24">
          <cell r="G24">
            <v>881.99616063500446</v>
          </cell>
          <cell r="H24">
            <v>878.90990852982941</v>
          </cell>
          <cell r="I24">
            <v>883.57190094139935</v>
          </cell>
          <cell r="J24">
            <v>866.44215822922069</v>
          </cell>
          <cell r="K24">
            <v>964.60788783349187</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947.64197928500778</v>
          </cell>
          <cell r="U24">
            <v>973.60245291650426</v>
          </cell>
          <cell r="V24">
            <v>917.00158079266578</v>
          </cell>
          <cell r="W24">
            <v>926.19414624671447</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842.12418774695072</v>
          </cell>
        </row>
      </sheetData>
      <sheetData sheetId="13"/>
      <sheetData sheetId="14"/>
      <sheetData sheetId="15"/>
      <sheetData sheetId="16">
        <row r="21">
          <cell r="G21" t="str">
            <v>Number_of_Circuits</v>
          </cell>
          <cell r="H21" t="str">
            <v>Pos_Rel</v>
          </cell>
          <cell r="I21" t="str">
            <v>ID</v>
          </cell>
        </row>
        <row r="22">
          <cell r="G22">
            <v>2</v>
          </cell>
          <cell r="H22" t="str">
            <v>Within 1 mile</v>
          </cell>
          <cell r="I22">
            <v>3337427414</v>
          </cell>
        </row>
        <row r="23">
          <cell r="G23">
            <v>1</v>
          </cell>
          <cell r="H23" t="str">
            <v>Within 1 mile</v>
          </cell>
          <cell r="I23">
            <v>3342618410</v>
          </cell>
        </row>
        <row r="24">
          <cell r="G24">
            <v>2</v>
          </cell>
          <cell r="H24" t="str">
            <v>Within 1 mile</v>
          </cell>
          <cell r="I24">
            <v>3352749805</v>
          </cell>
        </row>
        <row r="25">
          <cell r="G25">
            <v>2</v>
          </cell>
          <cell r="H25" t="str">
            <v>Not verified to be within 1 mile</v>
          </cell>
          <cell r="I25">
            <v>3349560210</v>
          </cell>
        </row>
        <row r="26">
          <cell r="G26">
            <v>1</v>
          </cell>
          <cell r="H26" t="str">
            <v>Not verified to be within 1 mile</v>
          </cell>
          <cell r="I26">
            <v>3349560228</v>
          </cell>
        </row>
        <row r="27">
          <cell r="G27">
            <v>2</v>
          </cell>
          <cell r="H27" t="str">
            <v>Not verified to be within 1 mile</v>
          </cell>
          <cell r="I27">
            <v>3349560223</v>
          </cell>
        </row>
        <row r="28">
          <cell r="G28">
            <v>1</v>
          </cell>
          <cell r="H28" t="str">
            <v>Within 165 feet</v>
          </cell>
          <cell r="I28">
            <v>3342618062</v>
          </cell>
        </row>
        <row r="29">
          <cell r="G29">
            <v>5</v>
          </cell>
          <cell r="H29" t="str">
            <v>Within 165 feet</v>
          </cell>
          <cell r="I29">
            <v>3349559673</v>
          </cell>
        </row>
        <row r="30">
          <cell r="G30">
            <v>7</v>
          </cell>
          <cell r="H30" t="str">
            <v>Within 165 feet</v>
          </cell>
          <cell r="I30">
            <v>3337405809</v>
          </cell>
        </row>
        <row r="31">
          <cell r="G31">
            <v>4</v>
          </cell>
          <cell r="H31" t="str">
            <v>Within 40 feet</v>
          </cell>
          <cell r="I31">
            <v>3337405811</v>
          </cell>
        </row>
        <row r="32">
          <cell r="G32">
            <v>4</v>
          </cell>
          <cell r="H32" t="str">
            <v>Within 1 mile</v>
          </cell>
          <cell r="I32">
            <v>3337405841</v>
          </cell>
        </row>
        <row r="33">
          <cell r="G33">
            <v>3</v>
          </cell>
          <cell r="H33" t="str">
            <v>Within 165 feet</v>
          </cell>
          <cell r="I33">
            <v>3337405851</v>
          </cell>
        </row>
        <row r="34">
          <cell r="G34">
            <v>1</v>
          </cell>
          <cell r="H34" t="str">
            <v>Within 1 mile</v>
          </cell>
          <cell r="I34">
            <v>3352750258</v>
          </cell>
        </row>
        <row r="35">
          <cell r="G35">
            <v>8</v>
          </cell>
          <cell r="H35" t="str">
            <v>Within 165 feet</v>
          </cell>
          <cell r="I35">
            <v>3337405875</v>
          </cell>
        </row>
        <row r="36">
          <cell r="G36">
            <v>6</v>
          </cell>
          <cell r="H36" t="str">
            <v>Within 165 feet</v>
          </cell>
          <cell r="I36">
            <v>3337405876</v>
          </cell>
        </row>
        <row r="37">
          <cell r="G37">
            <v>2</v>
          </cell>
          <cell r="H37" t="str">
            <v>Within 165 feet</v>
          </cell>
          <cell r="I37">
            <v>3342618042</v>
          </cell>
        </row>
        <row r="38">
          <cell r="G38">
            <v>4</v>
          </cell>
          <cell r="H38" t="str">
            <v>Within 1 mile</v>
          </cell>
          <cell r="I38">
            <v>3365669816</v>
          </cell>
        </row>
        <row r="39">
          <cell r="G39">
            <v>3</v>
          </cell>
          <cell r="H39" t="str">
            <v>Within 40 feet</v>
          </cell>
          <cell r="I39">
            <v>3337405945</v>
          </cell>
        </row>
        <row r="40">
          <cell r="G40">
            <v>2</v>
          </cell>
          <cell r="H40" t="str">
            <v>Within 1 mile</v>
          </cell>
          <cell r="I40">
            <v>3337428205</v>
          </cell>
        </row>
        <row r="41">
          <cell r="G41">
            <v>2</v>
          </cell>
          <cell r="H41" t="str">
            <v>Not Verified to be within 1 mile</v>
          </cell>
          <cell r="I41">
            <v>3342618238</v>
          </cell>
        </row>
        <row r="42">
          <cell r="G42">
            <v>2</v>
          </cell>
          <cell r="H42" t="str">
            <v>Not Verified to be within 1 mile</v>
          </cell>
          <cell r="I42">
            <v>3342618215</v>
          </cell>
        </row>
        <row r="43">
          <cell r="G43">
            <v>3</v>
          </cell>
          <cell r="H43" t="str">
            <v>Within 1 mile</v>
          </cell>
          <cell r="I43">
            <v>3337405994</v>
          </cell>
        </row>
        <row r="44">
          <cell r="G44">
            <v>1</v>
          </cell>
          <cell r="H44" t="str">
            <v>Within 40 feet</v>
          </cell>
          <cell r="I44">
            <v>3349559578</v>
          </cell>
        </row>
        <row r="45">
          <cell r="G45">
            <v>3</v>
          </cell>
          <cell r="H45" t="str">
            <v>Not Verified to be within 1 mile</v>
          </cell>
          <cell r="I45">
            <v>3342618203</v>
          </cell>
        </row>
        <row r="46">
          <cell r="G46">
            <v>8</v>
          </cell>
          <cell r="H46" t="str">
            <v>Within 165 feet</v>
          </cell>
          <cell r="I46">
            <v>3337406029</v>
          </cell>
        </row>
        <row r="47">
          <cell r="G47">
            <v>6</v>
          </cell>
          <cell r="H47" t="str">
            <v>Within 40 feet</v>
          </cell>
          <cell r="I47">
            <v>3337406039</v>
          </cell>
        </row>
        <row r="48">
          <cell r="G48">
            <v>5</v>
          </cell>
          <cell r="H48" t="str">
            <v>Within 40 feet</v>
          </cell>
          <cell r="I48">
            <v>3337427457</v>
          </cell>
        </row>
        <row r="49">
          <cell r="G49">
            <v>3</v>
          </cell>
          <cell r="H49" t="str">
            <v>Within 40 feet</v>
          </cell>
          <cell r="I49">
            <v>3352750139</v>
          </cell>
        </row>
        <row r="50">
          <cell r="G50">
            <v>1</v>
          </cell>
          <cell r="H50" t="str">
            <v>Within 40 feet</v>
          </cell>
          <cell r="I50">
            <v>3352750138</v>
          </cell>
        </row>
        <row r="51">
          <cell r="G51">
            <v>1</v>
          </cell>
          <cell r="H51" t="str">
            <v>Not Verified to be within 1 mile</v>
          </cell>
          <cell r="I51">
            <v>3342618050</v>
          </cell>
        </row>
        <row r="52">
          <cell r="G52">
            <v>5</v>
          </cell>
          <cell r="H52" t="str">
            <v>Within 165 feet</v>
          </cell>
          <cell r="I52">
            <v>3337406065</v>
          </cell>
        </row>
        <row r="53">
          <cell r="G53">
            <v>1</v>
          </cell>
          <cell r="H53" t="str">
            <v>Within 1 mile</v>
          </cell>
          <cell r="I53">
            <v>3337406075</v>
          </cell>
        </row>
        <row r="54">
          <cell r="G54">
            <v>4</v>
          </cell>
          <cell r="H54" t="str">
            <v>Within 40 feet</v>
          </cell>
          <cell r="I54">
            <v>3353097876</v>
          </cell>
        </row>
        <row r="55">
          <cell r="G55">
            <v>2</v>
          </cell>
          <cell r="H55" t="str">
            <v>Not Verified to be within 1 mile</v>
          </cell>
          <cell r="I55">
            <v>3342618108</v>
          </cell>
        </row>
        <row r="56">
          <cell r="G56">
            <v>5</v>
          </cell>
          <cell r="H56" t="str">
            <v>Within 1 mile</v>
          </cell>
          <cell r="I56">
            <v>3337406092</v>
          </cell>
        </row>
        <row r="57">
          <cell r="G57">
            <v>4</v>
          </cell>
          <cell r="H57" t="str">
            <v>Within 40 feet</v>
          </cell>
          <cell r="I57">
            <v>3349559515</v>
          </cell>
        </row>
        <row r="58">
          <cell r="G58">
            <v>3</v>
          </cell>
          <cell r="H58" t="str">
            <v>Within 40 feet</v>
          </cell>
          <cell r="I58">
            <v>3337406222</v>
          </cell>
        </row>
        <row r="59">
          <cell r="G59">
            <v>1</v>
          </cell>
          <cell r="H59" t="str">
            <v>Within 40 feet</v>
          </cell>
          <cell r="I59">
            <v>3349559567</v>
          </cell>
        </row>
        <row r="60">
          <cell r="G60">
            <v>3</v>
          </cell>
          <cell r="H60" t="str">
            <v>Not verified to be within 1 mile</v>
          </cell>
          <cell r="I60">
            <v>3337406235</v>
          </cell>
        </row>
        <row r="61">
          <cell r="G61">
            <v>3</v>
          </cell>
          <cell r="H61" t="str">
            <v>Not Verified to be within 1 mile</v>
          </cell>
          <cell r="I61">
            <v>3337406236</v>
          </cell>
        </row>
        <row r="62">
          <cell r="G62">
            <v>1</v>
          </cell>
          <cell r="H62" t="str">
            <v>Within 1 mile</v>
          </cell>
          <cell r="I62">
            <v>3337427508</v>
          </cell>
        </row>
        <row r="63">
          <cell r="G63">
            <v>9</v>
          </cell>
          <cell r="H63" t="str">
            <v>Within 40 feet</v>
          </cell>
          <cell r="I63">
            <v>3337406253</v>
          </cell>
        </row>
        <row r="64">
          <cell r="G64">
            <v>1</v>
          </cell>
          <cell r="H64" t="str">
            <v>Not Verified to be within 1 mile</v>
          </cell>
          <cell r="I64">
            <v>3342618167</v>
          </cell>
        </row>
        <row r="65">
          <cell r="G65">
            <v>1</v>
          </cell>
          <cell r="H65" t="str">
            <v>Not Verified to be within 1 mile</v>
          </cell>
          <cell r="I65">
            <v>3342618232</v>
          </cell>
        </row>
        <row r="66">
          <cell r="G66">
            <v>2</v>
          </cell>
          <cell r="H66" t="str">
            <v>Within 40 feet</v>
          </cell>
          <cell r="I66">
            <v>3349559646</v>
          </cell>
        </row>
        <row r="67">
          <cell r="G67">
            <v>2</v>
          </cell>
          <cell r="H67" t="str">
            <v>Within 1 mile</v>
          </cell>
          <cell r="I67">
            <v>3342618182</v>
          </cell>
        </row>
        <row r="68">
          <cell r="G68">
            <v>2</v>
          </cell>
          <cell r="H68" t="str">
            <v>Not Verified to be within 1 mile</v>
          </cell>
          <cell r="I68">
            <v>3337406279</v>
          </cell>
        </row>
        <row r="69">
          <cell r="G69">
            <v>1</v>
          </cell>
          <cell r="H69" t="str">
            <v>Within 40 feet</v>
          </cell>
          <cell r="I69">
            <v>3349559565</v>
          </cell>
        </row>
        <row r="70">
          <cell r="G70">
            <v>3</v>
          </cell>
          <cell r="H70" t="str">
            <v>Within 165 feet</v>
          </cell>
          <cell r="I70">
            <v>3337406291</v>
          </cell>
        </row>
        <row r="71">
          <cell r="G71">
            <v>1</v>
          </cell>
          <cell r="H71" t="str">
            <v>Not Verified to be within 1 mile</v>
          </cell>
          <cell r="I71">
            <v>3342618333</v>
          </cell>
        </row>
        <row r="72">
          <cell r="G72">
            <v>1</v>
          </cell>
          <cell r="H72" t="str">
            <v>Not verified to be within 1 mile</v>
          </cell>
          <cell r="I72">
            <v>3349560041</v>
          </cell>
        </row>
        <row r="73">
          <cell r="G73">
            <v>1</v>
          </cell>
          <cell r="H73" t="str">
            <v>Not verified to be within 1 mile</v>
          </cell>
          <cell r="I73">
            <v>3349560331</v>
          </cell>
        </row>
        <row r="74">
          <cell r="G74">
            <v>2</v>
          </cell>
          <cell r="H74" t="str">
            <v>Within 1 mile</v>
          </cell>
          <cell r="I74">
            <v>3342618130</v>
          </cell>
        </row>
        <row r="75">
          <cell r="G75">
            <v>4</v>
          </cell>
          <cell r="H75" t="str">
            <v>Within 165 feet</v>
          </cell>
          <cell r="I75">
            <v>3353098108</v>
          </cell>
        </row>
        <row r="76">
          <cell r="G76">
            <v>2</v>
          </cell>
          <cell r="H76" t="str">
            <v>Within 40 feet</v>
          </cell>
          <cell r="I76">
            <v>3337406325</v>
          </cell>
        </row>
        <row r="77">
          <cell r="G77">
            <v>2</v>
          </cell>
          <cell r="H77" t="str">
            <v>Within 165 feet</v>
          </cell>
          <cell r="I77">
            <v>3337406328</v>
          </cell>
        </row>
        <row r="78">
          <cell r="G78">
            <v>4</v>
          </cell>
          <cell r="H78" t="str">
            <v>Within 165 feet</v>
          </cell>
          <cell r="I78">
            <v>3349559676</v>
          </cell>
        </row>
        <row r="79">
          <cell r="G79">
            <v>5</v>
          </cell>
          <cell r="H79" t="str">
            <v>Not verified to be within 1 mile</v>
          </cell>
          <cell r="I79">
            <v>3349560178</v>
          </cell>
        </row>
        <row r="80">
          <cell r="G80">
            <v>6</v>
          </cell>
          <cell r="H80" t="str">
            <v>Within 165 feet</v>
          </cell>
          <cell r="I80">
            <v>3337406371</v>
          </cell>
        </row>
        <row r="81">
          <cell r="G81">
            <v>2</v>
          </cell>
          <cell r="H81" t="str">
            <v>Within 1 mile</v>
          </cell>
          <cell r="I81">
            <v>3342617827</v>
          </cell>
        </row>
        <row r="82">
          <cell r="G82">
            <v>2</v>
          </cell>
          <cell r="H82" t="str">
            <v>Within 1 mile</v>
          </cell>
          <cell r="I82">
            <v>3337406374</v>
          </cell>
        </row>
        <row r="83">
          <cell r="G83">
            <v>3</v>
          </cell>
          <cell r="H83" t="str">
            <v>Within 1 mile</v>
          </cell>
          <cell r="I83">
            <v>3337428236</v>
          </cell>
        </row>
        <row r="84">
          <cell r="G84">
            <v>2</v>
          </cell>
          <cell r="H84" t="str">
            <v>Within 165 feet</v>
          </cell>
          <cell r="I84">
            <v>3337406412</v>
          </cell>
        </row>
        <row r="85">
          <cell r="G85">
            <v>1</v>
          </cell>
          <cell r="H85" t="str">
            <v>Not verified to be within 1 mile</v>
          </cell>
          <cell r="I85">
            <v>3349560076</v>
          </cell>
        </row>
        <row r="86">
          <cell r="G86">
            <v>2</v>
          </cell>
          <cell r="H86" t="str">
            <v>Not Verified to be within 1 mile</v>
          </cell>
          <cell r="I86">
            <v>3342618126</v>
          </cell>
        </row>
        <row r="87">
          <cell r="G87">
            <v>1</v>
          </cell>
          <cell r="H87" t="str">
            <v>Not Verified to be within 1 mile</v>
          </cell>
          <cell r="I87">
            <v>3342618089</v>
          </cell>
        </row>
        <row r="88">
          <cell r="G88">
            <v>2</v>
          </cell>
          <cell r="H88" t="str">
            <v>Within 165 feet</v>
          </cell>
          <cell r="I88">
            <v>3352749992</v>
          </cell>
        </row>
        <row r="89">
          <cell r="G89">
            <v>1</v>
          </cell>
          <cell r="H89" t="str">
            <v>Within 165 feet</v>
          </cell>
          <cell r="I89">
            <v>3338290484</v>
          </cell>
        </row>
        <row r="90">
          <cell r="G90">
            <v>1</v>
          </cell>
          <cell r="H90" t="str">
            <v>Not Verified to be within 1 mile</v>
          </cell>
          <cell r="I90">
            <v>3342618281</v>
          </cell>
        </row>
        <row r="91">
          <cell r="G91">
            <v>3</v>
          </cell>
          <cell r="H91" t="str">
            <v>Within 40 feet</v>
          </cell>
          <cell r="I91">
            <v>3337406568</v>
          </cell>
        </row>
        <row r="92">
          <cell r="G92">
            <v>2</v>
          </cell>
          <cell r="H92" t="str">
            <v>Within 1 mile</v>
          </cell>
          <cell r="I92">
            <v>3352749896</v>
          </cell>
        </row>
        <row r="93">
          <cell r="G93">
            <v>4</v>
          </cell>
          <cell r="H93" t="str">
            <v>Within 165 feet</v>
          </cell>
          <cell r="I93">
            <v>3337406590</v>
          </cell>
        </row>
        <row r="94">
          <cell r="G94">
            <v>4</v>
          </cell>
          <cell r="H94" t="str">
            <v>Within 40 feet</v>
          </cell>
          <cell r="I94">
            <v>3337406602</v>
          </cell>
        </row>
        <row r="95">
          <cell r="G95">
            <v>2</v>
          </cell>
          <cell r="H95" t="str">
            <v>Within 1 mile</v>
          </cell>
          <cell r="I95">
            <v>3352749982</v>
          </cell>
        </row>
        <row r="96">
          <cell r="G96">
            <v>1</v>
          </cell>
          <cell r="H96" t="str">
            <v>Not Verified to be within 1 mile</v>
          </cell>
          <cell r="I96">
            <v>3337406632</v>
          </cell>
        </row>
        <row r="97">
          <cell r="G97">
            <v>3</v>
          </cell>
          <cell r="H97" t="str">
            <v>Within 165 feet</v>
          </cell>
          <cell r="I97">
            <v>3337406649</v>
          </cell>
        </row>
        <row r="98">
          <cell r="G98">
            <v>2</v>
          </cell>
          <cell r="H98" t="str">
            <v>Not verified to be within 1 mile</v>
          </cell>
          <cell r="I98">
            <v>3349559693</v>
          </cell>
        </row>
        <row r="99">
          <cell r="G99">
            <v>2</v>
          </cell>
          <cell r="H99" t="str">
            <v>Within 1 mile</v>
          </cell>
          <cell r="I99">
            <v>3353097619</v>
          </cell>
        </row>
        <row r="100">
          <cell r="G100">
            <v>2</v>
          </cell>
          <cell r="H100" t="str">
            <v>Not verified to be within 1 mile</v>
          </cell>
          <cell r="I100">
            <v>3349559868</v>
          </cell>
        </row>
        <row r="101">
          <cell r="G101">
            <v>1</v>
          </cell>
          <cell r="H101" t="str">
            <v>Within 1 mile</v>
          </cell>
          <cell r="I101">
            <v>3342618366</v>
          </cell>
        </row>
        <row r="102">
          <cell r="G102">
            <v>3</v>
          </cell>
          <cell r="H102" t="str">
            <v>Not verified to be within 1 mile</v>
          </cell>
          <cell r="I102">
            <v>3349560078</v>
          </cell>
        </row>
        <row r="103">
          <cell r="G103">
            <v>4</v>
          </cell>
          <cell r="H103" t="str">
            <v>Within 1 mile</v>
          </cell>
          <cell r="I103">
            <v>3337406789</v>
          </cell>
        </row>
        <row r="104">
          <cell r="G104">
            <v>3</v>
          </cell>
          <cell r="H104" t="str">
            <v>Within 1 mile</v>
          </cell>
          <cell r="I104">
            <v>3337406795</v>
          </cell>
        </row>
        <row r="105">
          <cell r="G105">
            <v>2</v>
          </cell>
          <cell r="H105" t="str">
            <v>Within 1 mile</v>
          </cell>
          <cell r="I105">
            <v>3337406808</v>
          </cell>
        </row>
        <row r="106">
          <cell r="G106">
            <v>4</v>
          </cell>
          <cell r="H106" t="str">
            <v>Within 1 mile</v>
          </cell>
          <cell r="I106">
            <v>3337406818</v>
          </cell>
        </row>
        <row r="107">
          <cell r="G107">
            <v>0</v>
          </cell>
          <cell r="H107" t="str">
            <v>Within 165 feet</v>
          </cell>
          <cell r="I107">
            <v>3337406821</v>
          </cell>
        </row>
        <row r="108">
          <cell r="G108">
            <v>0</v>
          </cell>
          <cell r="H108" t="str">
            <v>Within 1 mile</v>
          </cell>
          <cell r="I108">
            <v>3337406822</v>
          </cell>
        </row>
        <row r="109">
          <cell r="G109">
            <v>2</v>
          </cell>
          <cell r="H109" t="str">
            <v>Within 1 mile</v>
          </cell>
          <cell r="I109">
            <v>3352749976</v>
          </cell>
        </row>
        <row r="110">
          <cell r="G110">
            <v>7</v>
          </cell>
          <cell r="H110" t="str">
            <v>Within 40 feet</v>
          </cell>
          <cell r="I110">
            <v>3337406824</v>
          </cell>
        </row>
        <row r="111">
          <cell r="G111">
            <v>5</v>
          </cell>
          <cell r="H111" t="str">
            <v>Within 1 mile</v>
          </cell>
          <cell r="I111">
            <v>3337406842</v>
          </cell>
        </row>
        <row r="112">
          <cell r="G112">
            <v>3</v>
          </cell>
          <cell r="H112" t="str">
            <v>Within 1 mile</v>
          </cell>
          <cell r="I112">
            <v>3341136911</v>
          </cell>
        </row>
        <row r="113">
          <cell r="G113">
            <v>1</v>
          </cell>
          <cell r="H113" t="str">
            <v>Not Verified to be within 1 mile</v>
          </cell>
          <cell r="I113">
            <v>3342618111</v>
          </cell>
        </row>
        <row r="114">
          <cell r="G114">
            <v>3</v>
          </cell>
          <cell r="H114" t="str">
            <v>Not Verified to be within 1 mile</v>
          </cell>
          <cell r="I114">
            <v>3342618095</v>
          </cell>
        </row>
        <row r="115">
          <cell r="G115">
            <v>5</v>
          </cell>
          <cell r="H115" t="str">
            <v>Within 1 mile</v>
          </cell>
          <cell r="I115">
            <v>3337406867</v>
          </cell>
        </row>
        <row r="116">
          <cell r="G116">
            <v>2</v>
          </cell>
          <cell r="H116" t="str">
            <v>Within 1 mile</v>
          </cell>
          <cell r="I116">
            <v>3337406868</v>
          </cell>
        </row>
        <row r="117">
          <cell r="G117">
            <v>2</v>
          </cell>
          <cell r="H117" t="str">
            <v>Not Verified to be within 1 mile</v>
          </cell>
          <cell r="I117">
            <v>3342618197</v>
          </cell>
        </row>
        <row r="118">
          <cell r="G118">
            <v>2</v>
          </cell>
          <cell r="H118" t="str">
            <v>Within 165 feet</v>
          </cell>
          <cell r="I118">
            <v>3337406880</v>
          </cell>
        </row>
        <row r="119">
          <cell r="G119">
            <v>2</v>
          </cell>
          <cell r="H119" t="str">
            <v>Within 165 feet</v>
          </cell>
          <cell r="I119">
            <v>3349560088</v>
          </cell>
        </row>
        <row r="120">
          <cell r="G120">
            <v>2</v>
          </cell>
          <cell r="H120" t="str">
            <v>Within 1 mile</v>
          </cell>
          <cell r="I120">
            <v>3352750254</v>
          </cell>
        </row>
        <row r="121">
          <cell r="G121">
            <v>2</v>
          </cell>
          <cell r="H121" t="str">
            <v>Within 165 feet</v>
          </cell>
          <cell r="I121">
            <v>3337406994</v>
          </cell>
        </row>
        <row r="122">
          <cell r="G122">
            <v>2</v>
          </cell>
          <cell r="H122" t="str">
            <v>Within 165 feet</v>
          </cell>
          <cell r="I122">
            <v>3337406995</v>
          </cell>
        </row>
        <row r="123">
          <cell r="G123">
            <v>2</v>
          </cell>
          <cell r="H123" t="str">
            <v>Within 165 feet</v>
          </cell>
          <cell r="I123">
            <v>3337407000</v>
          </cell>
        </row>
        <row r="124">
          <cell r="G124">
            <v>1</v>
          </cell>
          <cell r="H124" t="str">
            <v>Within 165 feet</v>
          </cell>
          <cell r="I124">
            <v>3337407041</v>
          </cell>
        </row>
        <row r="125">
          <cell r="G125">
            <v>1</v>
          </cell>
          <cell r="H125" t="str">
            <v>Within 165 feet</v>
          </cell>
          <cell r="I125">
            <v>3349560137</v>
          </cell>
        </row>
        <row r="126">
          <cell r="G126">
            <v>1</v>
          </cell>
          <cell r="H126" t="str">
            <v>Within 1 mile</v>
          </cell>
          <cell r="I126">
            <v>3337428131</v>
          </cell>
        </row>
        <row r="127">
          <cell r="G127">
            <v>15</v>
          </cell>
          <cell r="H127" t="str">
            <v>Within 165 feet</v>
          </cell>
          <cell r="I127">
            <v>3337407067</v>
          </cell>
        </row>
        <row r="128">
          <cell r="G128">
            <v>3</v>
          </cell>
          <cell r="H128" t="str">
            <v>Not verified to be within 1 mile</v>
          </cell>
          <cell r="I128">
            <v>3349559961</v>
          </cell>
        </row>
        <row r="129">
          <cell r="G129">
            <v>2</v>
          </cell>
          <cell r="H129" t="str">
            <v>Within 1 mile</v>
          </cell>
          <cell r="I129">
            <v>3352749859</v>
          </cell>
        </row>
        <row r="130">
          <cell r="G130">
            <v>2</v>
          </cell>
          <cell r="H130" t="str">
            <v>Not verified to be within 1 mile</v>
          </cell>
          <cell r="I130">
            <v>3337407118</v>
          </cell>
        </row>
        <row r="131">
          <cell r="G131">
            <v>1</v>
          </cell>
          <cell r="H131" t="str">
            <v>Within 1 mile</v>
          </cell>
          <cell r="I131">
            <v>3337407116</v>
          </cell>
        </row>
        <row r="132">
          <cell r="G132">
            <v>2</v>
          </cell>
          <cell r="H132" t="str">
            <v>Within 1 mile</v>
          </cell>
          <cell r="I132">
            <v>3352750273</v>
          </cell>
        </row>
        <row r="133">
          <cell r="G133">
            <v>1</v>
          </cell>
          <cell r="H133" t="str">
            <v>Not verified to be within 1 mile</v>
          </cell>
          <cell r="I133">
            <v>3349560072</v>
          </cell>
        </row>
        <row r="134">
          <cell r="G134">
            <v>2</v>
          </cell>
          <cell r="H134" t="str">
            <v>Not verified to be within 1 mile</v>
          </cell>
          <cell r="I134">
            <v>3349559794</v>
          </cell>
        </row>
        <row r="135">
          <cell r="G135">
            <v>4</v>
          </cell>
          <cell r="H135" t="str">
            <v>Within 40 feet</v>
          </cell>
          <cell r="I135">
            <v>3337407138</v>
          </cell>
        </row>
        <row r="136">
          <cell r="G136">
            <v>0</v>
          </cell>
          <cell r="H136" t="str">
            <v>Within 1 mile</v>
          </cell>
          <cell r="I136">
            <v>3352750212</v>
          </cell>
        </row>
        <row r="137">
          <cell r="G137">
            <v>1</v>
          </cell>
          <cell r="H137" t="str">
            <v>Not Verified to be within 1 mile</v>
          </cell>
          <cell r="I137">
            <v>3342618103</v>
          </cell>
        </row>
        <row r="138">
          <cell r="G138">
            <v>6</v>
          </cell>
          <cell r="H138" t="str">
            <v>Within 1 mile</v>
          </cell>
          <cell r="I138">
            <v>3337407183</v>
          </cell>
        </row>
        <row r="139">
          <cell r="G139">
            <v>1</v>
          </cell>
          <cell r="H139" t="str">
            <v>Within 1 mile</v>
          </cell>
          <cell r="I139">
            <v>3337428299</v>
          </cell>
        </row>
        <row r="140">
          <cell r="G140">
            <v>1</v>
          </cell>
          <cell r="H140" t="str">
            <v>Within 165 feet</v>
          </cell>
          <cell r="I140">
            <v>3337407204</v>
          </cell>
        </row>
        <row r="141">
          <cell r="G141">
            <v>4</v>
          </cell>
          <cell r="H141" t="str">
            <v>Within 40 feet</v>
          </cell>
          <cell r="I141">
            <v>3337407237</v>
          </cell>
        </row>
        <row r="142">
          <cell r="G142">
            <v>2</v>
          </cell>
          <cell r="H142" t="str">
            <v>Within 1 mile</v>
          </cell>
          <cell r="I142">
            <v>3337407254</v>
          </cell>
        </row>
        <row r="143">
          <cell r="G143">
            <v>1</v>
          </cell>
          <cell r="H143" t="str">
            <v>Not Verified to be within 1 mile</v>
          </cell>
          <cell r="I143">
            <v>3342618135</v>
          </cell>
        </row>
        <row r="144">
          <cell r="G144">
            <v>17</v>
          </cell>
          <cell r="H144" t="str">
            <v>Within 165 feet</v>
          </cell>
          <cell r="I144">
            <v>3337407277</v>
          </cell>
        </row>
        <row r="145">
          <cell r="G145">
            <v>3</v>
          </cell>
          <cell r="H145" t="str">
            <v>Within 1 mile</v>
          </cell>
          <cell r="I145">
            <v>3337428017</v>
          </cell>
        </row>
        <row r="146">
          <cell r="G146">
            <v>6</v>
          </cell>
          <cell r="H146" t="str">
            <v>Within 165 feet</v>
          </cell>
          <cell r="I146">
            <v>3337407283</v>
          </cell>
        </row>
        <row r="147">
          <cell r="G147">
            <v>2</v>
          </cell>
          <cell r="H147" t="str">
            <v>Not verified to be within 1 mile</v>
          </cell>
          <cell r="I147">
            <v>3349560031</v>
          </cell>
        </row>
        <row r="148">
          <cell r="G148">
            <v>1</v>
          </cell>
          <cell r="H148" t="str">
            <v>Within 1 mile</v>
          </cell>
          <cell r="I148">
            <v>3342617843</v>
          </cell>
        </row>
        <row r="149">
          <cell r="G149">
            <v>8</v>
          </cell>
          <cell r="H149" t="str">
            <v>Within 165 feet</v>
          </cell>
          <cell r="I149">
            <v>3337407300</v>
          </cell>
        </row>
        <row r="150">
          <cell r="G150">
            <v>2</v>
          </cell>
          <cell r="H150" t="str">
            <v>Within 165 feet</v>
          </cell>
          <cell r="I150">
            <v>3337407303</v>
          </cell>
        </row>
        <row r="151">
          <cell r="G151">
            <v>1</v>
          </cell>
          <cell r="H151" t="str">
            <v>Within 165 feet</v>
          </cell>
          <cell r="I151">
            <v>3342618041</v>
          </cell>
        </row>
        <row r="152">
          <cell r="G152">
            <v>1</v>
          </cell>
          <cell r="H152" t="str">
            <v>Within 1 mile</v>
          </cell>
          <cell r="I152">
            <v>3353098092</v>
          </cell>
        </row>
        <row r="153">
          <cell r="G153">
            <v>5</v>
          </cell>
          <cell r="H153" t="str">
            <v>Within 40 feet</v>
          </cell>
          <cell r="I153">
            <v>3353097805</v>
          </cell>
        </row>
        <row r="154">
          <cell r="G154">
            <v>8</v>
          </cell>
          <cell r="H154" t="str">
            <v>Within 40 feet</v>
          </cell>
          <cell r="I154">
            <v>3337430122</v>
          </cell>
        </row>
        <row r="155">
          <cell r="G155">
            <v>2</v>
          </cell>
          <cell r="H155" t="str">
            <v>Within 1 mile</v>
          </cell>
          <cell r="I155">
            <v>3342618390</v>
          </cell>
        </row>
        <row r="156">
          <cell r="G156">
            <v>2</v>
          </cell>
          <cell r="H156" t="str">
            <v>Within 165 feet</v>
          </cell>
          <cell r="I156">
            <v>3342618358</v>
          </cell>
        </row>
        <row r="157">
          <cell r="G157">
            <v>2</v>
          </cell>
          <cell r="H157" t="str">
            <v>Within 165 feet</v>
          </cell>
          <cell r="I157">
            <v>3342618316</v>
          </cell>
        </row>
        <row r="158">
          <cell r="G158">
            <v>1</v>
          </cell>
          <cell r="H158" t="str">
            <v>Within 165 feet</v>
          </cell>
          <cell r="I158">
            <v>3337407432</v>
          </cell>
        </row>
        <row r="159">
          <cell r="G159">
            <v>2</v>
          </cell>
          <cell r="H159" t="str">
            <v>Within 165 feet</v>
          </cell>
          <cell r="I159">
            <v>3342617461</v>
          </cell>
        </row>
        <row r="160">
          <cell r="G160">
            <v>1</v>
          </cell>
          <cell r="H160" t="str">
            <v>Not Verified to be within 1 mile</v>
          </cell>
          <cell r="I160">
            <v>3342618150</v>
          </cell>
        </row>
        <row r="161">
          <cell r="G161">
            <v>3</v>
          </cell>
          <cell r="H161" t="str">
            <v>Not Verified to be within 1 mile</v>
          </cell>
          <cell r="I161">
            <v>3342617892</v>
          </cell>
        </row>
        <row r="162">
          <cell r="G162">
            <v>2</v>
          </cell>
          <cell r="H162" t="str">
            <v>Within 165 feet</v>
          </cell>
          <cell r="I162">
            <v>3337407446</v>
          </cell>
        </row>
        <row r="163">
          <cell r="G163">
            <v>1</v>
          </cell>
          <cell r="H163" t="str">
            <v>Within 1 mile</v>
          </cell>
          <cell r="I163">
            <v>3337407462</v>
          </cell>
        </row>
        <row r="164">
          <cell r="G164">
            <v>10</v>
          </cell>
          <cell r="H164" t="str">
            <v>Within 165 feet</v>
          </cell>
          <cell r="I164">
            <v>3337407478</v>
          </cell>
        </row>
        <row r="165">
          <cell r="G165">
            <v>15</v>
          </cell>
          <cell r="H165" t="str">
            <v>Within 40 feet</v>
          </cell>
          <cell r="I165">
            <v>3337407492</v>
          </cell>
        </row>
        <row r="166">
          <cell r="G166">
            <v>2</v>
          </cell>
          <cell r="H166" t="str">
            <v>Within 1 mile</v>
          </cell>
          <cell r="I166">
            <v>3337407495</v>
          </cell>
        </row>
        <row r="167">
          <cell r="G167">
            <v>4</v>
          </cell>
          <cell r="H167" t="str">
            <v>Within 40 feet</v>
          </cell>
          <cell r="I167">
            <v>3349559549</v>
          </cell>
        </row>
        <row r="168">
          <cell r="G168">
            <v>5</v>
          </cell>
          <cell r="H168" t="str">
            <v>Within 165 feet</v>
          </cell>
          <cell r="I168">
            <v>3337407512</v>
          </cell>
        </row>
        <row r="169">
          <cell r="G169">
            <v>2</v>
          </cell>
          <cell r="H169" t="str">
            <v>Not Verified to be within 1 mile</v>
          </cell>
          <cell r="I169">
            <v>3342618415</v>
          </cell>
        </row>
        <row r="170">
          <cell r="G170">
            <v>3</v>
          </cell>
          <cell r="H170" t="str">
            <v>Within 40 feet</v>
          </cell>
          <cell r="I170">
            <v>3337407551</v>
          </cell>
        </row>
        <row r="171">
          <cell r="G171">
            <v>2</v>
          </cell>
          <cell r="H171" t="str">
            <v>Within 40 feet</v>
          </cell>
          <cell r="I171">
            <v>3353097803</v>
          </cell>
        </row>
        <row r="172">
          <cell r="G172">
            <v>1</v>
          </cell>
          <cell r="H172" t="str">
            <v>Within 165 feet</v>
          </cell>
          <cell r="I172">
            <v>3342618045</v>
          </cell>
        </row>
        <row r="173">
          <cell r="G173">
            <v>3</v>
          </cell>
          <cell r="H173" t="str">
            <v>Within 1 mile</v>
          </cell>
          <cell r="I173">
            <v>3342618189</v>
          </cell>
        </row>
        <row r="174">
          <cell r="G174">
            <v>3</v>
          </cell>
          <cell r="H174" t="str">
            <v>Within 165 feet</v>
          </cell>
          <cell r="I174">
            <v>3349559930</v>
          </cell>
        </row>
        <row r="175">
          <cell r="G175">
            <v>6</v>
          </cell>
          <cell r="H175" t="str">
            <v>Within 1 mile</v>
          </cell>
          <cell r="I175">
            <v>3337407591</v>
          </cell>
        </row>
        <row r="176">
          <cell r="G176">
            <v>2</v>
          </cell>
          <cell r="H176" t="str">
            <v>Within 165 feet</v>
          </cell>
          <cell r="I176">
            <v>3337407592</v>
          </cell>
        </row>
        <row r="177">
          <cell r="G177">
            <v>2</v>
          </cell>
          <cell r="H177" t="str">
            <v>Not Verified to be within 1 mile</v>
          </cell>
          <cell r="I177">
            <v>3342618257</v>
          </cell>
        </row>
        <row r="178">
          <cell r="G178">
            <v>1</v>
          </cell>
          <cell r="H178" t="str">
            <v>Within 1 mile</v>
          </cell>
          <cell r="I178">
            <v>3353097518</v>
          </cell>
        </row>
        <row r="179">
          <cell r="G179">
            <v>2</v>
          </cell>
          <cell r="H179" t="str">
            <v>Within 165 feet</v>
          </cell>
          <cell r="I179">
            <v>3352750017</v>
          </cell>
        </row>
        <row r="180">
          <cell r="G180">
            <v>1</v>
          </cell>
          <cell r="H180" t="str">
            <v>Within 1 mile</v>
          </cell>
          <cell r="I180">
            <v>3337407624</v>
          </cell>
        </row>
        <row r="181">
          <cell r="G181">
            <v>2</v>
          </cell>
          <cell r="H181" t="str">
            <v>Within 165 feet</v>
          </cell>
          <cell r="I181">
            <v>3349559689</v>
          </cell>
        </row>
        <row r="182">
          <cell r="G182">
            <v>1</v>
          </cell>
          <cell r="H182" t="str">
            <v>Not Verified to be within 1 mile</v>
          </cell>
          <cell r="I182">
            <v>3337407636</v>
          </cell>
        </row>
        <row r="183">
          <cell r="G183">
            <v>2</v>
          </cell>
          <cell r="H183" t="str">
            <v>Within 40 feet</v>
          </cell>
          <cell r="I183">
            <v>3352750117</v>
          </cell>
        </row>
        <row r="184">
          <cell r="G184">
            <v>1</v>
          </cell>
          <cell r="H184" t="str">
            <v>Not verified to be within 1 mile</v>
          </cell>
          <cell r="I184">
            <v>3349559951</v>
          </cell>
        </row>
        <row r="185">
          <cell r="G185">
            <v>2</v>
          </cell>
          <cell r="H185" t="str">
            <v>Within 165 feet</v>
          </cell>
          <cell r="I185">
            <v>3337407673</v>
          </cell>
        </row>
        <row r="186">
          <cell r="G186">
            <v>2</v>
          </cell>
          <cell r="H186" t="str">
            <v>Within 165 feet</v>
          </cell>
          <cell r="I186">
            <v>3342618421</v>
          </cell>
        </row>
        <row r="187">
          <cell r="G187">
            <v>3</v>
          </cell>
          <cell r="H187" t="str">
            <v>Within 1 mile</v>
          </cell>
          <cell r="I187">
            <v>3337407696</v>
          </cell>
        </row>
        <row r="188">
          <cell r="G188">
            <v>1</v>
          </cell>
          <cell r="H188" t="str">
            <v>Within 1 mile</v>
          </cell>
          <cell r="I188">
            <v>3337407698</v>
          </cell>
        </row>
        <row r="189">
          <cell r="G189">
            <v>2</v>
          </cell>
          <cell r="H189" t="str">
            <v>Within 165 feet</v>
          </cell>
          <cell r="I189">
            <v>3349559674</v>
          </cell>
        </row>
        <row r="190">
          <cell r="G190">
            <v>1</v>
          </cell>
          <cell r="H190" t="str">
            <v>Within 40 feet</v>
          </cell>
          <cell r="I190">
            <v>3349559551</v>
          </cell>
        </row>
        <row r="191">
          <cell r="G191">
            <v>2</v>
          </cell>
          <cell r="H191" t="str">
            <v>Not verified to be within 1 mile</v>
          </cell>
          <cell r="I191">
            <v>3337407717</v>
          </cell>
        </row>
        <row r="192">
          <cell r="G192">
            <v>2</v>
          </cell>
          <cell r="H192" t="str">
            <v>Within 1 mile</v>
          </cell>
          <cell r="I192">
            <v>3352749858</v>
          </cell>
        </row>
        <row r="193">
          <cell r="G193">
            <v>1</v>
          </cell>
          <cell r="H193" t="str">
            <v>Within 1 mile</v>
          </cell>
          <cell r="I193">
            <v>3337428694</v>
          </cell>
        </row>
        <row r="194">
          <cell r="G194">
            <v>34</v>
          </cell>
          <cell r="H194" t="str">
            <v>Within 40 feet</v>
          </cell>
          <cell r="I194">
            <v>3337407745</v>
          </cell>
        </row>
        <row r="195">
          <cell r="G195">
            <v>8</v>
          </cell>
          <cell r="H195" t="str">
            <v>Within 40 feet</v>
          </cell>
          <cell r="I195">
            <v>3352750349</v>
          </cell>
        </row>
        <row r="196">
          <cell r="G196">
            <v>2</v>
          </cell>
          <cell r="H196" t="str">
            <v>Within 165 feet</v>
          </cell>
          <cell r="I196">
            <v>3337428160</v>
          </cell>
        </row>
        <row r="197">
          <cell r="G197">
            <v>1</v>
          </cell>
          <cell r="H197" t="str">
            <v>Not Verified to be within 1 mile</v>
          </cell>
          <cell r="I197">
            <v>3337407749</v>
          </cell>
        </row>
        <row r="198">
          <cell r="G198">
            <v>2</v>
          </cell>
          <cell r="H198" t="str">
            <v>Not Verified to be within 1 mile</v>
          </cell>
          <cell r="I198">
            <v>3337407750</v>
          </cell>
        </row>
        <row r="199">
          <cell r="G199">
            <v>1</v>
          </cell>
          <cell r="H199" t="str">
            <v>Not Verified to be within 1 mile</v>
          </cell>
          <cell r="I199">
            <v>3342618313</v>
          </cell>
        </row>
        <row r="200">
          <cell r="G200">
            <v>1</v>
          </cell>
          <cell r="H200" t="str">
            <v>Within 1 mile</v>
          </cell>
          <cell r="I200">
            <v>3337428335</v>
          </cell>
        </row>
        <row r="201">
          <cell r="G201">
            <v>1</v>
          </cell>
          <cell r="H201" t="str">
            <v>Within 1 mile</v>
          </cell>
          <cell r="I201">
            <v>3342618000</v>
          </cell>
        </row>
        <row r="202">
          <cell r="G202">
            <v>4</v>
          </cell>
          <cell r="H202" t="str">
            <v>Within 165 feet</v>
          </cell>
          <cell r="I202">
            <v>3337407783</v>
          </cell>
        </row>
        <row r="203">
          <cell r="G203">
            <v>3</v>
          </cell>
          <cell r="H203" t="str">
            <v>Within 165 feet</v>
          </cell>
          <cell r="I203">
            <v>3337407785</v>
          </cell>
        </row>
        <row r="204">
          <cell r="G204">
            <v>4</v>
          </cell>
          <cell r="H204" t="str">
            <v>Not Verified to be within 1 mile</v>
          </cell>
          <cell r="I204">
            <v>3342618139</v>
          </cell>
        </row>
        <row r="205">
          <cell r="G205">
            <v>2</v>
          </cell>
          <cell r="H205" t="str">
            <v>Within 1 mile</v>
          </cell>
          <cell r="I205">
            <v>3342618180</v>
          </cell>
        </row>
        <row r="206">
          <cell r="G206">
            <v>4</v>
          </cell>
          <cell r="H206" t="str">
            <v>Not verified to be within 1 mile</v>
          </cell>
          <cell r="I206">
            <v>3349559718</v>
          </cell>
        </row>
        <row r="207">
          <cell r="G207">
            <v>2</v>
          </cell>
          <cell r="H207" t="str">
            <v>Within 1 mile</v>
          </cell>
          <cell r="I207">
            <v>3352750215</v>
          </cell>
        </row>
        <row r="208">
          <cell r="G208">
            <v>1</v>
          </cell>
          <cell r="H208" t="str">
            <v>Within 165 feet</v>
          </cell>
          <cell r="I208">
            <v>3342618263</v>
          </cell>
        </row>
        <row r="209">
          <cell r="G209">
            <v>23</v>
          </cell>
          <cell r="H209" t="str">
            <v>Within 40 feet</v>
          </cell>
          <cell r="I209">
            <v>3337407825</v>
          </cell>
        </row>
        <row r="210">
          <cell r="G210">
            <v>1</v>
          </cell>
          <cell r="H210" t="str">
            <v>Not verified to be within 1 mile</v>
          </cell>
          <cell r="I210">
            <v>3349559962</v>
          </cell>
        </row>
        <row r="211">
          <cell r="G211">
            <v>1</v>
          </cell>
          <cell r="H211" t="str">
            <v>Within 1 mile</v>
          </cell>
          <cell r="I211">
            <v>3337407830</v>
          </cell>
        </row>
        <row r="212">
          <cell r="G212">
            <v>5</v>
          </cell>
          <cell r="H212" t="str">
            <v>Within 40 feet</v>
          </cell>
          <cell r="I212">
            <v>3337407839</v>
          </cell>
        </row>
        <row r="213">
          <cell r="G213">
            <v>1</v>
          </cell>
          <cell r="H213" t="str">
            <v>Not verified to be within 1 mile</v>
          </cell>
          <cell r="I213">
            <v>3349560338</v>
          </cell>
        </row>
        <row r="214">
          <cell r="G214">
            <v>2</v>
          </cell>
          <cell r="H214" t="str">
            <v>Within 165 feet</v>
          </cell>
          <cell r="I214">
            <v>3337407856</v>
          </cell>
        </row>
        <row r="215">
          <cell r="G215">
            <v>3</v>
          </cell>
          <cell r="H215" t="str">
            <v>Within 1 mile</v>
          </cell>
          <cell r="I215">
            <v>3337407871</v>
          </cell>
        </row>
        <row r="216">
          <cell r="G216">
            <v>4</v>
          </cell>
          <cell r="H216" t="str">
            <v>Within 1 mile</v>
          </cell>
          <cell r="I216">
            <v>3337427710</v>
          </cell>
        </row>
        <row r="217">
          <cell r="G217">
            <v>3</v>
          </cell>
          <cell r="H217" t="str">
            <v>Within 165 feet</v>
          </cell>
          <cell r="I217">
            <v>3337407876</v>
          </cell>
        </row>
        <row r="218">
          <cell r="G218">
            <v>2</v>
          </cell>
          <cell r="H218" t="str">
            <v>Within 40 feet</v>
          </cell>
          <cell r="I218">
            <v>3337407878</v>
          </cell>
        </row>
        <row r="219">
          <cell r="G219">
            <v>2</v>
          </cell>
          <cell r="H219" t="str">
            <v>Within 165 feet</v>
          </cell>
          <cell r="I219">
            <v>3349560168</v>
          </cell>
        </row>
        <row r="220">
          <cell r="G220">
            <v>4</v>
          </cell>
          <cell r="H220" t="str">
            <v>Within 165 feet</v>
          </cell>
          <cell r="I220">
            <v>3352750222</v>
          </cell>
        </row>
        <row r="221">
          <cell r="G221">
            <v>3</v>
          </cell>
          <cell r="H221" t="str">
            <v>Within 40 feet</v>
          </cell>
          <cell r="I221">
            <v>3337407899</v>
          </cell>
        </row>
        <row r="222">
          <cell r="G222">
            <v>2</v>
          </cell>
          <cell r="H222" t="str">
            <v>Within 165 feet</v>
          </cell>
          <cell r="I222">
            <v>3338290448</v>
          </cell>
        </row>
        <row r="223">
          <cell r="G223">
            <v>0</v>
          </cell>
          <cell r="H223" t="str">
            <v>Within 40 feet</v>
          </cell>
          <cell r="I223">
            <v>3337407919</v>
          </cell>
        </row>
        <row r="224">
          <cell r="G224">
            <v>2</v>
          </cell>
          <cell r="H224" t="str">
            <v>Within 165 feet</v>
          </cell>
          <cell r="I224">
            <v>3342617952</v>
          </cell>
        </row>
        <row r="225">
          <cell r="G225">
            <v>3</v>
          </cell>
          <cell r="H225" t="str">
            <v>Within 1 mile</v>
          </cell>
          <cell r="I225">
            <v>3337407968</v>
          </cell>
        </row>
        <row r="226">
          <cell r="G226">
            <v>2</v>
          </cell>
          <cell r="H226" t="str">
            <v>Within 165 feet</v>
          </cell>
          <cell r="I226">
            <v>3337407977</v>
          </cell>
        </row>
        <row r="227">
          <cell r="G227">
            <v>1</v>
          </cell>
          <cell r="H227" t="str">
            <v>Not verified to be within 1 mile</v>
          </cell>
          <cell r="I227">
            <v>3349560205</v>
          </cell>
        </row>
        <row r="228">
          <cell r="G228">
            <v>3</v>
          </cell>
          <cell r="H228" t="str">
            <v>Within 165 feet</v>
          </cell>
          <cell r="I228">
            <v>3337407984</v>
          </cell>
        </row>
        <row r="229">
          <cell r="G229">
            <v>11</v>
          </cell>
          <cell r="H229" t="str">
            <v>Within 40 feet</v>
          </cell>
          <cell r="I229">
            <v>3337408001</v>
          </cell>
        </row>
        <row r="230">
          <cell r="G230">
            <v>1</v>
          </cell>
          <cell r="H230" t="str">
            <v>Within 1 mile</v>
          </cell>
          <cell r="I230">
            <v>3337408003</v>
          </cell>
        </row>
        <row r="231">
          <cell r="G231">
            <v>2</v>
          </cell>
          <cell r="H231" t="str">
            <v>Within 40 feet</v>
          </cell>
          <cell r="I231">
            <v>3353097874</v>
          </cell>
        </row>
        <row r="232">
          <cell r="G232">
            <v>6</v>
          </cell>
          <cell r="H232" t="str">
            <v>Within 165 feet</v>
          </cell>
          <cell r="I232">
            <v>3349559970</v>
          </cell>
        </row>
        <row r="233">
          <cell r="G233">
            <v>1</v>
          </cell>
          <cell r="H233" t="str">
            <v>Not verified to be within 1 mile</v>
          </cell>
          <cell r="I233">
            <v>3349559998</v>
          </cell>
        </row>
        <row r="234">
          <cell r="G234">
            <v>2</v>
          </cell>
          <cell r="H234" t="str">
            <v>Within 1 mile</v>
          </cell>
          <cell r="I234">
            <v>3337408026</v>
          </cell>
        </row>
        <row r="235">
          <cell r="G235">
            <v>4</v>
          </cell>
          <cell r="H235" t="str">
            <v>Within 40 feet</v>
          </cell>
          <cell r="I235">
            <v>3337408044</v>
          </cell>
        </row>
        <row r="236">
          <cell r="G236">
            <v>2</v>
          </cell>
          <cell r="H236" t="str">
            <v>Within 165 feet</v>
          </cell>
          <cell r="I236">
            <v>3338155032</v>
          </cell>
        </row>
        <row r="237">
          <cell r="G237">
            <v>2</v>
          </cell>
          <cell r="H237" t="str">
            <v>Within 1 mile</v>
          </cell>
          <cell r="I237">
            <v>3342617832</v>
          </cell>
        </row>
        <row r="238">
          <cell r="G238">
            <v>2</v>
          </cell>
          <cell r="H238" t="str">
            <v>Within 1 mile</v>
          </cell>
          <cell r="I238">
            <v>3352749888</v>
          </cell>
        </row>
        <row r="239">
          <cell r="G239">
            <v>1</v>
          </cell>
          <cell r="H239" t="str">
            <v>Within 1 mile</v>
          </cell>
          <cell r="I239">
            <v>3337428031</v>
          </cell>
        </row>
        <row r="240">
          <cell r="G240">
            <v>12</v>
          </cell>
          <cell r="H240" t="str">
            <v>Within 40 feet</v>
          </cell>
          <cell r="I240">
            <v>3337408135</v>
          </cell>
        </row>
        <row r="241">
          <cell r="G241">
            <v>3</v>
          </cell>
          <cell r="H241" t="str">
            <v>Within 1 mile</v>
          </cell>
          <cell r="I241">
            <v>3337427407</v>
          </cell>
        </row>
        <row r="242">
          <cell r="G242">
            <v>1</v>
          </cell>
          <cell r="H242" t="str">
            <v>Within 165 feet</v>
          </cell>
          <cell r="I242">
            <v>3337408146</v>
          </cell>
        </row>
        <row r="243">
          <cell r="G243">
            <v>1</v>
          </cell>
          <cell r="H243" t="str">
            <v>Within 40 feet</v>
          </cell>
          <cell r="I243">
            <v>3349559641</v>
          </cell>
        </row>
        <row r="244">
          <cell r="G244">
            <v>1</v>
          </cell>
          <cell r="H244" t="str">
            <v>Within 40 feet</v>
          </cell>
          <cell r="I244">
            <v>3337408167</v>
          </cell>
        </row>
        <row r="245">
          <cell r="G245">
            <v>1</v>
          </cell>
          <cell r="H245" t="str">
            <v>Not verified to be within 1 mile</v>
          </cell>
          <cell r="I245">
            <v>3349559856</v>
          </cell>
        </row>
        <row r="246">
          <cell r="G246">
            <v>2</v>
          </cell>
          <cell r="H246" t="str">
            <v>Within 1 mile</v>
          </cell>
          <cell r="I246">
            <v>3342617895</v>
          </cell>
        </row>
        <row r="247">
          <cell r="G247">
            <v>3</v>
          </cell>
          <cell r="H247" t="str">
            <v>Within 1 mile</v>
          </cell>
          <cell r="I247">
            <v>3337428310</v>
          </cell>
        </row>
        <row r="248">
          <cell r="G248">
            <v>1</v>
          </cell>
          <cell r="H248" t="str">
            <v>Not Verified to be within 1 mile</v>
          </cell>
          <cell r="I248">
            <v>3342618279</v>
          </cell>
        </row>
        <row r="249">
          <cell r="G249">
            <v>3</v>
          </cell>
          <cell r="H249" t="str">
            <v>Not Verified to be within 1 mile</v>
          </cell>
          <cell r="I249">
            <v>3342618204</v>
          </cell>
        </row>
        <row r="250">
          <cell r="G250">
            <v>4</v>
          </cell>
          <cell r="H250" t="str">
            <v>Within 165 feet</v>
          </cell>
          <cell r="I250">
            <v>3337408230</v>
          </cell>
        </row>
        <row r="251">
          <cell r="G251">
            <v>2</v>
          </cell>
          <cell r="H251" t="str">
            <v>Within 1 mile</v>
          </cell>
          <cell r="I251">
            <v>3337428233</v>
          </cell>
        </row>
        <row r="252">
          <cell r="G252">
            <v>1</v>
          </cell>
          <cell r="H252" t="str">
            <v>Within 1 mile</v>
          </cell>
          <cell r="I252">
            <v>3337408235</v>
          </cell>
        </row>
        <row r="253">
          <cell r="G253">
            <v>2</v>
          </cell>
          <cell r="H253" t="str">
            <v>Within 1 mile</v>
          </cell>
          <cell r="I253">
            <v>3342617817</v>
          </cell>
        </row>
        <row r="254">
          <cell r="G254">
            <v>2</v>
          </cell>
          <cell r="H254" t="str">
            <v>Not Verified to be within 1 mile</v>
          </cell>
          <cell r="I254">
            <v>3342618337</v>
          </cell>
        </row>
        <row r="255">
          <cell r="G255">
            <v>1</v>
          </cell>
          <cell r="H255" t="str">
            <v>Within 1 mile</v>
          </cell>
          <cell r="I255">
            <v>3353097795</v>
          </cell>
        </row>
        <row r="256">
          <cell r="G256">
            <v>1</v>
          </cell>
          <cell r="H256" t="str">
            <v>Within 1 mile</v>
          </cell>
          <cell r="I256">
            <v>3337408270</v>
          </cell>
        </row>
        <row r="257">
          <cell r="G257">
            <v>1</v>
          </cell>
          <cell r="H257" t="str">
            <v>Within 1 mile</v>
          </cell>
          <cell r="I257">
            <v>3337408281</v>
          </cell>
        </row>
        <row r="258">
          <cell r="G258">
            <v>1</v>
          </cell>
          <cell r="H258" t="str">
            <v>Not verified to be within 1 mile</v>
          </cell>
          <cell r="I258">
            <v>3349560015</v>
          </cell>
        </row>
        <row r="259">
          <cell r="G259">
            <v>8</v>
          </cell>
          <cell r="H259" t="str">
            <v>Not Verified to be within 1 mile</v>
          </cell>
          <cell r="I259">
            <v>3337408287</v>
          </cell>
        </row>
        <row r="260">
          <cell r="G260">
            <v>2</v>
          </cell>
          <cell r="H260" t="str">
            <v>Not Verified to be within 1 mile</v>
          </cell>
          <cell r="I260">
            <v>3337408295</v>
          </cell>
        </row>
        <row r="261">
          <cell r="G261">
            <v>4</v>
          </cell>
          <cell r="H261" t="str">
            <v>Within 1 mile</v>
          </cell>
          <cell r="I261">
            <v>3337408315</v>
          </cell>
        </row>
        <row r="262">
          <cell r="G262">
            <v>2</v>
          </cell>
          <cell r="H262" t="str">
            <v>Within 1 mile</v>
          </cell>
          <cell r="I262">
            <v>3337408321</v>
          </cell>
        </row>
        <row r="263">
          <cell r="G263">
            <v>2</v>
          </cell>
          <cell r="H263" t="str">
            <v>Within 165 feet</v>
          </cell>
          <cell r="I263">
            <v>3349559761</v>
          </cell>
        </row>
        <row r="264">
          <cell r="G264">
            <v>1</v>
          </cell>
          <cell r="H264" t="str">
            <v>Not verified to be within 1 mile</v>
          </cell>
          <cell r="I264">
            <v>3349559960</v>
          </cell>
        </row>
        <row r="265">
          <cell r="G265">
            <v>2</v>
          </cell>
          <cell r="H265" t="str">
            <v>Not Verified to be within 1 mile</v>
          </cell>
          <cell r="I265">
            <v>3342618283</v>
          </cell>
        </row>
        <row r="266">
          <cell r="G266">
            <v>5</v>
          </cell>
          <cell r="H266" t="str">
            <v>Within 40 feet</v>
          </cell>
          <cell r="I266">
            <v>3349559511</v>
          </cell>
        </row>
        <row r="267">
          <cell r="G267">
            <v>1</v>
          </cell>
          <cell r="H267" t="str">
            <v>Within 1 mile</v>
          </cell>
          <cell r="I267">
            <v>3352749990</v>
          </cell>
        </row>
        <row r="268">
          <cell r="G268">
            <v>3</v>
          </cell>
          <cell r="H268" t="str">
            <v>Not verified to be within 1 mile</v>
          </cell>
          <cell r="I268">
            <v>3337408409</v>
          </cell>
        </row>
        <row r="269">
          <cell r="G269">
            <v>3</v>
          </cell>
          <cell r="H269" t="str">
            <v>Within 1 mile</v>
          </cell>
          <cell r="I269">
            <v>3337408420</v>
          </cell>
        </row>
        <row r="270">
          <cell r="G270">
            <v>4</v>
          </cell>
          <cell r="H270" t="str">
            <v>Within 40 feet</v>
          </cell>
          <cell r="I270">
            <v>3337408422</v>
          </cell>
        </row>
        <row r="271">
          <cell r="G271">
            <v>3</v>
          </cell>
          <cell r="H271" t="str">
            <v>Within 1 mile</v>
          </cell>
          <cell r="I271">
            <v>3337408462</v>
          </cell>
        </row>
        <row r="272">
          <cell r="G272">
            <v>2</v>
          </cell>
          <cell r="H272" t="str">
            <v>Within 1 mile</v>
          </cell>
          <cell r="I272">
            <v>3342618365</v>
          </cell>
        </row>
        <row r="273">
          <cell r="G273">
            <v>11</v>
          </cell>
          <cell r="H273" t="str">
            <v>Within 165 feet</v>
          </cell>
          <cell r="I273">
            <v>3337408470</v>
          </cell>
        </row>
        <row r="274">
          <cell r="G274">
            <v>2</v>
          </cell>
          <cell r="H274" t="str">
            <v>Not Verified to be within 1 mile</v>
          </cell>
          <cell r="I274">
            <v>3342618146</v>
          </cell>
        </row>
        <row r="275">
          <cell r="G275">
            <v>2</v>
          </cell>
          <cell r="H275" t="str">
            <v>Within 1 mile</v>
          </cell>
          <cell r="I275">
            <v>3342618380</v>
          </cell>
        </row>
        <row r="276">
          <cell r="G276">
            <v>4</v>
          </cell>
          <cell r="H276" t="str">
            <v>Within 165 feet</v>
          </cell>
          <cell r="I276">
            <v>3349559763</v>
          </cell>
        </row>
        <row r="277">
          <cell r="G277">
            <v>10</v>
          </cell>
          <cell r="H277" t="str">
            <v>Within 165 feet</v>
          </cell>
          <cell r="I277">
            <v>3337408558</v>
          </cell>
        </row>
        <row r="278">
          <cell r="G278">
            <v>1</v>
          </cell>
          <cell r="H278" t="str">
            <v>Within 1 mile</v>
          </cell>
          <cell r="I278">
            <v>3337428281</v>
          </cell>
        </row>
        <row r="279">
          <cell r="G279">
            <v>2</v>
          </cell>
          <cell r="H279" t="str">
            <v>Within 1 mile</v>
          </cell>
          <cell r="I279">
            <v>3337408594</v>
          </cell>
        </row>
        <row r="280">
          <cell r="G280">
            <v>4</v>
          </cell>
          <cell r="H280" t="str">
            <v>Within 40 feet</v>
          </cell>
          <cell r="I280">
            <v>3337408593</v>
          </cell>
        </row>
        <row r="281">
          <cell r="G281">
            <v>4</v>
          </cell>
          <cell r="H281" t="str">
            <v>Within 40 feet</v>
          </cell>
          <cell r="I281">
            <v>3337408606</v>
          </cell>
        </row>
        <row r="282">
          <cell r="G282">
            <v>2</v>
          </cell>
          <cell r="H282" t="str">
            <v>Not verified to be within 1 mile</v>
          </cell>
          <cell r="I282">
            <v>3349560085</v>
          </cell>
        </row>
        <row r="283">
          <cell r="G283">
            <v>1</v>
          </cell>
          <cell r="H283" t="str">
            <v>Within 1 mile</v>
          </cell>
          <cell r="I283">
            <v>3337428291</v>
          </cell>
        </row>
        <row r="284">
          <cell r="G284">
            <v>1</v>
          </cell>
          <cell r="H284" t="str">
            <v>Not Verified to be within 1 mile</v>
          </cell>
          <cell r="I284">
            <v>3342618164</v>
          </cell>
        </row>
        <row r="285">
          <cell r="G285">
            <v>3</v>
          </cell>
          <cell r="H285" t="str">
            <v>Within 165 feet</v>
          </cell>
          <cell r="I285">
            <v>3342618217</v>
          </cell>
        </row>
        <row r="286">
          <cell r="G286">
            <v>1</v>
          </cell>
          <cell r="H286" t="str">
            <v>Not verified to be within 1 mile</v>
          </cell>
          <cell r="I286">
            <v>3349559717</v>
          </cell>
        </row>
        <row r="287">
          <cell r="G287">
            <v>2</v>
          </cell>
          <cell r="H287" t="str">
            <v>Within 40 feet</v>
          </cell>
          <cell r="I287">
            <v>3353097902</v>
          </cell>
        </row>
        <row r="288">
          <cell r="G288">
            <v>2</v>
          </cell>
          <cell r="H288" t="str">
            <v>Within 40 feet</v>
          </cell>
          <cell r="I288">
            <v>3349559561</v>
          </cell>
        </row>
        <row r="289">
          <cell r="G289">
            <v>2</v>
          </cell>
          <cell r="H289" t="str">
            <v>Within 165 feet</v>
          </cell>
          <cell r="I289">
            <v>3349559712</v>
          </cell>
        </row>
        <row r="290">
          <cell r="G290">
            <v>7</v>
          </cell>
          <cell r="H290" t="str">
            <v>Within 165 feet</v>
          </cell>
          <cell r="I290">
            <v>3337408698</v>
          </cell>
        </row>
        <row r="291">
          <cell r="G291">
            <v>1</v>
          </cell>
          <cell r="H291" t="str">
            <v>Not verified to be within 1 mile</v>
          </cell>
          <cell r="I291">
            <v>3349559934</v>
          </cell>
        </row>
        <row r="292">
          <cell r="G292">
            <v>1</v>
          </cell>
          <cell r="H292" t="str">
            <v>Within 1 mile</v>
          </cell>
          <cell r="I292">
            <v>3337408707</v>
          </cell>
        </row>
        <row r="293">
          <cell r="G293">
            <v>1</v>
          </cell>
          <cell r="H293" t="str">
            <v>Not verified to be within 1 mile</v>
          </cell>
          <cell r="I293">
            <v>3349560238</v>
          </cell>
        </row>
        <row r="294">
          <cell r="G294">
            <v>4</v>
          </cell>
          <cell r="H294" t="str">
            <v>Within 165 feet</v>
          </cell>
          <cell r="I294">
            <v>3342618104</v>
          </cell>
        </row>
        <row r="295">
          <cell r="G295">
            <v>4</v>
          </cell>
          <cell r="H295" t="str">
            <v>Within 1 mile</v>
          </cell>
          <cell r="I295">
            <v>3337408757</v>
          </cell>
        </row>
        <row r="296">
          <cell r="G296">
            <v>3</v>
          </cell>
          <cell r="H296" t="str">
            <v>Within 1 mile</v>
          </cell>
          <cell r="I296">
            <v>3337428082</v>
          </cell>
        </row>
        <row r="297">
          <cell r="G297">
            <v>1</v>
          </cell>
          <cell r="H297" t="str">
            <v>Within 1 mile</v>
          </cell>
          <cell r="I297">
            <v>3337408809</v>
          </cell>
        </row>
        <row r="298">
          <cell r="G298">
            <v>1</v>
          </cell>
          <cell r="H298" t="str">
            <v>Not Verified to be within 1 mile</v>
          </cell>
          <cell r="I298">
            <v>3342618220</v>
          </cell>
        </row>
        <row r="299">
          <cell r="G299">
            <v>2</v>
          </cell>
          <cell r="H299" t="str">
            <v>Not Verified to be within 1 mile</v>
          </cell>
          <cell r="I299">
            <v>3337408817</v>
          </cell>
        </row>
        <row r="300">
          <cell r="G300">
            <v>6</v>
          </cell>
          <cell r="H300" t="str">
            <v>Within 40 feet</v>
          </cell>
          <cell r="I300">
            <v>3337408830</v>
          </cell>
        </row>
        <row r="301">
          <cell r="G301">
            <v>1</v>
          </cell>
          <cell r="H301" t="str">
            <v>Within 1 mile</v>
          </cell>
          <cell r="I301">
            <v>3342618377</v>
          </cell>
        </row>
        <row r="302">
          <cell r="G302">
            <v>2</v>
          </cell>
          <cell r="H302" t="str">
            <v>Within 1 mile</v>
          </cell>
          <cell r="I302">
            <v>3353098144</v>
          </cell>
        </row>
        <row r="303">
          <cell r="G303">
            <v>1</v>
          </cell>
          <cell r="H303" t="str">
            <v>Within 1 mile</v>
          </cell>
          <cell r="I303">
            <v>3337408846</v>
          </cell>
        </row>
        <row r="304">
          <cell r="G304">
            <v>2</v>
          </cell>
          <cell r="H304" t="str">
            <v>Within 165 feet</v>
          </cell>
          <cell r="I304">
            <v>3337408852</v>
          </cell>
        </row>
        <row r="305">
          <cell r="G305">
            <v>1</v>
          </cell>
          <cell r="H305" t="str">
            <v>Within 1 mile</v>
          </cell>
          <cell r="I305">
            <v>3352749880</v>
          </cell>
        </row>
        <row r="306">
          <cell r="G306">
            <v>11</v>
          </cell>
          <cell r="H306" t="str">
            <v>Within 165 feet</v>
          </cell>
          <cell r="I306">
            <v>3337408861</v>
          </cell>
        </row>
        <row r="307">
          <cell r="G307">
            <v>5</v>
          </cell>
          <cell r="H307" t="str">
            <v>Within 165 feet</v>
          </cell>
          <cell r="I307">
            <v>3342617938</v>
          </cell>
        </row>
        <row r="308">
          <cell r="G308">
            <v>1</v>
          </cell>
          <cell r="H308" t="str">
            <v>Within 165 feet</v>
          </cell>
          <cell r="I308">
            <v>3342617899</v>
          </cell>
        </row>
        <row r="309">
          <cell r="G309">
            <v>2</v>
          </cell>
          <cell r="H309" t="str">
            <v>Within 40 feet</v>
          </cell>
          <cell r="I309">
            <v>3337408868</v>
          </cell>
        </row>
        <row r="310">
          <cell r="G310">
            <v>3</v>
          </cell>
          <cell r="H310" t="str">
            <v>Within 1 mile</v>
          </cell>
          <cell r="I310">
            <v>3353097787</v>
          </cell>
        </row>
        <row r="311">
          <cell r="G311">
            <v>2</v>
          </cell>
          <cell r="H311" t="str">
            <v>Within 40 feet</v>
          </cell>
          <cell r="I311">
            <v>3349559512</v>
          </cell>
        </row>
        <row r="312">
          <cell r="G312">
            <v>3</v>
          </cell>
          <cell r="H312" t="str">
            <v>Within 165 feet</v>
          </cell>
          <cell r="I312">
            <v>3337408897</v>
          </cell>
        </row>
        <row r="313">
          <cell r="G313">
            <v>6</v>
          </cell>
          <cell r="H313" t="str">
            <v>Within 1 mile</v>
          </cell>
          <cell r="I313">
            <v>3337408908</v>
          </cell>
        </row>
        <row r="314">
          <cell r="G314">
            <v>2</v>
          </cell>
          <cell r="H314" t="str">
            <v>Within 1 mile</v>
          </cell>
          <cell r="I314">
            <v>3337428278</v>
          </cell>
        </row>
        <row r="315">
          <cell r="G315">
            <v>3</v>
          </cell>
          <cell r="H315" t="str">
            <v>Within 165 feet</v>
          </cell>
          <cell r="I315">
            <v>3337408917</v>
          </cell>
        </row>
        <row r="316">
          <cell r="G316">
            <v>3</v>
          </cell>
          <cell r="H316" t="str">
            <v>Within 165 feet</v>
          </cell>
          <cell r="I316">
            <v>3349559758</v>
          </cell>
        </row>
        <row r="317">
          <cell r="G317">
            <v>3</v>
          </cell>
          <cell r="H317" t="str">
            <v>Not verified to be within 1 mile</v>
          </cell>
          <cell r="I317">
            <v>3365669814</v>
          </cell>
        </row>
        <row r="318">
          <cell r="G318">
            <v>5</v>
          </cell>
          <cell r="H318" t="str">
            <v>Within 165 feet</v>
          </cell>
          <cell r="I318">
            <v>3337408977</v>
          </cell>
        </row>
        <row r="319">
          <cell r="G319">
            <v>2</v>
          </cell>
          <cell r="H319" t="str">
            <v>Within 1 mile</v>
          </cell>
          <cell r="I319">
            <v>3342617894</v>
          </cell>
        </row>
        <row r="320">
          <cell r="G320">
            <v>1</v>
          </cell>
          <cell r="H320" t="str">
            <v>Not verified to be within 1 mile</v>
          </cell>
          <cell r="I320">
            <v>3349560119</v>
          </cell>
        </row>
        <row r="321">
          <cell r="G321">
            <v>2</v>
          </cell>
          <cell r="H321" t="str">
            <v>Within 1 mile</v>
          </cell>
          <cell r="I321">
            <v>3337427747</v>
          </cell>
        </row>
        <row r="322">
          <cell r="G322">
            <v>2</v>
          </cell>
          <cell r="H322" t="str">
            <v>Within 1 mile</v>
          </cell>
          <cell r="I322">
            <v>3353097799</v>
          </cell>
        </row>
        <row r="323">
          <cell r="G323">
            <v>4</v>
          </cell>
          <cell r="H323" t="str">
            <v>Within 165 feet</v>
          </cell>
          <cell r="I323">
            <v>3337409045</v>
          </cell>
        </row>
        <row r="324">
          <cell r="G324">
            <v>8</v>
          </cell>
          <cell r="H324" t="str">
            <v>Within 1 mile</v>
          </cell>
          <cell r="I324">
            <v>3337409051</v>
          </cell>
        </row>
        <row r="325">
          <cell r="G325">
            <v>1</v>
          </cell>
          <cell r="H325" t="str">
            <v>Not verified to be within 1 mile</v>
          </cell>
          <cell r="I325">
            <v>3349560236</v>
          </cell>
        </row>
        <row r="326">
          <cell r="G326">
            <v>1</v>
          </cell>
          <cell r="H326" t="str">
            <v>Not verified to be within 1 mile</v>
          </cell>
          <cell r="I326">
            <v>3349559830</v>
          </cell>
        </row>
        <row r="327">
          <cell r="G327">
            <v>1</v>
          </cell>
          <cell r="H327" t="str">
            <v>Within 165 feet</v>
          </cell>
          <cell r="I327">
            <v>3337409095</v>
          </cell>
        </row>
        <row r="328">
          <cell r="G328">
            <v>2</v>
          </cell>
          <cell r="H328" t="str">
            <v>Not verified to be within 1 mile</v>
          </cell>
          <cell r="I328">
            <v>3342617948</v>
          </cell>
        </row>
        <row r="329">
          <cell r="G329">
            <v>4</v>
          </cell>
          <cell r="H329" t="str">
            <v>Not Verified to be within 1 mile</v>
          </cell>
          <cell r="I329">
            <v>3337409131</v>
          </cell>
        </row>
        <row r="330">
          <cell r="G330">
            <v>15</v>
          </cell>
          <cell r="H330" t="str">
            <v>Within 40 feet</v>
          </cell>
          <cell r="I330">
            <v>3337409201</v>
          </cell>
        </row>
        <row r="331">
          <cell r="G331">
            <v>1</v>
          </cell>
          <cell r="H331" t="str">
            <v>Not Verified to be within 1 mile</v>
          </cell>
          <cell r="I331">
            <v>3342618096</v>
          </cell>
        </row>
        <row r="332">
          <cell r="G332">
            <v>1</v>
          </cell>
          <cell r="H332" t="str">
            <v>Within 165 feet</v>
          </cell>
          <cell r="I332">
            <v>3337409218</v>
          </cell>
        </row>
        <row r="333">
          <cell r="G333">
            <v>6</v>
          </cell>
          <cell r="H333" t="str">
            <v>Within 165 feet</v>
          </cell>
          <cell r="I333">
            <v>3337409220</v>
          </cell>
        </row>
        <row r="334">
          <cell r="G334">
            <v>2</v>
          </cell>
          <cell r="H334" t="str">
            <v>Within 1 mile</v>
          </cell>
          <cell r="I334">
            <v>3342617951</v>
          </cell>
        </row>
        <row r="335">
          <cell r="G335">
            <v>1</v>
          </cell>
          <cell r="H335" t="str">
            <v>Not Verified to be within 1 mile</v>
          </cell>
          <cell r="I335">
            <v>3342618097</v>
          </cell>
        </row>
        <row r="336">
          <cell r="G336">
            <v>3</v>
          </cell>
          <cell r="H336" t="str">
            <v>Within 1 mile</v>
          </cell>
          <cell r="I336">
            <v>3337409263</v>
          </cell>
        </row>
        <row r="337">
          <cell r="G337">
            <v>1</v>
          </cell>
          <cell r="H337" t="str">
            <v>Not verified to be within 1 mile</v>
          </cell>
          <cell r="I337">
            <v>3349560084</v>
          </cell>
        </row>
        <row r="338">
          <cell r="G338">
            <v>12</v>
          </cell>
          <cell r="H338" t="str">
            <v>Within 165 feet</v>
          </cell>
          <cell r="I338">
            <v>3337409315</v>
          </cell>
        </row>
        <row r="339">
          <cell r="G339">
            <v>3</v>
          </cell>
          <cell r="H339" t="str">
            <v>Within 1 mile</v>
          </cell>
          <cell r="I339">
            <v>3337428172</v>
          </cell>
        </row>
        <row r="340">
          <cell r="G340">
            <v>1</v>
          </cell>
          <cell r="H340" t="str">
            <v>Within 1 mile</v>
          </cell>
          <cell r="I340">
            <v>3337428000</v>
          </cell>
        </row>
        <row r="341">
          <cell r="G341">
            <v>2</v>
          </cell>
          <cell r="H341" t="str">
            <v>Within 1 mile</v>
          </cell>
          <cell r="I341">
            <v>3337428232</v>
          </cell>
        </row>
        <row r="342">
          <cell r="G342">
            <v>1</v>
          </cell>
          <cell r="H342" t="str">
            <v>Not Verified to be within 1 mile</v>
          </cell>
          <cell r="I342">
            <v>3342618235</v>
          </cell>
        </row>
        <row r="343">
          <cell r="G343">
            <v>2</v>
          </cell>
          <cell r="H343" t="str">
            <v>Within 1 mile</v>
          </cell>
          <cell r="I343">
            <v>3352750159</v>
          </cell>
        </row>
        <row r="344">
          <cell r="G344">
            <v>1</v>
          </cell>
          <cell r="H344" t="str">
            <v>Not verified to be within 1 mile</v>
          </cell>
          <cell r="I344">
            <v>3349559787</v>
          </cell>
        </row>
        <row r="345">
          <cell r="G345">
            <v>2</v>
          </cell>
          <cell r="H345" t="str">
            <v>Within 1 mile</v>
          </cell>
          <cell r="I345">
            <v>3342618251</v>
          </cell>
        </row>
        <row r="346">
          <cell r="G346">
            <v>3</v>
          </cell>
          <cell r="H346" t="str">
            <v>Within 165 feet</v>
          </cell>
          <cell r="I346">
            <v>3337409531</v>
          </cell>
        </row>
        <row r="347">
          <cell r="G347">
            <v>7</v>
          </cell>
          <cell r="H347" t="str">
            <v>Within 1 mile</v>
          </cell>
          <cell r="I347">
            <v>3337409538</v>
          </cell>
        </row>
        <row r="348">
          <cell r="G348">
            <v>1</v>
          </cell>
          <cell r="H348" t="str">
            <v>Within 165 feet</v>
          </cell>
          <cell r="I348">
            <v>3337409542</v>
          </cell>
        </row>
        <row r="349">
          <cell r="G349">
            <v>3</v>
          </cell>
          <cell r="H349" t="str">
            <v>Within 1 mile</v>
          </cell>
          <cell r="I349">
            <v>3353098145</v>
          </cell>
        </row>
        <row r="350">
          <cell r="G350">
            <v>2</v>
          </cell>
          <cell r="H350" t="str">
            <v>Not verified to be within 1 mile</v>
          </cell>
          <cell r="I350">
            <v>3349559913</v>
          </cell>
        </row>
        <row r="351">
          <cell r="G351">
            <v>1</v>
          </cell>
          <cell r="H351" t="str">
            <v>Not verified to be within 1 mile</v>
          </cell>
          <cell r="I351">
            <v>3349559823</v>
          </cell>
        </row>
        <row r="352">
          <cell r="G352">
            <v>2</v>
          </cell>
          <cell r="H352" t="str">
            <v>Not Verified to be within 1 mile</v>
          </cell>
          <cell r="I352">
            <v>3337409573</v>
          </cell>
        </row>
        <row r="353">
          <cell r="G353">
            <v>2</v>
          </cell>
          <cell r="H353" t="str">
            <v>Not verified to be within 1 mile</v>
          </cell>
          <cell r="I353">
            <v>3349560177</v>
          </cell>
        </row>
        <row r="354">
          <cell r="G354">
            <v>2</v>
          </cell>
          <cell r="H354" t="str">
            <v>Not verified to be within 1 mile</v>
          </cell>
          <cell r="I354">
            <v>3349560192</v>
          </cell>
        </row>
        <row r="355">
          <cell r="G355">
            <v>1</v>
          </cell>
          <cell r="H355" t="str">
            <v>Not verified to be within 1 mile</v>
          </cell>
          <cell r="I355">
            <v>3349560188</v>
          </cell>
        </row>
        <row r="356">
          <cell r="G356">
            <v>1</v>
          </cell>
          <cell r="H356" t="str">
            <v>Not verified to be within 1 mile</v>
          </cell>
          <cell r="I356">
            <v>3349560173</v>
          </cell>
        </row>
        <row r="357">
          <cell r="G357">
            <v>2</v>
          </cell>
          <cell r="H357" t="str">
            <v>Within 40 feet</v>
          </cell>
          <cell r="I357">
            <v>3337409576</v>
          </cell>
        </row>
        <row r="358">
          <cell r="G358">
            <v>1</v>
          </cell>
          <cell r="H358" t="str">
            <v>Not Verified to be within 1 mile</v>
          </cell>
          <cell r="I358">
            <v>3337431214</v>
          </cell>
        </row>
        <row r="359">
          <cell r="G359">
            <v>4</v>
          </cell>
          <cell r="H359" t="str">
            <v>Within 1 mile</v>
          </cell>
          <cell r="I359">
            <v>3337428273</v>
          </cell>
        </row>
        <row r="360">
          <cell r="G360">
            <v>1</v>
          </cell>
          <cell r="H360" t="str">
            <v>Within 1 mile</v>
          </cell>
          <cell r="I360">
            <v>3337428276</v>
          </cell>
        </row>
        <row r="361">
          <cell r="G361">
            <v>1</v>
          </cell>
          <cell r="H361" t="str">
            <v>Not Verified to be within 1 mile</v>
          </cell>
          <cell r="I361">
            <v>3342618143</v>
          </cell>
        </row>
        <row r="362">
          <cell r="G362">
            <v>4</v>
          </cell>
          <cell r="H362" t="str">
            <v>Within 1 mile</v>
          </cell>
          <cell r="I362">
            <v>3337428023</v>
          </cell>
        </row>
        <row r="363">
          <cell r="G363">
            <v>1</v>
          </cell>
          <cell r="H363" t="str">
            <v>Within 1 mile</v>
          </cell>
          <cell r="I363">
            <v>3342618087</v>
          </cell>
        </row>
        <row r="364">
          <cell r="G364">
            <v>1</v>
          </cell>
          <cell r="H364" t="str">
            <v>Not verified to be within 1 mile</v>
          </cell>
          <cell r="I364">
            <v>3349560325</v>
          </cell>
        </row>
        <row r="365">
          <cell r="G365">
            <v>4</v>
          </cell>
          <cell r="H365" t="str">
            <v>Within 165 feet</v>
          </cell>
          <cell r="I365">
            <v>3349559862</v>
          </cell>
        </row>
        <row r="366">
          <cell r="G366">
            <v>2</v>
          </cell>
          <cell r="H366" t="str">
            <v>Within 1 mile</v>
          </cell>
          <cell r="I366">
            <v>3352749837</v>
          </cell>
        </row>
        <row r="367">
          <cell r="G367">
            <v>2</v>
          </cell>
          <cell r="H367" t="str">
            <v>Not Verified to be within 1 mile</v>
          </cell>
          <cell r="I367">
            <v>3342618334</v>
          </cell>
        </row>
        <row r="368">
          <cell r="G368">
            <v>12</v>
          </cell>
          <cell r="H368" t="str">
            <v>Within 40 feet</v>
          </cell>
          <cell r="I368">
            <v>3337409645</v>
          </cell>
        </row>
        <row r="369">
          <cell r="G369">
            <v>4</v>
          </cell>
          <cell r="H369" t="str">
            <v>Within 40 feet</v>
          </cell>
          <cell r="I369">
            <v>3340396311</v>
          </cell>
        </row>
        <row r="370">
          <cell r="G370">
            <v>6</v>
          </cell>
          <cell r="H370" t="str">
            <v>Within 40 feet</v>
          </cell>
          <cell r="I370">
            <v>3337426904</v>
          </cell>
        </row>
        <row r="371">
          <cell r="G371">
            <v>4</v>
          </cell>
          <cell r="H371" t="str">
            <v>Within 1 mile</v>
          </cell>
          <cell r="I371">
            <v>3337409656</v>
          </cell>
        </row>
        <row r="372">
          <cell r="G372">
            <v>6</v>
          </cell>
          <cell r="H372" t="str">
            <v>Within 165 feet</v>
          </cell>
          <cell r="I372">
            <v>3349559838</v>
          </cell>
        </row>
        <row r="373">
          <cell r="G373">
            <v>2</v>
          </cell>
          <cell r="H373" t="str">
            <v>Within 1 mile</v>
          </cell>
          <cell r="I373">
            <v>3342617828</v>
          </cell>
        </row>
        <row r="374">
          <cell r="G374">
            <v>2</v>
          </cell>
          <cell r="H374" t="str">
            <v>Within 165 feet</v>
          </cell>
          <cell r="I374">
            <v>3349560011</v>
          </cell>
        </row>
        <row r="375">
          <cell r="G375">
            <v>1</v>
          </cell>
          <cell r="H375" t="str">
            <v>Not verified to be within 1 mile</v>
          </cell>
          <cell r="I375">
            <v>3349559914</v>
          </cell>
        </row>
        <row r="376">
          <cell r="G376">
            <v>1</v>
          </cell>
          <cell r="H376" t="str">
            <v>Not verified to be within 1 mile</v>
          </cell>
          <cell r="I376">
            <v>3349559874</v>
          </cell>
        </row>
        <row r="377">
          <cell r="G377">
            <v>12</v>
          </cell>
          <cell r="H377" t="str">
            <v>Within 165 feet</v>
          </cell>
          <cell r="I377">
            <v>3341136828</v>
          </cell>
        </row>
        <row r="378">
          <cell r="G378">
            <v>2</v>
          </cell>
          <cell r="H378" t="str">
            <v>Within 1 mile</v>
          </cell>
          <cell r="I378">
            <v>3352749925</v>
          </cell>
        </row>
        <row r="379">
          <cell r="G379">
            <v>1</v>
          </cell>
          <cell r="H379" t="str">
            <v>Not Verified to be within 1 mile</v>
          </cell>
          <cell r="I379">
            <v>3337409743</v>
          </cell>
        </row>
        <row r="380">
          <cell r="G380">
            <v>1</v>
          </cell>
          <cell r="H380" t="str">
            <v>Within 1 mile</v>
          </cell>
          <cell r="I380">
            <v>3337409748</v>
          </cell>
        </row>
        <row r="381">
          <cell r="G381">
            <v>3</v>
          </cell>
          <cell r="H381" t="str">
            <v>Within 165 feet</v>
          </cell>
          <cell r="I381">
            <v>3337409756</v>
          </cell>
        </row>
        <row r="382">
          <cell r="G382">
            <v>2</v>
          </cell>
          <cell r="H382" t="str">
            <v>Within 1 mile</v>
          </cell>
          <cell r="I382">
            <v>3353097640</v>
          </cell>
        </row>
        <row r="383">
          <cell r="G383">
            <v>1</v>
          </cell>
          <cell r="H383" t="str">
            <v>Within 1 mile</v>
          </cell>
          <cell r="I383">
            <v>3353098104</v>
          </cell>
        </row>
        <row r="384">
          <cell r="G384">
            <v>4</v>
          </cell>
          <cell r="H384" t="str">
            <v>Not verified to be within 1 mile</v>
          </cell>
          <cell r="I384">
            <v>3349560217</v>
          </cell>
        </row>
        <row r="385">
          <cell r="G385">
            <v>1</v>
          </cell>
          <cell r="H385" t="str">
            <v>Not verified to be within 1 mile</v>
          </cell>
          <cell r="I385">
            <v>3349559919</v>
          </cell>
        </row>
        <row r="386">
          <cell r="G386">
            <v>5</v>
          </cell>
          <cell r="H386" t="str">
            <v>Within 165 feet</v>
          </cell>
          <cell r="I386">
            <v>3349559832</v>
          </cell>
        </row>
        <row r="387">
          <cell r="G387">
            <v>9</v>
          </cell>
          <cell r="H387" t="str">
            <v>Within 165 feet</v>
          </cell>
          <cell r="I387">
            <v>3337409874</v>
          </cell>
        </row>
        <row r="388">
          <cell r="G388">
            <v>1</v>
          </cell>
          <cell r="H388" t="str">
            <v>Within 1 mile</v>
          </cell>
          <cell r="I388">
            <v>3342617990</v>
          </cell>
        </row>
        <row r="389">
          <cell r="G389">
            <v>1</v>
          </cell>
          <cell r="H389" t="str">
            <v>Not verified to be within 1 mile</v>
          </cell>
          <cell r="I389">
            <v>3349560278</v>
          </cell>
        </row>
        <row r="390">
          <cell r="G390">
            <v>1</v>
          </cell>
          <cell r="H390" t="str">
            <v>Not verified to be within 1 mile</v>
          </cell>
          <cell r="I390">
            <v>3349560387</v>
          </cell>
        </row>
        <row r="391">
          <cell r="G391">
            <v>2</v>
          </cell>
          <cell r="H391" t="str">
            <v>Not Verified to be within 1 mile</v>
          </cell>
          <cell r="I391">
            <v>3342617929</v>
          </cell>
        </row>
        <row r="392">
          <cell r="G392">
            <v>3</v>
          </cell>
          <cell r="H392" t="str">
            <v>Within 165 feet</v>
          </cell>
          <cell r="I392">
            <v>3337409954</v>
          </cell>
        </row>
        <row r="393">
          <cell r="G393">
            <v>2</v>
          </cell>
          <cell r="H393" t="str">
            <v>Within 1 mile</v>
          </cell>
          <cell r="I393">
            <v>3342618113</v>
          </cell>
        </row>
        <row r="394">
          <cell r="G394">
            <v>1</v>
          </cell>
          <cell r="H394" t="str">
            <v>Within 165 feet</v>
          </cell>
          <cell r="I394">
            <v>3337409983</v>
          </cell>
        </row>
        <row r="395">
          <cell r="G395">
            <v>1</v>
          </cell>
          <cell r="H395" t="str">
            <v>Not verified to be within 1 mile</v>
          </cell>
          <cell r="I395">
            <v>3349559805</v>
          </cell>
        </row>
        <row r="396">
          <cell r="G396">
            <v>1</v>
          </cell>
          <cell r="H396" t="str">
            <v>Not verified to be within 1 mile</v>
          </cell>
          <cell r="I396">
            <v>3349559825</v>
          </cell>
        </row>
        <row r="397">
          <cell r="G397">
            <v>2</v>
          </cell>
          <cell r="H397" t="str">
            <v>Within 165 feet</v>
          </cell>
          <cell r="I397">
            <v>3337410057</v>
          </cell>
        </row>
        <row r="398">
          <cell r="G398">
            <v>12</v>
          </cell>
          <cell r="H398" t="str">
            <v>Within 165 feet</v>
          </cell>
          <cell r="I398">
            <v>3337410062</v>
          </cell>
        </row>
        <row r="399">
          <cell r="G399">
            <v>3</v>
          </cell>
          <cell r="H399" t="str">
            <v>Within 40 feet</v>
          </cell>
          <cell r="I399">
            <v>3341136831</v>
          </cell>
        </row>
        <row r="400">
          <cell r="G400">
            <v>3</v>
          </cell>
          <cell r="H400" t="str">
            <v>Within 165 feet</v>
          </cell>
          <cell r="I400">
            <v>3337428277</v>
          </cell>
        </row>
        <row r="401">
          <cell r="G401">
            <v>1</v>
          </cell>
          <cell r="H401" t="str">
            <v>Not verified to be within 1 mile</v>
          </cell>
          <cell r="I401">
            <v>3349559963</v>
          </cell>
        </row>
        <row r="402">
          <cell r="G402">
            <v>2</v>
          </cell>
          <cell r="H402" t="str">
            <v>Within 1 mile</v>
          </cell>
          <cell r="I402">
            <v>3353097790</v>
          </cell>
        </row>
        <row r="403">
          <cell r="G403">
            <v>1</v>
          </cell>
          <cell r="H403" t="str">
            <v>Not Verified to be within 1 mile</v>
          </cell>
          <cell r="I403">
            <v>3342618228</v>
          </cell>
        </row>
        <row r="404">
          <cell r="G404">
            <v>5</v>
          </cell>
          <cell r="H404" t="str">
            <v>Within 1 mile</v>
          </cell>
          <cell r="I404">
            <v>3337428285</v>
          </cell>
        </row>
        <row r="405">
          <cell r="G405">
            <v>4</v>
          </cell>
          <cell r="H405" t="str">
            <v>Within 40 feet</v>
          </cell>
          <cell r="I405">
            <v>3337410138</v>
          </cell>
        </row>
        <row r="406">
          <cell r="G406">
            <v>4</v>
          </cell>
          <cell r="H406" t="str">
            <v>Within 40 feet</v>
          </cell>
          <cell r="I406">
            <v>3337410151</v>
          </cell>
        </row>
        <row r="407">
          <cell r="G407">
            <v>1</v>
          </cell>
          <cell r="H407" t="str">
            <v>Within 1 mile</v>
          </cell>
          <cell r="I407">
            <v>3337410164</v>
          </cell>
        </row>
        <row r="408">
          <cell r="G408">
            <v>8</v>
          </cell>
          <cell r="H408" t="str">
            <v>Within 40 feet</v>
          </cell>
          <cell r="I408">
            <v>3349559508</v>
          </cell>
        </row>
        <row r="409">
          <cell r="G409">
            <v>1</v>
          </cell>
          <cell r="H409" t="str">
            <v>Within 1 mile</v>
          </cell>
          <cell r="I409">
            <v>3337410170</v>
          </cell>
        </row>
        <row r="410">
          <cell r="G410">
            <v>2</v>
          </cell>
          <cell r="H410" t="str">
            <v>Within 1 mile</v>
          </cell>
          <cell r="I410">
            <v>3342618381</v>
          </cell>
        </row>
        <row r="411">
          <cell r="G411">
            <v>2</v>
          </cell>
          <cell r="H411" t="str">
            <v>Within 1 mile</v>
          </cell>
          <cell r="I411">
            <v>3352749867</v>
          </cell>
        </row>
        <row r="412">
          <cell r="G412">
            <v>1</v>
          </cell>
          <cell r="H412" t="str">
            <v>Not Verified to be within 1 mile</v>
          </cell>
          <cell r="I412">
            <v>3337410194</v>
          </cell>
        </row>
        <row r="413">
          <cell r="G413">
            <v>2</v>
          </cell>
          <cell r="H413" t="str">
            <v>Not verified to be within 1 mile</v>
          </cell>
          <cell r="I413">
            <v>3349559800</v>
          </cell>
        </row>
        <row r="414">
          <cell r="G414">
            <v>23</v>
          </cell>
          <cell r="H414" t="str">
            <v>Within 40 feet</v>
          </cell>
          <cell r="I414">
            <v>3337410205</v>
          </cell>
        </row>
        <row r="415">
          <cell r="G415">
            <v>2</v>
          </cell>
          <cell r="H415" t="str">
            <v>Within 1 mile</v>
          </cell>
          <cell r="I415">
            <v>3352750256</v>
          </cell>
        </row>
        <row r="416">
          <cell r="G416">
            <v>2</v>
          </cell>
          <cell r="H416" t="str">
            <v>Within 1 mile</v>
          </cell>
          <cell r="I416">
            <v>3337410218</v>
          </cell>
        </row>
        <row r="417">
          <cell r="G417">
            <v>3</v>
          </cell>
          <cell r="H417" t="str">
            <v>Not verified to be within 1 mile</v>
          </cell>
          <cell r="I417">
            <v>3337410227</v>
          </cell>
        </row>
        <row r="418">
          <cell r="G418">
            <v>5</v>
          </cell>
          <cell r="H418" t="str">
            <v>Within 40 feet</v>
          </cell>
          <cell r="I418">
            <v>3337410261</v>
          </cell>
        </row>
        <row r="419">
          <cell r="G419">
            <v>3</v>
          </cell>
          <cell r="H419" t="str">
            <v>Within 1 mile</v>
          </cell>
          <cell r="I419">
            <v>3337410263</v>
          </cell>
        </row>
        <row r="420">
          <cell r="G420">
            <v>2</v>
          </cell>
          <cell r="H420" t="str">
            <v>Within 1 mile</v>
          </cell>
          <cell r="I420">
            <v>3342617812</v>
          </cell>
        </row>
        <row r="421">
          <cell r="G421">
            <v>1</v>
          </cell>
          <cell r="H421" t="str">
            <v>Within 1 mile</v>
          </cell>
          <cell r="I421">
            <v>3352749879</v>
          </cell>
        </row>
        <row r="422">
          <cell r="G422">
            <v>2</v>
          </cell>
          <cell r="H422" t="str">
            <v>Within 165 feet</v>
          </cell>
          <cell r="I422">
            <v>3342618338</v>
          </cell>
        </row>
        <row r="423">
          <cell r="G423">
            <v>1</v>
          </cell>
          <cell r="H423" t="str">
            <v>Not verified to be within 1 mile</v>
          </cell>
          <cell r="I423">
            <v>3349559719</v>
          </cell>
        </row>
        <row r="424">
          <cell r="G424">
            <v>6</v>
          </cell>
          <cell r="H424" t="str">
            <v>Within 1 mile</v>
          </cell>
          <cell r="I424">
            <v>3337410310</v>
          </cell>
        </row>
        <row r="425">
          <cell r="G425">
            <v>11</v>
          </cell>
          <cell r="H425" t="str">
            <v>Within 40 feet</v>
          </cell>
          <cell r="I425">
            <v>3337410309</v>
          </cell>
        </row>
        <row r="426">
          <cell r="G426">
            <v>4</v>
          </cell>
          <cell r="H426" t="str">
            <v>Within 1 mile</v>
          </cell>
          <cell r="I426">
            <v>3365669817</v>
          </cell>
        </row>
        <row r="427">
          <cell r="G427">
            <v>2</v>
          </cell>
          <cell r="H427" t="str">
            <v>Within 165 feet</v>
          </cell>
          <cell r="I427">
            <v>3349559822</v>
          </cell>
        </row>
        <row r="428">
          <cell r="G428">
            <v>2</v>
          </cell>
          <cell r="H428" t="str">
            <v>Within 1 mile</v>
          </cell>
          <cell r="I428">
            <v>3352749869</v>
          </cell>
        </row>
        <row r="429">
          <cell r="G429">
            <v>4</v>
          </cell>
          <cell r="H429" t="str">
            <v>Within 165 feet</v>
          </cell>
          <cell r="I429">
            <v>3337410366</v>
          </cell>
        </row>
        <row r="430">
          <cell r="G430">
            <v>1</v>
          </cell>
          <cell r="H430" t="str">
            <v>Not Verified to be within 1 mile</v>
          </cell>
          <cell r="I430">
            <v>3342617610</v>
          </cell>
        </row>
        <row r="431">
          <cell r="G431">
            <v>2</v>
          </cell>
          <cell r="H431" t="str">
            <v>Within 1 mile</v>
          </cell>
          <cell r="I431">
            <v>3352750163</v>
          </cell>
        </row>
        <row r="432">
          <cell r="G432">
            <v>1</v>
          </cell>
          <cell r="H432" t="str">
            <v>Not verified to be within 1 mile</v>
          </cell>
          <cell r="I432">
            <v>3349560300</v>
          </cell>
        </row>
        <row r="433">
          <cell r="G433">
            <v>1</v>
          </cell>
          <cell r="H433" t="str">
            <v>Not Verified to be within 1 mile</v>
          </cell>
          <cell r="I433">
            <v>3342618083</v>
          </cell>
        </row>
        <row r="434">
          <cell r="G434">
            <v>2</v>
          </cell>
          <cell r="H434" t="str">
            <v>Not verified to be within 1 mile</v>
          </cell>
          <cell r="I434">
            <v>3349560319</v>
          </cell>
        </row>
        <row r="435">
          <cell r="G435">
            <v>3</v>
          </cell>
          <cell r="H435" t="str">
            <v>Within 1 mile</v>
          </cell>
          <cell r="I435">
            <v>3342617815</v>
          </cell>
        </row>
        <row r="436">
          <cell r="G436">
            <v>3</v>
          </cell>
          <cell r="H436" t="str">
            <v>Within 40 feet</v>
          </cell>
          <cell r="I436">
            <v>3337427840</v>
          </cell>
        </row>
        <row r="437">
          <cell r="G437">
            <v>2</v>
          </cell>
          <cell r="H437" t="str">
            <v>Within 1 mile</v>
          </cell>
          <cell r="I437">
            <v>3352749868</v>
          </cell>
        </row>
        <row r="438">
          <cell r="G438">
            <v>2</v>
          </cell>
          <cell r="H438" t="str">
            <v>Within 1 mile</v>
          </cell>
          <cell r="I438">
            <v>3342617926</v>
          </cell>
        </row>
        <row r="439">
          <cell r="G439">
            <v>1</v>
          </cell>
          <cell r="H439" t="str">
            <v>Not verified to be within 1 mile</v>
          </cell>
          <cell r="I439">
            <v>3337410454</v>
          </cell>
        </row>
        <row r="440">
          <cell r="G440">
            <v>0</v>
          </cell>
          <cell r="H440" t="str">
            <v>Not Verified to be within 1 mile</v>
          </cell>
          <cell r="I440">
            <v>3342618404</v>
          </cell>
        </row>
        <row r="441">
          <cell r="G441">
            <v>4</v>
          </cell>
          <cell r="H441" t="str">
            <v>Within 40 feet</v>
          </cell>
          <cell r="I441">
            <v>3353097802</v>
          </cell>
        </row>
        <row r="442">
          <cell r="G442">
            <v>7</v>
          </cell>
          <cell r="H442" t="str">
            <v>Within 1 mile</v>
          </cell>
          <cell r="I442">
            <v>3337410466</v>
          </cell>
        </row>
        <row r="443">
          <cell r="G443">
            <v>2</v>
          </cell>
          <cell r="H443" t="str">
            <v>Within 1 mile</v>
          </cell>
          <cell r="I443">
            <v>3337410469</v>
          </cell>
        </row>
        <row r="444">
          <cell r="G444">
            <v>12</v>
          </cell>
          <cell r="H444" t="str">
            <v>Within 165 feet</v>
          </cell>
          <cell r="I444">
            <v>3337410472</v>
          </cell>
        </row>
        <row r="445">
          <cell r="G445">
            <v>1</v>
          </cell>
          <cell r="H445" t="str">
            <v>Not verified to be within 1 mile</v>
          </cell>
          <cell r="I445">
            <v>3349560209</v>
          </cell>
        </row>
        <row r="446">
          <cell r="G446">
            <v>2</v>
          </cell>
          <cell r="H446" t="str">
            <v>Within 1 mile</v>
          </cell>
          <cell r="I446">
            <v>3337410499</v>
          </cell>
        </row>
        <row r="447">
          <cell r="G447">
            <v>1</v>
          </cell>
          <cell r="H447" t="str">
            <v>Within 1 mile</v>
          </cell>
          <cell r="I447">
            <v>3342617830</v>
          </cell>
        </row>
        <row r="448">
          <cell r="G448">
            <v>2</v>
          </cell>
          <cell r="H448" t="str">
            <v>Within 1 mile</v>
          </cell>
          <cell r="I448">
            <v>3352749882</v>
          </cell>
        </row>
        <row r="449">
          <cell r="G449">
            <v>1</v>
          </cell>
          <cell r="H449" t="str">
            <v>Not verified to be within 1 mile</v>
          </cell>
          <cell r="I449">
            <v>3349559921</v>
          </cell>
        </row>
        <row r="450">
          <cell r="G450">
            <v>5</v>
          </cell>
          <cell r="H450" t="str">
            <v>Not Verified to be within 1 mile</v>
          </cell>
          <cell r="I450">
            <v>3342618330</v>
          </cell>
        </row>
        <row r="451">
          <cell r="G451">
            <v>8</v>
          </cell>
          <cell r="H451" t="str">
            <v>Within 40 feet</v>
          </cell>
          <cell r="I451">
            <v>3337410535</v>
          </cell>
        </row>
        <row r="452">
          <cell r="G452">
            <v>2</v>
          </cell>
          <cell r="H452" t="str">
            <v>Within 1 mile</v>
          </cell>
          <cell r="I452">
            <v>3337410539</v>
          </cell>
        </row>
        <row r="453">
          <cell r="G453">
            <v>2</v>
          </cell>
          <cell r="H453" t="str">
            <v>Not verified to be within 1 mile</v>
          </cell>
          <cell r="I453">
            <v>3349559748</v>
          </cell>
        </row>
        <row r="454">
          <cell r="G454">
            <v>1</v>
          </cell>
          <cell r="H454" t="str">
            <v>Within 1 mile</v>
          </cell>
          <cell r="I454">
            <v>3337410598</v>
          </cell>
        </row>
        <row r="455">
          <cell r="G455">
            <v>3</v>
          </cell>
          <cell r="H455" t="str">
            <v>Within 1 mile</v>
          </cell>
          <cell r="I455">
            <v>3337427581</v>
          </cell>
        </row>
        <row r="456">
          <cell r="G456">
            <v>1</v>
          </cell>
          <cell r="H456" t="str">
            <v>Within 1 mile</v>
          </cell>
          <cell r="I456">
            <v>3337410635</v>
          </cell>
        </row>
        <row r="457">
          <cell r="G457">
            <v>4</v>
          </cell>
          <cell r="H457" t="str">
            <v>Within 165 feet</v>
          </cell>
          <cell r="I457">
            <v>3337410647</v>
          </cell>
        </row>
        <row r="458">
          <cell r="G458">
            <v>1</v>
          </cell>
          <cell r="H458" t="str">
            <v>Not verified to be within 1 mile</v>
          </cell>
          <cell r="I458">
            <v>3349559767</v>
          </cell>
        </row>
        <row r="459">
          <cell r="G459">
            <v>1</v>
          </cell>
          <cell r="H459" t="str">
            <v>Within 1 mile</v>
          </cell>
          <cell r="I459">
            <v>3337410672</v>
          </cell>
        </row>
        <row r="460">
          <cell r="G460">
            <v>2</v>
          </cell>
          <cell r="H460" t="str">
            <v>Within 1 mile</v>
          </cell>
          <cell r="I460">
            <v>3342617609</v>
          </cell>
        </row>
        <row r="461">
          <cell r="G461">
            <v>2</v>
          </cell>
          <cell r="H461" t="str">
            <v>Within 40 feet</v>
          </cell>
          <cell r="I461">
            <v>3349559632</v>
          </cell>
        </row>
        <row r="462">
          <cell r="G462">
            <v>1</v>
          </cell>
          <cell r="H462" t="str">
            <v>Within 1 mile</v>
          </cell>
          <cell r="I462">
            <v>3352750020</v>
          </cell>
        </row>
        <row r="463">
          <cell r="G463">
            <v>1</v>
          </cell>
          <cell r="H463" t="str">
            <v>Not Verified to be within 1 mile</v>
          </cell>
          <cell r="I463">
            <v>3337410691</v>
          </cell>
        </row>
        <row r="464">
          <cell r="G464">
            <v>2</v>
          </cell>
          <cell r="H464" t="str">
            <v>Not Verified to be within 1 mile</v>
          </cell>
          <cell r="I464">
            <v>3342617891</v>
          </cell>
        </row>
        <row r="465">
          <cell r="G465">
            <v>1</v>
          </cell>
          <cell r="H465" t="str">
            <v>Within 1 mile</v>
          </cell>
          <cell r="I465">
            <v>3337410713</v>
          </cell>
        </row>
        <row r="466">
          <cell r="G466">
            <v>5</v>
          </cell>
          <cell r="H466" t="str">
            <v>Within 40 feet</v>
          </cell>
          <cell r="I466">
            <v>3337410744</v>
          </cell>
        </row>
        <row r="467">
          <cell r="G467">
            <v>1</v>
          </cell>
          <cell r="H467" t="str">
            <v>Within 1 mile</v>
          </cell>
          <cell r="I467">
            <v>3342618304</v>
          </cell>
        </row>
        <row r="468">
          <cell r="G468">
            <v>2</v>
          </cell>
          <cell r="H468" t="str">
            <v>Within 165 feet</v>
          </cell>
          <cell r="I468">
            <v>3353097786</v>
          </cell>
        </row>
        <row r="469">
          <cell r="G469">
            <v>2</v>
          </cell>
          <cell r="H469" t="str">
            <v>Within 1 mile</v>
          </cell>
          <cell r="I469">
            <v>3337430102</v>
          </cell>
        </row>
        <row r="470">
          <cell r="G470">
            <v>4</v>
          </cell>
          <cell r="H470" t="str">
            <v>Within 165 feet</v>
          </cell>
          <cell r="I470">
            <v>3349560046</v>
          </cell>
        </row>
        <row r="471">
          <cell r="G471">
            <v>4</v>
          </cell>
          <cell r="H471" t="str">
            <v>Within 40 feet</v>
          </cell>
          <cell r="I471">
            <v>3337410784</v>
          </cell>
        </row>
        <row r="472">
          <cell r="G472">
            <v>5</v>
          </cell>
          <cell r="H472" t="str">
            <v>Not verified to be within 1 mile</v>
          </cell>
          <cell r="I472">
            <v>3349560357</v>
          </cell>
        </row>
        <row r="473">
          <cell r="G473">
            <v>1</v>
          </cell>
          <cell r="H473" t="str">
            <v>Not verified to be within 1 mile</v>
          </cell>
          <cell r="I473">
            <v>3349559847</v>
          </cell>
        </row>
        <row r="474">
          <cell r="G474">
            <v>2</v>
          </cell>
          <cell r="H474" t="str">
            <v>Within 1 mile</v>
          </cell>
          <cell r="I474">
            <v>3353097532</v>
          </cell>
        </row>
        <row r="475">
          <cell r="G475">
            <v>2</v>
          </cell>
          <cell r="H475" t="str">
            <v>Within 1 mile</v>
          </cell>
          <cell r="I475">
            <v>3352749877</v>
          </cell>
        </row>
        <row r="476">
          <cell r="G476">
            <v>1</v>
          </cell>
          <cell r="H476" t="str">
            <v>Not verified to be within 1 mile</v>
          </cell>
          <cell r="I476">
            <v>3349559949</v>
          </cell>
        </row>
        <row r="477">
          <cell r="G477">
            <v>1</v>
          </cell>
          <cell r="H477" t="str">
            <v>Not verified to be within 1 mile</v>
          </cell>
          <cell r="I477">
            <v>3349559926</v>
          </cell>
        </row>
        <row r="478">
          <cell r="G478">
            <v>3</v>
          </cell>
          <cell r="H478" t="str">
            <v>Within 1 mile</v>
          </cell>
          <cell r="I478">
            <v>3337410875</v>
          </cell>
        </row>
        <row r="479">
          <cell r="G479">
            <v>5</v>
          </cell>
          <cell r="H479" t="str">
            <v>Within 1 mile</v>
          </cell>
          <cell r="I479">
            <v>3337410884</v>
          </cell>
        </row>
        <row r="480">
          <cell r="G480">
            <v>2</v>
          </cell>
          <cell r="H480" t="str">
            <v>Within 1 mile</v>
          </cell>
          <cell r="I480">
            <v>3337427325</v>
          </cell>
        </row>
        <row r="481">
          <cell r="G481">
            <v>5</v>
          </cell>
          <cell r="H481" t="str">
            <v>Not verified to be within 1 mile</v>
          </cell>
          <cell r="I481">
            <v>3349559940</v>
          </cell>
        </row>
        <row r="482">
          <cell r="G482">
            <v>2</v>
          </cell>
          <cell r="H482" t="str">
            <v>Not verified to be within 1 mile</v>
          </cell>
          <cell r="I482">
            <v>3337410893</v>
          </cell>
        </row>
        <row r="483">
          <cell r="G483">
            <v>1</v>
          </cell>
          <cell r="H483" t="str">
            <v>Within 1 mile</v>
          </cell>
          <cell r="I483">
            <v>3337410898</v>
          </cell>
        </row>
        <row r="484">
          <cell r="G484">
            <v>2</v>
          </cell>
          <cell r="H484" t="str">
            <v>Within 1 mile</v>
          </cell>
          <cell r="I484">
            <v>3337410924</v>
          </cell>
        </row>
        <row r="485">
          <cell r="G485">
            <v>4</v>
          </cell>
          <cell r="H485" t="str">
            <v>Within 1 mile</v>
          </cell>
          <cell r="I485">
            <v>3337427366</v>
          </cell>
        </row>
        <row r="486">
          <cell r="G486">
            <v>2</v>
          </cell>
          <cell r="H486" t="str">
            <v>Within 1 mile</v>
          </cell>
          <cell r="I486">
            <v>3337410952</v>
          </cell>
        </row>
        <row r="487">
          <cell r="G487">
            <v>3</v>
          </cell>
          <cell r="H487" t="str">
            <v>Within 165 feet</v>
          </cell>
          <cell r="I487">
            <v>3342617491</v>
          </cell>
        </row>
        <row r="488">
          <cell r="G488">
            <v>13</v>
          </cell>
          <cell r="H488" t="str">
            <v>Within 1 mile</v>
          </cell>
          <cell r="I488">
            <v>3337411001</v>
          </cell>
        </row>
        <row r="489">
          <cell r="G489">
            <v>2</v>
          </cell>
          <cell r="H489" t="str">
            <v>Within 1 mile</v>
          </cell>
          <cell r="I489">
            <v>3352749885</v>
          </cell>
        </row>
        <row r="490">
          <cell r="G490">
            <v>2</v>
          </cell>
          <cell r="H490" t="str">
            <v>Within 165 feet</v>
          </cell>
          <cell r="I490">
            <v>3337411020</v>
          </cell>
        </row>
        <row r="491">
          <cell r="G491">
            <v>1</v>
          </cell>
          <cell r="H491" t="str">
            <v>Within 1 mile</v>
          </cell>
          <cell r="I491">
            <v>3337411021</v>
          </cell>
        </row>
        <row r="492">
          <cell r="G492">
            <v>2</v>
          </cell>
          <cell r="H492" t="str">
            <v>Within 40 feet</v>
          </cell>
          <cell r="I492">
            <v>3337411027</v>
          </cell>
        </row>
        <row r="493">
          <cell r="G493">
            <v>5</v>
          </cell>
          <cell r="H493" t="str">
            <v>Within 1 mile</v>
          </cell>
          <cell r="I493">
            <v>3337411049</v>
          </cell>
        </row>
        <row r="494">
          <cell r="G494">
            <v>2</v>
          </cell>
          <cell r="H494" t="str">
            <v>Within 1 mile</v>
          </cell>
          <cell r="I494">
            <v>3342618370</v>
          </cell>
        </row>
        <row r="495">
          <cell r="G495">
            <v>1</v>
          </cell>
          <cell r="H495" t="str">
            <v>Within 1 mile</v>
          </cell>
          <cell r="I495">
            <v>3337411078</v>
          </cell>
        </row>
        <row r="496">
          <cell r="G496">
            <v>2</v>
          </cell>
          <cell r="H496" t="str">
            <v>Within 1 mile</v>
          </cell>
          <cell r="I496">
            <v>3341136760</v>
          </cell>
        </row>
        <row r="497">
          <cell r="G497">
            <v>3</v>
          </cell>
          <cell r="H497" t="str">
            <v>Within 1 mile</v>
          </cell>
          <cell r="I497">
            <v>3337411105</v>
          </cell>
        </row>
        <row r="498">
          <cell r="G498">
            <v>4</v>
          </cell>
          <cell r="H498" t="str">
            <v>Within 1 mile</v>
          </cell>
          <cell r="I498">
            <v>3337411112</v>
          </cell>
        </row>
        <row r="499">
          <cell r="G499">
            <v>2</v>
          </cell>
          <cell r="H499" t="str">
            <v>Within 1 mile</v>
          </cell>
          <cell r="I499">
            <v>3352749835</v>
          </cell>
        </row>
        <row r="500">
          <cell r="G500">
            <v>2</v>
          </cell>
          <cell r="H500" t="str">
            <v>Not verified to be within 1 mile</v>
          </cell>
          <cell r="I500">
            <v>3349560032</v>
          </cell>
        </row>
        <row r="501">
          <cell r="G501">
            <v>2</v>
          </cell>
          <cell r="H501" t="str">
            <v>Within 1 mile</v>
          </cell>
          <cell r="I501">
            <v>3342618088</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taxonomy"/>
      <sheetName val="Lookup"/>
      <sheetName val="UEC"/>
      <sheetName val="Tracking Status"/>
      <sheetName val="Res_Master"/>
    </sheetNames>
    <definedNames>
      <definedName name="ExistingSat" refersTo="='SATS'!$B$10:$F$84"/>
      <definedName name="NewSat" refersTo="='SATS'!$B$87:$F$152"/>
    </definedNames>
    <sheetDataSet>
      <sheetData sheetId="0"/>
      <sheetData sheetId="1"/>
      <sheetData sheetId="2">
        <row r="14">
          <cell r="B14" t="str">
            <v>Clothes Washer</v>
          </cell>
        </row>
        <row r="15">
          <cell r="B15" t="str">
            <v>Clothes Washer</v>
          </cell>
        </row>
        <row r="75">
          <cell r="B75" t="str">
            <v>Controls Commissioning and Sizing</v>
          </cell>
        </row>
        <row r="76">
          <cell r="B76" t="str">
            <v>Controls Commissioning and Sizing</v>
          </cell>
        </row>
      </sheetData>
      <sheetData sheetId="3">
        <row r="4">
          <cell r="H4">
            <v>2035</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0.76500000000000001</v>
          </cell>
          <cell r="D9">
            <v>0.76500000000000001</v>
          </cell>
          <cell r="E9">
            <v>0.76500000000000001</v>
          </cell>
          <cell r="F9">
            <v>0.76500000000000001</v>
          </cell>
        </row>
        <row r="10">
          <cell r="B10" t="str">
            <v>Lighting - NR</v>
          </cell>
          <cell r="C10">
            <v>0.9</v>
          </cell>
          <cell r="D10">
            <v>0.9</v>
          </cell>
          <cell r="E10">
            <v>0.9</v>
          </cell>
          <cell r="F10">
            <v>0.9</v>
          </cell>
        </row>
        <row r="11">
          <cell r="B11" t="str">
            <v>Lighting - PPA</v>
          </cell>
          <cell r="C11">
            <v>0.9</v>
          </cell>
          <cell r="D11">
            <v>0.9</v>
          </cell>
          <cell r="E11">
            <v>0.9</v>
          </cell>
          <cell r="F11">
            <v>0.9</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0.51600000000000001</v>
          </cell>
          <cell r="D17">
            <v>0.58000000000000007</v>
          </cell>
          <cell r="E17">
            <v>0.58000000000000007</v>
          </cell>
          <cell r="F17">
            <v>0.33999999999999997</v>
          </cell>
        </row>
        <row r="18">
          <cell r="B18" t="str">
            <v>Showerheads - Retro</v>
          </cell>
          <cell r="C18">
            <v>0.44247428657992416</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 Supply Equip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0.2475</v>
          </cell>
          <cell r="D28">
            <v>0.25</v>
          </cell>
          <cell r="E28">
            <v>0</v>
          </cell>
          <cell r="F28">
            <v>0</v>
          </cell>
        </row>
        <row r="29">
          <cell r="B29" t="str">
            <v>Solar Water Heater - NR</v>
          </cell>
          <cell r="C29">
            <v>0.2475</v>
          </cell>
          <cell r="D29">
            <v>0.25</v>
          </cell>
          <cell r="E29">
            <v>0</v>
          </cell>
          <cell r="F29">
            <v>0</v>
          </cell>
        </row>
        <row r="30">
          <cell r="B30" t="str">
            <v>Solar Water Heater - Retro</v>
          </cell>
          <cell r="C30">
            <v>0.2475</v>
          </cell>
          <cell r="D30">
            <v>0.25</v>
          </cell>
          <cell r="E30">
            <v>0</v>
          </cell>
          <cell r="F30">
            <v>0</v>
          </cell>
        </row>
        <row r="31">
          <cell r="B31">
            <v>0</v>
          </cell>
          <cell r="C31">
            <v>0</v>
          </cell>
          <cell r="D31">
            <v>0</v>
          </cell>
          <cell r="E31">
            <v>0</v>
          </cell>
          <cell r="F31">
            <v>0</v>
          </cell>
        </row>
        <row r="32">
          <cell r="B32">
            <v>0</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cell r="C43"/>
          <cell r="D43"/>
          <cell r="E43"/>
          <cell r="F43"/>
        </row>
        <row r="44">
          <cell r="B44" t="str">
            <v>Computer - NR</v>
          </cell>
          <cell r="C44"/>
          <cell r="D44"/>
          <cell r="E44"/>
          <cell r="F44"/>
        </row>
        <row r="45">
          <cell r="B45" t="str">
            <v>ASHP - New</v>
          </cell>
          <cell r="C45">
            <v>0.88200000000000001</v>
          </cell>
          <cell r="D45">
            <v>0.5</v>
          </cell>
          <cell r="E45">
            <v>0</v>
          </cell>
          <cell r="F45">
            <v>0.9</v>
          </cell>
        </row>
        <row r="46">
          <cell r="B46" t="str">
            <v>ASHP - NR</v>
          </cell>
          <cell r="C46">
            <v>0.73499999999999999</v>
          </cell>
          <cell r="D46">
            <v>0.5</v>
          </cell>
          <cell r="E46">
            <v>0</v>
          </cell>
          <cell r="F46">
            <v>0.25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0.4519771928174614</v>
          </cell>
          <cell r="D51">
            <v>0</v>
          </cell>
          <cell r="E51">
            <v>0</v>
          </cell>
          <cell r="F51">
            <v>0.54161498247447359</v>
          </cell>
        </row>
        <row r="52">
          <cell r="B52" t="str">
            <v>Duct Sealing - Retro</v>
          </cell>
          <cell r="C52">
            <v>0.4293783331765883</v>
          </cell>
          <cell r="D52">
            <v>0</v>
          </cell>
          <cell r="E52">
            <v>0</v>
          </cell>
          <cell r="F52">
            <v>0.51453423335074988</v>
          </cell>
        </row>
        <row r="53">
          <cell r="B53" t="str">
            <v>WIFI enabled tstats - New</v>
          </cell>
          <cell r="C53">
            <v>0.2</v>
          </cell>
          <cell r="D53">
            <v>0.2</v>
          </cell>
          <cell r="E53">
            <v>0</v>
          </cell>
          <cell r="F53">
            <v>0.2</v>
          </cell>
        </row>
        <row r="54">
          <cell r="B54" t="str">
            <v>WIFI enabled tstats - Retro</v>
          </cell>
          <cell r="C54">
            <v>0.19800000000000001</v>
          </cell>
          <cell r="D54">
            <v>0.19800000000000001</v>
          </cell>
          <cell r="E54">
            <v>0</v>
          </cell>
          <cell r="F54">
            <v>0.19800000000000001</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cell r="C62">
            <v>0</v>
          </cell>
          <cell r="D62">
            <v>0</v>
          </cell>
          <cell r="E62">
            <v>0</v>
          </cell>
          <cell r="F62">
            <v>0</v>
          </cell>
        </row>
        <row r="63">
          <cell r="B63" t="str">
            <v>Heat Recovery Ventilation - New</v>
          </cell>
          <cell r="C63">
            <v>0.89100000000000001</v>
          </cell>
          <cell r="D63">
            <v>0</v>
          </cell>
          <cell r="E63">
            <v>0</v>
          </cell>
          <cell r="F63">
            <v>0</v>
          </cell>
        </row>
        <row r="64">
          <cell r="B64" t="str">
            <v>GSHP - New</v>
          </cell>
          <cell r="C64">
            <v>0.12485156673907999</v>
          </cell>
          <cell r="D64">
            <v>0</v>
          </cell>
          <cell r="E64">
            <v>0</v>
          </cell>
          <cell r="F64">
            <v>0</v>
          </cell>
        </row>
        <row r="65">
          <cell r="B65" t="str">
            <v>GSHP - NR</v>
          </cell>
          <cell r="C65">
            <v>0.12485156673907999</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0.74249999999999994</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0.76</v>
          </cell>
          <cell r="D75">
            <v>0</v>
          </cell>
          <cell r="E75">
            <v>0</v>
          </cell>
          <cell r="F75">
            <v>0.76</v>
          </cell>
        </row>
        <row r="76">
          <cell r="B76" t="str">
            <v>Controls Commissioning and Sizing - NR</v>
          </cell>
          <cell r="C76">
            <v>0.76</v>
          </cell>
          <cell r="D76">
            <v>0</v>
          </cell>
          <cell r="E76">
            <v>0</v>
          </cell>
          <cell r="F76">
            <v>0.76</v>
          </cell>
        </row>
        <row r="77">
          <cell r="B77" t="str">
            <v>ResWx - Retro</v>
          </cell>
          <cell r="C77">
            <v>0.95</v>
          </cell>
          <cell r="D77">
            <v>1</v>
          </cell>
          <cell r="E77">
            <v>0</v>
          </cell>
          <cell r="F77">
            <v>0.95</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3.0150417138103489E-2</v>
          </cell>
          <cell r="D81">
            <v>1.0754159339533284E-2</v>
          </cell>
          <cell r="E81">
            <v>0</v>
          </cell>
          <cell r="F81">
            <v>0</v>
          </cell>
        </row>
        <row r="82">
          <cell r="B82" t="str">
            <v>ATTIC R0 - R49 - Retro</v>
          </cell>
          <cell r="C82">
            <v>1.6064798296574784E-2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2.4846271780712467E-2</v>
          </cell>
          <cell r="D84">
            <v>0</v>
          </cell>
          <cell r="E84">
            <v>0</v>
          </cell>
          <cell r="F84">
            <v>0</v>
          </cell>
        </row>
        <row r="85">
          <cell r="B85" t="str">
            <v>ATTIC R11 - R49 - Retro</v>
          </cell>
          <cell r="C85">
            <v>1.9498021140463982E-2</v>
          </cell>
          <cell r="D85">
            <v>0</v>
          </cell>
          <cell r="E85">
            <v>0</v>
          </cell>
          <cell r="F85">
            <v>0</v>
          </cell>
        </row>
        <row r="86">
          <cell r="B86" t="str">
            <v>ATTIC R19 - R30 - Retro</v>
          </cell>
          <cell r="C86">
            <v>0</v>
          </cell>
          <cell r="D86">
            <v>6.5125260012002723E-2</v>
          </cell>
          <cell r="E86">
            <v>0</v>
          </cell>
          <cell r="F86">
            <v>0</v>
          </cell>
        </row>
        <row r="87">
          <cell r="B87" t="str">
            <v>ATTIC R19 - R38 - Retro</v>
          </cell>
          <cell r="C87">
            <v>8.2033817107202978E-3</v>
          </cell>
          <cell r="D87">
            <v>1.0053116760243517E-2</v>
          </cell>
          <cell r="E87">
            <v>0</v>
          </cell>
          <cell r="F87">
            <v>0</v>
          </cell>
        </row>
        <row r="88">
          <cell r="B88" t="str">
            <v>ATTIC R19 - R49 - Retro</v>
          </cell>
          <cell r="C88">
            <v>1.7662848312546196E-2</v>
          </cell>
          <cell r="D88">
            <v>0.14766594591946242</v>
          </cell>
          <cell r="E88">
            <v>0</v>
          </cell>
          <cell r="F88">
            <v>0</v>
          </cell>
        </row>
        <row r="89">
          <cell r="B89" t="str">
            <v>WALL R0 - R11 - Retro</v>
          </cell>
          <cell r="C89">
            <v>8.46755457988283E-2</v>
          </cell>
          <cell r="D89">
            <v>8.6999999999999966E-2</v>
          </cell>
          <cell r="E89">
            <v>0</v>
          </cell>
          <cell r="F89">
            <v>0</v>
          </cell>
        </row>
        <row r="90">
          <cell r="B90" t="str">
            <v>FLOOR R0 - R19 - Retro</v>
          </cell>
          <cell r="C90">
            <v>7.8781984396844446E-2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4.555152699293441E-2</v>
          </cell>
          <cell r="D92">
            <v>0</v>
          </cell>
          <cell r="E92">
            <v>0</v>
          </cell>
          <cell r="F92">
            <v>0</v>
          </cell>
        </row>
        <row r="93">
          <cell r="B93" t="str">
            <v>FLOOR R0 - R30 - Retro</v>
          </cell>
          <cell r="C93">
            <v>0.10512619459663457</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B100"/>
          <cell r="C100">
            <v>0</v>
          </cell>
          <cell r="D100">
            <v>0</v>
          </cell>
          <cell r="E100">
            <v>0</v>
          </cell>
          <cell r="F100">
            <v>0</v>
          </cell>
        </row>
        <row r="101">
          <cell r="B101"/>
        </row>
        <row r="102">
          <cell r="B102"/>
        </row>
        <row r="103">
          <cell r="B103"/>
        </row>
        <row r="104">
          <cell r="B104"/>
        </row>
        <row r="105">
          <cell r="B105"/>
        </row>
        <row r="106">
          <cell r="B106"/>
        </row>
        <row r="107">
          <cell r="B107"/>
        </row>
        <row r="108">
          <cell r="B108"/>
        </row>
        <row r="109">
          <cell r="B109"/>
        </row>
        <row r="110">
          <cell r="B110"/>
        </row>
        <row r="111">
          <cell r="B111"/>
        </row>
        <row r="112">
          <cell r="B112"/>
        </row>
        <row r="113">
          <cell r="B113"/>
        </row>
        <row r="114">
          <cell r="B114"/>
        </row>
        <row r="115">
          <cell r="B115"/>
        </row>
        <row r="116">
          <cell r="B116"/>
        </row>
        <row r="117">
          <cell r="B117"/>
        </row>
        <row r="118">
          <cell r="B118"/>
        </row>
        <row r="119">
          <cell r="B119"/>
        </row>
        <row r="120">
          <cell r="B120"/>
        </row>
      </sheetData>
      <sheetData sheetId="5"/>
      <sheetData sheetId="6"/>
      <sheetData sheetId="7"/>
      <sheetData sheetId="8">
        <row r="10">
          <cell r="B10" t="str">
            <v>Lighting - NR</v>
          </cell>
          <cell r="C10">
            <v>0.125</v>
          </cell>
          <cell r="D10">
            <v>0.125</v>
          </cell>
          <cell r="E10">
            <v>0.125</v>
          </cell>
          <cell r="F10">
            <v>0.125</v>
          </cell>
          <cell r="G10">
            <v>0.125</v>
          </cell>
        </row>
        <row r="11">
          <cell r="B11" t="str">
            <v>Lighting - PPA</v>
          </cell>
          <cell r="C11" t="str">
            <v/>
          </cell>
          <cell r="D11" t="str">
            <v/>
          </cell>
          <cell r="E11" t="str">
            <v/>
          </cell>
          <cell r="F11" t="str">
            <v/>
          </cell>
          <cell r="G11" t="str">
            <v/>
          </cell>
        </row>
        <row r="12">
          <cell r="B12" t="str">
            <v>Dishwasher - New</v>
          </cell>
          <cell r="C12">
            <v>1</v>
          </cell>
          <cell r="D12">
            <v>1</v>
          </cell>
          <cell r="E12">
            <v>1</v>
          </cell>
          <cell r="F12">
            <v>1</v>
          </cell>
          <cell r="G12">
            <v>1</v>
          </cell>
        </row>
        <row r="13">
          <cell r="B13" t="str">
            <v>Dishwasher - NR</v>
          </cell>
          <cell r="C13">
            <v>6.4935064935064929E-2</v>
          </cell>
          <cell r="D13">
            <v>6.4935064935064929E-2</v>
          </cell>
          <cell r="E13">
            <v>6.4935064935064929E-2</v>
          </cell>
          <cell r="F13">
            <v>6.4935064935064929E-2</v>
          </cell>
          <cell r="G13">
            <v>6.4935064935064929E-2</v>
          </cell>
        </row>
        <row r="14">
          <cell r="B14" t="str">
            <v>Clothes Washer - New</v>
          </cell>
          <cell r="C14">
            <v>1</v>
          </cell>
          <cell r="D14">
            <v>1</v>
          </cell>
          <cell r="E14">
            <v>1</v>
          </cell>
          <cell r="F14">
            <v>1</v>
          </cell>
          <cell r="G14">
            <v>1</v>
          </cell>
        </row>
        <row r="15">
          <cell r="B15" t="str">
            <v>Clothes Washer - NR</v>
          </cell>
          <cell r="C15">
            <v>7.1428571428571425E-2</v>
          </cell>
          <cell r="D15">
            <v>7.1428571428571425E-2</v>
          </cell>
          <cell r="E15">
            <v>7.1428571428571425E-2</v>
          </cell>
          <cell r="F15">
            <v>7.1428571428571425E-2</v>
          </cell>
          <cell r="G15">
            <v>7.1428571428571425E-2</v>
          </cell>
        </row>
        <row r="16">
          <cell r="B16" t="str">
            <v>WasteWater Heat Recovery - New</v>
          </cell>
          <cell r="C16">
            <v>1</v>
          </cell>
          <cell r="D16">
            <v>1</v>
          </cell>
          <cell r="E16">
            <v>1</v>
          </cell>
          <cell r="F16">
            <v>1</v>
          </cell>
          <cell r="G16">
            <v>1</v>
          </cell>
        </row>
        <row r="17">
          <cell r="B17" t="str">
            <v>Showerheads - New</v>
          </cell>
          <cell r="C17">
            <v>1</v>
          </cell>
          <cell r="D17">
            <v>1</v>
          </cell>
          <cell r="E17">
            <v>1</v>
          </cell>
          <cell r="F17">
            <v>1</v>
          </cell>
          <cell r="G17">
            <v>1</v>
          </cell>
        </row>
        <row r="18">
          <cell r="B18" t="str">
            <v>Showerheads - Retro</v>
          </cell>
          <cell r="C18" t="str">
            <v/>
          </cell>
          <cell r="D18" t="str">
            <v/>
          </cell>
          <cell r="E18" t="str">
            <v/>
          </cell>
          <cell r="F18" t="str">
            <v/>
          </cell>
          <cell r="G18" t="str">
            <v/>
          </cell>
        </row>
        <row r="19">
          <cell r="B19" t="str">
            <v>HPWH - New</v>
          </cell>
          <cell r="C19">
            <v>1</v>
          </cell>
          <cell r="D19">
            <v>1</v>
          </cell>
          <cell r="E19">
            <v>1</v>
          </cell>
          <cell r="F19">
            <v>1</v>
          </cell>
          <cell r="G19">
            <v>1</v>
          </cell>
        </row>
        <row r="20">
          <cell r="B20" t="str">
            <v>HPWH - NR</v>
          </cell>
          <cell r="C20">
            <v>7.6923076923076927E-2</v>
          </cell>
          <cell r="D20">
            <v>7.6923076923076927E-2</v>
          </cell>
          <cell r="E20">
            <v>7.6923076923076927E-2</v>
          </cell>
          <cell r="F20">
            <v>7.6923076923076927E-2</v>
          </cell>
          <cell r="G20">
            <v>7.6923076923076927E-2</v>
          </cell>
        </row>
        <row r="21">
          <cell r="B21" t="str">
            <v>EV Supply Equip - NR</v>
          </cell>
          <cell r="C21">
            <v>0.1</v>
          </cell>
          <cell r="D21">
            <v>0.1</v>
          </cell>
          <cell r="E21">
            <v>0.1</v>
          </cell>
          <cell r="F21">
            <v>0.1</v>
          </cell>
          <cell r="G21">
            <v>0.1</v>
          </cell>
        </row>
        <row r="22">
          <cell r="B22" t="str">
            <v>Clothes Dryer - New</v>
          </cell>
          <cell r="C22">
            <v>1</v>
          </cell>
          <cell r="D22">
            <v>1</v>
          </cell>
          <cell r="E22">
            <v>1</v>
          </cell>
          <cell r="F22">
            <v>1</v>
          </cell>
          <cell r="G22">
            <v>1</v>
          </cell>
        </row>
        <row r="23">
          <cell r="B23" t="str">
            <v>Clothes Dryer - NR</v>
          </cell>
          <cell r="C23">
            <v>6.25E-2</v>
          </cell>
          <cell r="D23">
            <v>6.25E-2</v>
          </cell>
          <cell r="E23">
            <v>6.25E-2</v>
          </cell>
          <cell r="F23">
            <v>6.25E-2</v>
          </cell>
          <cell r="G23">
            <v>6.25E-2</v>
          </cell>
        </row>
        <row r="24">
          <cell r="B24" t="str">
            <v>Refrigerator - New</v>
          </cell>
          <cell r="C24">
            <v>1</v>
          </cell>
          <cell r="D24">
            <v>1</v>
          </cell>
          <cell r="E24">
            <v>1</v>
          </cell>
          <cell r="F24">
            <v>1</v>
          </cell>
          <cell r="G24">
            <v>1</v>
          </cell>
        </row>
        <row r="25">
          <cell r="B25" t="str">
            <v>Refrigerator - NR</v>
          </cell>
          <cell r="C25">
            <v>6.5789473684210523E-2</v>
          </cell>
          <cell r="D25">
            <v>6.5789473684210523E-2</v>
          </cell>
          <cell r="E25">
            <v>6.5789473684210523E-2</v>
          </cell>
          <cell r="F25">
            <v>6.5789473684210523E-2</v>
          </cell>
          <cell r="G25">
            <v>6.5789473684210523E-2</v>
          </cell>
        </row>
        <row r="26">
          <cell r="B26" t="str">
            <v>Freezer - New</v>
          </cell>
          <cell r="C26">
            <v>1</v>
          </cell>
          <cell r="D26">
            <v>1</v>
          </cell>
          <cell r="E26">
            <v>1</v>
          </cell>
          <cell r="F26">
            <v>1</v>
          </cell>
          <cell r="G26">
            <v>1</v>
          </cell>
        </row>
        <row r="27">
          <cell r="B27" t="str">
            <v>Freezer - NR</v>
          </cell>
          <cell r="C27">
            <v>4.6082949308755762E-2</v>
          </cell>
          <cell r="D27">
            <v>4.6082949308755762E-2</v>
          </cell>
          <cell r="E27">
            <v>4.6082949308755762E-2</v>
          </cell>
          <cell r="F27">
            <v>4.6082949308755762E-2</v>
          </cell>
          <cell r="G27">
            <v>4.6082949308755762E-2</v>
          </cell>
        </row>
        <row r="28">
          <cell r="B28" t="str">
            <v>Solar Water Heater - New</v>
          </cell>
          <cell r="C28">
            <v>1</v>
          </cell>
          <cell r="D28">
            <v>1</v>
          </cell>
          <cell r="E28">
            <v>1</v>
          </cell>
          <cell r="F28">
            <v>1</v>
          </cell>
          <cell r="G28">
            <v>1</v>
          </cell>
        </row>
        <row r="29">
          <cell r="B29" t="str">
            <v>Solar Water Heater - NR</v>
          </cell>
          <cell r="C29" t="e">
            <v>#DIV/0!</v>
          </cell>
          <cell r="D29" t="e">
            <v>#DIV/0!</v>
          </cell>
          <cell r="E29" t="e">
            <v>#DIV/0!</v>
          </cell>
          <cell r="F29" t="e">
            <v>#DIV/0!</v>
          </cell>
          <cell r="G29" t="e">
            <v>#DIV/0!</v>
          </cell>
        </row>
        <row r="30">
          <cell r="B30" t="str">
            <v>Solar Water Heater - Retro</v>
          </cell>
          <cell r="C30" t="str">
            <v/>
          </cell>
          <cell r="D30" t="str">
            <v/>
          </cell>
          <cell r="E30" t="str">
            <v/>
          </cell>
          <cell r="F30" t="str">
            <v/>
          </cell>
          <cell r="G30" t="str">
            <v/>
          </cell>
        </row>
        <row r="31">
          <cell r="B31">
            <v>0</v>
          </cell>
          <cell r="C31" t="str">
            <v/>
          </cell>
          <cell r="D31" t="str">
            <v/>
          </cell>
          <cell r="E31" t="str">
            <v/>
          </cell>
          <cell r="F31" t="str">
            <v/>
          </cell>
          <cell r="G31" t="str">
            <v/>
          </cell>
        </row>
        <row r="32">
          <cell r="B32">
            <v>0</v>
          </cell>
          <cell r="C32" t="str">
            <v/>
          </cell>
          <cell r="D32" t="str">
            <v/>
          </cell>
          <cell r="E32" t="str">
            <v/>
          </cell>
          <cell r="F32" t="str">
            <v/>
          </cell>
          <cell r="G32" t="str">
            <v/>
          </cell>
        </row>
        <row r="33">
          <cell r="B33" t="str">
            <v>Electric Oven - New</v>
          </cell>
          <cell r="C33">
            <v>1</v>
          </cell>
          <cell r="D33">
            <v>1</v>
          </cell>
          <cell r="E33">
            <v>1</v>
          </cell>
          <cell r="F33">
            <v>1</v>
          </cell>
          <cell r="G33">
            <v>1</v>
          </cell>
        </row>
        <row r="34">
          <cell r="B34" t="str">
            <v>Electric Oven - NR</v>
          </cell>
          <cell r="C34">
            <v>0.05</v>
          </cell>
          <cell r="D34">
            <v>0.05</v>
          </cell>
          <cell r="E34">
            <v>0.05</v>
          </cell>
          <cell r="F34">
            <v>0.05</v>
          </cell>
          <cell r="G34">
            <v>0.05</v>
          </cell>
        </row>
        <row r="35">
          <cell r="B35" t="str">
            <v>Microwave - New</v>
          </cell>
          <cell r="C35">
            <v>1</v>
          </cell>
          <cell r="D35">
            <v>1</v>
          </cell>
          <cell r="E35">
            <v>1</v>
          </cell>
          <cell r="F35">
            <v>1</v>
          </cell>
          <cell r="G35">
            <v>1</v>
          </cell>
        </row>
        <row r="36">
          <cell r="B36" t="str">
            <v>Microwave - NR</v>
          </cell>
          <cell r="C36">
            <v>0.1111111111111111</v>
          </cell>
          <cell r="D36">
            <v>0.1111111111111111</v>
          </cell>
          <cell r="E36">
            <v>0.1111111111111111</v>
          </cell>
          <cell r="F36">
            <v>0.1111111111111111</v>
          </cell>
          <cell r="G36">
            <v>0.1111111111111111</v>
          </cell>
        </row>
        <row r="37">
          <cell r="B37" t="str">
            <v>Monitor - New</v>
          </cell>
          <cell r="C37">
            <v>1</v>
          </cell>
          <cell r="D37">
            <v>1</v>
          </cell>
          <cell r="E37">
            <v>1</v>
          </cell>
          <cell r="F37">
            <v>1</v>
          </cell>
          <cell r="G37">
            <v>1</v>
          </cell>
        </row>
        <row r="38">
          <cell r="B38" t="str">
            <v>Monitor - NR</v>
          </cell>
          <cell r="C38">
            <v>0.2</v>
          </cell>
          <cell r="D38">
            <v>0.2</v>
          </cell>
          <cell r="E38">
            <v>0.2</v>
          </cell>
          <cell r="F38">
            <v>0.2</v>
          </cell>
          <cell r="G38">
            <v>0.2</v>
          </cell>
        </row>
        <row r="39">
          <cell r="B39" t="str">
            <v>Desktop - New</v>
          </cell>
          <cell r="C39">
            <v>1</v>
          </cell>
          <cell r="D39">
            <v>1</v>
          </cell>
          <cell r="E39">
            <v>1</v>
          </cell>
          <cell r="F39">
            <v>1</v>
          </cell>
          <cell r="G39">
            <v>1</v>
          </cell>
        </row>
        <row r="40">
          <cell r="B40" t="str">
            <v>Desktop - NR</v>
          </cell>
          <cell r="C40">
            <v>0.25</v>
          </cell>
          <cell r="D40">
            <v>0.25</v>
          </cell>
          <cell r="E40">
            <v>0.25</v>
          </cell>
          <cell r="F40">
            <v>0.25</v>
          </cell>
          <cell r="G40">
            <v>0.25</v>
          </cell>
        </row>
        <row r="41">
          <cell r="B41" t="str">
            <v>Laptop - New</v>
          </cell>
          <cell r="C41">
            <v>1</v>
          </cell>
          <cell r="D41">
            <v>1</v>
          </cell>
          <cell r="E41">
            <v>1</v>
          </cell>
          <cell r="F41">
            <v>1</v>
          </cell>
          <cell r="G41">
            <v>1</v>
          </cell>
        </row>
        <row r="42">
          <cell r="B42" t="str">
            <v>Laptop - NR</v>
          </cell>
          <cell r="C42">
            <v>0.25</v>
          </cell>
          <cell r="D42">
            <v>0.25</v>
          </cell>
          <cell r="E42">
            <v>0.25</v>
          </cell>
          <cell r="F42">
            <v>0.25</v>
          </cell>
          <cell r="G42">
            <v>0.25</v>
          </cell>
        </row>
        <row r="43">
          <cell r="B43" t="str">
            <v>Computer - New</v>
          </cell>
          <cell r="C43">
            <v>1</v>
          </cell>
          <cell r="D43">
            <v>1</v>
          </cell>
          <cell r="E43">
            <v>1</v>
          </cell>
          <cell r="F43">
            <v>1</v>
          </cell>
          <cell r="G43">
            <v>1</v>
          </cell>
        </row>
        <row r="44">
          <cell r="B44" t="str">
            <v>Computer - NR</v>
          </cell>
          <cell r="C44">
            <v>0.25</v>
          </cell>
          <cell r="D44">
            <v>0.25</v>
          </cell>
          <cell r="E44">
            <v>0.25</v>
          </cell>
          <cell r="F44">
            <v>0.25</v>
          </cell>
          <cell r="G44">
            <v>0.25</v>
          </cell>
        </row>
        <row r="45">
          <cell r="B45" t="str">
            <v>ASHP - New</v>
          </cell>
          <cell r="C45">
            <v>1</v>
          </cell>
          <cell r="D45">
            <v>1</v>
          </cell>
          <cell r="E45">
            <v>1</v>
          </cell>
          <cell r="F45">
            <v>1</v>
          </cell>
          <cell r="G45">
            <v>1</v>
          </cell>
        </row>
        <row r="46">
          <cell r="B46" t="str">
            <v>ASHP - NR</v>
          </cell>
          <cell r="C46">
            <v>6.6666666666666666E-2</v>
          </cell>
          <cell r="D46">
            <v>6.6666666666666666E-2</v>
          </cell>
          <cell r="E46">
            <v>6.6666666666666666E-2</v>
          </cell>
          <cell r="F46">
            <v>6.6666666666666666E-2</v>
          </cell>
          <cell r="G46">
            <v>6.6666666666666666E-2</v>
          </cell>
        </row>
        <row r="47">
          <cell r="B47" t="str">
            <v>HP - Retro</v>
          </cell>
          <cell r="C47" t="str">
            <v/>
          </cell>
          <cell r="D47" t="str">
            <v/>
          </cell>
          <cell r="E47" t="str">
            <v/>
          </cell>
          <cell r="F47" t="str">
            <v/>
          </cell>
          <cell r="G47" t="str">
            <v/>
          </cell>
        </row>
        <row r="48">
          <cell r="B48" t="str">
            <v>DHP - New</v>
          </cell>
          <cell r="C48">
            <v>1</v>
          </cell>
          <cell r="D48">
            <v>1</v>
          </cell>
          <cell r="E48">
            <v>1</v>
          </cell>
          <cell r="F48">
            <v>1</v>
          </cell>
          <cell r="G48">
            <v>1</v>
          </cell>
        </row>
        <row r="49">
          <cell r="B49" t="str">
            <v>DHP - NR</v>
          </cell>
          <cell r="C49">
            <v>6.6666666666666666E-2</v>
          </cell>
          <cell r="D49">
            <v>6.6666666666666666E-2</v>
          </cell>
          <cell r="E49">
            <v>6.6666666666666666E-2</v>
          </cell>
          <cell r="F49">
            <v>6.6666666666666666E-2</v>
          </cell>
          <cell r="G49">
            <v>6.6666666666666666E-2</v>
          </cell>
        </row>
        <row r="50">
          <cell r="B50" t="str">
            <v>DHP - Retro</v>
          </cell>
          <cell r="C50" t="str">
            <v/>
          </cell>
          <cell r="D50" t="str">
            <v/>
          </cell>
          <cell r="E50" t="str">
            <v/>
          </cell>
          <cell r="F50" t="str">
            <v/>
          </cell>
          <cell r="G50" t="str">
            <v/>
          </cell>
        </row>
        <row r="51">
          <cell r="B51" t="str">
            <v>Duct Sealing - New</v>
          </cell>
          <cell r="C51">
            <v>1</v>
          </cell>
          <cell r="D51">
            <v>1</v>
          </cell>
          <cell r="E51">
            <v>1</v>
          </cell>
          <cell r="F51">
            <v>1</v>
          </cell>
          <cell r="G51">
            <v>1</v>
          </cell>
        </row>
        <row r="52">
          <cell r="B52" t="str">
            <v>Duct Sealing - Retro</v>
          </cell>
          <cell r="C52" t="str">
            <v/>
          </cell>
          <cell r="D52" t="str">
            <v/>
          </cell>
          <cell r="E52" t="str">
            <v/>
          </cell>
          <cell r="F52" t="str">
            <v/>
          </cell>
          <cell r="G52" t="str">
            <v/>
          </cell>
        </row>
        <row r="53">
          <cell r="B53" t="str">
            <v>WIFI enabled tstats - New</v>
          </cell>
          <cell r="C53">
            <v>1</v>
          </cell>
          <cell r="D53">
            <v>1</v>
          </cell>
          <cell r="E53">
            <v>1</v>
          </cell>
          <cell r="F53">
            <v>1</v>
          </cell>
          <cell r="G53">
            <v>1</v>
          </cell>
        </row>
        <row r="54">
          <cell r="B54" t="str">
            <v>WIFI enabled tstats - Retro</v>
          </cell>
          <cell r="C54" t="str">
            <v/>
          </cell>
          <cell r="D54" t="str">
            <v/>
          </cell>
          <cell r="E54" t="str">
            <v/>
          </cell>
          <cell r="F54" t="str">
            <v/>
          </cell>
          <cell r="G54" t="str">
            <v/>
          </cell>
        </row>
        <row r="55">
          <cell r="B55" t="str">
            <v>Combo DHP/HPWH units - New</v>
          </cell>
          <cell r="C55">
            <v>1</v>
          </cell>
          <cell r="D55">
            <v>1</v>
          </cell>
          <cell r="E55">
            <v>1</v>
          </cell>
          <cell r="F55">
            <v>1</v>
          </cell>
          <cell r="G55">
            <v>1</v>
          </cell>
        </row>
        <row r="56">
          <cell r="B56" t="str">
            <v>Combo DHP/HPWH units - NR</v>
          </cell>
          <cell r="C56" t="e">
            <v>#DIV/0!</v>
          </cell>
          <cell r="D56" t="e">
            <v>#DIV/0!</v>
          </cell>
          <cell r="E56" t="e">
            <v>#DIV/0!</v>
          </cell>
          <cell r="F56" t="e">
            <v>#DIV/0!</v>
          </cell>
          <cell r="G56" t="e">
            <v>#DIV/0!</v>
          </cell>
        </row>
        <row r="57">
          <cell r="B57" t="str">
            <v>Combo DHP/HPWH units - Retro</v>
          </cell>
          <cell r="C57" t="str">
            <v/>
          </cell>
          <cell r="D57" t="str">
            <v/>
          </cell>
          <cell r="E57" t="str">
            <v/>
          </cell>
          <cell r="F57" t="str">
            <v/>
          </cell>
          <cell r="G57" t="str">
            <v/>
          </cell>
        </row>
        <row r="58">
          <cell r="B58" t="str">
            <v>Aerator - New</v>
          </cell>
          <cell r="C58">
            <v>1</v>
          </cell>
          <cell r="D58">
            <v>1</v>
          </cell>
          <cell r="E58">
            <v>1</v>
          </cell>
          <cell r="F58">
            <v>1</v>
          </cell>
          <cell r="G58">
            <v>1</v>
          </cell>
        </row>
        <row r="59">
          <cell r="B59" t="str">
            <v>Aerator - Retro</v>
          </cell>
          <cell r="C59" t="str">
            <v/>
          </cell>
          <cell r="D59" t="str">
            <v/>
          </cell>
          <cell r="E59" t="str">
            <v/>
          </cell>
          <cell r="F59" t="str">
            <v/>
          </cell>
          <cell r="G59" t="str">
            <v/>
          </cell>
        </row>
        <row r="60">
          <cell r="B60" t="str">
            <v>Behavior - Retro</v>
          </cell>
          <cell r="C60" t="str">
            <v/>
          </cell>
          <cell r="D60" t="str">
            <v/>
          </cell>
          <cell r="E60" t="str">
            <v/>
          </cell>
          <cell r="F60" t="str">
            <v/>
          </cell>
          <cell r="G60" t="str">
            <v/>
          </cell>
        </row>
        <row r="61">
          <cell r="B61" t="str">
            <v>Behavior - New</v>
          </cell>
          <cell r="C61">
            <v>1</v>
          </cell>
          <cell r="D61">
            <v>1</v>
          </cell>
          <cell r="E61">
            <v>1</v>
          </cell>
          <cell r="F61">
            <v>1</v>
          </cell>
          <cell r="G61">
            <v>1</v>
          </cell>
        </row>
        <row r="62">
          <cell r="B62">
            <v>0</v>
          </cell>
          <cell r="C62" t="str">
            <v/>
          </cell>
          <cell r="D62" t="str">
            <v/>
          </cell>
          <cell r="E62" t="str">
            <v/>
          </cell>
          <cell r="F62" t="str">
            <v/>
          </cell>
          <cell r="G62" t="str">
            <v/>
          </cell>
        </row>
        <row r="63">
          <cell r="B63" t="str">
            <v>Heat Recovery Ventilation - New</v>
          </cell>
          <cell r="C63">
            <v>1</v>
          </cell>
          <cell r="D63">
            <v>1</v>
          </cell>
          <cell r="E63">
            <v>1</v>
          </cell>
          <cell r="F63">
            <v>1</v>
          </cell>
          <cell r="G63">
            <v>1</v>
          </cell>
        </row>
        <row r="64">
          <cell r="B64" t="str">
            <v>GSHP - New</v>
          </cell>
          <cell r="C64">
            <v>1</v>
          </cell>
          <cell r="D64">
            <v>1</v>
          </cell>
          <cell r="E64">
            <v>1</v>
          </cell>
          <cell r="F64">
            <v>1</v>
          </cell>
          <cell r="G64">
            <v>1</v>
          </cell>
        </row>
        <row r="65">
          <cell r="B65" t="str">
            <v>GSHP - NR</v>
          </cell>
          <cell r="C65">
            <v>6.6666666666666666E-2</v>
          </cell>
          <cell r="D65">
            <v>6.6666666666666666E-2</v>
          </cell>
          <cell r="E65">
            <v>6.6666666666666666E-2</v>
          </cell>
          <cell r="F65">
            <v>6.6666666666666666E-2</v>
          </cell>
          <cell r="G65">
            <v>6.6666666666666666E-2</v>
          </cell>
        </row>
        <row r="66">
          <cell r="B66">
            <v>0</v>
          </cell>
          <cell r="C66" t="str">
            <v/>
          </cell>
          <cell r="D66" t="str">
            <v/>
          </cell>
          <cell r="E66" t="str">
            <v/>
          </cell>
          <cell r="F66" t="str">
            <v/>
          </cell>
          <cell r="G66" t="str">
            <v/>
          </cell>
        </row>
        <row r="67">
          <cell r="B67" t="str">
            <v>ECM for HVAC ventilation - New</v>
          </cell>
          <cell r="C67">
            <v>1</v>
          </cell>
          <cell r="D67">
            <v>1</v>
          </cell>
          <cell r="E67">
            <v>1</v>
          </cell>
          <cell r="F67">
            <v>1</v>
          </cell>
          <cell r="G67">
            <v>1</v>
          </cell>
        </row>
        <row r="68">
          <cell r="B68" t="str">
            <v>ECM for HVAC ventilation - NR</v>
          </cell>
          <cell r="C68" t="e">
            <v>#DIV/0!</v>
          </cell>
          <cell r="D68" t="e">
            <v>#DIV/0!</v>
          </cell>
          <cell r="E68" t="e">
            <v>#DIV/0!</v>
          </cell>
          <cell r="F68" t="e">
            <v>#DIV/0!</v>
          </cell>
          <cell r="G68" t="e">
            <v>#DIV/0!</v>
          </cell>
        </row>
        <row r="69">
          <cell r="B69" t="str">
            <v>Whole house/attic fan - New</v>
          </cell>
          <cell r="C69">
            <v>1</v>
          </cell>
          <cell r="D69">
            <v>1</v>
          </cell>
          <cell r="E69">
            <v>1</v>
          </cell>
          <cell r="F69">
            <v>1</v>
          </cell>
          <cell r="G69">
            <v>1</v>
          </cell>
        </row>
        <row r="70">
          <cell r="B70" t="str">
            <v>Whole house/attic fan - Retro</v>
          </cell>
          <cell r="C70" t="str">
            <v/>
          </cell>
          <cell r="D70" t="str">
            <v/>
          </cell>
          <cell r="E70" t="str">
            <v/>
          </cell>
          <cell r="F70" t="str">
            <v/>
          </cell>
          <cell r="G70" t="str">
            <v/>
          </cell>
        </row>
        <row r="71">
          <cell r="B71" t="str">
            <v>WH Pipe insulation - Retro</v>
          </cell>
          <cell r="C71" t="str">
            <v/>
          </cell>
          <cell r="D71" t="str">
            <v/>
          </cell>
          <cell r="E71" t="str">
            <v/>
          </cell>
          <cell r="F71" t="str">
            <v/>
          </cell>
          <cell r="G71" t="str">
            <v/>
          </cell>
        </row>
        <row r="72">
          <cell r="B72" t="str">
            <v>DHP Ducted - NR</v>
          </cell>
          <cell r="C72">
            <v>6.6666666666666666E-2</v>
          </cell>
          <cell r="D72">
            <v>6.6666666666666666E-2</v>
          </cell>
          <cell r="E72">
            <v>6.6666666666666666E-2</v>
          </cell>
          <cell r="F72">
            <v>6.6666666666666666E-2</v>
          </cell>
          <cell r="G72">
            <v>6.6666666666666666E-2</v>
          </cell>
        </row>
        <row r="73">
          <cell r="B73" t="str">
            <v>Advanced Power Strips - New</v>
          </cell>
          <cell r="C73">
            <v>1</v>
          </cell>
          <cell r="D73">
            <v>1</v>
          </cell>
          <cell r="E73">
            <v>1</v>
          </cell>
          <cell r="F73">
            <v>1</v>
          </cell>
          <cell r="G73">
            <v>1</v>
          </cell>
        </row>
        <row r="74">
          <cell r="B74" t="str">
            <v>Advanced Power Strips - Retro</v>
          </cell>
          <cell r="C74" t="str">
            <v/>
          </cell>
          <cell r="D74" t="str">
            <v/>
          </cell>
          <cell r="E74" t="str">
            <v/>
          </cell>
          <cell r="F74" t="str">
            <v/>
          </cell>
          <cell r="G74" t="str">
            <v/>
          </cell>
        </row>
        <row r="75">
          <cell r="B75" t="str">
            <v>Controls Commissioning and Sizing - New</v>
          </cell>
          <cell r="C75">
            <v>1</v>
          </cell>
          <cell r="D75">
            <v>1</v>
          </cell>
          <cell r="E75">
            <v>1</v>
          </cell>
          <cell r="F75">
            <v>1</v>
          </cell>
          <cell r="G75">
            <v>1</v>
          </cell>
        </row>
        <row r="76">
          <cell r="B76" t="str">
            <v>Controls Commissioning and Sizing - NR</v>
          </cell>
          <cell r="C76">
            <v>6.6666666666666666E-2</v>
          </cell>
          <cell r="D76">
            <v>6.6666666666666666E-2</v>
          </cell>
          <cell r="E76">
            <v>6.6666666666666666E-2</v>
          </cell>
          <cell r="F76">
            <v>6.6666666666666666E-2</v>
          </cell>
          <cell r="G76">
            <v>6.6666666666666666E-2</v>
          </cell>
        </row>
        <row r="77">
          <cell r="B77" t="str">
            <v>ResWx - Retro</v>
          </cell>
          <cell r="C77" t="str">
            <v/>
          </cell>
          <cell r="D77" t="str">
            <v/>
          </cell>
          <cell r="E77" t="str">
            <v/>
          </cell>
          <cell r="F77" t="str">
            <v/>
          </cell>
          <cell r="G77" t="str">
            <v/>
          </cell>
        </row>
        <row r="78">
          <cell r="C78"/>
          <cell r="D78"/>
          <cell r="E78"/>
          <cell r="F78"/>
        </row>
        <row r="79">
          <cell r="C79"/>
          <cell r="D79"/>
          <cell r="E79"/>
          <cell r="F79"/>
        </row>
      </sheetData>
      <sheetData sheetId="9">
        <row r="9">
          <cell r="C9" t="str">
            <v>Retro12Med</v>
          </cell>
          <cell r="D9">
            <v>0.10937459468255628</v>
          </cell>
          <cell r="E9">
            <v>0.10937459468255628</v>
          </cell>
          <cell r="F9">
            <v>0.10937459468255628</v>
          </cell>
          <cell r="G9">
            <v>0.10937459468255628</v>
          </cell>
          <cell r="H9">
            <v>0.10937459468255628</v>
          </cell>
          <cell r="I9">
            <v>9.8437135214300656E-2</v>
          </cell>
          <cell r="J9">
            <v>7.874970817144053E-2</v>
          </cell>
          <cell r="K9">
            <v>6.2999766537152418E-2</v>
          </cell>
          <cell r="L9">
            <v>5.0399813229721938E-2</v>
          </cell>
          <cell r="M9">
            <v>4.0319850583777551E-2</v>
          </cell>
          <cell r="N9">
            <v>3.225588046702204E-2</v>
          </cell>
          <cell r="O9">
            <v>2.5804704373617631E-2</v>
          </cell>
          <cell r="P9">
            <v>2.0643763498894106E-2</v>
          </cell>
          <cell r="Q9">
            <v>1.6515010799115284E-2</v>
          </cell>
          <cell r="R9">
            <v>1.3212008639292228E-2</v>
          </cell>
          <cell r="S9">
            <v>1.0569606911433781E-2</v>
          </cell>
          <cell r="T9">
            <v>7.2092823794611682E-5</v>
          </cell>
          <cell r="U9">
            <v>2.5747437069512102E-5</v>
          </cell>
          <cell r="V9">
            <v>8.7775353646568632E-6</v>
          </cell>
          <cell r="W9">
            <v>2.8622397928446119E-6</v>
          </cell>
          <cell r="X9"/>
        </row>
        <row r="10">
          <cell r="C10" t="str">
            <v>Retro5Med</v>
          </cell>
          <cell r="D10">
            <v>4.2999999999999997E-2</v>
          </cell>
          <cell r="E10">
            <v>5.279714228027832E-2</v>
          </cell>
          <cell r="F10">
            <v>6.4608251467478173E-2</v>
          </cell>
          <cell r="G10">
            <v>7.4999999999999997E-2</v>
          </cell>
          <cell r="H10">
            <v>8.5546997470333563E-2</v>
          </cell>
          <cell r="I10">
            <v>0.10001472303820647</v>
          </cell>
          <cell r="J10">
            <v>0.10971770435235073</v>
          </cell>
          <cell r="K10">
            <v>0.11208438511970376</v>
          </cell>
          <cell r="L10">
            <v>0.10562608162722853</v>
          </cell>
          <cell r="M10">
            <v>9.0794563997872335E-2</v>
          </cell>
          <cell r="N10">
            <v>7.0260666991849297E-2</v>
          </cell>
          <cell r="O10">
            <v>4.8218360404944538E-2</v>
          </cell>
          <cell r="P10">
            <v>2.8854234614640095E-2</v>
          </cell>
          <cell r="Q10">
            <v>1.4773964924806759E-2</v>
          </cell>
          <cell r="R10">
            <v>6.3385343681182649E-3</v>
          </cell>
          <cell r="S10">
            <v>2.2268577196306039E-3</v>
          </cell>
          <cell r="T10">
            <v>6.2471001963848583E-4</v>
          </cell>
          <cell r="U10">
            <v>1.3615841889635938E-4</v>
          </cell>
          <cell r="V10">
            <v>2.2380636622298944E-5</v>
          </cell>
          <cell r="W10">
            <v>2.68643837586513E-6</v>
          </cell>
          <cell r="X10"/>
        </row>
        <row r="11">
          <cell r="C11" t="str">
            <v>Retro1Slow</v>
          </cell>
          <cell r="D11">
            <v>2.5643970768378654E-3</v>
          </cell>
          <cell r="E11">
            <v>5.1260615529385989E-3</v>
          </cell>
          <cell r="F11">
            <v>9.1015544176433795E-3</v>
          </cell>
          <cell r="G11">
            <v>1.4804925730045659E-2</v>
          </cell>
          <cell r="H11">
            <v>2.2471809420486211E-2</v>
          </cell>
          <cell r="I11">
            <v>3.2184432813882391E-2</v>
          </cell>
          <cell r="J11">
            <v>4.3779667172004086E-2</v>
          </cell>
          <cell r="K11">
            <v>5.675426075474499E-2</v>
          </cell>
          <cell r="L11">
            <v>7.0195239068707532E-2</v>
          </cell>
          <cell r="M11">
            <v>8.2776861842756788E-2</v>
          </cell>
          <cell r="N11">
            <v>9.2870259507494834E-2</v>
          </cell>
          <cell r="O11">
            <v>9.8796470678915727E-2</v>
          </cell>
          <cell r="P11">
            <v>9.9208932889988999E-2</v>
          </cell>
          <cell r="Q11">
            <v>9.3521150494244254E-2</v>
          </cell>
          <cell r="R11">
            <v>8.2226007896862296E-2</v>
          </cell>
          <cell r="S11">
            <v>6.6933566027365665E-2</v>
          </cell>
          <cell r="T11">
            <v>5.0029565143448806E-2</v>
          </cell>
          <cell r="U11">
            <v>3.402486521893211E-2</v>
          </cell>
          <cell r="V11">
            <v>2.0846059340774659E-2</v>
          </cell>
          <cell r="W11">
            <v>0.01</v>
          </cell>
          <cell r="X11"/>
        </row>
        <row r="12">
          <cell r="C12" t="str">
            <v>Retro50Fast</v>
          </cell>
          <cell r="D12">
            <v>0.45</v>
          </cell>
          <cell r="E12">
            <v>0.21</v>
          </cell>
          <cell r="F12">
            <v>0.14000000000000001</v>
          </cell>
          <cell r="G12">
            <v>0.09</v>
          </cell>
          <cell r="H12">
            <v>5.9540362609726505E-2</v>
          </cell>
          <cell r="I12">
            <v>2.9770181304863419E-2</v>
          </cell>
          <cell r="J12">
            <v>1.3231191691050248E-2</v>
          </cell>
          <cell r="K12">
            <v>5.2924766764202991E-3</v>
          </cell>
          <cell r="L12">
            <v>1.9245369732436846E-3</v>
          </cell>
          <cell r="M12">
            <v>6.415123244144505E-4</v>
          </cell>
          <cell r="N12">
            <v>1.9738840751215569E-4</v>
          </cell>
          <cell r="O12">
            <v>5.6396687860615913E-5</v>
          </cell>
          <cell r="P12">
            <v>1.5039116763038152E-5</v>
          </cell>
          <cell r="Q12">
            <v>3.7597791905374933E-6</v>
          </cell>
          <cell r="R12">
            <v>8.8465392733549919E-7</v>
          </cell>
          <cell r="S12">
            <v>1.9658976146974538E-7</v>
          </cell>
          <cell r="T12">
            <v>4.13873183502389E-8</v>
          </cell>
          <cell r="U12">
            <v>8.2774636034343985E-9</v>
          </cell>
          <cell r="V12">
            <v>1.5766598027155965E-9</v>
          </cell>
          <cell r="W12">
            <v>2.8666535811794347E-10</v>
          </cell>
          <cell r="X12"/>
        </row>
        <row r="13">
          <cell r="C13" t="str">
            <v>Retro20Fast</v>
          </cell>
          <cell r="D13">
            <v>0.22119921692859512</v>
          </cell>
          <cell r="E13">
            <v>0.15504311102289431</v>
          </cell>
          <cell r="F13">
            <v>0.10733128557729499</v>
          </cell>
          <cell r="G13">
            <v>8.3589689255657879E-2</v>
          </cell>
          <cell r="H13">
            <v>7.3237179880126971E-2</v>
          </cell>
          <cell r="I13">
            <v>6.3374636711760357E-2</v>
          </cell>
          <cell r="J13">
            <v>5.4291838367783084E-2</v>
          </cell>
          <cell r="K13">
            <v>4.612639225659896E-2</v>
          </cell>
          <cell r="L13">
            <v>3.8916876277172864E-2</v>
          </cell>
          <cell r="M13">
            <v>3.2639916313151704E-2</v>
          </cell>
          <cell r="N13">
            <v>2.7235706125786907E-2</v>
          </cell>
          <cell r="O13">
            <v>2.1211189258265428E-2</v>
          </cell>
          <cell r="P13">
            <v>1.6519290804212883E-2</v>
          </cell>
          <cell r="Q13">
            <v>1.2865236614105324E-2</v>
          </cell>
          <cell r="R13">
            <v>1.0019456349464106E-2</v>
          </cell>
          <cell r="S13">
            <v>7.8031604509122832E-3</v>
          </cell>
          <cell r="T13">
            <v>6.077107469602494E-3</v>
          </cell>
          <cell r="U13">
            <v>4.7328560561354371E-3</v>
          </cell>
          <cell r="V13">
            <v>3.6859520026825132E-3</v>
          </cell>
          <cell r="W13">
            <v>2.8706223060526725E-3</v>
          </cell>
          <cell r="X13"/>
        </row>
        <row r="14">
          <cell r="C14" t="str">
            <v>RetroEven20</v>
          </cell>
          <cell r="D14">
            <v>0.05</v>
          </cell>
          <cell r="E14">
            <v>0.05</v>
          </cell>
          <cell r="F14">
            <v>0.05</v>
          </cell>
          <cell r="G14">
            <v>0.05</v>
          </cell>
          <cell r="H14">
            <v>0.05</v>
          </cell>
          <cell r="I14">
            <v>0.05</v>
          </cell>
          <cell r="J14">
            <v>0.05</v>
          </cell>
          <cell r="K14">
            <v>0.05</v>
          </cell>
          <cell r="L14">
            <v>0.05</v>
          </cell>
          <cell r="M14">
            <v>0.05</v>
          </cell>
          <cell r="N14">
            <v>0.05</v>
          </cell>
          <cell r="O14">
            <v>0.05</v>
          </cell>
          <cell r="P14">
            <v>0.05</v>
          </cell>
          <cell r="Q14">
            <v>0.05</v>
          </cell>
          <cell r="R14">
            <v>0.05</v>
          </cell>
          <cell r="S14">
            <v>0.05</v>
          </cell>
          <cell r="T14">
            <v>0.05</v>
          </cell>
          <cell r="U14">
            <v>0.05</v>
          </cell>
          <cell r="V14">
            <v>0.05</v>
          </cell>
          <cell r="W14">
            <v>0.05</v>
          </cell>
          <cell r="X14"/>
        </row>
        <row r="15">
          <cell r="C15" t="str">
            <v>RetroMax60</v>
          </cell>
          <cell r="D15">
            <v>0.01</v>
          </cell>
          <cell r="E15">
            <v>1.9799999999999998E-2</v>
          </cell>
          <cell r="F15">
            <v>2.9106E-2</v>
          </cell>
          <cell r="G15">
            <v>3.7643759999999998E-2</v>
          </cell>
          <cell r="H15">
            <v>4.5172511999999984E-2</v>
          </cell>
          <cell r="I15">
            <v>4.8635737920000005E-2</v>
          </cell>
          <cell r="J15">
            <v>4.587971277120001E-2</v>
          </cell>
          <cell r="K15">
            <v>4.3279862380832007E-2</v>
          </cell>
          <cell r="L15">
            <v>4.0827336845918161E-2</v>
          </cell>
          <cell r="M15">
            <v>3.8513787757982809E-2</v>
          </cell>
          <cell r="N15">
            <v>3.6331339785030448E-2</v>
          </cell>
          <cell r="O15">
            <v>3.4272563863878724E-2</v>
          </cell>
          <cell r="P15">
            <v>3.2330451911592284E-2</v>
          </cell>
          <cell r="Q15">
            <v>3.0498392969935395E-2</v>
          </cell>
          <cell r="R15">
            <v>2.8770150701639075E-2</v>
          </cell>
          <cell r="S15">
            <v>2.7139842161879479E-2</v>
          </cell>
          <cell r="T15">
            <v>2.5601917772706373E-2</v>
          </cell>
          <cell r="U15">
            <v>2.4151142432252914E-2</v>
          </cell>
          <cell r="V15">
            <v>2.2782577694425266E-2</v>
          </cell>
          <cell r="W15">
            <v>2.1491564958407872E-2</v>
          </cell>
          <cell r="X15"/>
        </row>
        <row r="16">
          <cell r="C16" t="str">
            <v>Retro3Slow</v>
          </cell>
          <cell r="D16">
            <v>5.5320496977002724E-3</v>
          </cell>
          <cell r="E16">
            <v>8.6958686465615706E-3</v>
          </cell>
          <cell r="F16">
            <v>1.7391737293123145E-2</v>
          </cell>
          <cell r="G16">
            <v>3.0435540262965514E-2</v>
          </cell>
          <cell r="H16">
            <v>4.7344173742390784E-2</v>
          </cell>
          <cell r="I16">
            <v>6.6281843239347063E-2</v>
          </cell>
          <cell r="J16">
            <v>8.4358709577350838E-2</v>
          </cell>
          <cell r="K16">
            <v>9.8418494506909315E-2</v>
          </cell>
          <cell r="L16">
            <v>0.10598914793051767</v>
          </cell>
          <cell r="M16">
            <v>0.10598914793051767</v>
          </cell>
          <cell r="N16">
            <v>9.8923204735149928E-2</v>
          </cell>
          <cell r="O16">
            <v>8.655780414325609E-2</v>
          </cell>
          <cell r="P16">
            <v>7.1282897529740263E-2</v>
          </cell>
          <cell r="Q16">
            <v>5.5442253634242489E-2</v>
          </cell>
          <cell r="R16">
            <v>4.0852186888389319E-2</v>
          </cell>
          <cell r="S16">
            <v>2.8596530821872412E-2</v>
          </cell>
          <cell r="T16">
            <v>1.9064353881248275E-2</v>
          </cell>
          <cell r="U16">
            <v>1.2131861560794377E-2</v>
          </cell>
          <cell r="V16">
            <v>7.3846113848314854E-3</v>
          </cell>
          <cell r="W16">
            <v>4.3076899744848296E-3</v>
          </cell>
          <cell r="X16"/>
        </row>
        <row r="17">
          <cell r="C17" t="str">
            <v>LightingPPA</v>
          </cell>
          <cell r="D17">
            <v>0.5468729734127814</v>
          </cell>
          <cell r="E17">
            <v>0.43749837873022512</v>
          </cell>
          <cell r="F17">
            <v>0.32812378404766884</v>
          </cell>
          <cell r="G17">
            <v>0.21874918936511256</v>
          </cell>
          <cell r="H17">
            <v>0.10937459468255628</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row>
        <row r="18">
          <cell r="B18"/>
          <cell r="C18"/>
          <cell r="D18"/>
          <cell r="E18"/>
          <cell r="F18"/>
          <cell r="G18"/>
          <cell r="H18"/>
          <cell r="I18"/>
          <cell r="J18"/>
          <cell r="K18"/>
          <cell r="L18"/>
          <cell r="M18"/>
          <cell r="N18"/>
          <cell r="O18"/>
          <cell r="P18"/>
          <cell r="Q18"/>
          <cell r="R18"/>
          <cell r="S18"/>
          <cell r="T18"/>
          <cell r="U18"/>
          <cell r="V18"/>
          <cell r="W18"/>
          <cell r="X18"/>
        </row>
        <row r="19">
          <cell r="A19" t="str">
            <v>End Use</v>
          </cell>
          <cell r="B19" t="str">
            <v>Measure Index Name</v>
          </cell>
          <cell r="C19" t="str">
            <v>Ramp</v>
          </cell>
          <cell r="D19">
            <v>2016</v>
          </cell>
          <cell r="E19">
            <v>2017</v>
          </cell>
          <cell r="F19">
            <v>2018</v>
          </cell>
          <cell r="G19">
            <v>2019</v>
          </cell>
          <cell r="H19">
            <v>2020</v>
          </cell>
          <cell r="I19">
            <v>2021</v>
          </cell>
          <cell r="J19">
            <v>2022</v>
          </cell>
          <cell r="K19">
            <v>2023</v>
          </cell>
          <cell r="L19">
            <v>2024</v>
          </cell>
          <cell r="M19">
            <v>2025</v>
          </cell>
          <cell r="N19">
            <v>2026</v>
          </cell>
          <cell r="O19">
            <v>2027</v>
          </cell>
          <cell r="P19">
            <v>2028</v>
          </cell>
          <cell r="Q19">
            <v>2029</v>
          </cell>
          <cell r="R19">
            <v>2030</v>
          </cell>
          <cell r="S19">
            <v>2031</v>
          </cell>
          <cell r="T19">
            <v>2032</v>
          </cell>
          <cell r="U19">
            <v>2033</v>
          </cell>
          <cell r="V19">
            <v>2034</v>
          </cell>
          <cell r="W19">
            <v>2035</v>
          </cell>
          <cell r="X19"/>
        </row>
        <row r="20">
          <cell r="A20" t="str">
            <v>Lighting</v>
          </cell>
          <cell r="B20" t="str">
            <v>Lighting - New</v>
          </cell>
          <cell r="C20" t="str">
            <v>LO20Fast</v>
          </cell>
          <cell r="D20">
            <v>0.22119921692859512</v>
          </cell>
          <cell r="E20">
            <v>0.37624232795148943</v>
          </cell>
          <cell r="F20">
            <v>0.48357361352878442</v>
          </cell>
          <cell r="G20">
            <v>0.56716330278444227</v>
          </cell>
          <cell r="H20">
            <v>0.64040048266456928</v>
          </cell>
          <cell r="I20">
            <v>0.70377511937632964</v>
          </cell>
          <cell r="J20">
            <v>0.7580669577441127</v>
          </cell>
          <cell r="K20">
            <v>0.80419335000071168</v>
          </cell>
          <cell r="L20">
            <v>0.84311022627788457</v>
          </cell>
          <cell r="M20">
            <v>0.87575014259103623</v>
          </cell>
          <cell r="N20">
            <v>0.90298584871682319</v>
          </cell>
          <cell r="O20">
            <v>0.92419703797508856</v>
          </cell>
          <cell r="P20">
            <v>0.94071632877930145</v>
          </cell>
          <cell r="Q20">
            <v>0.95358156539340677</v>
          </cell>
          <cell r="R20">
            <v>0.96360102174287088</v>
          </cell>
          <cell r="S20">
            <v>0.97140418219378311</v>
          </cell>
          <cell r="T20">
            <v>0.97748128966338554</v>
          </cell>
          <cell r="U20">
            <v>0.98221414571952104</v>
          </cell>
          <cell r="V20">
            <v>0.98590009772220355</v>
          </cell>
          <cell r="W20">
            <v>0.98877072002825628</v>
          </cell>
          <cell r="X20"/>
        </row>
        <row r="21">
          <cell r="A21" t="str">
            <v>Lighting</v>
          </cell>
          <cell r="B21" t="str">
            <v>Lighting - NR</v>
          </cell>
          <cell r="C21" t="str">
            <v>LO20Fast</v>
          </cell>
          <cell r="D21">
            <v>0.22119921692859512</v>
          </cell>
          <cell r="E21">
            <v>0.37624232795148943</v>
          </cell>
          <cell r="F21">
            <v>0.48357361352878442</v>
          </cell>
          <cell r="G21">
            <v>0.56716330278444227</v>
          </cell>
          <cell r="H21">
            <v>0.64040048266456928</v>
          </cell>
          <cell r="I21">
            <v>0.70377511937632964</v>
          </cell>
          <cell r="J21">
            <v>0.7580669577441127</v>
          </cell>
          <cell r="K21">
            <v>0.80419335000071168</v>
          </cell>
          <cell r="L21">
            <v>0.84311022627788457</v>
          </cell>
          <cell r="M21">
            <v>0.87575014259103623</v>
          </cell>
          <cell r="N21">
            <v>0.90298584871682319</v>
          </cell>
          <cell r="O21">
            <v>0.92419703797508856</v>
          </cell>
          <cell r="P21">
            <v>0.94071632877930145</v>
          </cell>
          <cell r="Q21">
            <v>0.95358156539340677</v>
          </cell>
          <cell r="R21">
            <v>0.96360102174287088</v>
          </cell>
          <cell r="S21">
            <v>0.97140418219378311</v>
          </cell>
          <cell r="T21">
            <v>0.97748128966338554</v>
          </cell>
          <cell r="U21">
            <v>0.98221414571952104</v>
          </cell>
          <cell r="V21">
            <v>0.98590009772220355</v>
          </cell>
          <cell r="W21">
            <v>0.98877072002825628</v>
          </cell>
          <cell r="X21"/>
        </row>
        <row r="22">
          <cell r="A22" t="str">
            <v>Lighting</v>
          </cell>
          <cell r="B22" t="str">
            <v>Lighting - PPA</v>
          </cell>
          <cell r="C22" t="str">
            <v>Retro20Fast</v>
          </cell>
          <cell r="D22">
            <v>0.22119921692859512</v>
          </cell>
          <cell r="E22">
            <v>0.15504311102289431</v>
          </cell>
          <cell r="F22">
            <v>0.10733128557729499</v>
          </cell>
          <cell r="G22">
            <v>8.3589689255657879E-2</v>
          </cell>
          <cell r="H22">
            <v>7.3237179880126971E-2</v>
          </cell>
          <cell r="I22">
            <v>6.3374636711760357E-2</v>
          </cell>
          <cell r="J22">
            <v>5.4291838367783084E-2</v>
          </cell>
          <cell r="K22">
            <v>4.612639225659896E-2</v>
          </cell>
          <cell r="L22">
            <v>3.8916876277172864E-2</v>
          </cell>
          <cell r="M22">
            <v>3.2639916313151704E-2</v>
          </cell>
          <cell r="N22">
            <v>2.7235706125786907E-2</v>
          </cell>
          <cell r="O22">
            <v>2.1211189258265428E-2</v>
          </cell>
          <cell r="P22">
            <v>1.6519290804212883E-2</v>
          </cell>
          <cell r="Q22">
            <v>1.2865236614105324E-2</v>
          </cell>
          <cell r="R22">
            <v>1.0019456349464106E-2</v>
          </cell>
          <cell r="S22">
            <v>7.8031604509122832E-3</v>
          </cell>
          <cell r="T22">
            <v>6.077107469602494E-3</v>
          </cell>
          <cell r="U22">
            <v>4.7328560561354371E-3</v>
          </cell>
          <cell r="V22">
            <v>3.6859520026825132E-3</v>
          </cell>
          <cell r="W22">
            <v>2.8706223060526725E-3</v>
          </cell>
          <cell r="X22"/>
        </row>
        <row r="23">
          <cell r="A23" t="str">
            <v>Lighting PPA</v>
          </cell>
          <cell r="B23" t="str">
            <v>Lighting PPA</v>
          </cell>
          <cell r="C23" t="str">
            <v>LightingPPA</v>
          </cell>
          <cell r="D23">
            <v>0.5468729734127814</v>
          </cell>
          <cell r="E23">
            <v>0.43749837873022512</v>
          </cell>
          <cell r="F23">
            <v>0.32812378404766884</v>
          </cell>
          <cell r="G23">
            <v>0.21874918936511256</v>
          </cell>
          <cell r="H23">
            <v>0.10937459468255628</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row>
        <row r="24">
          <cell r="A24" t="str">
            <v>Water Heating</v>
          </cell>
          <cell r="B24" t="str">
            <v>Dishwasher - New</v>
          </cell>
          <cell r="C24" t="str">
            <v>LO12Med</v>
          </cell>
          <cell r="D24">
            <v>0.10937459468255628</v>
          </cell>
          <cell r="E24">
            <v>0.21874918936511256</v>
          </cell>
          <cell r="F24">
            <v>0.32812378404766884</v>
          </cell>
          <cell r="G24">
            <v>0.43749837873022512</v>
          </cell>
          <cell r="H24">
            <v>0.5468729734127814</v>
          </cell>
          <cell r="I24">
            <v>0.64531010862708205</v>
          </cell>
          <cell r="J24">
            <v>0.7240598167985226</v>
          </cell>
          <cell r="K24">
            <v>0.78705958333567505</v>
          </cell>
          <cell r="L24">
            <v>0.83745939656539703</v>
          </cell>
          <cell r="M24">
            <v>0.87777924714917455</v>
          </cell>
          <cell r="N24">
            <v>0.91003512761619654</v>
          </cell>
          <cell r="O24">
            <v>0.93583983198981413</v>
          </cell>
          <cell r="P24">
            <v>0.9564835954887082</v>
          </cell>
          <cell r="Q24">
            <v>0.97299860628782353</v>
          </cell>
          <cell r="R24">
            <v>0.9862106149271157</v>
          </cell>
          <cell r="S24">
            <v>0.99678022183854953</v>
          </cell>
          <cell r="T24">
            <v>0.99685231466234414</v>
          </cell>
          <cell r="U24">
            <v>0.99687806209941365</v>
          </cell>
          <cell r="V24">
            <v>0.99688683963477831</v>
          </cell>
          <cell r="W24">
            <v>0.99688970187457115</v>
          </cell>
          <cell r="X24"/>
        </row>
        <row r="25">
          <cell r="A25" t="str">
            <v>Water Heating</v>
          </cell>
          <cell r="B25" t="str">
            <v>Dishwasher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cell r="X25"/>
        </row>
        <row r="26">
          <cell r="A26" t="str">
            <v>Water Heating</v>
          </cell>
          <cell r="B26" t="str">
            <v>Clothes Washer - New</v>
          </cell>
          <cell r="C26" t="str">
            <v>LO12Med</v>
          </cell>
          <cell r="D26">
            <v>0.10937459468255628</v>
          </cell>
          <cell r="E26">
            <v>0.21874918936511256</v>
          </cell>
          <cell r="F26">
            <v>0.32812378404766884</v>
          </cell>
          <cell r="G26">
            <v>0.43749837873022512</v>
          </cell>
          <cell r="H26">
            <v>0.5468729734127814</v>
          </cell>
          <cell r="I26">
            <v>0.64531010862708205</v>
          </cell>
          <cell r="J26">
            <v>0.7240598167985226</v>
          </cell>
          <cell r="K26">
            <v>0.78705958333567505</v>
          </cell>
          <cell r="L26">
            <v>0.83745939656539703</v>
          </cell>
          <cell r="M26">
            <v>0.87777924714917455</v>
          </cell>
          <cell r="N26">
            <v>0.91003512761619654</v>
          </cell>
          <cell r="O26">
            <v>0.93583983198981413</v>
          </cell>
          <cell r="P26">
            <v>0.9564835954887082</v>
          </cell>
          <cell r="Q26">
            <v>0.97299860628782353</v>
          </cell>
          <cell r="R26">
            <v>0.9862106149271157</v>
          </cell>
          <cell r="S26">
            <v>0.99678022183854953</v>
          </cell>
          <cell r="T26">
            <v>0.99685231466234414</v>
          </cell>
          <cell r="U26">
            <v>0.99687806209941365</v>
          </cell>
          <cell r="V26">
            <v>0.99688683963477831</v>
          </cell>
          <cell r="W26">
            <v>0.99688970187457115</v>
          </cell>
          <cell r="X26"/>
        </row>
        <row r="27">
          <cell r="A27" t="str">
            <v>Water Heating</v>
          </cell>
          <cell r="B27" t="str">
            <v>Clothes Washer - NR</v>
          </cell>
          <cell r="C27" t="str">
            <v>LO12Med</v>
          </cell>
          <cell r="D27">
            <v>0.10937459468255628</v>
          </cell>
          <cell r="E27">
            <v>0.21874918936511256</v>
          </cell>
          <cell r="F27">
            <v>0.32812378404766884</v>
          </cell>
          <cell r="G27">
            <v>0.43749837873022512</v>
          </cell>
          <cell r="H27">
            <v>0.5468729734127814</v>
          </cell>
          <cell r="I27">
            <v>0.64531010862708205</v>
          </cell>
          <cell r="J27">
            <v>0.7240598167985226</v>
          </cell>
          <cell r="K27">
            <v>0.78705958333567505</v>
          </cell>
          <cell r="L27">
            <v>0.83745939656539703</v>
          </cell>
          <cell r="M27">
            <v>0.87777924714917455</v>
          </cell>
          <cell r="N27">
            <v>0.91003512761619654</v>
          </cell>
          <cell r="O27">
            <v>0.93583983198981413</v>
          </cell>
          <cell r="P27">
            <v>0.9564835954887082</v>
          </cell>
          <cell r="Q27">
            <v>0.97299860628782353</v>
          </cell>
          <cell r="R27">
            <v>0.9862106149271157</v>
          </cell>
          <cell r="S27">
            <v>0.99678022183854953</v>
          </cell>
          <cell r="T27">
            <v>0.99685231466234414</v>
          </cell>
          <cell r="U27">
            <v>0.99687806209941365</v>
          </cell>
          <cell r="V27">
            <v>0.99688683963477831</v>
          </cell>
          <cell r="W27">
            <v>0.99688970187457115</v>
          </cell>
          <cell r="X27"/>
        </row>
        <row r="28">
          <cell r="A28" t="str">
            <v>Water Heating</v>
          </cell>
          <cell r="B28" t="str">
            <v>WasteWater Heat Recovery - New</v>
          </cell>
          <cell r="C28" t="str">
            <v>LO1Slow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cell r="X28"/>
        </row>
        <row r="29">
          <cell r="A29" t="str">
            <v>Water Heating</v>
          </cell>
          <cell r="B29" t="str">
            <v>Showerheads - New</v>
          </cell>
          <cell r="C29" t="str">
            <v>LO12MEd</v>
          </cell>
          <cell r="D29">
            <v>0.10937459468255628</v>
          </cell>
          <cell r="E29">
            <v>0.21874918936511256</v>
          </cell>
          <cell r="F29">
            <v>0.32812378404766884</v>
          </cell>
          <cell r="G29">
            <v>0.43749837873022512</v>
          </cell>
          <cell r="H29">
            <v>0.5468729734127814</v>
          </cell>
          <cell r="I29">
            <v>0.64531010862708205</v>
          </cell>
          <cell r="J29">
            <v>0.7240598167985226</v>
          </cell>
          <cell r="K29">
            <v>0.78705958333567505</v>
          </cell>
          <cell r="L29">
            <v>0.83745939656539703</v>
          </cell>
          <cell r="M29">
            <v>0.87777924714917455</v>
          </cell>
          <cell r="N29">
            <v>0.91003512761619654</v>
          </cell>
          <cell r="O29">
            <v>0.93583983198981413</v>
          </cell>
          <cell r="P29">
            <v>0.9564835954887082</v>
          </cell>
          <cell r="Q29">
            <v>0.97299860628782353</v>
          </cell>
          <cell r="R29">
            <v>0.9862106149271157</v>
          </cell>
          <cell r="S29">
            <v>0.99678022183854953</v>
          </cell>
          <cell r="T29">
            <v>0.99685231466234414</v>
          </cell>
          <cell r="U29">
            <v>0.99687806209941365</v>
          </cell>
          <cell r="V29">
            <v>0.99688683963477831</v>
          </cell>
          <cell r="W29">
            <v>0.99688970187457115</v>
          </cell>
          <cell r="X29"/>
        </row>
        <row r="30">
          <cell r="A30" t="str">
            <v>Water Heating</v>
          </cell>
          <cell r="B30" t="str">
            <v>Showerheads - Retro</v>
          </cell>
          <cell r="C30" t="str">
            <v>Retro12Med</v>
          </cell>
          <cell r="D30">
            <v>0.10937459468255628</v>
          </cell>
          <cell r="E30">
            <v>0.10937459468255628</v>
          </cell>
          <cell r="F30">
            <v>0.10937459468255628</v>
          </cell>
          <cell r="G30">
            <v>0.10937459468255628</v>
          </cell>
          <cell r="H30">
            <v>0.10937459468255628</v>
          </cell>
          <cell r="I30">
            <v>9.8437135214300656E-2</v>
          </cell>
          <cell r="J30">
            <v>7.874970817144053E-2</v>
          </cell>
          <cell r="K30">
            <v>6.2999766537152418E-2</v>
          </cell>
          <cell r="L30">
            <v>5.0399813229721938E-2</v>
          </cell>
          <cell r="M30">
            <v>4.0319850583777551E-2</v>
          </cell>
          <cell r="N30">
            <v>3.225588046702204E-2</v>
          </cell>
          <cell r="O30">
            <v>2.5804704373617631E-2</v>
          </cell>
          <cell r="P30">
            <v>2.0643763498894106E-2</v>
          </cell>
          <cell r="Q30">
            <v>1.6515010799115284E-2</v>
          </cell>
          <cell r="R30">
            <v>1.3212008639292228E-2</v>
          </cell>
          <cell r="S30">
            <v>1.0569606911433781E-2</v>
          </cell>
          <cell r="T30">
            <v>7.2092823794611682E-5</v>
          </cell>
          <cell r="U30">
            <v>2.5747437069512102E-5</v>
          </cell>
          <cell r="V30">
            <v>8.7775353646568632E-6</v>
          </cell>
          <cell r="W30">
            <v>2.8622397928446119E-6</v>
          </cell>
          <cell r="X30"/>
        </row>
        <row r="31">
          <cell r="A31" t="str">
            <v>Water Heating</v>
          </cell>
          <cell r="B31" t="str">
            <v>HPWH - New</v>
          </cell>
          <cell r="C31" t="str">
            <v>LO3Slow</v>
          </cell>
          <cell r="D31">
            <v>5.5320496977002724E-3</v>
          </cell>
          <cell r="E31">
            <v>1.4227918344261844E-2</v>
          </cell>
          <cell r="F31">
            <v>3.1619655637384989E-2</v>
          </cell>
          <cell r="G31">
            <v>6.2055195900350503E-2</v>
          </cell>
          <cell r="H31">
            <v>0.10939936964274129</v>
          </cell>
          <cell r="I31">
            <v>0.17568121288208835</v>
          </cell>
          <cell r="J31">
            <v>0.26003992245943919</v>
          </cell>
          <cell r="K31">
            <v>0.3584584169663485</v>
          </cell>
          <cell r="L31">
            <v>0.46444756489686617</v>
          </cell>
          <cell r="M31">
            <v>0.57043671282738384</v>
          </cell>
          <cell r="N31">
            <v>0.66935991756253377</v>
          </cell>
          <cell r="O31">
            <v>0.75591772170578986</v>
          </cell>
          <cell r="P31">
            <v>0.82720061923553012</v>
          </cell>
          <cell r="Q31">
            <v>0.88264287286977261</v>
          </cell>
          <cell r="R31">
            <v>0.92349505975816193</v>
          </cell>
          <cell r="S31">
            <v>0.95209159058003434</v>
          </cell>
          <cell r="T31">
            <v>0.97115594446128262</v>
          </cell>
          <cell r="U31">
            <v>0.98328780602207699</v>
          </cell>
          <cell r="V31">
            <v>0.99067241740690848</v>
          </cell>
          <cell r="W31">
            <v>0.99498010738139331</v>
          </cell>
          <cell r="X31"/>
        </row>
        <row r="32">
          <cell r="A32" t="str">
            <v>Water Heating</v>
          </cell>
          <cell r="B32" t="str">
            <v>HPWH - NR</v>
          </cell>
          <cell r="C32" t="str">
            <v>LO3Slow</v>
          </cell>
          <cell r="D32">
            <v>5.5320496977002724E-3</v>
          </cell>
          <cell r="E32">
            <v>1.4227918344261844E-2</v>
          </cell>
          <cell r="F32">
            <v>3.1619655637384989E-2</v>
          </cell>
          <cell r="G32">
            <v>6.2055195900350503E-2</v>
          </cell>
          <cell r="H32">
            <v>0.10939936964274129</v>
          </cell>
          <cell r="I32">
            <v>0.17568121288208835</v>
          </cell>
          <cell r="J32">
            <v>0.26003992245943919</v>
          </cell>
          <cell r="K32">
            <v>0.3584584169663485</v>
          </cell>
          <cell r="L32">
            <v>0.46444756489686617</v>
          </cell>
          <cell r="M32">
            <v>0.57043671282738384</v>
          </cell>
          <cell r="N32">
            <v>0.66935991756253377</v>
          </cell>
          <cell r="O32">
            <v>0.75591772170578986</v>
          </cell>
          <cell r="P32">
            <v>0.82720061923553012</v>
          </cell>
          <cell r="Q32">
            <v>0.88264287286977261</v>
          </cell>
          <cell r="R32">
            <v>0.92349505975816193</v>
          </cell>
          <cell r="S32">
            <v>0.95209159058003434</v>
          </cell>
          <cell r="T32">
            <v>0.97115594446128262</v>
          </cell>
          <cell r="U32">
            <v>0.98328780602207699</v>
          </cell>
          <cell r="V32">
            <v>0.99067241740690848</v>
          </cell>
          <cell r="W32">
            <v>0.99498010738139331</v>
          </cell>
          <cell r="X32"/>
        </row>
        <row r="33">
          <cell r="A33" t="str">
            <v>Whole Bldg/Meter Level</v>
          </cell>
          <cell r="B33" t="str">
            <v>EV Supply Equip - NR</v>
          </cell>
          <cell r="C33" t="str">
            <v>LOMax60</v>
          </cell>
          <cell r="D33">
            <v>0.01</v>
          </cell>
          <cell r="E33">
            <v>2.98E-2</v>
          </cell>
          <cell r="F33">
            <v>5.8906E-2</v>
          </cell>
          <cell r="G33">
            <v>9.6549759999999998E-2</v>
          </cell>
          <cell r="H33">
            <v>0.14172227199999998</v>
          </cell>
          <cell r="I33">
            <v>0.19035800991999999</v>
          </cell>
          <cell r="J33">
            <v>0.2362377226912</v>
          </cell>
          <cell r="K33">
            <v>0.279517585072032</v>
          </cell>
          <cell r="L33">
            <v>0.32034492191795017</v>
          </cell>
          <cell r="M33">
            <v>0.35885870967593297</v>
          </cell>
          <cell r="N33">
            <v>0.39519004946096342</v>
          </cell>
          <cell r="O33">
            <v>0.42946261332484215</v>
          </cell>
          <cell r="P33">
            <v>0.46179306523643443</v>
          </cell>
          <cell r="Q33">
            <v>0.49229145820636983</v>
          </cell>
          <cell r="R33">
            <v>0.5210616089080089</v>
          </cell>
          <cell r="S33">
            <v>0.54820145106988838</v>
          </cell>
          <cell r="T33">
            <v>0.57380336884259475</v>
          </cell>
          <cell r="U33">
            <v>0.59795451127484767</v>
          </cell>
          <cell r="V33">
            <v>0.62073708896927293</v>
          </cell>
          <cell r="W33">
            <v>0.6422286539276808</v>
          </cell>
          <cell r="X33"/>
        </row>
        <row r="34">
          <cell r="A34" t="str">
            <v>Dryer</v>
          </cell>
          <cell r="B34" t="str">
            <v>Clothes Dryer - New</v>
          </cell>
          <cell r="C34" t="str">
            <v>LOMax60</v>
          </cell>
          <cell r="D34">
            <v>0.01</v>
          </cell>
          <cell r="E34">
            <v>2.98E-2</v>
          </cell>
          <cell r="F34">
            <v>5.8906E-2</v>
          </cell>
          <cell r="G34">
            <v>9.6549759999999998E-2</v>
          </cell>
          <cell r="H34">
            <v>0.14172227199999998</v>
          </cell>
          <cell r="I34">
            <v>0.19035800991999999</v>
          </cell>
          <cell r="J34">
            <v>0.2362377226912</v>
          </cell>
          <cell r="K34">
            <v>0.279517585072032</v>
          </cell>
          <cell r="L34">
            <v>0.32034492191795017</v>
          </cell>
          <cell r="M34">
            <v>0.35885870967593297</v>
          </cell>
          <cell r="N34">
            <v>0.39519004946096342</v>
          </cell>
          <cell r="O34">
            <v>0.42946261332484215</v>
          </cell>
          <cell r="P34">
            <v>0.46179306523643443</v>
          </cell>
          <cell r="Q34">
            <v>0.49229145820636983</v>
          </cell>
          <cell r="R34">
            <v>0.5210616089080089</v>
          </cell>
          <cell r="S34">
            <v>0.54820145106988838</v>
          </cell>
          <cell r="T34">
            <v>0.57380336884259475</v>
          </cell>
          <cell r="U34">
            <v>0.59795451127484767</v>
          </cell>
          <cell r="V34">
            <v>0.62073708896927293</v>
          </cell>
          <cell r="W34">
            <v>0.6422286539276808</v>
          </cell>
          <cell r="X34"/>
        </row>
        <row r="35">
          <cell r="A35" t="str">
            <v>Dryer</v>
          </cell>
          <cell r="B35" t="str">
            <v>Clothes Dryer - NR</v>
          </cell>
          <cell r="C35" t="str">
            <v>LOMax60</v>
          </cell>
          <cell r="D35">
            <v>0.01</v>
          </cell>
          <cell r="E35">
            <v>2.98E-2</v>
          </cell>
          <cell r="F35">
            <v>5.8906E-2</v>
          </cell>
          <cell r="G35">
            <v>9.6549759999999998E-2</v>
          </cell>
          <cell r="H35">
            <v>0.14172227199999998</v>
          </cell>
          <cell r="I35">
            <v>0.19035800991999999</v>
          </cell>
          <cell r="J35">
            <v>0.2362377226912</v>
          </cell>
          <cell r="K35">
            <v>0.279517585072032</v>
          </cell>
          <cell r="L35">
            <v>0.32034492191795017</v>
          </cell>
          <cell r="M35">
            <v>0.35885870967593297</v>
          </cell>
          <cell r="N35">
            <v>0.39519004946096342</v>
          </cell>
          <cell r="O35">
            <v>0.42946261332484215</v>
          </cell>
          <cell r="P35">
            <v>0.46179306523643443</v>
          </cell>
          <cell r="Q35">
            <v>0.49229145820636983</v>
          </cell>
          <cell r="R35">
            <v>0.5210616089080089</v>
          </cell>
          <cell r="S35">
            <v>0.54820145106988838</v>
          </cell>
          <cell r="T35">
            <v>0.57380336884259475</v>
          </cell>
          <cell r="U35">
            <v>0.59795451127484767</v>
          </cell>
          <cell r="V35">
            <v>0.62073708896927293</v>
          </cell>
          <cell r="W35">
            <v>0.6422286539276808</v>
          </cell>
          <cell r="X35"/>
        </row>
        <row r="36">
          <cell r="A36" t="str">
            <v>Refrigeration</v>
          </cell>
          <cell r="B36" t="str">
            <v>Refrigerator - New</v>
          </cell>
          <cell r="C36" t="str">
            <v>LO1Slow</v>
          </cell>
          <cell r="D36">
            <v>2.5643970768378654E-3</v>
          </cell>
          <cell r="E36">
            <v>7.6904586297764643E-3</v>
          </cell>
          <cell r="F36">
            <v>1.6792013047419844E-2</v>
          </cell>
          <cell r="G36">
            <v>3.15969387774655E-2</v>
          </cell>
          <cell r="H36">
            <v>5.406874819795171E-2</v>
          </cell>
          <cell r="I36">
            <v>8.6253181011834101E-2</v>
          </cell>
          <cell r="J36">
            <v>0.1300328481838382</v>
          </cell>
          <cell r="K36">
            <v>0.18678710893858319</v>
          </cell>
          <cell r="L36">
            <v>0.2569823480072907</v>
          </cell>
          <cell r="M36">
            <v>0.33975920985004748</v>
          </cell>
          <cell r="N36">
            <v>0.43262946935754232</v>
          </cell>
          <cell r="O36">
            <v>0.53142594003645804</v>
          </cell>
          <cell r="P36">
            <v>0.63063487292644704</v>
          </cell>
          <cell r="Q36">
            <v>0.7241560234206913</v>
          </cell>
          <cell r="R36">
            <v>0.80638203131755359</v>
          </cell>
          <cell r="S36">
            <v>0.87331559734491926</v>
          </cell>
          <cell r="T36">
            <v>0.92334516248836807</v>
          </cell>
          <cell r="U36">
            <v>0.95737002770730018</v>
          </cell>
          <cell r="V36">
            <v>0.97821608704807483</v>
          </cell>
          <cell r="W36">
            <v>0.98821608704807484</v>
          </cell>
          <cell r="X36"/>
        </row>
        <row r="37">
          <cell r="A37" t="str">
            <v>Refrigeration</v>
          </cell>
          <cell r="B37" t="str">
            <v>Refrigerator - NR</v>
          </cell>
          <cell r="C37" t="str">
            <v>LO1Slow</v>
          </cell>
          <cell r="D37">
            <v>2.5643970768378654E-3</v>
          </cell>
          <cell r="E37">
            <v>7.6904586297764643E-3</v>
          </cell>
          <cell r="F37">
            <v>1.6792013047419844E-2</v>
          </cell>
          <cell r="G37">
            <v>3.15969387774655E-2</v>
          </cell>
          <cell r="H37">
            <v>5.406874819795171E-2</v>
          </cell>
          <cell r="I37">
            <v>8.6253181011834101E-2</v>
          </cell>
          <cell r="J37">
            <v>0.1300328481838382</v>
          </cell>
          <cell r="K37">
            <v>0.18678710893858319</v>
          </cell>
          <cell r="L37">
            <v>0.2569823480072907</v>
          </cell>
          <cell r="M37">
            <v>0.33975920985004748</v>
          </cell>
          <cell r="N37">
            <v>0.43262946935754232</v>
          </cell>
          <cell r="O37">
            <v>0.53142594003645804</v>
          </cell>
          <cell r="P37">
            <v>0.63063487292644704</v>
          </cell>
          <cell r="Q37">
            <v>0.7241560234206913</v>
          </cell>
          <cell r="R37">
            <v>0.80638203131755359</v>
          </cell>
          <cell r="S37">
            <v>0.87331559734491926</v>
          </cell>
          <cell r="T37">
            <v>0.92334516248836807</v>
          </cell>
          <cell r="U37">
            <v>0.95737002770730018</v>
          </cell>
          <cell r="V37">
            <v>0.97821608704807483</v>
          </cell>
          <cell r="W37">
            <v>0.98821608704807484</v>
          </cell>
          <cell r="X37"/>
        </row>
        <row r="38">
          <cell r="A38" t="str">
            <v>Refrigeration</v>
          </cell>
          <cell r="B38" t="str">
            <v>Freezer - New</v>
          </cell>
          <cell r="C38" t="str">
            <v>LO1Slow</v>
          </cell>
          <cell r="D38">
            <v>2.5643970768378654E-3</v>
          </cell>
          <cell r="E38">
            <v>7.6904586297764643E-3</v>
          </cell>
          <cell r="F38">
            <v>1.6792013047419844E-2</v>
          </cell>
          <cell r="G38">
            <v>3.15969387774655E-2</v>
          </cell>
          <cell r="H38">
            <v>5.406874819795171E-2</v>
          </cell>
          <cell r="I38">
            <v>8.6253181011834101E-2</v>
          </cell>
          <cell r="J38">
            <v>0.1300328481838382</v>
          </cell>
          <cell r="K38">
            <v>0.18678710893858319</v>
          </cell>
          <cell r="L38">
            <v>0.2569823480072907</v>
          </cell>
          <cell r="M38">
            <v>0.33975920985004748</v>
          </cell>
          <cell r="N38">
            <v>0.43262946935754232</v>
          </cell>
          <cell r="O38">
            <v>0.53142594003645804</v>
          </cell>
          <cell r="P38">
            <v>0.63063487292644704</v>
          </cell>
          <cell r="Q38">
            <v>0.7241560234206913</v>
          </cell>
          <cell r="R38">
            <v>0.80638203131755359</v>
          </cell>
          <cell r="S38">
            <v>0.87331559734491926</v>
          </cell>
          <cell r="T38">
            <v>0.92334516248836807</v>
          </cell>
          <cell r="U38">
            <v>0.95737002770730018</v>
          </cell>
          <cell r="V38">
            <v>0.97821608704807483</v>
          </cell>
          <cell r="W38">
            <v>0.98821608704807484</v>
          </cell>
          <cell r="X38"/>
        </row>
        <row r="39">
          <cell r="A39" t="str">
            <v>Refrigeration</v>
          </cell>
          <cell r="B39" t="str">
            <v>Freezer - NR</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cell r="X39"/>
        </row>
        <row r="40">
          <cell r="A40" t="str">
            <v>Water Heating</v>
          </cell>
          <cell r="B40" t="str">
            <v>Solar Water Heater - New</v>
          </cell>
          <cell r="C40" t="str">
            <v>LOMax60</v>
          </cell>
          <cell r="D40">
            <v>0.01</v>
          </cell>
          <cell r="E40">
            <v>2.98E-2</v>
          </cell>
          <cell r="F40">
            <v>5.8906E-2</v>
          </cell>
          <cell r="G40">
            <v>9.6549759999999998E-2</v>
          </cell>
          <cell r="H40">
            <v>0.14172227199999998</v>
          </cell>
          <cell r="I40">
            <v>0.19035800991999999</v>
          </cell>
          <cell r="J40">
            <v>0.2362377226912</v>
          </cell>
          <cell r="K40">
            <v>0.279517585072032</v>
          </cell>
          <cell r="L40">
            <v>0.32034492191795017</v>
          </cell>
          <cell r="M40">
            <v>0.35885870967593297</v>
          </cell>
          <cell r="N40">
            <v>0.39519004946096342</v>
          </cell>
          <cell r="O40">
            <v>0.42946261332484215</v>
          </cell>
          <cell r="P40">
            <v>0.46179306523643443</v>
          </cell>
          <cell r="Q40">
            <v>0.49229145820636983</v>
          </cell>
          <cell r="R40">
            <v>0.5210616089080089</v>
          </cell>
          <cell r="S40">
            <v>0.54820145106988838</v>
          </cell>
          <cell r="T40">
            <v>0.57380336884259475</v>
          </cell>
          <cell r="U40">
            <v>0.59795451127484767</v>
          </cell>
          <cell r="V40">
            <v>0.62073708896927293</v>
          </cell>
          <cell r="W40">
            <v>0.6422286539276808</v>
          </cell>
          <cell r="X40"/>
        </row>
        <row r="41">
          <cell r="A41" t="str">
            <v>Water Heating</v>
          </cell>
          <cell r="B41" t="str">
            <v>Solar Water Heater - NR</v>
          </cell>
          <cell r="C41" t="str">
            <v>LOMax60</v>
          </cell>
          <cell r="D41">
            <v>0.01</v>
          </cell>
          <cell r="E41">
            <v>2.98E-2</v>
          </cell>
          <cell r="F41">
            <v>5.8906E-2</v>
          </cell>
          <cell r="G41">
            <v>9.6549759999999998E-2</v>
          </cell>
          <cell r="H41">
            <v>0.14172227199999998</v>
          </cell>
          <cell r="I41">
            <v>0.19035800991999999</v>
          </cell>
          <cell r="J41">
            <v>0.2362377226912</v>
          </cell>
          <cell r="K41">
            <v>0.279517585072032</v>
          </cell>
          <cell r="L41">
            <v>0.32034492191795017</v>
          </cell>
          <cell r="M41">
            <v>0.35885870967593297</v>
          </cell>
          <cell r="N41">
            <v>0.39519004946096342</v>
          </cell>
          <cell r="O41">
            <v>0.42946261332484215</v>
          </cell>
          <cell r="P41">
            <v>0.46179306523643443</v>
          </cell>
          <cell r="Q41">
            <v>0.49229145820636983</v>
          </cell>
          <cell r="R41">
            <v>0.5210616089080089</v>
          </cell>
          <cell r="S41">
            <v>0.54820145106988838</v>
          </cell>
          <cell r="T41">
            <v>0.57380336884259475</v>
          </cell>
          <cell r="U41">
            <v>0.59795451127484767</v>
          </cell>
          <cell r="V41">
            <v>0.62073708896927293</v>
          </cell>
          <cell r="W41">
            <v>0.6422286539276808</v>
          </cell>
          <cell r="X41"/>
        </row>
        <row r="42">
          <cell r="A42" t="str">
            <v>Water Heating</v>
          </cell>
          <cell r="B42" t="str">
            <v>Solar Water Heater - Retro</v>
          </cell>
          <cell r="C42" t="str">
            <v>RetroMax60</v>
          </cell>
          <cell r="D42">
            <v>0.01</v>
          </cell>
          <cell r="E42">
            <v>1.9799999999999998E-2</v>
          </cell>
          <cell r="F42">
            <v>2.9106E-2</v>
          </cell>
          <cell r="G42">
            <v>3.7643759999999998E-2</v>
          </cell>
          <cell r="H42">
            <v>4.5172511999999984E-2</v>
          </cell>
          <cell r="I42">
            <v>4.8635737920000005E-2</v>
          </cell>
          <cell r="J42">
            <v>4.587971277120001E-2</v>
          </cell>
          <cell r="K42">
            <v>4.3279862380832007E-2</v>
          </cell>
          <cell r="L42">
            <v>4.0827336845918161E-2</v>
          </cell>
          <cell r="M42">
            <v>3.8513787757982809E-2</v>
          </cell>
          <cell r="N42">
            <v>3.6331339785030448E-2</v>
          </cell>
          <cell r="O42">
            <v>3.4272563863878724E-2</v>
          </cell>
          <cell r="P42">
            <v>3.2330451911592284E-2</v>
          </cell>
          <cell r="Q42">
            <v>3.0498392969935395E-2</v>
          </cell>
          <cell r="R42">
            <v>2.8770150701639075E-2</v>
          </cell>
          <cell r="S42">
            <v>2.7139842161879479E-2</v>
          </cell>
          <cell r="T42">
            <v>2.5601917772706373E-2</v>
          </cell>
          <cell r="U42">
            <v>2.4151142432252914E-2</v>
          </cell>
          <cell r="V42">
            <v>2.2782577694425266E-2</v>
          </cell>
          <cell r="W42">
            <v>2.1491564958407872E-2</v>
          </cell>
          <cell r="X42"/>
        </row>
        <row r="43">
          <cell r="A43">
            <v>0</v>
          </cell>
          <cell r="B43">
            <v>0</v>
          </cell>
          <cell r="C43" t="str">
            <v>LOMax60</v>
          </cell>
          <cell r="D43">
            <v>0.01</v>
          </cell>
          <cell r="E43">
            <v>2.98E-2</v>
          </cell>
          <cell r="F43">
            <v>5.8906E-2</v>
          </cell>
          <cell r="G43">
            <v>9.6549759999999998E-2</v>
          </cell>
          <cell r="H43">
            <v>0.14172227199999998</v>
          </cell>
          <cell r="I43">
            <v>0.19035800991999999</v>
          </cell>
          <cell r="J43">
            <v>0.2362377226912</v>
          </cell>
          <cell r="K43">
            <v>0.279517585072032</v>
          </cell>
          <cell r="L43">
            <v>0.32034492191795017</v>
          </cell>
          <cell r="M43">
            <v>0.35885870967593297</v>
          </cell>
          <cell r="N43">
            <v>0.39519004946096342</v>
          </cell>
          <cell r="O43">
            <v>0.42946261332484215</v>
          </cell>
          <cell r="P43">
            <v>0.46179306523643443</v>
          </cell>
          <cell r="Q43">
            <v>0.49229145820636983</v>
          </cell>
          <cell r="R43">
            <v>0.5210616089080089</v>
          </cell>
          <cell r="S43">
            <v>0.54820145106988838</v>
          </cell>
          <cell r="T43">
            <v>0.57380336884259475</v>
          </cell>
          <cell r="U43">
            <v>0.59795451127484767</v>
          </cell>
          <cell r="V43">
            <v>0.62073708896927293</v>
          </cell>
          <cell r="W43">
            <v>0.6422286539276808</v>
          </cell>
          <cell r="X43"/>
        </row>
        <row r="44">
          <cell r="A44">
            <v>0</v>
          </cell>
          <cell r="B44">
            <v>0</v>
          </cell>
          <cell r="C44" t="str">
            <v>RetroMax60</v>
          </cell>
          <cell r="D44">
            <v>0.01</v>
          </cell>
          <cell r="E44">
            <v>1.9799999999999998E-2</v>
          </cell>
          <cell r="F44">
            <v>2.9106E-2</v>
          </cell>
          <cell r="G44">
            <v>3.7643759999999998E-2</v>
          </cell>
          <cell r="H44">
            <v>4.5172511999999984E-2</v>
          </cell>
          <cell r="I44">
            <v>4.8635737920000005E-2</v>
          </cell>
          <cell r="J44">
            <v>4.587971277120001E-2</v>
          </cell>
          <cell r="K44">
            <v>4.3279862380832007E-2</v>
          </cell>
          <cell r="L44">
            <v>4.0827336845918161E-2</v>
          </cell>
          <cell r="M44">
            <v>3.8513787757982809E-2</v>
          </cell>
          <cell r="N44">
            <v>3.6331339785030448E-2</v>
          </cell>
          <cell r="O44">
            <v>3.4272563863878724E-2</v>
          </cell>
          <cell r="P44">
            <v>3.2330451911592284E-2</v>
          </cell>
          <cell r="Q44">
            <v>3.0498392969935395E-2</v>
          </cell>
          <cell r="R44">
            <v>2.8770150701639075E-2</v>
          </cell>
          <cell r="S44">
            <v>2.7139842161879479E-2</v>
          </cell>
          <cell r="T44">
            <v>2.5601917772706373E-2</v>
          </cell>
          <cell r="U44">
            <v>2.4151142432252914E-2</v>
          </cell>
          <cell r="V44">
            <v>2.2782577694425266E-2</v>
          </cell>
          <cell r="W44">
            <v>2.1491564958407872E-2</v>
          </cell>
          <cell r="X44"/>
        </row>
        <row r="45">
          <cell r="A45" t="str">
            <v>Food Preparation</v>
          </cell>
          <cell r="B45" t="str">
            <v>Electric Oven - New</v>
          </cell>
          <cell r="C45" t="str">
            <v>LO20Fast</v>
          </cell>
          <cell r="D45">
            <v>0.22119921692859512</v>
          </cell>
          <cell r="E45">
            <v>0.37624232795148943</v>
          </cell>
          <cell r="F45">
            <v>0.48357361352878442</v>
          </cell>
          <cell r="G45">
            <v>0.56716330278444227</v>
          </cell>
          <cell r="H45">
            <v>0.64040048266456928</v>
          </cell>
          <cell r="I45">
            <v>0.70377511937632964</v>
          </cell>
          <cell r="J45">
            <v>0.7580669577441127</v>
          </cell>
          <cell r="K45">
            <v>0.80419335000071168</v>
          </cell>
          <cell r="L45">
            <v>0.84311022627788457</v>
          </cell>
          <cell r="M45">
            <v>0.87575014259103623</v>
          </cell>
          <cell r="N45">
            <v>0.90298584871682319</v>
          </cell>
          <cell r="O45">
            <v>0.92419703797508856</v>
          </cell>
          <cell r="P45">
            <v>0.94071632877930145</v>
          </cell>
          <cell r="Q45">
            <v>0.95358156539340677</v>
          </cell>
          <cell r="R45">
            <v>0.96360102174287088</v>
          </cell>
          <cell r="S45">
            <v>0.97140418219378311</v>
          </cell>
          <cell r="T45">
            <v>0.97748128966338554</v>
          </cell>
          <cell r="U45">
            <v>0.98221414571952104</v>
          </cell>
          <cell r="V45">
            <v>0.98590009772220355</v>
          </cell>
          <cell r="W45">
            <v>0.98877072002825628</v>
          </cell>
          <cell r="X45"/>
        </row>
        <row r="46">
          <cell r="A46" t="str">
            <v>Food Preparation</v>
          </cell>
          <cell r="B46" t="str">
            <v>Electric Oven - NR</v>
          </cell>
          <cell r="C46" t="str">
            <v>LO20Fast</v>
          </cell>
          <cell r="D46">
            <v>0.22119921692859512</v>
          </cell>
          <cell r="E46">
            <v>0.37624232795148943</v>
          </cell>
          <cell r="F46">
            <v>0.48357361352878442</v>
          </cell>
          <cell r="G46">
            <v>0.56716330278444227</v>
          </cell>
          <cell r="H46">
            <v>0.64040048266456928</v>
          </cell>
          <cell r="I46">
            <v>0.70377511937632964</v>
          </cell>
          <cell r="J46">
            <v>0.7580669577441127</v>
          </cell>
          <cell r="K46">
            <v>0.80419335000071168</v>
          </cell>
          <cell r="L46">
            <v>0.84311022627788457</v>
          </cell>
          <cell r="M46">
            <v>0.87575014259103623</v>
          </cell>
          <cell r="N46">
            <v>0.90298584871682319</v>
          </cell>
          <cell r="O46">
            <v>0.92419703797508856</v>
          </cell>
          <cell r="P46">
            <v>0.94071632877930145</v>
          </cell>
          <cell r="Q46">
            <v>0.95358156539340677</v>
          </cell>
          <cell r="R46">
            <v>0.96360102174287088</v>
          </cell>
          <cell r="S46">
            <v>0.97140418219378311</v>
          </cell>
          <cell r="T46">
            <v>0.97748128966338554</v>
          </cell>
          <cell r="U46">
            <v>0.98221414571952104</v>
          </cell>
          <cell r="V46">
            <v>0.98590009772220355</v>
          </cell>
          <cell r="W46">
            <v>0.98877072002825628</v>
          </cell>
          <cell r="X46"/>
        </row>
        <row r="47">
          <cell r="A47" t="str">
            <v>Food Preparation</v>
          </cell>
          <cell r="B47" t="str">
            <v>Microwave - New</v>
          </cell>
          <cell r="C47" t="str">
            <v>LO12Med</v>
          </cell>
          <cell r="D47">
            <v>0.10937459468255628</v>
          </cell>
          <cell r="E47">
            <v>0.21874918936511256</v>
          </cell>
          <cell r="F47">
            <v>0.32812378404766884</v>
          </cell>
          <cell r="G47">
            <v>0.43749837873022512</v>
          </cell>
          <cell r="H47">
            <v>0.5468729734127814</v>
          </cell>
          <cell r="I47">
            <v>0.64531010862708205</v>
          </cell>
          <cell r="J47">
            <v>0.7240598167985226</v>
          </cell>
          <cell r="K47">
            <v>0.78705958333567505</v>
          </cell>
          <cell r="L47">
            <v>0.83745939656539703</v>
          </cell>
          <cell r="M47">
            <v>0.87777924714917455</v>
          </cell>
          <cell r="N47">
            <v>0.91003512761619654</v>
          </cell>
          <cell r="O47">
            <v>0.93583983198981413</v>
          </cell>
          <cell r="P47">
            <v>0.9564835954887082</v>
          </cell>
          <cell r="Q47">
            <v>0.97299860628782353</v>
          </cell>
          <cell r="R47">
            <v>0.9862106149271157</v>
          </cell>
          <cell r="S47">
            <v>0.99678022183854953</v>
          </cell>
          <cell r="T47">
            <v>0.99685231466234414</v>
          </cell>
          <cell r="U47">
            <v>0.99687806209941365</v>
          </cell>
          <cell r="V47">
            <v>0.99688683963477831</v>
          </cell>
          <cell r="W47">
            <v>0.99688970187457115</v>
          </cell>
          <cell r="X47"/>
        </row>
        <row r="48">
          <cell r="A48" t="str">
            <v>Food Preparation</v>
          </cell>
          <cell r="B48" t="str">
            <v>Microwave - NR</v>
          </cell>
          <cell r="C48" t="str">
            <v>LO12Med</v>
          </cell>
          <cell r="D48">
            <v>0.10937459468255628</v>
          </cell>
          <cell r="E48">
            <v>0.21874918936511256</v>
          </cell>
          <cell r="F48">
            <v>0.32812378404766884</v>
          </cell>
          <cell r="G48">
            <v>0.43749837873022512</v>
          </cell>
          <cell r="H48">
            <v>0.5468729734127814</v>
          </cell>
          <cell r="I48">
            <v>0.64531010862708205</v>
          </cell>
          <cell r="J48">
            <v>0.7240598167985226</v>
          </cell>
          <cell r="K48">
            <v>0.78705958333567505</v>
          </cell>
          <cell r="L48">
            <v>0.83745939656539703</v>
          </cell>
          <cell r="M48">
            <v>0.87777924714917455</v>
          </cell>
          <cell r="N48">
            <v>0.91003512761619654</v>
          </cell>
          <cell r="O48">
            <v>0.93583983198981413</v>
          </cell>
          <cell r="P48">
            <v>0.9564835954887082</v>
          </cell>
          <cell r="Q48">
            <v>0.97299860628782353</v>
          </cell>
          <cell r="R48">
            <v>0.9862106149271157</v>
          </cell>
          <cell r="S48">
            <v>0.99678022183854953</v>
          </cell>
          <cell r="T48">
            <v>0.99685231466234414</v>
          </cell>
          <cell r="U48">
            <v>0.99687806209941365</v>
          </cell>
          <cell r="V48">
            <v>0.99688683963477831</v>
          </cell>
          <cell r="W48">
            <v>0.99688970187457115</v>
          </cell>
          <cell r="X48"/>
        </row>
        <row r="49">
          <cell r="A49" t="str">
            <v>Electronics</v>
          </cell>
          <cell r="B49" t="str">
            <v>Monitor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cell r="X49"/>
        </row>
        <row r="50">
          <cell r="A50" t="str">
            <v>Electronics</v>
          </cell>
          <cell r="B50" t="str">
            <v>Monitor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cell r="X50"/>
        </row>
        <row r="51">
          <cell r="A51" t="str">
            <v>Electronics</v>
          </cell>
          <cell r="B51" t="str">
            <v>Desktop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cell r="X51"/>
        </row>
        <row r="52">
          <cell r="A52" t="str">
            <v>Electronics</v>
          </cell>
          <cell r="B52" t="str">
            <v>Desktop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cell r="X52"/>
        </row>
        <row r="53">
          <cell r="A53" t="str">
            <v>Electronics</v>
          </cell>
          <cell r="B53" t="str">
            <v>Laptop - New</v>
          </cell>
          <cell r="C53" t="str">
            <v>LO50Fast</v>
          </cell>
          <cell r="D53">
            <v>0.45</v>
          </cell>
          <cell r="E53">
            <v>0.66</v>
          </cell>
          <cell r="F53">
            <v>0.8</v>
          </cell>
          <cell r="G53">
            <v>0.89</v>
          </cell>
          <cell r="H53">
            <v>0.94954036260972652</v>
          </cell>
          <cell r="I53">
            <v>0.97931054391458994</v>
          </cell>
          <cell r="J53">
            <v>0.99254173560564019</v>
          </cell>
          <cell r="K53">
            <v>0.99783421228206048</v>
          </cell>
          <cell r="L53">
            <v>0.99975874925530417</v>
          </cell>
          <cell r="M53">
            <v>1.0004002615797187</v>
          </cell>
          <cell r="N53">
            <v>1.0005976499872309</v>
          </cell>
          <cell r="O53">
            <v>1.0006540466750915</v>
          </cell>
          <cell r="P53">
            <v>1.0006690857918545</v>
          </cell>
          <cell r="Q53">
            <v>1.000672845571045</v>
          </cell>
          <cell r="R53">
            <v>1.0006737302249724</v>
          </cell>
          <cell r="S53">
            <v>1.0006739268147338</v>
          </cell>
          <cell r="T53">
            <v>1.0006739682020522</v>
          </cell>
          <cell r="U53">
            <v>1.0006739764795158</v>
          </cell>
          <cell r="V53">
            <v>1.0006739780561755</v>
          </cell>
          <cell r="W53">
            <v>1.0006739783428409</v>
          </cell>
          <cell r="X53"/>
        </row>
        <row r="54">
          <cell r="A54" t="str">
            <v>Electronics</v>
          </cell>
          <cell r="B54" t="str">
            <v>Laptop - NR</v>
          </cell>
          <cell r="C54" t="str">
            <v>LO50Fast</v>
          </cell>
          <cell r="D54">
            <v>0.45</v>
          </cell>
          <cell r="E54">
            <v>0.66</v>
          </cell>
          <cell r="F54">
            <v>0.8</v>
          </cell>
          <cell r="G54">
            <v>0.89</v>
          </cell>
          <cell r="H54">
            <v>0.94954036260972652</v>
          </cell>
          <cell r="I54">
            <v>0.97931054391458994</v>
          </cell>
          <cell r="J54">
            <v>0.99254173560564019</v>
          </cell>
          <cell r="K54">
            <v>0.99783421228206048</v>
          </cell>
          <cell r="L54">
            <v>0.99975874925530417</v>
          </cell>
          <cell r="M54">
            <v>1.0004002615797187</v>
          </cell>
          <cell r="N54">
            <v>1.0005976499872309</v>
          </cell>
          <cell r="O54">
            <v>1.0006540466750915</v>
          </cell>
          <cell r="P54">
            <v>1.0006690857918545</v>
          </cell>
          <cell r="Q54">
            <v>1.000672845571045</v>
          </cell>
          <cell r="R54">
            <v>1.0006737302249724</v>
          </cell>
          <cell r="S54">
            <v>1.0006739268147338</v>
          </cell>
          <cell r="T54">
            <v>1.0006739682020522</v>
          </cell>
          <cell r="U54">
            <v>1.0006739764795158</v>
          </cell>
          <cell r="V54">
            <v>1.0006739780561755</v>
          </cell>
          <cell r="W54">
            <v>1.0006739783428409</v>
          </cell>
          <cell r="X54"/>
        </row>
        <row r="55">
          <cell r="A55" t="str">
            <v>Electronics</v>
          </cell>
          <cell r="B55" t="str">
            <v>Computer - New</v>
          </cell>
          <cell r="C55" t="str">
            <v>LO50Fast</v>
          </cell>
          <cell r="D55">
            <v>0.45</v>
          </cell>
          <cell r="E55">
            <v>0.66</v>
          </cell>
          <cell r="F55">
            <v>0.8</v>
          </cell>
          <cell r="G55">
            <v>0.89</v>
          </cell>
          <cell r="H55">
            <v>0.94954036260972652</v>
          </cell>
          <cell r="I55">
            <v>0.97931054391458994</v>
          </cell>
          <cell r="J55">
            <v>0.99254173560564019</v>
          </cell>
          <cell r="K55">
            <v>0.99783421228206048</v>
          </cell>
          <cell r="L55">
            <v>0.99975874925530417</v>
          </cell>
          <cell r="M55">
            <v>1.0004002615797187</v>
          </cell>
          <cell r="N55">
            <v>1.0005976499872309</v>
          </cell>
          <cell r="O55">
            <v>1.0006540466750915</v>
          </cell>
          <cell r="P55">
            <v>1.0006690857918545</v>
          </cell>
          <cell r="Q55">
            <v>1.000672845571045</v>
          </cell>
          <cell r="R55">
            <v>1.0006737302249724</v>
          </cell>
          <cell r="S55">
            <v>1.0006739268147338</v>
          </cell>
          <cell r="T55">
            <v>1.0006739682020522</v>
          </cell>
          <cell r="U55">
            <v>1.0006739764795158</v>
          </cell>
          <cell r="V55">
            <v>1.0006739780561755</v>
          </cell>
          <cell r="W55">
            <v>1.0006739783428409</v>
          </cell>
          <cell r="X55"/>
        </row>
        <row r="56">
          <cell r="A56" t="str">
            <v>Electronics</v>
          </cell>
          <cell r="B56" t="str">
            <v>Computer - NR</v>
          </cell>
          <cell r="C56" t="str">
            <v>LO50Fast</v>
          </cell>
          <cell r="D56">
            <v>0.45</v>
          </cell>
          <cell r="E56">
            <v>0.66</v>
          </cell>
          <cell r="F56">
            <v>0.8</v>
          </cell>
          <cell r="G56">
            <v>0.89</v>
          </cell>
          <cell r="H56">
            <v>0.94954036260972652</v>
          </cell>
          <cell r="I56">
            <v>0.97931054391458994</v>
          </cell>
          <cell r="J56">
            <v>0.99254173560564019</v>
          </cell>
          <cell r="K56">
            <v>0.99783421228206048</v>
          </cell>
          <cell r="L56">
            <v>0.99975874925530417</v>
          </cell>
          <cell r="M56">
            <v>1.0004002615797187</v>
          </cell>
          <cell r="N56">
            <v>1.0005976499872309</v>
          </cell>
          <cell r="O56">
            <v>1.0006540466750915</v>
          </cell>
          <cell r="P56">
            <v>1.0006690857918545</v>
          </cell>
          <cell r="Q56">
            <v>1.000672845571045</v>
          </cell>
          <cell r="R56">
            <v>1.0006737302249724</v>
          </cell>
          <cell r="S56">
            <v>1.0006739268147338</v>
          </cell>
          <cell r="T56">
            <v>1.0006739682020522</v>
          </cell>
          <cell r="U56">
            <v>1.0006739764795158</v>
          </cell>
          <cell r="V56">
            <v>1.0006739780561755</v>
          </cell>
          <cell r="W56">
            <v>1.0006739783428409</v>
          </cell>
          <cell r="X56"/>
        </row>
        <row r="57">
          <cell r="A57" t="str">
            <v>HVAC</v>
          </cell>
          <cell r="B57" t="str">
            <v>ASHP - New</v>
          </cell>
          <cell r="C57" t="str">
            <v>LO5Med</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cell r="X57"/>
        </row>
        <row r="58">
          <cell r="A58" t="str">
            <v>HVAC</v>
          </cell>
          <cell r="B58" t="str">
            <v>ASHP - NR</v>
          </cell>
          <cell r="C58" t="str">
            <v>LO5Med</v>
          </cell>
          <cell r="D58">
            <v>4.2999999999999997E-2</v>
          </cell>
          <cell r="E58">
            <v>9.5797142280278316E-2</v>
          </cell>
          <cell r="F58">
            <v>0.16040539374775648</v>
          </cell>
          <cell r="G58">
            <v>0.23540539374775649</v>
          </cell>
          <cell r="H58">
            <v>0.32095239121809005</v>
          </cell>
          <cell r="I58">
            <v>0.42096711425629652</v>
          </cell>
          <cell r="J58">
            <v>0.53068481860864725</v>
          </cell>
          <cell r="K58">
            <v>0.642769203728351</v>
          </cell>
          <cell r="L58">
            <v>0.74839528535557953</v>
          </cell>
          <cell r="M58">
            <v>0.83918984935345187</v>
          </cell>
          <cell r="N58">
            <v>0.90945051634530116</v>
          </cell>
          <cell r="O58">
            <v>0.9576688767502457</v>
          </cell>
          <cell r="P58">
            <v>0.9865231113648858</v>
          </cell>
          <cell r="Q58">
            <v>1.0012970762896924</v>
          </cell>
          <cell r="R58">
            <v>1.0076356106578106</v>
          </cell>
          <cell r="S58">
            <v>1.0098624683774413</v>
          </cell>
          <cell r="T58">
            <v>1.0104871783970797</v>
          </cell>
          <cell r="U58">
            <v>1.010623336815976</v>
          </cell>
          <cell r="V58">
            <v>1.0106457174525985</v>
          </cell>
          <cell r="W58">
            <v>1.0106484038909742</v>
          </cell>
          <cell r="X58"/>
        </row>
        <row r="59">
          <cell r="A59" t="str">
            <v>HVAC</v>
          </cell>
          <cell r="B59" t="str">
            <v>HP - Retro</v>
          </cell>
          <cell r="C59" t="str">
            <v>Retro12Med</v>
          </cell>
          <cell r="D59">
            <v>0.10937459468255628</v>
          </cell>
          <cell r="E59">
            <v>0.10937459468255628</v>
          </cell>
          <cell r="F59">
            <v>0.10937459468255628</v>
          </cell>
          <cell r="G59">
            <v>0.10937459468255628</v>
          </cell>
          <cell r="H59">
            <v>0.10937459468255628</v>
          </cell>
          <cell r="I59">
            <v>9.8437135214300656E-2</v>
          </cell>
          <cell r="J59">
            <v>7.874970817144053E-2</v>
          </cell>
          <cell r="K59">
            <v>6.2999766537152418E-2</v>
          </cell>
          <cell r="L59">
            <v>5.0399813229721938E-2</v>
          </cell>
          <cell r="M59">
            <v>4.0319850583777551E-2</v>
          </cell>
          <cell r="N59">
            <v>3.225588046702204E-2</v>
          </cell>
          <cell r="O59">
            <v>2.5804704373617631E-2</v>
          </cell>
          <cell r="P59">
            <v>2.0643763498894106E-2</v>
          </cell>
          <cell r="Q59">
            <v>1.6515010799115284E-2</v>
          </cell>
          <cell r="R59">
            <v>1.3212008639292228E-2</v>
          </cell>
          <cell r="S59">
            <v>1.0569606911433781E-2</v>
          </cell>
          <cell r="T59">
            <v>7.2092823794611682E-5</v>
          </cell>
          <cell r="U59">
            <v>2.5747437069512102E-5</v>
          </cell>
          <cell r="V59">
            <v>8.7775353646568632E-6</v>
          </cell>
          <cell r="W59">
            <v>2.8622397928446119E-6</v>
          </cell>
          <cell r="X59"/>
        </row>
        <row r="60">
          <cell r="A60" t="str">
            <v>HVAC</v>
          </cell>
          <cell r="B60" t="str">
            <v>DHP - New</v>
          </cell>
          <cell r="C60" t="str">
            <v>LO5Med</v>
          </cell>
          <cell r="D60">
            <v>4.2999999999999997E-2</v>
          </cell>
          <cell r="E60">
            <v>9.5797142280278316E-2</v>
          </cell>
          <cell r="F60">
            <v>0.16040539374775648</v>
          </cell>
          <cell r="G60">
            <v>0.23540539374775649</v>
          </cell>
          <cell r="H60">
            <v>0.32095239121809005</v>
          </cell>
          <cell r="I60">
            <v>0.42096711425629652</v>
          </cell>
          <cell r="J60">
            <v>0.53068481860864725</v>
          </cell>
          <cell r="K60">
            <v>0.642769203728351</v>
          </cell>
          <cell r="L60">
            <v>0.74839528535557953</v>
          </cell>
          <cell r="M60">
            <v>0.83918984935345187</v>
          </cell>
          <cell r="N60">
            <v>0.90945051634530116</v>
          </cell>
          <cell r="O60">
            <v>0.9576688767502457</v>
          </cell>
          <cell r="P60">
            <v>0.9865231113648858</v>
          </cell>
          <cell r="Q60">
            <v>1.0012970762896924</v>
          </cell>
          <cell r="R60">
            <v>1.0076356106578106</v>
          </cell>
          <cell r="S60">
            <v>1.0098624683774413</v>
          </cell>
          <cell r="T60">
            <v>1.0104871783970797</v>
          </cell>
          <cell r="U60">
            <v>1.010623336815976</v>
          </cell>
          <cell r="V60">
            <v>1.0106457174525985</v>
          </cell>
          <cell r="W60">
            <v>1.0106484038909742</v>
          </cell>
          <cell r="X60"/>
        </row>
        <row r="61">
          <cell r="A61" t="str">
            <v>HVAC</v>
          </cell>
          <cell r="B61" t="str">
            <v>DHP - NR</v>
          </cell>
          <cell r="C61" t="str">
            <v>LO5Med</v>
          </cell>
          <cell r="D61">
            <v>4.2999999999999997E-2</v>
          </cell>
          <cell r="E61">
            <v>9.5797142280278316E-2</v>
          </cell>
          <cell r="F61">
            <v>0.16040539374775648</v>
          </cell>
          <cell r="G61">
            <v>0.23540539374775649</v>
          </cell>
          <cell r="H61">
            <v>0.32095239121809005</v>
          </cell>
          <cell r="I61">
            <v>0.42096711425629652</v>
          </cell>
          <cell r="J61">
            <v>0.53068481860864725</v>
          </cell>
          <cell r="K61">
            <v>0.642769203728351</v>
          </cell>
          <cell r="L61">
            <v>0.74839528535557953</v>
          </cell>
          <cell r="M61">
            <v>0.83918984935345187</v>
          </cell>
          <cell r="N61">
            <v>0.90945051634530116</v>
          </cell>
          <cell r="O61">
            <v>0.9576688767502457</v>
          </cell>
          <cell r="P61">
            <v>0.9865231113648858</v>
          </cell>
          <cell r="Q61">
            <v>1.0012970762896924</v>
          </cell>
          <cell r="R61">
            <v>1.0076356106578106</v>
          </cell>
          <cell r="S61">
            <v>1.0098624683774413</v>
          </cell>
          <cell r="T61">
            <v>1.0104871783970797</v>
          </cell>
          <cell r="U61">
            <v>1.010623336815976</v>
          </cell>
          <cell r="V61">
            <v>1.0106457174525985</v>
          </cell>
          <cell r="W61">
            <v>1.0106484038909742</v>
          </cell>
          <cell r="X61"/>
        </row>
        <row r="62">
          <cell r="A62" t="str">
            <v>HVAC</v>
          </cell>
          <cell r="B62" t="str">
            <v>DHP - Retro</v>
          </cell>
          <cell r="C62" t="str">
            <v>Retro5Med</v>
          </cell>
          <cell r="D62">
            <v>4.2999999999999997E-2</v>
          </cell>
          <cell r="E62">
            <v>5.279714228027832E-2</v>
          </cell>
          <cell r="F62">
            <v>6.4608251467478173E-2</v>
          </cell>
          <cell r="G62">
            <v>7.4999999999999997E-2</v>
          </cell>
          <cell r="H62">
            <v>8.5546997470333563E-2</v>
          </cell>
          <cell r="I62">
            <v>0.10001472303820647</v>
          </cell>
          <cell r="J62">
            <v>0.10971770435235073</v>
          </cell>
          <cell r="K62">
            <v>0.11208438511970376</v>
          </cell>
          <cell r="L62">
            <v>0.10562608162722853</v>
          </cell>
          <cell r="M62">
            <v>9.0794563997872335E-2</v>
          </cell>
          <cell r="N62">
            <v>7.0260666991849297E-2</v>
          </cell>
          <cell r="O62">
            <v>4.8218360404944538E-2</v>
          </cell>
          <cell r="P62">
            <v>2.8854234614640095E-2</v>
          </cell>
          <cell r="Q62">
            <v>1.4773964924806759E-2</v>
          </cell>
          <cell r="R62">
            <v>6.3385343681182649E-3</v>
          </cell>
          <cell r="S62">
            <v>2.2268577196306039E-3</v>
          </cell>
          <cell r="T62">
            <v>6.2471001963848583E-4</v>
          </cell>
          <cell r="U62">
            <v>1.3615841889635938E-4</v>
          </cell>
          <cell r="V62">
            <v>2.2380636622298944E-5</v>
          </cell>
          <cell r="W62">
            <v>2.68643837586513E-6</v>
          </cell>
          <cell r="X62"/>
        </row>
        <row r="63">
          <cell r="A63" t="str">
            <v>HVAC</v>
          </cell>
          <cell r="B63" t="str">
            <v>Duct Sealing - New</v>
          </cell>
          <cell r="C63" t="str">
            <v>LO12Med</v>
          </cell>
          <cell r="D63">
            <v>0.10937459468255628</v>
          </cell>
          <cell r="E63">
            <v>0.21874918936511256</v>
          </cell>
          <cell r="F63">
            <v>0.32812378404766884</v>
          </cell>
          <cell r="G63">
            <v>0.43749837873022512</v>
          </cell>
          <cell r="H63">
            <v>0.5468729734127814</v>
          </cell>
          <cell r="I63">
            <v>0.64531010862708205</v>
          </cell>
          <cell r="J63">
            <v>0.7240598167985226</v>
          </cell>
          <cell r="K63">
            <v>0.78705958333567505</v>
          </cell>
          <cell r="L63">
            <v>0.83745939656539703</v>
          </cell>
          <cell r="M63">
            <v>0.87777924714917455</v>
          </cell>
          <cell r="N63">
            <v>0.91003512761619654</v>
          </cell>
          <cell r="O63">
            <v>0.93583983198981413</v>
          </cell>
          <cell r="P63">
            <v>0.9564835954887082</v>
          </cell>
          <cell r="Q63">
            <v>0.97299860628782353</v>
          </cell>
          <cell r="R63">
            <v>0.9862106149271157</v>
          </cell>
          <cell r="S63">
            <v>0.99678022183854953</v>
          </cell>
          <cell r="T63">
            <v>0.99685231466234414</v>
          </cell>
          <cell r="U63">
            <v>0.99687806209941365</v>
          </cell>
          <cell r="V63">
            <v>0.99688683963477831</v>
          </cell>
          <cell r="W63">
            <v>0.99688970187457115</v>
          </cell>
          <cell r="X63"/>
        </row>
        <row r="64">
          <cell r="A64" t="str">
            <v>HVAC</v>
          </cell>
          <cell r="B64" t="str">
            <v>Duct Sealing - Retro</v>
          </cell>
          <cell r="C64" t="str">
            <v>Retro12Med</v>
          </cell>
          <cell r="D64">
            <v>0.10937459468255628</v>
          </cell>
          <cell r="E64">
            <v>0.10937459468255628</v>
          </cell>
          <cell r="F64">
            <v>0.10937459468255628</v>
          </cell>
          <cell r="G64">
            <v>0.10937459468255628</v>
          </cell>
          <cell r="H64">
            <v>0.10937459468255628</v>
          </cell>
          <cell r="I64">
            <v>9.8437135214300656E-2</v>
          </cell>
          <cell r="J64">
            <v>7.874970817144053E-2</v>
          </cell>
          <cell r="K64">
            <v>6.2999766537152418E-2</v>
          </cell>
          <cell r="L64">
            <v>5.0399813229721938E-2</v>
          </cell>
          <cell r="M64">
            <v>4.0319850583777551E-2</v>
          </cell>
          <cell r="N64">
            <v>3.225588046702204E-2</v>
          </cell>
          <cell r="O64">
            <v>2.5804704373617631E-2</v>
          </cell>
          <cell r="P64">
            <v>2.0643763498894106E-2</v>
          </cell>
          <cell r="Q64">
            <v>1.6515010799115284E-2</v>
          </cell>
          <cell r="R64">
            <v>1.3212008639292228E-2</v>
          </cell>
          <cell r="S64">
            <v>1.0569606911433781E-2</v>
          </cell>
          <cell r="T64">
            <v>7.2092823794611682E-5</v>
          </cell>
          <cell r="U64">
            <v>2.5747437069512102E-5</v>
          </cell>
          <cell r="V64">
            <v>8.7775353646568632E-6</v>
          </cell>
          <cell r="W64">
            <v>2.8622397928446119E-6</v>
          </cell>
          <cell r="X64"/>
        </row>
        <row r="65">
          <cell r="A65" t="str">
            <v>HVAC</v>
          </cell>
          <cell r="B65" t="str">
            <v>WIFI enabled tstats - New</v>
          </cell>
          <cell r="C65" t="str">
            <v>LO5Med</v>
          </cell>
          <cell r="D65">
            <v>4.2999999999999997E-2</v>
          </cell>
          <cell r="E65">
            <v>9.5797142280278316E-2</v>
          </cell>
          <cell r="F65">
            <v>0.16040539374775648</v>
          </cell>
          <cell r="G65">
            <v>0.23540539374775649</v>
          </cell>
          <cell r="H65">
            <v>0.32095239121809005</v>
          </cell>
          <cell r="I65">
            <v>0.42096711425629652</v>
          </cell>
          <cell r="J65">
            <v>0.53068481860864725</v>
          </cell>
          <cell r="K65">
            <v>0.642769203728351</v>
          </cell>
          <cell r="L65">
            <v>0.74839528535557953</v>
          </cell>
          <cell r="M65">
            <v>0.83918984935345187</v>
          </cell>
          <cell r="N65">
            <v>0.90945051634530116</v>
          </cell>
          <cell r="O65">
            <v>0.9576688767502457</v>
          </cell>
          <cell r="P65">
            <v>0.9865231113648858</v>
          </cell>
          <cell r="Q65">
            <v>1.0012970762896924</v>
          </cell>
          <cell r="R65">
            <v>1.0076356106578106</v>
          </cell>
          <cell r="S65">
            <v>1.0098624683774413</v>
          </cell>
          <cell r="T65">
            <v>1.0104871783970797</v>
          </cell>
          <cell r="U65">
            <v>1.010623336815976</v>
          </cell>
          <cell r="V65">
            <v>1.0106457174525985</v>
          </cell>
          <cell r="W65">
            <v>1.0106484038909742</v>
          </cell>
          <cell r="X65"/>
        </row>
        <row r="66">
          <cell r="A66" t="str">
            <v>HVAC</v>
          </cell>
          <cell r="B66" t="str">
            <v>WIFI enabled tstats - Retro</v>
          </cell>
          <cell r="C66" t="str">
            <v>Retro5Med</v>
          </cell>
          <cell r="D66">
            <v>4.2999999999999997E-2</v>
          </cell>
          <cell r="E66">
            <v>5.279714228027832E-2</v>
          </cell>
          <cell r="F66">
            <v>6.4608251467478173E-2</v>
          </cell>
          <cell r="G66">
            <v>7.4999999999999997E-2</v>
          </cell>
          <cell r="H66">
            <v>8.5546997470333563E-2</v>
          </cell>
          <cell r="I66">
            <v>0.10001472303820647</v>
          </cell>
          <cell r="J66">
            <v>0.10971770435235073</v>
          </cell>
          <cell r="K66">
            <v>0.11208438511970376</v>
          </cell>
          <cell r="L66">
            <v>0.10562608162722853</v>
          </cell>
          <cell r="M66">
            <v>9.0794563997872335E-2</v>
          </cell>
          <cell r="N66">
            <v>7.0260666991849297E-2</v>
          </cell>
          <cell r="O66">
            <v>4.8218360404944538E-2</v>
          </cell>
          <cell r="P66">
            <v>2.8854234614640095E-2</v>
          </cell>
          <cell r="Q66">
            <v>1.4773964924806759E-2</v>
          </cell>
          <cell r="R66">
            <v>6.3385343681182649E-3</v>
          </cell>
          <cell r="S66">
            <v>2.2268577196306039E-3</v>
          </cell>
          <cell r="T66">
            <v>6.2471001963848583E-4</v>
          </cell>
          <cell r="U66">
            <v>1.3615841889635938E-4</v>
          </cell>
          <cell r="V66">
            <v>2.2380636622298944E-5</v>
          </cell>
          <cell r="W66">
            <v>2.68643837586513E-6</v>
          </cell>
          <cell r="X66"/>
        </row>
        <row r="67">
          <cell r="A67" t="str">
            <v>HVAC</v>
          </cell>
          <cell r="B67" t="str">
            <v>Combo DHP/HPWH units - New</v>
          </cell>
          <cell r="C67" t="str">
            <v>LO5Med</v>
          </cell>
          <cell r="D67">
            <v>4.2999999999999997E-2</v>
          </cell>
          <cell r="E67">
            <v>9.5797142280278316E-2</v>
          </cell>
          <cell r="F67">
            <v>0.16040539374775648</v>
          </cell>
          <cell r="G67">
            <v>0.23540539374775649</v>
          </cell>
          <cell r="H67">
            <v>0.32095239121809005</v>
          </cell>
          <cell r="I67">
            <v>0.42096711425629652</v>
          </cell>
          <cell r="J67">
            <v>0.53068481860864725</v>
          </cell>
          <cell r="K67">
            <v>0.642769203728351</v>
          </cell>
          <cell r="L67">
            <v>0.74839528535557953</v>
          </cell>
          <cell r="M67">
            <v>0.83918984935345187</v>
          </cell>
          <cell r="N67">
            <v>0.90945051634530116</v>
          </cell>
          <cell r="O67">
            <v>0.9576688767502457</v>
          </cell>
          <cell r="P67">
            <v>0.9865231113648858</v>
          </cell>
          <cell r="Q67">
            <v>1.0012970762896924</v>
          </cell>
          <cell r="R67">
            <v>1.0076356106578106</v>
          </cell>
          <cell r="S67">
            <v>1.0098624683774413</v>
          </cell>
          <cell r="T67">
            <v>1.0104871783970797</v>
          </cell>
          <cell r="U67">
            <v>1.010623336815976</v>
          </cell>
          <cell r="V67">
            <v>1.0106457174525985</v>
          </cell>
          <cell r="W67">
            <v>1.0106484038909742</v>
          </cell>
          <cell r="X67"/>
        </row>
        <row r="68">
          <cell r="A68" t="str">
            <v>HVAC</v>
          </cell>
          <cell r="B68" t="str">
            <v>Combo DHP/HPWH units - NR</v>
          </cell>
          <cell r="C68" t="str">
            <v>LO5Med</v>
          </cell>
          <cell r="D68">
            <v>4.2999999999999997E-2</v>
          </cell>
          <cell r="E68">
            <v>9.5797142280278316E-2</v>
          </cell>
          <cell r="F68">
            <v>0.16040539374775648</v>
          </cell>
          <cell r="G68">
            <v>0.23540539374775649</v>
          </cell>
          <cell r="H68">
            <v>0.32095239121809005</v>
          </cell>
          <cell r="I68">
            <v>0.42096711425629652</v>
          </cell>
          <cell r="J68">
            <v>0.53068481860864725</v>
          </cell>
          <cell r="K68">
            <v>0.642769203728351</v>
          </cell>
          <cell r="L68">
            <v>0.74839528535557953</v>
          </cell>
          <cell r="M68">
            <v>0.83918984935345187</v>
          </cell>
          <cell r="N68">
            <v>0.90945051634530116</v>
          </cell>
          <cell r="O68">
            <v>0.9576688767502457</v>
          </cell>
          <cell r="P68">
            <v>0.9865231113648858</v>
          </cell>
          <cell r="Q68">
            <v>1.0012970762896924</v>
          </cell>
          <cell r="R68">
            <v>1.0076356106578106</v>
          </cell>
          <cell r="S68">
            <v>1.0098624683774413</v>
          </cell>
          <cell r="T68">
            <v>1.0104871783970797</v>
          </cell>
          <cell r="U68">
            <v>1.010623336815976</v>
          </cell>
          <cell r="V68">
            <v>1.0106457174525985</v>
          </cell>
          <cell r="W68">
            <v>1.0106484038909742</v>
          </cell>
          <cell r="X68"/>
        </row>
        <row r="69">
          <cell r="A69" t="str">
            <v>HVAC</v>
          </cell>
          <cell r="B69" t="str">
            <v>Combo DHP/HPWH units - Retro</v>
          </cell>
          <cell r="C69" t="str">
            <v>Retro5Med</v>
          </cell>
          <cell r="D69">
            <v>4.2999999999999997E-2</v>
          </cell>
          <cell r="E69">
            <v>5.279714228027832E-2</v>
          </cell>
          <cell r="F69">
            <v>6.4608251467478173E-2</v>
          </cell>
          <cell r="G69">
            <v>7.4999999999999997E-2</v>
          </cell>
          <cell r="H69">
            <v>8.5546997470333563E-2</v>
          </cell>
          <cell r="I69">
            <v>0.10001472303820647</v>
          </cell>
          <cell r="J69">
            <v>0.10971770435235073</v>
          </cell>
          <cell r="K69">
            <v>0.11208438511970376</v>
          </cell>
          <cell r="L69">
            <v>0.10562608162722853</v>
          </cell>
          <cell r="M69">
            <v>9.0794563997872335E-2</v>
          </cell>
          <cell r="N69">
            <v>7.0260666991849297E-2</v>
          </cell>
          <cell r="O69">
            <v>4.8218360404944538E-2</v>
          </cell>
          <cell r="P69">
            <v>2.8854234614640095E-2</v>
          </cell>
          <cell r="Q69">
            <v>1.4773964924806759E-2</v>
          </cell>
          <cell r="R69">
            <v>6.3385343681182649E-3</v>
          </cell>
          <cell r="S69">
            <v>2.2268577196306039E-3</v>
          </cell>
          <cell r="T69">
            <v>6.2471001963848583E-4</v>
          </cell>
          <cell r="U69">
            <v>1.3615841889635938E-4</v>
          </cell>
          <cell r="V69">
            <v>2.2380636622298944E-5</v>
          </cell>
          <cell r="W69">
            <v>2.68643837586513E-6</v>
          </cell>
          <cell r="X69"/>
        </row>
        <row r="70">
          <cell r="A70" t="str">
            <v>Water Heating</v>
          </cell>
          <cell r="B70" t="str">
            <v>Aerator - New</v>
          </cell>
          <cell r="C70" t="str">
            <v>LO3Slow</v>
          </cell>
          <cell r="D70">
            <v>5.5320496977002724E-3</v>
          </cell>
          <cell r="E70">
            <v>1.4227918344261844E-2</v>
          </cell>
          <cell r="F70">
            <v>3.1619655637384989E-2</v>
          </cell>
          <cell r="G70">
            <v>6.2055195900350503E-2</v>
          </cell>
          <cell r="H70">
            <v>0.10939936964274129</v>
          </cell>
          <cell r="I70">
            <v>0.17568121288208835</v>
          </cell>
          <cell r="J70">
            <v>0.26003992245943919</v>
          </cell>
          <cell r="K70">
            <v>0.3584584169663485</v>
          </cell>
          <cell r="L70">
            <v>0.46444756489686617</v>
          </cell>
          <cell r="M70">
            <v>0.57043671282738384</v>
          </cell>
          <cell r="N70">
            <v>0.66935991756253377</v>
          </cell>
          <cell r="O70">
            <v>0.75591772170578986</v>
          </cell>
          <cell r="P70">
            <v>0.82720061923553012</v>
          </cell>
          <cell r="Q70">
            <v>0.88264287286977261</v>
          </cell>
          <cell r="R70">
            <v>0.92349505975816193</v>
          </cell>
          <cell r="S70">
            <v>0.95209159058003434</v>
          </cell>
          <cell r="T70">
            <v>0.97115594446128262</v>
          </cell>
          <cell r="U70">
            <v>0.98328780602207699</v>
          </cell>
          <cell r="V70">
            <v>0.99067241740690848</v>
          </cell>
          <cell r="W70">
            <v>0.99498010738139331</v>
          </cell>
          <cell r="X70"/>
        </row>
        <row r="71">
          <cell r="A71" t="str">
            <v>Water Heating</v>
          </cell>
          <cell r="B71" t="str">
            <v>Aerator - Retro</v>
          </cell>
          <cell r="C71" t="str">
            <v>Retro3Slow</v>
          </cell>
          <cell r="D71">
            <v>5.5320496977002724E-3</v>
          </cell>
          <cell r="E71">
            <v>8.6958686465615706E-3</v>
          </cell>
          <cell r="F71">
            <v>1.7391737293123145E-2</v>
          </cell>
          <cell r="G71">
            <v>3.0435540262965514E-2</v>
          </cell>
          <cell r="H71">
            <v>4.7344173742390784E-2</v>
          </cell>
          <cell r="I71">
            <v>6.6281843239347063E-2</v>
          </cell>
          <cell r="J71">
            <v>8.4358709577350838E-2</v>
          </cell>
          <cell r="K71">
            <v>9.8418494506909315E-2</v>
          </cell>
          <cell r="L71">
            <v>0.10598914793051767</v>
          </cell>
          <cell r="M71">
            <v>0.10598914793051767</v>
          </cell>
          <cell r="N71">
            <v>9.8923204735149928E-2</v>
          </cell>
          <cell r="O71">
            <v>8.655780414325609E-2</v>
          </cell>
          <cell r="P71">
            <v>7.1282897529740263E-2</v>
          </cell>
          <cell r="Q71">
            <v>5.5442253634242489E-2</v>
          </cell>
          <cell r="R71">
            <v>4.0852186888389319E-2</v>
          </cell>
          <cell r="S71">
            <v>2.8596530821872412E-2</v>
          </cell>
          <cell r="T71">
            <v>1.9064353881248275E-2</v>
          </cell>
          <cell r="U71">
            <v>1.2131861560794377E-2</v>
          </cell>
          <cell r="V71">
            <v>7.3846113848314854E-3</v>
          </cell>
          <cell r="W71">
            <v>4.3076899744848296E-3</v>
          </cell>
          <cell r="X71"/>
        </row>
        <row r="72">
          <cell r="A72" t="str">
            <v>Water Heating</v>
          </cell>
          <cell r="B72" t="str">
            <v>Behavior - Retro</v>
          </cell>
          <cell r="C72" t="str">
            <v>Retro5Med</v>
          </cell>
          <cell r="D72">
            <v>4.2999999999999997E-2</v>
          </cell>
          <cell r="E72">
            <v>5.279714228027832E-2</v>
          </cell>
          <cell r="F72">
            <v>6.4608251467478173E-2</v>
          </cell>
          <cell r="G72">
            <v>7.4999999999999997E-2</v>
          </cell>
          <cell r="H72">
            <v>8.5546997470333563E-2</v>
          </cell>
          <cell r="I72">
            <v>0.10001472303820647</v>
          </cell>
          <cell r="J72">
            <v>0.10971770435235073</v>
          </cell>
          <cell r="K72">
            <v>0.11208438511970376</v>
          </cell>
          <cell r="L72">
            <v>0.10562608162722853</v>
          </cell>
          <cell r="M72">
            <v>9.0794563997872335E-2</v>
          </cell>
          <cell r="N72">
            <v>7.0260666991849297E-2</v>
          </cell>
          <cell r="O72">
            <v>4.8218360404944538E-2</v>
          </cell>
          <cell r="P72">
            <v>2.8854234614640095E-2</v>
          </cell>
          <cell r="Q72">
            <v>1.4773964924806759E-2</v>
          </cell>
          <cell r="R72">
            <v>6.3385343681182649E-3</v>
          </cell>
          <cell r="S72">
            <v>2.2268577196306039E-3</v>
          </cell>
          <cell r="T72">
            <v>6.2471001963848583E-4</v>
          </cell>
          <cell r="U72">
            <v>1.3615841889635938E-4</v>
          </cell>
          <cell r="V72">
            <v>2.2380636622298944E-5</v>
          </cell>
          <cell r="W72">
            <v>2.68643837586513E-6</v>
          </cell>
          <cell r="X72"/>
        </row>
        <row r="73">
          <cell r="A73" t="str">
            <v>Water Heating</v>
          </cell>
          <cell r="B73" t="str">
            <v>Behavior - New</v>
          </cell>
          <cell r="C73" t="str">
            <v>LO5Med</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cell r="X73"/>
        </row>
        <row r="74">
          <cell r="A74">
            <v>0</v>
          </cell>
          <cell r="B74">
            <v>0</v>
          </cell>
          <cell r="C74" t="str">
            <v>Retro1Slow</v>
          </cell>
          <cell r="D74">
            <v>2.5643970768378654E-3</v>
          </cell>
          <cell r="E74">
            <v>5.1260615529385989E-3</v>
          </cell>
          <cell r="F74">
            <v>9.1015544176433795E-3</v>
          </cell>
          <cell r="G74">
            <v>1.4804925730045659E-2</v>
          </cell>
          <cell r="H74">
            <v>2.2471809420486211E-2</v>
          </cell>
          <cell r="I74">
            <v>3.2184432813882391E-2</v>
          </cell>
          <cell r="J74">
            <v>4.3779667172004086E-2</v>
          </cell>
          <cell r="K74">
            <v>5.675426075474499E-2</v>
          </cell>
          <cell r="L74">
            <v>7.0195239068707532E-2</v>
          </cell>
          <cell r="M74">
            <v>8.2776861842756788E-2</v>
          </cell>
          <cell r="N74">
            <v>9.2870259507494834E-2</v>
          </cell>
          <cell r="O74">
            <v>9.8796470678915727E-2</v>
          </cell>
          <cell r="P74">
            <v>9.9208932889988999E-2</v>
          </cell>
          <cell r="Q74">
            <v>9.3521150494244254E-2</v>
          </cell>
          <cell r="R74">
            <v>8.2226007896862296E-2</v>
          </cell>
          <cell r="S74">
            <v>6.6933566027365665E-2</v>
          </cell>
          <cell r="T74">
            <v>5.0029565143448806E-2</v>
          </cell>
          <cell r="U74">
            <v>3.402486521893211E-2</v>
          </cell>
          <cell r="V74">
            <v>2.0846059340774659E-2</v>
          </cell>
          <cell r="W74">
            <v>0.01</v>
          </cell>
          <cell r="X74"/>
        </row>
        <row r="75">
          <cell r="A75" t="str">
            <v>HVAC</v>
          </cell>
          <cell r="B75" t="str">
            <v>Heat Recovery Ventilation - New</v>
          </cell>
          <cell r="C75" t="str">
            <v>LO1Slow</v>
          </cell>
          <cell r="D75">
            <v>2.5643970768378654E-3</v>
          </cell>
          <cell r="E75">
            <v>7.6904586297764643E-3</v>
          </cell>
          <cell r="F75">
            <v>1.6792013047419844E-2</v>
          </cell>
          <cell r="G75">
            <v>3.15969387774655E-2</v>
          </cell>
          <cell r="H75">
            <v>5.406874819795171E-2</v>
          </cell>
          <cell r="I75">
            <v>8.6253181011834101E-2</v>
          </cell>
          <cell r="J75">
            <v>0.1300328481838382</v>
          </cell>
          <cell r="K75">
            <v>0.18678710893858319</v>
          </cell>
          <cell r="L75">
            <v>0.2569823480072907</v>
          </cell>
          <cell r="M75">
            <v>0.33975920985004748</v>
          </cell>
          <cell r="N75">
            <v>0.43262946935754232</v>
          </cell>
          <cell r="O75">
            <v>0.53142594003645804</v>
          </cell>
          <cell r="P75">
            <v>0.63063487292644704</v>
          </cell>
          <cell r="Q75">
            <v>0.7241560234206913</v>
          </cell>
          <cell r="R75">
            <v>0.80638203131755359</v>
          </cell>
          <cell r="S75">
            <v>0.87331559734491926</v>
          </cell>
          <cell r="T75">
            <v>0.92334516248836807</v>
          </cell>
          <cell r="U75">
            <v>0.95737002770730018</v>
          </cell>
          <cell r="V75">
            <v>0.97821608704807483</v>
          </cell>
          <cell r="W75">
            <v>0.98821608704807484</v>
          </cell>
          <cell r="X75"/>
        </row>
        <row r="76">
          <cell r="A76" t="str">
            <v>HVAC</v>
          </cell>
          <cell r="B76" t="str">
            <v>GSHP - New</v>
          </cell>
          <cell r="C76" t="str">
            <v>LO1Slow</v>
          </cell>
          <cell r="D76">
            <v>2.5643970768378654E-3</v>
          </cell>
          <cell r="E76">
            <v>7.6904586297764643E-3</v>
          </cell>
          <cell r="F76">
            <v>1.6792013047419844E-2</v>
          </cell>
          <cell r="G76">
            <v>3.15969387774655E-2</v>
          </cell>
          <cell r="H76">
            <v>5.406874819795171E-2</v>
          </cell>
          <cell r="I76">
            <v>8.6253181011834101E-2</v>
          </cell>
          <cell r="J76">
            <v>0.1300328481838382</v>
          </cell>
          <cell r="K76">
            <v>0.18678710893858319</v>
          </cell>
          <cell r="L76">
            <v>0.2569823480072907</v>
          </cell>
          <cell r="M76">
            <v>0.33975920985004748</v>
          </cell>
          <cell r="N76">
            <v>0.43262946935754232</v>
          </cell>
          <cell r="O76">
            <v>0.53142594003645804</v>
          </cell>
          <cell r="P76">
            <v>0.63063487292644704</v>
          </cell>
          <cell r="Q76">
            <v>0.7241560234206913</v>
          </cell>
          <cell r="R76">
            <v>0.80638203131755359</v>
          </cell>
          <cell r="S76">
            <v>0.87331559734491926</v>
          </cell>
          <cell r="T76">
            <v>0.92334516248836807</v>
          </cell>
          <cell r="U76">
            <v>0.95737002770730018</v>
          </cell>
          <cell r="V76">
            <v>0.97821608704807483</v>
          </cell>
          <cell r="W76">
            <v>0.98821608704807484</v>
          </cell>
          <cell r="X76"/>
        </row>
        <row r="77">
          <cell r="A77" t="str">
            <v>HVAC</v>
          </cell>
          <cell r="B77" t="str">
            <v>GSHP - NR</v>
          </cell>
          <cell r="C77" t="str">
            <v>LO1Slow</v>
          </cell>
          <cell r="D77">
            <v>2.5643970768378654E-3</v>
          </cell>
          <cell r="E77">
            <v>7.6904586297764643E-3</v>
          </cell>
          <cell r="F77">
            <v>1.6792013047419844E-2</v>
          </cell>
          <cell r="G77">
            <v>3.15969387774655E-2</v>
          </cell>
          <cell r="H77">
            <v>5.406874819795171E-2</v>
          </cell>
          <cell r="I77">
            <v>8.6253181011834101E-2</v>
          </cell>
          <cell r="J77">
            <v>0.1300328481838382</v>
          </cell>
          <cell r="K77">
            <v>0.18678710893858319</v>
          </cell>
          <cell r="L77">
            <v>0.2569823480072907</v>
          </cell>
          <cell r="M77">
            <v>0.33975920985004748</v>
          </cell>
          <cell r="N77">
            <v>0.43262946935754232</v>
          </cell>
          <cell r="O77">
            <v>0.53142594003645804</v>
          </cell>
          <cell r="P77">
            <v>0.63063487292644704</v>
          </cell>
          <cell r="Q77">
            <v>0.7241560234206913</v>
          </cell>
          <cell r="R77">
            <v>0.80638203131755359</v>
          </cell>
          <cell r="S77">
            <v>0.87331559734491926</v>
          </cell>
          <cell r="T77">
            <v>0.92334516248836807</v>
          </cell>
          <cell r="U77">
            <v>0.95737002770730018</v>
          </cell>
          <cell r="V77">
            <v>0.97821608704807483</v>
          </cell>
          <cell r="W77">
            <v>0.98821608704807484</v>
          </cell>
          <cell r="X77"/>
        </row>
        <row r="78">
          <cell r="A78">
            <v>0</v>
          </cell>
          <cell r="B78">
            <v>0</v>
          </cell>
          <cell r="C78" t="str">
            <v>Retro5Med</v>
          </cell>
          <cell r="D78">
            <v>4.2999999999999997E-2</v>
          </cell>
          <cell r="E78">
            <v>5.279714228027832E-2</v>
          </cell>
          <cell r="F78">
            <v>6.4608251467478173E-2</v>
          </cell>
          <cell r="G78">
            <v>7.4999999999999997E-2</v>
          </cell>
          <cell r="H78">
            <v>8.5546997470333563E-2</v>
          </cell>
          <cell r="I78">
            <v>0.10001472303820647</v>
          </cell>
          <cell r="J78">
            <v>0.10971770435235073</v>
          </cell>
          <cell r="K78">
            <v>0.11208438511970376</v>
          </cell>
          <cell r="L78">
            <v>0.10562608162722853</v>
          </cell>
          <cell r="M78">
            <v>9.0794563997872335E-2</v>
          </cell>
          <cell r="N78">
            <v>7.0260666991849297E-2</v>
          </cell>
          <cell r="O78">
            <v>4.8218360404944538E-2</v>
          </cell>
          <cell r="P78">
            <v>2.8854234614640095E-2</v>
          </cell>
          <cell r="Q78">
            <v>1.4773964924806759E-2</v>
          </cell>
          <cell r="R78">
            <v>6.3385343681182649E-3</v>
          </cell>
          <cell r="S78">
            <v>2.2268577196306039E-3</v>
          </cell>
          <cell r="T78">
            <v>6.2471001963848583E-4</v>
          </cell>
          <cell r="U78">
            <v>1.3615841889635938E-4</v>
          </cell>
          <cell r="V78">
            <v>2.2380636622298944E-5</v>
          </cell>
          <cell r="W78">
            <v>2.68643837586513E-6</v>
          </cell>
          <cell r="X78"/>
        </row>
        <row r="79">
          <cell r="A79" t="str">
            <v>HVAC</v>
          </cell>
          <cell r="B79" t="str">
            <v>ECM for HVAC ventilation - New</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cell r="X79"/>
        </row>
        <row r="80">
          <cell r="A80" t="str">
            <v>HVAC</v>
          </cell>
          <cell r="B80" t="str">
            <v>ECM for HVAC ventilation - NR</v>
          </cell>
          <cell r="C80" t="str">
            <v>LO12Med</v>
          </cell>
          <cell r="D80">
            <v>0.10937459468255628</v>
          </cell>
          <cell r="E80">
            <v>0.21874918936511256</v>
          </cell>
          <cell r="F80">
            <v>0.32812378404766884</v>
          </cell>
        </row>
        <row r="81">
          <cell r="A81" t="str">
            <v>HVAC</v>
          </cell>
          <cell r="B81" t="str">
            <v>Whole house/attic fan - New</v>
          </cell>
          <cell r="C81" t="str">
            <v>LO12Med</v>
          </cell>
          <cell r="D81">
            <v>0.10937459468255628</v>
          </cell>
          <cell r="E81">
            <v>0.21874918936511256</v>
          </cell>
          <cell r="F81">
            <v>0.32812378404766884</v>
          </cell>
        </row>
        <row r="82">
          <cell r="A82" t="str">
            <v>HVAC</v>
          </cell>
          <cell r="B82" t="str">
            <v>Whole house/attic fan - Retro</v>
          </cell>
          <cell r="C82" t="str">
            <v>Retro12Med</v>
          </cell>
          <cell r="D82">
            <v>0.10937459468255628</v>
          </cell>
          <cell r="E82">
            <v>0.10937459468255628</v>
          </cell>
          <cell r="F82">
            <v>0.10937459468255628</v>
          </cell>
        </row>
        <row r="83">
          <cell r="A83" t="str">
            <v>Water heating</v>
          </cell>
          <cell r="B83" t="str">
            <v>WH Pipe insulation - Retro</v>
          </cell>
          <cell r="C83" t="str">
            <v>Retro12Med</v>
          </cell>
          <cell r="D83">
            <v>0.10937459468255628</v>
          </cell>
          <cell r="E83">
            <v>0.10937459468255628</v>
          </cell>
          <cell r="F83">
            <v>0.10937459468255628</v>
          </cell>
        </row>
        <row r="84">
          <cell r="A84" t="str">
            <v>HVAC</v>
          </cell>
          <cell r="B84" t="str">
            <v>DHP Ducted - NR</v>
          </cell>
          <cell r="C84" t="str">
            <v>LO12Med</v>
          </cell>
          <cell r="D84">
            <v>0.10937459468255628</v>
          </cell>
          <cell r="E84">
            <v>0.21874918936511256</v>
          </cell>
          <cell r="F84">
            <v>0.32812378404766884</v>
          </cell>
        </row>
        <row r="85">
          <cell r="A85" t="str">
            <v>Electronics</v>
          </cell>
          <cell r="B85" t="str">
            <v>Advanced Power Strips - New</v>
          </cell>
          <cell r="C85" t="str">
            <v>LO5Med</v>
          </cell>
        </row>
        <row r="86">
          <cell r="A86" t="str">
            <v>Electronics</v>
          </cell>
          <cell r="B86" t="str">
            <v>Advanced Power Strips - Retro</v>
          </cell>
          <cell r="C86" t="str">
            <v>Retro5Med</v>
          </cell>
        </row>
        <row r="87">
          <cell r="A87" t="str">
            <v>HVAC</v>
          </cell>
          <cell r="B87" t="str">
            <v>Controls Commissioning and Sizing - New</v>
          </cell>
          <cell r="C87" t="str">
            <v>LO5Med</v>
          </cell>
          <cell r="D87">
            <v>4.2999999999999997E-2</v>
          </cell>
          <cell r="E87">
            <v>9.5797142280278316E-2</v>
          </cell>
          <cell r="F87">
            <v>0.16040539374775648</v>
          </cell>
        </row>
        <row r="88">
          <cell r="A88" t="str">
            <v>HVAC</v>
          </cell>
          <cell r="B88" t="str">
            <v>Controls Commissioning and Sizing - NR</v>
          </cell>
          <cell r="C88" t="str">
            <v>LO5Med</v>
          </cell>
          <cell r="D88">
            <v>4.2999999999999997E-2</v>
          </cell>
          <cell r="E88">
            <v>9.5797142280278316E-2</v>
          </cell>
          <cell r="F88">
            <v>0.16040539374775648</v>
          </cell>
        </row>
        <row r="89">
          <cell r="A89" t="str">
            <v>HVAC</v>
          </cell>
          <cell r="B89" t="str">
            <v>ResWx - Retro</v>
          </cell>
          <cell r="C89" t="str">
            <v>Retro12Med</v>
          </cell>
          <cell r="D89">
            <v>0.10937459468255628</v>
          </cell>
          <cell r="E89">
            <v>0.10937459468255628</v>
          </cell>
          <cell r="F89">
            <v>0.10937459468255628</v>
          </cell>
        </row>
        <row r="90">
          <cell r="D90"/>
          <cell r="E90"/>
          <cell r="F90"/>
        </row>
        <row r="91">
          <cell r="D91"/>
          <cell r="E91"/>
          <cell r="F91"/>
        </row>
        <row r="92">
          <cell r="D92"/>
          <cell r="E92"/>
          <cell r="F92"/>
        </row>
        <row r="93">
          <cell r="D93"/>
          <cell r="E93"/>
          <cell r="F93"/>
        </row>
        <row r="94">
          <cell r="D94"/>
          <cell r="E94"/>
          <cell r="F94"/>
        </row>
        <row r="95">
          <cell r="D95"/>
          <cell r="E95"/>
          <cell r="F95"/>
        </row>
        <row r="96">
          <cell r="D96"/>
          <cell r="E96"/>
          <cell r="F96"/>
        </row>
        <row r="97">
          <cell r="D97"/>
          <cell r="E97"/>
          <cell r="F97"/>
        </row>
        <row r="98">
          <cell r="D98"/>
          <cell r="E98"/>
          <cell r="F98"/>
        </row>
        <row r="99">
          <cell r="D99"/>
          <cell r="E99"/>
          <cell r="F99"/>
        </row>
        <row r="100">
          <cell r="D100"/>
          <cell r="E100"/>
          <cell r="F100"/>
        </row>
      </sheetData>
      <sheetData sheetId="10"/>
      <sheetData sheetId="11">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 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E67"/>
          <cell r="F67">
            <v>1216.4209797598855</v>
          </cell>
        </row>
        <row r="68">
          <cell r="B68" t="str">
            <v>AtticSqft</v>
          </cell>
          <cell r="C68">
            <v>1431.3235818765609</v>
          </cell>
          <cell r="D68">
            <v>407</v>
          </cell>
          <cell r="E68"/>
          <cell r="F68">
            <v>1280</v>
          </cell>
        </row>
        <row r="69">
          <cell r="B69" t="str">
            <v>FloorSqft</v>
          </cell>
          <cell r="C69">
            <v>1431.3235818765609</v>
          </cell>
          <cell r="D69">
            <v>390</v>
          </cell>
          <cell r="E69"/>
          <cell r="F69">
            <v>1280</v>
          </cell>
        </row>
        <row r="70">
          <cell r="B70" t="str">
            <v>WindowSqft</v>
          </cell>
          <cell r="C70">
            <v>178.91544773457011</v>
          </cell>
          <cell r="D70">
            <v>174</v>
          </cell>
          <cell r="E70"/>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73">
          <cell r="B73"/>
          <cell r="C73"/>
          <cell r="D73"/>
          <cell r="E73"/>
          <cell r="F73"/>
        </row>
        <row r="74">
          <cell r="B74"/>
          <cell r="C74"/>
          <cell r="D74"/>
          <cell r="E74"/>
          <cell r="F74"/>
        </row>
        <row r="75">
          <cell r="B75"/>
          <cell r="C75"/>
          <cell r="D75"/>
          <cell r="E75"/>
          <cell r="F75"/>
        </row>
        <row r="76">
          <cell r="B76"/>
          <cell r="C76"/>
          <cell r="D76"/>
          <cell r="E76"/>
          <cell r="F76"/>
        </row>
        <row r="77">
          <cell r="B77"/>
          <cell r="C77"/>
          <cell r="D77"/>
          <cell r="E77"/>
          <cell r="F77"/>
        </row>
        <row r="78">
          <cell r="B78"/>
          <cell r="C78"/>
          <cell r="D78"/>
          <cell r="E78"/>
          <cell r="F78"/>
        </row>
        <row r="79">
          <cell r="B79"/>
          <cell r="C79"/>
          <cell r="D79"/>
          <cell r="E79"/>
          <cell r="F79"/>
        </row>
        <row r="80">
          <cell r="B80"/>
          <cell r="C80"/>
          <cell r="D80"/>
          <cell r="E80"/>
          <cell r="F80"/>
        </row>
        <row r="81">
          <cell r="B81"/>
          <cell r="C81"/>
          <cell r="D81"/>
          <cell r="E81"/>
          <cell r="F81"/>
        </row>
        <row r="82">
          <cell r="B82"/>
          <cell r="C82"/>
          <cell r="D82"/>
          <cell r="E82"/>
          <cell r="F82"/>
        </row>
        <row r="83">
          <cell r="B83"/>
          <cell r="C83"/>
          <cell r="D83"/>
          <cell r="E83"/>
          <cell r="F83"/>
        </row>
        <row r="84">
          <cell r="C84"/>
          <cell r="F84"/>
        </row>
        <row r="87">
          <cell r="B87" t="str">
            <v>Vars</v>
          </cell>
          <cell r="C87" t="str">
            <v>Single Family</v>
          </cell>
          <cell r="D87" t="str">
            <v>Multifamily - Low Rise</v>
          </cell>
          <cell r="E87" t="str">
            <v>Multifamily - High Rise</v>
          </cell>
          <cell r="F87" t="str">
            <v>Manufactured</v>
          </cell>
        </row>
        <row r="88">
          <cell r="B88" t="str">
            <v>Electric FAF - HZ1CZ1</v>
          </cell>
          <cell r="C88">
            <v>1.8379055706406227E-2</v>
          </cell>
          <cell r="D88">
            <v>2.9671514740017984E-2</v>
          </cell>
          <cell r="E88">
            <v>2.9671514740017984E-2</v>
          </cell>
          <cell r="F88">
            <v>0.68310644913823848</v>
          </cell>
        </row>
        <row r="89">
          <cell r="B89" t="str">
            <v>Electric FAF - HZ1CZ23</v>
          </cell>
          <cell r="C89">
            <v>2.412923495568365E-2</v>
          </cell>
          <cell r="D89">
            <v>0</v>
          </cell>
          <cell r="E89">
            <v>0</v>
          </cell>
          <cell r="F89">
            <v>0.53068387215316171</v>
          </cell>
        </row>
        <row r="90">
          <cell r="B90" t="str">
            <v>Electric FAF - HZ23CZ1</v>
          </cell>
          <cell r="C90">
            <v>1.4117647058823532E-2</v>
          </cell>
          <cell r="D90">
            <v>0</v>
          </cell>
          <cell r="E90">
            <v>0</v>
          </cell>
          <cell r="F90">
            <v>0.29641575914254098</v>
          </cell>
        </row>
        <row r="91">
          <cell r="B91" t="str">
            <v>Electric FAF - HZ23CZ23</v>
          </cell>
          <cell r="C91">
            <v>0.14117647058823535</v>
          </cell>
          <cell r="D91">
            <v>0</v>
          </cell>
          <cell r="E91">
            <v>0</v>
          </cell>
          <cell r="F91">
            <v>0.49242118699820225</v>
          </cell>
        </row>
        <row r="92">
          <cell r="B92" t="str">
            <v>Electric FAF - HZ1</v>
          </cell>
          <cell r="C92">
            <v>2.0048426314096562E-2</v>
          </cell>
          <cell r="D92">
            <v>2.279607208754721E-2</v>
          </cell>
          <cell r="E92">
            <v>2.279607208754721E-2</v>
          </cell>
          <cell r="F92">
            <v>0.6103855317692306</v>
          </cell>
        </row>
        <row r="93">
          <cell r="B93" t="str">
            <v>Electric FAF - HZ23</v>
          </cell>
          <cell r="C93">
            <v>8.8458324594873558E-2</v>
          </cell>
          <cell r="D93">
            <v>0</v>
          </cell>
          <cell r="E93">
            <v>0</v>
          </cell>
          <cell r="F93">
            <v>0.42117367880782697</v>
          </cell>
        </row>
        <row r="94">
          <cell r="B94" t="str">
            <v>Electric FAF - Region</v>
          </cell>
          <cell r="C94">
            <v>2.1766292465668989E-2</v>
          </cell>
          <cell r="D94">
            <v>1.96145349060163E-2</v>
          </cell>
          <cell r="E94">
            <v>1.96145349060163E-2</v>
          </cell>
          <cell r="F94">
            <v>0.54052539788177201</v>
          </cell>
        </row>
        <row r="95">
          <cell r="B95" t="str">
            <v>Electric FAF w/ CAC - HZ1CZ1</v>
          </cell>
          <cell r="C95">
            <v>0.13310430527104683</v>
          </cell>
          <cell r="D95">
            <v>0</v>
          </cell>
          <cell r="E95">
            <v>0</v>
          </cell>
          <cell r="F95">
            <v>0.15868069027846163</v>
          </cell>
        </row>
        <row r="96">
          <cell r="B96" t="str">
            <v>Electric FAF w/ CAC - HZ1CZ23</v>
          </cell>
          <cell r="C96">
            <v>0.12117534162825606</v>
          </cell>
          <cell r="D96">
            <v>0</v>
          </cell>
          <cell r="E96">
            <v>0</v>
          </cell>
          <cell r="F96">
            <v>4.8523578535561704E-2</v>
          </cell>
        </row>
        <row r="97">
          <cell r="B97" t="str">
            <v>Electric FAF w/ CAC - HZ23CZ1</v>
          </cell>
          <cell r="C97">
            <v>1.9503476240466618E-2</v>
          </cell>
          <cell r="D97">
            <v>0</v>
          </cell>
          <cell r="E97">
            <v>0</v>
          </cell>
          <cell r="F97">
            <v>8.6847892074621388E-2</v>
          </cell>
        </row>
        <row r="98">
          <cell r="B98" t="str">
            <v>Electric FAF w/ CAC - HZ23CZ23</v>
          </cell>
          <cell r="C98">
            <v>3.0407952417464763E-2</v>
          </cell>
          <cell r="D98">
            <v>0</v>
          </cell>
          <cell r="E98">
            <v>0</v>
          </cell>
          <cell r="F98">
            <v>6.4577174474630405E-2</v>
          </cell>
        </row>
        <row r="99">
          <cell r="B99" t="str">
            <v>Heat Pump - HZ1CZ1</v>
          </cell>
          <cell r="C99">
            <v>7.4095770994953139E-2</v>
          </cell>
          <cell r="D99">
            <v>1.0945836048995988E-3</v>
          </cell>
          <cell r="E99">
            <v>1.0945836048995988E-3</v>
          </cell>
          <cell r="F99">
            <v>0.11042200533666623</v>
          </cell>
        </row>
        <row r="100">
          <cell r="B100" t="str">
            <v>Heat Pump - HZ1CZ23</v>
          </cell>
          <cell r="C100">
            <v>0.1235678638282882</v>
          </cell>
          <cell r="D100">
            <v>4.9999998343195358E-2</v>
          </cell>
          <cell r="E100">
            <v>4.9999998343195358E-2</v>
          </cell>
          <cell r="F100">
            <v>0.3014354043468136</v>
          </cell>
        </row>
        <row r="101">
          <cell r="B101" t="str">
            <v>Heat Pump - HZ23CZ1</v>
          </cell>
          <cell r="C101">
            <v>0.11294117647058827</v>
          </cell>
          <cell r="D101">
            <v>0</v>
          </cell>
          <cell r="E101">
            <v>0</v>
          </cell>
          <cell r="F101">
            <v>1.6598912836278519E-2</v>
          </cell>
        </row>
        <row r="102">
          <cell r="B102" t="str">
            <v>Heat Pump - HZ23CZ23</v>
          </cell>
          <cell r="C102">
            <v>0</v>
          </cell>
          <cell r="D102">
            <v>0</v>
          </cell>
          <cell r="E102">
            <v>0</v>
          </cell>
          <cell r="F102">
            <v>7.8940309013942875E-2</v>
          </cell>
        </row>
        <row r="103">
          <cell r="B103" t="str">
            <v>Heat Pump - HZ1</v>
          </cell>
          <cell r="C103">
            <v>8.8458324594873558E-2</v>
          </cell>
          <cell r="D103">
            <v>1.2426879154171162E-2</v>
          </cell>
          <cell r="E103">
            <v>1.2426879154171162E-2</v>
          </cell>
          <cell r="F103">
            <v>0.20155463070325005</v>
          </cell>
        </row>
        <row r="104">
          <cell r="B104" t="str">
            <v>Heat Pump - HZ23</v>
          </cell>
          <cell r="C104">
            <v>9.6333066453162572E-2</v>
          </cell>
          <cell r="D104">
            <v>0</v>
          </cell>
          <cell r="E104">
            <v>0</v>
          </cell>
          <cell r="F104">
            <v>5.6279359348618191E-2</v>
          </cell>
        </row>
        <row r="105">
          <cell r="B105" t="str">
            <v>Heat Pump - Region</v>
          </cell>
          <cell r="C105">
            <v>8.9373362312324317E-2</v>
          </cell>
          <cell r="D105">
            <v>1.0692519922126772E-2</v>
          </cell>
          <cell r="E105">
            <v>1.0692519922126772E-2</v>
          </cell>
          <cell r="F105">
            <v>0.14791660671834839</v>
          </cell>
        </row>
        <row r="106">
          <cell r="B106" t="str">
            <v>Electric Zonal - HZ1CZ1</v>
          </cell>
          <cell r="C106">
            <v>6.1965327738795109E-2</v>
          </cell>
          <cell r="D106">
            <v>0.85383980263040493</v>
          </cell>
          <cell r="E106">
            <v>0.85383980263040493</v>
          </cell>
          <cell r="F106">
            <v>3.0024948086295324E-2</v>
          </cell>
        </row>
        <row r="107">
          <cell r="B107" t="str">
            <v>Electric Zonal - HZ1CZ23</v>
          </cell>
          <cell r="C107">
            <v>6.7430556561826104E-3</v>
          </cell>
          <cell r="D107">
            <v>0.73333333554240632</v>
          </cell>
          <cell r="E107">
            <v>0.73333333554240632</v>
          </cell>
          <cell r="F107">
            <v>2.9788775817665265E-2</v>
          </cell>
        </row>
        <row r="108">
          <cell r="B108" t="str">
            <v>Electric Zonal - HZ23CZ1</v>
          </cell>
          <cell r="C108">
            <v>1.4117647058823532E-2</v>
          </cell>
          <cell r="D108">
            <v>0.59999998409467525</v>
          </cell>
          <cell r="E108">
            <v>0.59999998409467525</v>
          </cell>
          <cell r="F108">
            <v>3.3197825672557038E-2</v>
          </cell>
        </row>
        <row r="109">
          <cell r="B109" t="str">
            <v>Electric Zonal - HZ23CZ23</v>
          </cell>
          <cell r="C109">
            <v>0</v>
          </cell>
          <cell r="D109">
            <v>0.77777778759587934</v>
          </cell>
          <cell r="E109">
            <v>0.77777778759587934</v>
          </cell>
          <cell r="F109">
            <v>3.9084849826646118E-2</v>
          </cell>
        </row>
        <row r="110">
          <cell r="B110" t="str">
            <v>Electric Zonal - HZ1</v>
          </cell>
          <cell r="C110">
            <v>2.0048426314096562E-2</v>
          </cell>
          <cell r="D110">
            <v>0.82591620954879041</v>
          </cell>
          <cell r="E110">
            <v>0.82591620954879041</v>
          </cell>
          <cell r="F110">
            <v>2.9912270132860779E-2</v>
          </cell>
        </row>
        <row r="111">
          <cell r="B111" t="str">
            <v>Electric Zonal - HZ23</v>
          </cell>
          <cell r="C111">
            <v>1.204163330664532E-2</v>
          </cell>
          <cell r="D111">
            <v>0.71428571563820797</v>
          </cell>
          <cell r="E111">
            <v>0.71428571563820797</v>
          </cell>
          <cell r="F111">
            <v>3.6944930507961368E-2</v>
          </cell>
        </row>
        <row r="112">
          <cell r="B112" t="str">
            <v>Electric Zonal - Region</v>
          </cell>
          <cell r="C112">
            <v>4.1178226016708668E-2</v>
          </cell>
          <cell r="D112">
            <v>0.81033648311148054</v>
          </cell>
          <cell r="E112">
            <v>0.81033648311148054</v>
          </cell>
          <cell r="F112">
            <v>3.2508844225339915E-2</v>
          </cell>
        </row>
        <row r="113">
          <cell r="B113" t="str">
            <v>DHP - HZ1CZ1</v>
          </cell>
          <cell r="C113">
            <v>0</v>
          </cell>
          <cell r="D113">
            <v>2.3692380398754449E-2</v>
          </cell>
          <cell r="E113">
            <v>2.3692380398754449E-2</v>
          </cell>
          <cell r="F113">
            <v>1.2931050080460879E-2</v>
          </cell>
        </row>
        <row r="114">
          <cell r="B114" t="str">
            <v>DHP - HZ1CZ23</v>
          </cell>
          <cell r="C114">
            <v>0</v>
          </cell>
          <cell r="D114">
            <v>0</v>
          </cell>
          <cell r="E114">
            <v>0</v>
          </cell>
          <cell r="F114">
            <v>0</v>
          </cell>
        </row>
        <row r="115">
          <cell r="B115" t="str">
            <v>DHP - HZ23CZ1</v>
          </cell>
          <cell r="C115">
            <v>0</v>
          </cell>
          <cell r="D115">
            <v>0</v>
          </cell>
          <cell r="E115">
            <v>0</v>
          </cell>
          <cell r="F115">
            <v>2.3801185576297144E-2</v>
          </cell>
        </row>
        <row r="116">
          <cell r="B116" t="str">
            <v>DHP - HZ23CZ23</v>
          </cell>
          <cell r="C116">
            <v>0</v>
          </cell>
          <cell r="D116">
            <v>0</v>
          </cell>
          <cell r="E116">
            <v>0</v>
          </cell>
          <cell r="F116">
            <v>9.4794076514498494E-3</v>
          </cell>
        </row>
        <row r="117">
          <cell r="B117" t="str">
            <v>DHP - HZ1</v>
          </cell>
          <cell r="C117">
            <v>0</v>
          </cell>
          <cell r="D117">
            <v>1.8202414545664333E-2</v>
          </cell>
          <cell r="E117">
            <v>1.8202414545664333E-2</v>
          </cell>
          <cell r="F117">
            <v>6.761637103748332E-3</v>
          </cell>
        </row>
        <row r="118">
          <cell r="B118" t="str">
            <v>DHP - HZ23</v>
          </cell>
          <cell r="C118">
            <v>0</v>
          </cell>
          <cell r="D118">
            <v>0</v>
          </cell>
          <cell r="E118">
            <v>0</v>
          </cell>
          <cell r="F118">
            <v>1.4685339962430082E-2</v>
          </cell>
        </row>
        <row r="119">
          <cell r="B119" t="str">
            <v>DHP - Region</v>
          </cell>
          <cell r="C119">
            <v>0</v>
          </cell>
          <cell r="D119">
            <v>1.5661991860200661E-2</v>
          </cell>
          <cell r="E119">
            <v>1.5661991860200661E-2</v>
          </cell>
          <cell r="F119">
            <v>9.6871987634867523E-3</v>
          </cell>
        </row>
        <row r="120">
          <cell r="B120" t="str">
            <v>Central AC - CZ1</v>
          </cell>
          <cell r="C120">
            <v>0.99177648564154341</v>
          </cell>
          <cell r="D120">
            <v>1.2325175673207357E-2</v>
          </cell>
          <cell r="E120">
            <v>1.2325175673207357E-2</v>
          </cell>
          <cell r="F120">
            <v>0.14076353391268348</v>
          </cell>
        </row>
        <row r="121">
          <cell r="B121" t="str">
            <v>Central AC - CZ23</v>
          </cell>
          <cell r="C121">
            <v>0.97720135258324703</v>
          </cell>
          <cell r="D121">
            <v>6.8965519290222155E-2</v>
          </cell>
          <cell r="E121">
            <v>6.8965519290222155E-2</v>
          </cell>
          <cell r="F121">
            <v>0.17641272113455647</v>
          </cell>
        </row>
        <row r="122">
          <cell r="B122" t="str">
            <v>Room A/C - CZ1</v>
          </cell>
          <cell r="C122">
            <v>8.2235143584565747E-3</v>
          </cell>
          <cell r="D122">
            <v>5.3226756579866766E-2</v>
          </cell>
          <cell r="E122">
            <v>5.3226756579866766E-2</v>
          </cell>
          <cell r="F122">
            <v>0.21069287259219041</v>
          </cell>
        </row>
        <row r="123">
          <cell r="B123" t="str">
            <v>Room A/C - CZ23</v>
          </cell>
          <cell r="C123">
            <v>2.2798647416753057E-2</v>
          </cell>
          <cell r="D123">
            <v>0.10344827665008544</v>
          </cell>
          <cell r="E123">
            <v>0.10344827665008544</v>
          </cell>
          <cell r="F123">
            <v>0.16156829862253547</v>
          </cell>
        </row>
        <row r="124">
          <cell r="B124" t="str">
            <v>Electric WH</v>
          </cell>
          <cell r="C124">
            <v>0.55200000000000005</v>
          </cell>
          <cell r="D124">
            <v>0.94699999999999995</v>
          </cell>
          <cell r="E124">
            <v>0.94699999999999995</v>
          </cell>
          <cell r="F124">
            <v>0.88900000000000001</v>
          </cell>
        </row>
        <row r="125">
          <cell r="B125" t="str">
            <v xml:space="preserve">DHW &lt;55 </v>
          </cell>
          <cell r="C125">
            <v>0.58017916240221834</v>
          </cell>
          <cell r="D125"/>
          <cell r="E125"/>
          <cell r="F125"/>
        </row>
        <row r="126">
          <cell r="B126" t="str">
            <v>DHW &gt;55</v>
          </cell>
          <cell r="C126">
            <v>0.4198208375977816</v>
          </cell>
          <cell r="D126"/>
          <cell r="E126"/>
          <cell r="F126"/>
        </row>
        <row r="127">
          <cell r="B127" t="str">
            <v>Refrigerator</v>
          </cell>
          <cell r="C127">
            <v>1.2831400506742725</v>
          </cell>
          <cell r="D127">
            <v>1.0236201688615751</v>
          </cell>
          <cell r="E127">
            <v>1.0236201688615751</v>
          </cell>
          <cell r="F127">
            <v>1.1963734390534748</v>
          </cell>
        </row>
        <row r="128">
          <cell r="B128" t="str">
            <v>Freezer</v>
          </cell>
          <cell r="C128">
            <v>0.52766223341265472</v>
          </cell>
          <cell r="D128">
            <v>4.7085148422193572E-2</v>
          </cell>
          <cell r="E128">
            <v>4.7085148422193572E-2</v>
          </cell>
          <cell r="F128">
            <v>0.44147575101117187</v>
          </cell>
        </row>
        <row r="129">
          <cell r="B129" t="str">
            <v>Clothes Washer</v>
          </cell>
          <cell r="C129">
            <v>0.98546930096285335</v>
          </cell>
          <cell r="D129">
            <v>0.46477658924872384</v>
          </cell>
          <cell r="E129">
            <v>0.46477658924872384</v>
          </cell>
          <cell r="F129">
            <v>0.95368270905809616</v>
          </cell>
        </row>
        <row r="130">
          <cell r="B130" t="str">
            <v>Clothes Dryer</v>
          </cell>
          <cell r="C130">
            <v>0.93640551858187504</v>
          </cell>
          <cell r="D130">
            <v>0.46266057162974022</v>
          </cell>
          <cell r="E130">
            <v>0.46266057162974022</v>
          </cell>
          <cell r="F130">
            <v>0.88480083438048951</v>
          </cell>
        </row>
        <row r="131">
          <cell r="B131" t="str">
            <v>Dishwasher</v>
          </cell>
          <cell r="C131">
            <v>0.87764489634961651</v>
          </cell>
          <cell r="D131">
            <v>0.78113749066870952</v>
          </cell>
          <cell r="E131">
            <v>0.78113749066870952</v>
          </cell>
          <cell r="F131">
            <v>0.76196535734220561</v>
          </cell>
        </row>
        <row r="132">
          <cell r="B132" t="str">
            <v>Microwave</v>
          </cell>
          <cell r="C132">
            <v>0.95</v>
          </cell>
          <cell r="D132">
            <v>0.95</v>
          </cell>
          <cell r="E132">
            <v>0.95</v>
          </cell>
          <cell r="F132">
            <v>0.95</v>
          </cell>
        </row>
        <row r="133">
          <cell r="B133" t="str">
            <v>Electric Oven</v>
          </cell>
          <cell r="C133">
            <v>0.86895503473004965</v>
          </cell>
          <cell r="D133">
            <v>0.96585088459989477</v>
          </cell>
          <cell r="E133">
            <v>0.96585088459989477</v>
          </cell>
          <cell r="F133">
            <v>0.89920410170315002</v>
          </cell>
        </row>
        <row r="134">
          <cell r="B134" t="str">
            <v>TV</v>
          </cell>
          <cell r="C134">
            <v>2.6054137843968896</v>
          </cell>
          <cell r="D134">
            <v>1.5145007606068333</v>
          </cell>
          <cell r="E134">
            <v>1.5145007606068333</v>
          </cell>
          <cell r="F134">
            <v>2.0454162110233622</v>
          </cell>
        </row>
        <row r="135">
          <cell r="B135" t="str">
            <v>Set top box</v>
          </cell>
          <cell r="C135">
            <v>1.0654190989347723</v>
          </cell>
          <cell r="D135">
            <v>1.038434724492763</v>
          </cell>
          <cell r="E135">
            <v>1.038434724492763</v>
          </cell>
          <cell r="F135">
            <v>1.3170555258448295</v>
          </cell>
        </row>
        <row r="136">
          <cell r="B136" t="str">
            <v>Computer</v>
          </cell>
          <cell r="C136">
            <v>1.6074234662188889</v>
          </cell>
          <cell r="D136">
            <v>0.71239882016544165</v>
          </cell>
          <cell r="E136">
            <v>0.71239882016544165</v>
          </cell>
          <cell r="F136">
            <v>1.1331497454290105</v>
          </cell>
        </row>
        <row r="137">
          <cell r="B137" t="str">
            <v>Monitor</v>
          </cell>
          <cell r="C137">
            <v>1.0109839382712824</v>
          </cell>
          <cell r="D137">
            <v>0.45062457275939666</v>
          </cell>
          <cell r="E137">
            <v>0.45062457275939666</v>
          </cell>
          <cell r="F137">
            <v>0.72198913200149617</v>
          </cell>
        </row>
        <row r="138">
          <cell r="B138" t="str">
            <v>EISA nx</v>
          </cell>
          <cell r="C138">
            <v>0.73183262488926393</v>
          </cell>
          <cell r="D138">
            <v>0.41826483853544827</v>
          </cell>
          <cell r="E138">
            <v>0.41826483853544827</v>
          </cell>
          <cell r="F138">
            <v>0.81140182193357802</v>
          </cell>
        </row>
        <row r="139">
          <cell r="B139" t="str">
            <v>EISA x</v>
          </cell>
          <cell r="C139">
            <v>0.26816737511073607</v>
          </cell>
          <cell r="D139">
            <v>0.58148897029728519</v>
          </cell>
          <cell r="E139">
            <v>0.58148897029728519</v>
          </cell>
          <cell r="F139">
            <v>0.18859817806642193</v>
          </cell>
        </row>
        <row r="140">
          <cell r="B140" t="str">
            <v>WallSqft</v>
          </cell>
          <cell r="C140">
            <v>583.40896061568401</v>
          </cell>
          <cell r="D140"/>
          <cell r="E140"/>
          <cell r="F140"/>
        </row>
        <row r="141">
          <cell r="B141" t="str">
            <v>AtticSqft</v>
          </cell>
          <cell r="C141">
            <v>1177.7370772549227</v>
          </cell>
          <cell r="D141"/>
          <cell r="E141"/>
          <cell r="F141"/>
        </row>
        <row r="142">
          <cell r="B142" t="str">
            <v>FloorSqft</v>
          </cell>
          <cell r="C142">
            <v>1177.7370772549227</v>
          </cell>
          <cell r="D142"/>
          <cell r="E142"/>
          <cell r="F142"/>
        </row>
        <row r="143">
          <cell r="B143" t="str">
            <v>WindowSqft</v>
          </cell>
          <cell r="C143">
            <v>147.21713465686534</v>
          </cell>
          <cell r="D143"/>
          <cell r="E143"/>
          <cell r="F143"/>
        </row>
        <row r="144">
          <cell r="B144" t="str">
            <v>HomeSqft</v>
          </cell>
          <cell r="C144">
            <v>2355.4741545098454</v>
          </cell>
          <cell r="D144"/>
          <cell r="E144"/>
          <cell r="F144"/>
        </row>
        <row r="145">
          <cell r="B145" t="str">
            <v>Lighting</v>
          </cell>
          <cell r="C145">
            <v>77</v>
          </cell>
          <cell r="D145">
            <v>23</v>
          </cell>
          <cell r="E145">
            <v>23</v>
          </cell>
          <cell r="F145">
            <v>34.5</v>
          </cell>
        </row>
        <row r="146">
          <cell r="B146"/>
          <cell r="C146"/>
          <cell r="D146"/>
          <cell r="E146"/>
          <cell r="F146"/>
        </row>
        <row r="147">
          <cell r="B147"/>
          <cell r="C147"/>
          <cell r="D147"/>
          <cell r="E147"/>
          <cell r="F147"/>
        </row>
        <row r="148">
          <cell r="B148"/>
          <cell r="C148"/>
          <cell r="D148"/>
          <cell r="E148"/>
          <cell r="F148"/>
        </row>
        <row r="149">
          <cell r="B149"/>
          <cell r="C149"/>
          <cell r="D149"/>
          <cell r="E149"/>
          <cell r="F149"/>
        </row>
        <row r="150">
          <cell r="B150"/>
          <cell r="C150"/>
          <cell r="D150"/>
          <cell r="E150"/>
          <cell r="F150"/>
        </row>
      </sheetData>
      <sheetData sheetId="12"/>
      <sheetData sheetId="13"/>
      <sheetData sheetId="14"/>
      <sheetData sheetId="15"/>
      <sheetData sheetId="16"/>
      <sheetData sheetId="17"/>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7PSourceSummary"/>
      <sheetName val="forRPM"/>
      <sheetName val="SC-Retro"/>
      <sheetName val="Measure InputOutput_Out"/>
      <sheetName val="Measure InputOutput"/>
      <sheetName val="SavingsData&amp;Analysis"/>
      <sheetName val="CostData&amp;Analysis"/>
      <sheetName val="MDataMeas_Out"/>
      <sheetName val="MDataMeas"/>
      <sheetName val="Savings and Cost"/>
      <sheetName val="Data"/>
      <sheetName val="Accomplishments"/>
      <sheetName val="To Do 7P"/>
      <sheetName val="ProCost 6th Plan Inputs"/>
      <sheetName val="Levelized Cost Note"/>
      <sheetName val="Problems"/>
      <sheetName val="LookupTable"/>
      <sheetName val="MeasureTable"/>
      <sheetName val="Summary"/>
      <sheetName val="ValidationLists"/>
    </sheetNames>
    <sheetDataSet>
      <sheetData sheetId="0"/>
      <sheetData sheetId="1"/>
      <sheetData sheetId="2"/>
      <sheetData sheetId="3"/>
      <sheetData sheetId="4"/>
      <sheetData sheetId="5"/>
      <sheetData sheetId="6"/>
      <sheetData sheetId="7"/>
      <sheetData sheetId="8"/>
      <sheetData sheetId="9">
        <row r="21">
          <cell r="F21">
            <v>3.6841444395749776</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sheetName val="MeasureTable"/>
      <sheetName val="SummaryRUL"/>
      <sheetName val="Checklist"/>
      <sheetName val="Measure_InputOutput"/>
      <sheetName val="ProData"/>
      <sheetName val="LookupTable"/>
      <sheetName val="ValidationLists"/>
      <sheetName val="Presentation"/>
      <sheetName val="Presentation 2"/>
      <sheetName val="UES Breakdown"/>
      <sheetName val="Eff. Standards &amp; Certifications"/>
      <sheetName val="Assumptions"/>
      <sheetName val="DOE EERE Data"/>
      <sheetName val="CEC Data - Extracted 2_3_2015"/>
      <sheetName val="SavingsData&amp;Analysis"/>
      <sheetName val="CostData&amp;Analysis"/>
      <sheetName val="Northwest Retail Cost Data"/>
      <sheetName val="Baselines and Measures"/>
      <sheetName val="Measure Development"/>
      <sheetName val="DOE Res Data"/>
      <sheetName val="Energy Star Top 10%"/>
      <sheetName val="ProCost 6th Plan Inputs"/>
      <sheetName val="Levelized Cost Note"/>
      <sheetName val="Problems"/>
      <sheetName val="ResClothesWashersSF_v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E8">
            <v>1.26</v>
          </cell>
          <cell r="F8">
            <v>0.83977999999999997</v>
          </cell>
        </row>
        <row r="9">
          <cell r="E9">
            <v>1.4</v>
          </cell>
          <cell r="F9">
            <v>0.97809999999999997</v>
          </cell>
        </row>
        <row r="10">
          <cell r="E10">
            <v>1.72</v>
          </cell>
          <cell r="F10">
            <v>1.29426</v>
          </cell>
        </row>
        <row r="11">
          <cell r="E11">
            <v>1.8</v>
          </cell>
          <cell r="F11">
            <v>1.33538</v>
          </cell>
        </row>
        <row r="12">
          <cell r="E12">
            <v>1.8</v>
          </cell>
          <cell r="F12">
            <v>1.34362</v>
          </cell>
        </row>
        <row r="13">
          <cell r="E13">
            <v>1.8</v>
          </cell>
          <cell r="F13">
            <v>1.3733</v>
          </cell>
        </row>
        <row r="14">
          <cell r="E14">
            <v>2</v>
          </cell>
          <cell r="F14">
            <v>1.5709</v>
          </cell>
        </row>
        <row r="15">
          <cell r="E15">
            <v>2.2599999999999998</v>
          </cell>
          <cell r="F15">
            <v>1.8277799999999997</v>
          </cell>
        </row>
        <row r="16">
          <cell r="E16">
            <v>2.4700000000000002</v>
          </cell>
          <cell r="F16">
            <v>2.0352600000000001</v>
          </cell>
        </row>
        <row r="25">
          <cell r="E25">
            <v>1.72</v>
          </cell>
          <cell r="F25">
            <v>1.3742999999999999</v>
          </cell>
        </row>
        <row r="26">
          <cell r="E26">
            <v>1.72</v>
          </cell>
          <cell r="F26">
            <v>1.3891880000000001</v>
          </cell>
        </row>
        <row r="27">
          <cell r="E27">
            <v>1.72</v>
          </cell>
          <cell r="F27">
            <v>1.4132880000000001</v>
          </cell>
        </row>
        <row r="28">
          <cell r="E28">
            <v>1.8</v>
          </cell>
          <cell r="F28">
            <v>1.48512</v>
          </cell>
        </row>
        <row r="29">
          <cell r="E29">
            <v>2</v>
          </cell>
          <cell r="F29">
            <v>1.6647000000000001</v>
          </cell>
        </row>
        <row r="30">
          <cell r="E30">
            <v>2.2000000000000002</v>
          </cell>
          <cell r="F30">
            <v>1.8442800000000001</v>
          </cell>
        </row>
        <row r="31">
          <cell r="E31">
            <v>2.4</v>
          </cell>
          <cell r="F31">
            <v>2.02386</v>
          </cell>
        </row>
        <row r="32">
          <cell r="E32">
            <v>2.6</v>
          </cell>
          <cell r="F32">
            <v>2.2034400000000001</v>
          </cell>
        </row>
        <row r="33">
          <cell r="E33">
            <v>2.89</v>
          </cell>
          <cell r="F33">
            <v>2.4638310000000003</v>
          </cell>
        </row>
        <row r="47">
          <cell r="Q47">
            <v>9.5</v>
          </cell>
          <cell r="R47">
            <v>9.9214000000000002</v>
          </cell>
        </row>
        <row r="48">
          <cell r="Q48">
            <v>9.5</v>
          </cell>
          <cell r="R48">
            <v>9.9214000000000002</v>
          </cell>
        </row>
        <row r="49">
          <cell r="Q49">
            <v>8</v>
          </cell>
          <cell r="R49">
            <v>8.4403000000000006</v>
          </cell>
        </row>
        <row r="50">
          <cell r="Q50">
            <v>7.5</v>
          </cell>
          <cell r="R50">
            <v>7.9466000000000001</v>
          </cell>
        </row>
        <row r="51">
          <cell r="Q51">
            <v>7.5</v>
          </cell>
          <cell r="R51">
            <v>7.9466000000000001</v>
          </cell>
        </row>
        <row r="52">
          <cell r="Q52">
            <v>7.5</v>
          </cell>
          <cell r="R52">
            <v>7.9466000000000001</v>
          </cell>
        </row>
        <row r="53">
          <cell r="Q53">
            <v>6</v>
          </cell>
          <cell r="R53">
            <v>6.4655000000000005</v>
          </cell>
        </row>
        <row r="54">
          <cell r="Q54">
            <v>4.5</v>
          </cell>
          <cell r="R54">
            <v>4.964652000000001</v>
          </cell>
        </row>
        <row r="55">
          <cell r="Q55">
            <v>3.6</v>
          </cell>
          <cell r="R55">
            <v>4.0957400000000002</v>
          </cell>
        </row>
        <row r="61">
          <cell r="Q61">
            <v>8</v>
          </cell>
          <cell r="R61">
            <v>8.3108000000000004</v>
          </cell>
        </row>
        <row r="62">
          <cell r="Q62">
            <v>8</v>
          </cell>
          <cell r="R62">
            <v>8.3108000000000004</v>
          </cell>
        </row>
        <row r="63">
          <cell r="Q63">
            <v>8</v>
          </cell>
          <cell r="R63">
            <v>8.3108000000000004</v>
          </cell>
        </row>
        <row r="64">
          <cell r="Q64">
            <v>7.5</v>
          </cell>
          <cell r="R64">
            <v>7.7987000000000002</v>
          </cell>
        </row>
        <row r="65">
          <cell r="Q65">
            <v>6</v>
          </cell>
          <cell r="R65">
            <v>6.2624000000000004</v>
          </cell>
        </row>
        <row r="66">
          <cell r="Q66">
            <v>4.5</v>
          </cell>
          <cell r="R66">
            <v>4.7261000000000006</v>
          </cell>
        </row>
        <row r="67">
          <cell r="Q67">
            <v>4.2</v>
          </cell>
          <cell r="R67">
            <v>4.4188400000000003</v>
          </cell>
        </row>
        <row r="68">
          <cell r="Q68">
            <v>3.8</v>
          </cell>
          <cell r="R68">
            <v>4.0091599999999996</v>
          </cell>
        </row>
        <row r="69">
          <cell r="Q69">
            <v>3.2</v>
          </cell>
          <cell r="R69">
            <v>3.3946400000000003</v>
          </cell>
        </row>
      </sheetData>
      <sheetData sheetId="14"/>
      <sheetData sheetId="15"/>
      <sheetData sheetId="16"/>
      <sheetData sheetId="17"/>
      <sheetData sheetId="18"/>
      <sheetData sheetId="19"/>
      <sheetData sheetId="20">
        <row r="10">
          <cell r="G10" t="str">
            <v>Dryer</v>
          </cell>
        </row>
        <row r="11">
          <cell r="L11">
            <v>0.63439054638225478</v>
          </cell>
          <cell r="M11">
            <v>2.6402381121111187</v>
          </cell>
        </row>
        <row r="12">
          <cell r="L12">
            <v>0.59895737053513565</v>
          </cell>
          <cell r="M12">
            <v>2.7154224074633948</v>
          </cell>
        </row>
        <row r="13">
          <cell r="L13">
            <v>0.54531939705437726</v>
          </cell>
          <cell r="M13">
            <v>1.8885036496350358</v>
          </cell>
        </row>
        <row r="14">
          <cell r="L14">
            <v>0.38071429958068009</v>
          </cell>
          <cell r="M14">
            <v>1.4163777372262769</v>
          </cell>
        </row>
        <row r="15">
          <cell r="L15">
            <v>0.38071429958068009</v>
          </cell>
          <cell r="M15">
            <v>1.4163777372262769</v>
          </cell>
        </row>
        <row r="16">
          <cell r="L16">
            <v>0.38071429958068009</v>
          </cell>
          <cell r="M16">
            <v>1.4163777372262769</v>
          </cell>
        </row>
        <row r="17">
          <cell r="L17">
            <v>0.35813074392042649</v>
          </cell>
          <cell r="M17">
            <v>1.350329034454067</v>
          </cell>
        </row>
        <row r="18">
          <cell r="L18">
            <v>0.34908703826587029</v>
          </cell>
          <cell r="M18">
            <v>1.3448435080734347</v>
          </cell>
        </row>
        <row r="19">
          <cell r="L19">
            <v>0.30285680648524999</v>
          </cell>
          <cell r="M19">
            <v>1.2096866695818893</v>
          </cell>
        </row>
        <row r="20">
          <cell r="L20">
            <v>0.52122700729926985</v>
          </cell>
          <cell r="M20">
            <v>1.6492931873479313</v>
          </cell>
        </row>
        <row r="21">
          <cell r="L21">
            <v>0.52122700729926985</v>
          </cell>
          <cell r="M21">
            <v>1.6492931873479313</v>
          </cell>
        </row>
        <row r="22">
          <cell r="L22">
            <v>0.52122700729926985</v>
          </cell>
          <cell r="M22">
            <v>1.6492931873479313</v>
          </cell>
        </row>
        <row r="23">
          <cell r="L23">
            <v>0.52122700729926985</v>
          </cell>
          <cell r="M23">
            <v>1.6492931873479313</v>
          </cell>
        </row>
        <row r="24">
          <cell r="L24">
            <v>0.47613182924131808</v>
          </cell>
          <cell r="M24">
            <v>1.6252576863525763</v>
          </cell>
        </row>
        <row r="25">
          <cell r="L25">
            <v>0.42754393475608438</v>
          </cell>
          <cell r="M25">
            <v>1.484219877132521</v>
          </cell>
        </row>
        <row r="26">
          <cell r="L26">
            <v>0.40602828467153268</v>
          </cell>
          <cell r="M26">
            <v>1.4793278588807779</v>
          </cell>
        </row>
        <row r="27">
          <cell r="L27">
            <v>0.35699129042709288</v>
          </cell>
          <cell r="M27">
            <v>1.351044386422976</v>
          </cell>
        </row>
        <row r="28">
          <cell r="L28">
            <v>0.34767836421486042</v>
          </cell>
          <cell r="M28">
            <v>1.3364795058955636</v>
          </cell>
        </row>
      </sheetData>
      <sheetData sheetId="2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8" Type="http://schemas.openxmlformats.org/officeDocument/2006/relationships/hyperlink" Target="http://www1.eere.energy.gov/buildings/appliance_standards/product.aspx/productid/39" TargetMode="External"/><Relationship Id="rId3" Type="http://schemas.openxmlformats.org/officeDocument/2006/relationships/hyperlink" Target="http://www.energystar.gov/index.cfm?c=clotheswash.pr_crit_clothes_washers" TargetMode="External"/><Relationship Id="rId7" Type="http://schemas.openxmlformats.org/officeDocument/2006/relationships/hyperlink" Target="http://www.energystar.gov/products/certified-products/detail/7604/partners" TargetMode="External"/><Relationship Id="rId12" Type="http://schemas.openxmlformats.org/officeDocument/2006/relationships/comments" Target="../comments7.xml"/><Relationship Id="rId2" Type="http://schemas.openxmlformats.org/officeDocument/2006/relationships/hyperlink" Target="http://www.cee1.org/resid/seha/rwsh/reswash_specs.pdf" TargetMode="External"/><Relationship Id="rId1" Type="http://schemas.openxmlformats.org/officeDocument/2006/relationships/hyperlink" Target="http://frwebgate.access.gpo.gov/cgi-bin/getdoc.cgi?dbname=110_cong_bills&amp;docid=f:h6enr.txt.pdf" TargetMode="External"/><Relationship Id="rId6" Type="http://schemas.openxmlformats.org/officeDocument/2006/relationships/hyperlink" Target="http://www1.eere.energy.gov/buildings/appliance_standards/product.aspx/productid/39" TargetMode="External"/><Relationship Id="rId11" Type="http://schemas.openxmlformats.org/officeDocument/2006/relationships/vmlDrawing" Target="../drawings/vmlDrawing7.vml"/><Relationship Id="rId5" Type="http://schemas.openxmlformats.org/officeDocument/2006/relationships/hyperlink" Target="http://www.cee1.org/resid/seha/rwsh/reswash_specs.pdf" TargetMode="External"/><Relationship Id="rId10" Type="http://schemas.openxmlformats.org/officeDocument/2006/relationships/drawing" Target="../drawings/drawing3.xml"/><Relationship Id="rId4" Type="http://schemas.openxmlformats.org/officeDocument/2006/relationships/hyperlink" Target="http://www.cee1.org/resid/seha/rwsh/reswash_specs.pdf" TargetMode="External"/><Relationship Id="rId9"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sears.com/" TargetMode="External"/><Relationship Id="rId13" Type="http://schemas.openxmlformats.org/officeDocument/2006/relationships/hyperlink" Target="http://www.sears.com/" TargetMode="External"/><Relationship Id="rId18" Type="http://schemas.openxmlformats.org/officeDocument/2006/relationships/hyperlink" Target="http://www.sears.com/" TargetMode="External"/><Relationship Id="rId26" Type="http://schemas.openxmlformats.org/officeDocument/2006/relationships/hyperlink" Target="http://www.sears.com/" TargetMode="External"/><Relationship Id="rId3" Type="http://schemas.openxmlformats.org/officeDocument/2006/relationships/hyperlink" Target="http://www.sears.com/" TargetMode="External"/><Relationship Id="rId21" Type="http://schemas.openxmlformats.org/officeDocument/2006/relationships/hyperlink" Target="http://www.sears.com/" TargetMode="External"/><Relationship Id="rId7" Type="http://schemas.openxmlformats.org/officeDocument/2006/relationships/hyperlink" Target="http://www.sears.com/" TargetMode="External"/><Relationship Id="rId12" Type="http://schemas.openxmlformats.org/officeDocument/2006/relationships/hyperlink" Target="http://www.sears.com/" TargetMode="External"/><Relationship Id="rId17" Type="http://schemas.openxmlformats.org/officeDocument/2006/relationships/hyperlink" Target="http://www.sears.com/" TargetMode="External"/><Relationship Id="rId25" Type="http://schemas.openxmlformats.org/officeDocument/2006/relationships/hyperlink" Target="http://www.sears.com/" TargetMode="External"/><Relationship Id="rId33" Type="http://schemas.openxmlformats.org/officeDocument/2006/relationships/drawing" Target="../drawings/drawing4.xml"/><Relationship Id="rId2" Type="http://schemas.openxmlformats.org/officeDocument/2006/relationships/hyperlink" Target="http://www.sears.com/" TargetMode="External"/><Relationship Id="rId16" Type="http://schemas.openxmlformats.org/officeDocument/2006/relationships/hyperlink" Target="http://www.sears.com/" TargetMode="External"/><Relationship Id="rId20" Type="http://schemas.openxmlformats.org/officeDocument/2006/relationships/hyperlink" Target="http://www.sears.com/" TargetMode="External"/><Relationship Id="rId29" Type="http://schemas.openxmlformats.org/officeDocument/2006/relationships/hyperlink" Target="http://www.sears.com/" TargetMode="External"/><Relationship Id="rId1" Type="http://schemas.openxmlformats.org/officeDocument/2006/relationships/hyperlink" Target="http://www.sears.com/" TargetMode="External"/><Relationship Id="rId6" Type="http://schemas.openxmlformats.org/officeDocument/2006/relationships/hyperlink" Target="http://www.sears.com/" TargetMode="External"/><Relationship Id="rId11" Type="http://schemas.openxmlformats.org/officeDocument/2006/relationships/hyperlink" Target="http://www.sears.com/" TargetMode="External"/><Relationship Id="rId24" Type="http://schemas.openxmlformats.org/officeDocument/2006/relationships/hyperlink" Target="http://www.sears.com/" TargetMode="External"/><Relationship Id="rId32" Type="http://schemas.openxmlformats.org/officeDocument/2006/relationships/printerSettings" Target="../printerSettings/printerSettings7.bin"/><Relationship Id="rId5" Type="http://schemas.openxmlformats.org/officeDocument/2006/relationships/hyperlink" Target="http://www.sears.com/" TargetMode="External"/><Relationship Id="rId15" Type="http://schemas.openxmlformats.org/officeDocument/2006/relationships/hyperlink" Target="http://www.sears.com/" TargetMode="External"/><Relationship Id="rId23" Type="http://schemas.openxmlformats.org/officeDocument/2006/relationships/hyperlink" Target="http://www.sears.com/" TargetMode="External"/><Relationship Id="rId28" Type="http://schemas.openxmlformats.org/officeDocument/2006/relationships/hyperlink" Target="http://www.sears.com/" TargetMode="External"/><Relationship Id="rId10" Type="http://schemas.openxmlformats.org/officeDocument/2006/relationships/hyperlink" Target="http://www.sears.com/" TargetMode="External"/><Relationship Id="rId19" Type="http://schemas.openxmlformats.org/officeDocument/2006/relationships/hyperlink" Target="http://www.sears.com/" TargetMode="External"/><Relationship Id="rId31" Type="http://schemas.openxmlformats.org/officeDocument/2006/relationships/hyperlink" Target="http://www.sears.com/" TargetMode="External"/><Relationship Id="rId4" Type="http://schemas.openxmlformats.org/officeDocument/2006/relationships/hyperlink" Target="http://www.sears.com/" TargetMode="External"/><Relationship Id="rId9" Type="http://schemas.openxmlformats.org/officeDocument/2006/relationships/hyperlink" Target="http://www.sears.com/" TargetMode="External"/><Relationship Id="rId14" Type="http://schemas.openxmlformats.org/officeDocument/2006/relationships/hyperlink" Target="http://www.sears.com/" TargetMode="External"/><Relationship Id="rId22" Type="http://schemas.openxmlformats.org/officeDocument/2006/relationships/hyperlink" Target="http://www.sears.com/" TargetMode="External"/><Relationship Id="rId27" Type="http://schemas.openxmlformats.org/officeDocument/2006/relationships/hyperlink" Target="http://www.sears.com/" TargetMode="External"/><Relationship Id="rId30" Type="http://schemas.openxmlformats.org/officeDocument/2006/relationships/hyperlink" Target="http://www.sears.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http://www1.eere.energy.gov/buildings/appliance_standards/standards_test_procedures.htm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1.eere.energy.gov/buildings/appliance_standards/standards_test_procedures.htm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C1:F13"/>
  <sheetViews>
    <sheetView workbookViewId="0">
      <selection activeCell="D5" sqref="D5"/>
    </sheetView>
  </sheetViews>
  <sheetFormatPr defaultRowHeight="12.75"/>
  <cols>
    <col min="1" max="1" width="9.140625" style="198"/>
    <col min="2" max="2" width="26.7109375" style="198" customWidth="1"/>
    <col min="3" max="3" width="37.85546875" style="198" customWidth="1"/>
    <col min="4" max="4" width="58.42578125" style="198" customWidth="1"/>
    <col min="5" max="5" width="31" style="198" customWidth="1"/>
    <col min="6" max="6" width="18.28515625" style="198" customWidth="1"/>
    <col min="7" max="257" width="9.140625" style="198"/>
    <col min="258" max="258" width="26.7109375" style="198" customWidth="1"/>
    <col min="259" max="259" width="73.7109375" style="198" customWidth="1"/>
    <col min="260" max="260" width="58.42578125" style="198" customWidth="1"/>
    <col min="261" max="261" width="28.85546875" style="198" customWidth="1"/>
    <col min="262" max="513" width="9.140625" style="198"/>
    <col min="514" max="514" width="26.7109375" style="198" customWidth="1"/>
    <col min="515" max="515" width="73.7109375" style="198" customWidth="1"/>
    <col min="516" max="516" width="58.42578125" style="198" customWidth="1"/>
    <col min="517" max="517" width="28.85546875" style="198" customWidth="1"/>
    <col min="518" max="769" width="9.140625" style="198"/>
    <col min="770" max="770" width="26.7109375" style="198" customWidth="1"/>
    <col min="771" max="771" width="73.7109375" style="198" customWidth="1"/>
    <col min="772" max="772" width="58.42578125" style="198" customWidth="1"/>
    <col min="773" max="773" width="28.85546875" style="198" customWidth="1"/>
    <col min="774" max="1025" width="9.140625" style="198"/>
    <col min="1026" max="1026" width="26.7109375" style="198" customWidth="1"/>
    <col min="1027" max="1027" width="73.7109375" style="198" customWidth="1"/>
    <col min="1028" max="1028" width="58.42578125" style="198" customWidth="1"/>
    <col min="1029" max="1029" width="28.85546875" style="198" customWidth="1"/>
    <col min="1030" max="1281" width="9.140625" style="198"/>
    <col min="1282" max="1282" width="26.7109375" style="198" customWidth="1"/>
    <col min="1283" max="1283" width="73.7109375" style="198" customWidth="1"/>
    <col min="1284" max="1284" width="58.42578125" style="198" customWidth="1"/>
    <col min="1285" max="1285" width="28.85546875" style="198" customWidth="1"/>
    <col min="1286" max="1537" width="9.140625" style="198"/>
    <col min="1538" max="1538" width="26.7109375" style="198" customWidth="1"/>
    <col min="1539" max="1539" width="73.7109375" style="198" customWidth="1"/>
    <col min="1540" max="1540" width="58.42578125" style="198" customWidth="1"/>
    <col min="1541" max="1541" width="28.85546875" style="198" customWidth="1"/>
    <col min="1542" max="1793" width="9.140625" style="198"/>
    <col min="1794" max="1794" width="26.7109375" style="198" customWidth="1"/>
    <col min="1795" max="1795" width="73.7109375" style="198" customWidth="1"/>
    <col min="1796" max="1796" width="58.42578125" style="198" customWidth="1"/>
    <col min="1797" max="1797" width="28.85546875" style="198" customWidth="1"/>
    <col min="1798" max="2049" width="9.140625" style="198"/>
    <col min="2050" max="2050" width="26.7109375" style="198" customWidth="1"/>
    <col min="2051" max="2051" width="73.7109375" style="198" customWidth="1"/>
    <col min="2052" max="2052" width="58.42578125" style="198" customWidth="1"/>
    <col min="2053" max="2053" width="28.85546875" style="198" customWidth="1"/>
    <col min="2054" max="2305" width="9.140625" style="198"/>
    <col min="2306" max="2306" width="26.7109375" style="198" customWidth="1"/>
    <col min="2307" max="2307" width="73.7109375" style="198" customWidth="1"/>
    <col min="2308" max="2308" width="58.42578125" style="198" customWidth="1"/>
    <col min="2309" max="2309" width="28.85546875" style="198" customWidth="1"/>
    <col min="2310" max="2561" width="9.140625" style="198"/>
    <col min="2562" max="2562" width="26.7109375" style="198" customWidth="1"/>
    <col min="2563" max="2563" width="73.7109375" style="198" customWidth="1"/>
    <col min="2564" max="2564" width="58.42578125" style="198" customWidth="1"/>
    <col min="2565" max="2565" width="28.85546875" style="198" customWidth="1"/>
    <col min="2566" max="2817" width="9.140625" style="198"/>
    <col min="2818" max="2818" width="26.7109375" style="198" customWidth="1"/>
    <col min="2819" max="2819" width="73.7109375" style="198" customWidth="1"/>
    <col min="2820" max="2820" width="58.42578125" style="198" customWidth="1"/>
    <col min="2821" max="2821" width="28.85546875" style="198" customWidth="1"/>
    <col min="2822" max="3073" width="9.140625" style="198"/>
    <col min="3074" max="3074" width="26.7109375" style="198" customWidth="1"/>
    <col min="3075" max="3075" width="73.7109375" style="198" customWidth="1"/>
    <col min="3076" max="3076" width="58.42578125" style="198" customWidth="1"/>
    <col min="3077" max="3077" width="28.85546875" style="198" customWidth="1"/>
    <col min="3078" max="3329" width="9.140625" style="198"/>
    <col min="3330" max="3330" width="26.7109375" style="198" customWidth="1"/>
    <col min="3331" max="3331" width="73.7109375" style="198" customWidth="1"/>
    <col min="3332" max="3332" width="58.42578125" style="198" customWidth="1"/>
    <col min="3333" max="3333" width="28.85546875" style="198" customWidth="1"/>
    <col min="3334" max="3585" width="9.140625" style="198"/>
    <col min="3586" max="3586" width="26.7109375" style="198" customWidth="1"/>
    <col min="3587" max="3587" width="73.7109375" style="198" customWidth="1"/>
    <col min="3588" max="3588" width="58.42578125" style="198" customWidth="1"/>
    <col min="3589" max="3589" width="28.85546875" style="198" customWidth="1"/>
    <col min="3590" max="3841" width="9.140625" style="198"/>
    <col min="3842" max="3842" width="26.7109375" style="198" customWidth="1"/>
    <col min="3843" max="3843" width="73.7109375" style="198" customWidth="1"/>
    <col min="3844" max="3844" width="58.42578125" style="198" customWidth="1"/>
    <col min="3845" max="3845" width="28.85546875" style="198" customWidth="1"/>
    <col min="3846" max="4097" width="9.140625" style="198"/>
    <col min="4098" max="4098" width="26.7109375" style="198" customWidth="1"/>
    <col min="4099" max="4099" width="73.7109375" style="198" customWidth="1"/>
    <col min="4100" max="4100" width="58.42578125" style="198" customWidth="1"/>
    <col min="4101" max="4101" width="28.85546875" style="198" customWidth="1"/>
    <col min="4102" max="4353" width="9.140625" style="198"/>
    <col min="4354" max="4354" width="26.7109375" style="198" customWidth="1"/>
    <col min="4355" max="4355" width="73.7109375" style="198" customWidth="1"/>
    <col min="4356" max="4356" width="58.42578125" style="198" customWidth="1"/>
    <col min="4357" max="4357" width="28.85546875" style="198" customWidth="1"/>
    <col min="4358" max="4609" width="9.140625" style="198"/>
    <col min="4610" max="4610" width="26.7109375" style="198" customWidth="1"/>
    <col min="4611" max="4611" width="73.7109375" style="198" customWidth="1"/>
    <col min="4612" max="4612" width="58.42578125" style="198" customWidth="1"/>
    <col min="4613" max="4613" width="28.85546875" style="198" customWidth="1"/>
    <col min="4614" max="4865" width="9.140625" style="198"/>
    <col min="4866" max="4866" width="26.7109375" style="198" customWidth="1"/>
    <col min="4867" max="4867" width="73.7109375" style="198" customWidth="1"/>
    <col min="4868" max="4868" width="58.42578125" style="198" customWidth="1"/>
    <col min="4869" max="4869" width="28.85546875" style="198" customWidth="1"/>
    <col min="4870" max="5121" width="9.140625" style="198"/>
    <col min="5122" max="5122" width="26.7109375" style="198" customWidth="1"/>
    <col min="5123" max="5123" width="73.7109375" style="198" customWidth="1"/>
    <col min="5124" max="5124" width="58.42578125" style="198" customWidth="1"/>
    <col min="5125" max="5125" width="28.85546875" style="198" customWidth="1"/>
    <col min="5126" max="5377" width="9.140625" style="198"/>
    <col min="5378" max="5378" width="26.7109375" style="198" customWidth="1"/>
    <col min="5379" max="5379" width="73.7109375" style="198" customWidth="1"/>
    <col min="5380" max="5380" width="58.42578125" style="198" customWidth="1"/>
    <col min="5381" max="5381" width="28.85546875" style="198" customWidth="1"/>
    <col min="5382" max="5633" width="9.140625" style="198"/>
    <col min="5634" max="5634" width="26.7109375" style="198" customWidth="1"/>
    <col min="5635" max="5635" width="73.7109375" style="198" customWidth="1"/>
    <col min="5636" max="5636" width="58.42578125" style="198" customWidth="1"/>
    <col min="5637" max="5637" width="28.85546875" style="198" customWidth="1"/>
    <col min="5638" max="5889" width="9.140625" style="198"/>
    <col min="5890" max="5890" width="26.7109375" style="198" customWidth="1"/>
    <col min="5891" max="5891" width="73.7109375" style="198" customWidth="1"/>
    <col min="5892" max="5892" width="58.42578125" style="198" customWidth="1"/>
    <col min="5893" max="5893" width="28.85546875" style="198" customWidth="1"/>
    <col min="5894" max="6145" width="9.140625" style="198"/>
    <col min="6146" max="6146" width="26.7109375" style="198" customWidth="1"/>
    <col min="6147" max="6147" width="73.7109375" style="198" customWidth="1"/>
    <col min="6148" max="6148" width="58.42578125" style="198" customWidth="1"/>
    <col min="6149" max="6149" width="28.85546875" style="198" customWidth="1"/>
    <col min="6150" max="6401" width="9.140625" style="198"/>
    <col min="6402" max="6402" width="26.7109375" style="198" customWidth="1"/>
    <col min="6403" max="6403" width="73.7109375" style="198" customWidth="1"/>
    <col min="6404" max="6404" width="58.42578125" style="198" customWidth="1"/>
    <col min="6405" max="6405" width="28.85546875" style="198" customWidth="1"/>
    <col min="6406" max="6657" width="9.140625" style="198"/>
    <col min="6658" max="6658" width="26.7109375" style="198" customWidth="1"/>
    <col min="6659" max="6659" width="73.7109375" style="198" customWidth="1"/>
    <col min="6660" max="6660" width="58.42578125" style="198" customWidth="1"/>
    <col min="6661" max="6661" width="28.85546875" style="198" customWidth="1"/>
    <col min="6662" max="6913" width="9.140625" style="198"/>
    <col min="6914" max="6914" width="26.7109375" style="198" customWidth="1"/>
    <col min="6915" max="6915" width="73.7109375" style="198" customWidth="1"/>
    <col min="6916" max="6916" width="58.42578125" style="198" customWidth="1"/>
    <col min="6917" max="6917" width="28.85546875" style="198" customWidth="1"/>
    <col min="6918" max="7169" width="9.140625" style="198"/>
    <col min="7170" max="7170" width="26.7109375" style="198" customWidth="1"/>
    <col min="7171" max="7171" width="73.7109375" style="198" customWidth="1"/>
    <col min="7172" max="7172" width="58.42578125" style="198" customWidth="1"/>
    <col min="7173" max="7173" width="28.85546875" style="198" customWidth="1"/>
    <col min="7174" max="7425" width="9.140625" style="198"/>
    <col min="7426" max="7426" width="26.7109375" style="198" customWidth="1"/>
    <col min="7427" max="7427" width="73.7109375" style="198" customWidth="1"/>
    <col min="7428" max="7428" width="58.42578125" style="198" customWidth="1"/>
    <col min="7429" max="7429" width="28.85546875" style="198" customWidth="1"/>
    <col min="7430" max="7681" width="9.140625" style="198"/>
    <col min="7682" max="7682" width="26.7109375" style="198" customWidth="1"/>
    <col min="7683" max="7683" width="73.7109375" style="198" customWidth="1"/>
    <col min="7684" max="7684" width="58.42578125" style="198" customWidth="1"/>
    <col min="7685" max="7685" width="28.85546875" style="198" customWidth="1"/>
    <col min="7686" max="7937" width="9.140625" style="198"/>
    <col min="7938" max="7938" width="26.7109375" style="198" customWidth="1"/>
    <col min="7939" max="7939" width="73.7109375" style="198" customWidth="1"/>
    <col min="7940" max="7940" width="58.42578125" style="198" customWidth="1"/>
    <col min="7941" max="7941" width="28.85546875" style="198" customWidth="1"/>
    <col min="7942" max="8193" width="9.140625" style="198"/>
    <col min="8194" max="8194" width="26.7109375" style="198" customWidth="1"/>
    <col min="8195" max="8195" width="73.7109375" style="198" customWidth="1"/>
    <col min="8196" max="8196" width="58.42578125" style="198" customWidth="1"/>
    <col min="8197" max="8197" width="28.85546875" style="198" customWidth="1"/>
    <col min="8198" max="8449" width="9.140625" style="198"/>
    <col min="8450" max="8450" width="26.7109375" style="198" customWidth="1"/>
    <col min="8451" max="8451" width="73.7109375" style="198" customWidth="1"/>
    <col min="8452" max="8452" width="58.42578125" style="198" customWidth="1"/>
    <col min="8453" max="8453" width="28.85546875" style="198" customWidth="1"/>
    <col min="8454" max="8705" width="9.140625" style="198"/>
    <col min="8706" max="8706" width="26.7109375" style="198" customWidth="1"/>
    <col min="8707" max="8707" width="73.7109375" style="198" customWidth="1"/>
    <col min="8708" max="8708" width="58.42578125" style="198" customWidth="1"/>
    <col min="8709" max="8709" width="28.85546875" style="198" customWidth="1"/>
    <col min="8710" max="8961" width="9.140625" style="198"/>
    <col min="8962" max="8962" width="26.7109375" style="198" customWidth="1"/>
    <col min="8963" max="8963" width="73.7109375" style="198" customWidth="1"/>
    <col min="8964" max="8964" width="58.42578125" style="198" customWidth="1"/>
    <col min="8965" max="8965" width="28.85546875" style="198" customWidth="1"/>
    <col min="8966" max="9217" width="9.140625" style="198"/>
    <col min="9218" max="9218" width="26.7109375" style="198" customWidth="1"/>
    <col min="9219" max="9219" width="73.7109375" style="198" customWidth="1"/>
    <col min="9220" max="9220" width="58.42578125" style="198" customWidth="1"/>
    <col min="9221" max="9221" width="28.85546875" style="198" customWidth="1"/>
    <col min="9222" max="9473" width="9.140625" style="198"/>
    <col min="9474" max="9474" width="26.7109375" style="198" customWidth="1"/>
    <col min="9475" max="9475" width="73.7109375" style="198" customWidth="1"/>
    <col min="9476" max="9476" width="58.42578125" style="198" customWidth="1"/>
    <col min="9477" max="9477" width="28.85546875" style="198" customWidth="1"/>
    <col min="9478" max="9729" width="9.140625" style="198"/>
    <col min="9730" max="9730" width="26.7109375" style="198" customWidth="1"/>
    <col min="9731" max="9731" width="73.7109375" style="198" customWidth="1"/>
    <col min="9732" max="9732" width="58.42578125" style="198" customWidth="1"/>
    <col min="9733" max="9733" width="28.85546875" style="198" customWidth="1"/>
    <col min="9734" max="9985" width="9.140625" style="198"/>
    <col min="9986" max="9986" width="26.7109375" style="198" customWidth="1"/>
    <col min="9987" max="9987" width="73.7109375" style="198" customWidth="1"/>
    <col min="9988" max="9988" width="58.42578125" style="198" customWidth="1"/>
    <col min="9989" max="9989" width="28.85546875" style="198" customWidth="1"/>
    <col min="9990" max="10241" width="9.140625" style="198"/>
    <col min="10242" max="10242" width="26.7109375" style="198" customWidth="1"/>
    <col min="10243" max="10243" width="73.7109375" style="198" customWidth="1"/>
    <col min="10244" max="10244" width="58.42578125" style="198" customWidth="1"/>
    <col min="10245" max="10245" width="28.85546875" style="198" customWidth="1"/>
    <col min="10246" max="10497" width="9.140625" style="198"/>
    <col min="10498" max="10498" width="26.7109375" style="198" customWidth="1"/>
    <col min="10499" max="10499" width="73.7109375" style="198" customWidth="1"/>
    <col min="10500" max="10500" width="58.42578125" style="198" customWidth="1"/>
    <col min="10501" max="10501" width="28.85546875" style="198" customWidth="1"/>
    <col min="10502" max="10753" width="9.140625" style="198"/>
    <col min="10754" max="10754" width="26.7109375" style="198" customWidth="1"/>
    <col min="10755" max="10755" width="73.7109375" style="198" customWidth="1"/>
    <col min="10756" max="10756" width="58.42578125" style="198" customWidth="1"/>
    <col min="10757" max="10757" width="28.85546875" style="198" customWidth="1"/>
    <col min="10758" max="11009" width="9.140625" style="198"/>
    <col min="11010" max="11010" width="26.7109375" style="198" customWidth="1"/>
    <col min="11011" max="11011" width="73.7109375" style="198" customWidth="1"/>
    <col min="11012" max="11012" width="58.42578125" style="198" customWidth="1"/>
    <col min="11013" max="11013" width="28.85546875" style="198" customWidth="1"/>
    <col min="11014" max="11265" width="9.140625" style="198"/>
    <col min="11266" max="11266" width="26.7109375" style="198" customWidth="1"/>
    <col min="11267" max="11267" width="73.7109375" style="198" customWidth="1"/>
    <col min="11268" max="11268" width="58.42578125" style="198" customWidth="1"/>
    <col min="11269" max="11269" width="28.85546875" style="198" customWidth="1"/>
    <col min="11270" max="11521" width="9.140625" style="198"/>
    <col min="11522" max="11522" width="26.7109375" style="198" customWidth="1"/>
    <col min="11523" max="11523" width="73.7109375" style="198" customWidth="1"/>
    <col min="11524" max="11524" width="58.42578125" style="198" customWidth="1"/>
    <col min="11525" max="11525" width="28.85546875" style="198" customWidth="1"/>
    <col min="11526" max="11777" width="9.140625" style="198"/>
    <col min="11778" max="11778" width="26.7109375" style="198" customWidth="1"/>
    <col min="11779" max="11779" width="73.7109375" style="198" customWidth="1"/>
    <col min="11780" max="11780" width="58.42578125" style="198" customWidth="1"/>
    <col min="11781" max="11781" width="28.85546875" style="198" customWidth="1"/>
    <col min="11782" max="12033" width="9.140625" style="198"/>
    <col min="12034" max="12034" width="26.7109375" style="198" customWidth="1"/>
    <col min="12035" max="12035" width="73.7109375" style="198" customWidth="1"/>
    <col min="12036" max="12036" width="58.42578125" style="198" customWidth="1"/>
    <col min="12037" max="12037" width="28.85546875" style="198" customWidth="1"/>
    <col min="12038" max="12289" width="9.140625" style="198"/>
    <col min="12290" max="12290" width="26.7109375" style="198" customWidth="1"/>
    <col min="12291" max="12291" width="73.7109375" style="198" customWidth="1"/>
    <col min="12292" max="12292" width="58.42578125" style="198" customWidth="1"/>
    <col min="12293" max="12293" width="28.85546875" style="198" customWidth="1"/>
    <col min="12294" max="12545" width="9.140625" style="198"/>
    <col min="12546" max="12546" width="26.7109375" style="198" customWidth="1"/>
    <col min="12547" max="12547" width="73.7109375" style="198" customWidth="1"/>
    <col min="12548" max="12548" width="58.42578125" style="198" customWidth="1"/>
    <col min="12549" max="12549" width="28.85546875" style="198" customWidth="1"/>
    <col min="12550" max="12801" width="9.140625" style="198"/>
    <col min="12802" max="12802" width="26.7109375" style="198" customWidth="1"/>
    <col min="12803" max="12803" width="73.7109375" style="198" customWidth="1"/>
    <col min="12804" max="12804" width="58.42578125" style="198" customWidth="1"/>
    <col min="12805" max="12805" width="28.85546875" style="198" customWidth="1"/>
    <col min="12806" max="13057" width="9.140625" style="198"/>
    <col min="13058" max="13058" width="26.7109375" style="198" customWidth="1"/>
    <col min="13059" max="13059" width="73.7109375" style="198" customWidth="1"/>
    <col min="13060" max="13060" width="58.42578125" style="198" customWidth="1"/>
    <col min="13061" max="13061" width="28.85546875" style="198" customWidth="1"/>
    <col min="13062" max="13313" width="9.140625" style="198"/>
    <col min="13314" max="13314" width="26.7109375" style="198" customWidth="1"/>
    <col min="13315" max="13315" width="73.7109375" style="198" customWidth="1"/>
    <col min="13316" max="13316" width="58.42578125" style="198" customWidth="1"/>
    <col min="13317" max="13317" width="28.85546875" style="198" customWidth="1"/>
    <col min="13318" max="13569" width="9.140625" style="198"/>
    <col min="13570" max="13570" width="26.7109375" style="198" customWidth="1"/>
    <col min="13571" max="13571" width="73.7109375" style="198" customWidth="1"/>
    <col min="13572" max="13572" width="58.42578125" style="198" customWidth="1"/>
    <col min="13573" max="13573" width="28.85546875" style="198" customWidth="1"/>
    <col min="13574" max="13825" width="9.140625" style="198"/>
    <col min="13826" max="13826" width="26.7109375" style="198" customWidth="1"/>
    <col min="13827" max="13827" width="73.7109375" style="198" customWidth="1"/>
    <col min="13828" max="13828" width="58.42578125" style="198" customWidth="1"/>
    <col min="13829" max="13829" width="28.85546875" style="198" customWidth="1"/>
    <col min="13830" max="14081" width="9.140625" style="198"/>
    <col min="14082" max="14082" width="26.7109375" style="198" customWidth="1"/>
    <col min="14083" max="14083" width="73.7109375" style="198" customWidth="1"/>
    <col min="14084" max="14084" width="58.42578125" style="198" customWidth="1"/>
    <col min="14085" max="14085" width="28.85546875" style="198" customWidth="1"/>
    <col min="14086" max="14337" width="9.140625" style="198"/>
    <col min="14338" max="14338" width="26.7109375" style="198" customWidth="1"/>
    <col min="14339" max="14339" width="73.7109375" style="198" customWidth="1"/>
    <col min="14340" max="14340" width="58.42578125" style="198" customWidth="1"/>
    <col min="14341" max="14341" width="28.85546875" style="198" customWidth="1"/>
    <col min="14342" max="14593" width="9.140625" style="198"/>
    <col min="14594" max="14594" width="26.7109375" style="198" customWidth="1"/>
    <col min="14595" max="14595" width="73.7109375" style="198" customWidth="1"/>
    <col min="14596" max="14596" width="58.42578125" style="198" customWidth="1"/>
    <col min="14597" max="14597" width="28.85546875" style="198" customWidth="1"/>
    <col min="14598" max="14849" width="9.140625" style="198"/>
    <col min="14850" max="14850" width="26.7109375" style="198" customWidth="1"/>
    <col min="14851" max="14851" width="73.7109375" style="198" customWidth="1"/>
    <col min="14852" max="14852" width="58.42578125" style="198" customWidth="1"/>
    <col min="14853" max="14853" width="28.85546875" style="198" customWidth="1"/>
    <col min="14854" max="15105" width="9.140625" style="198"/>
    <col min="15106" max="15106" width="26.7109375" style="198" customWidth="1"/>
    <col min="15107" max="15107" width="73.7109375" style="198" customWidth="1"/>
    <col min="15108" max="15108" width="58.42578125" style="198" customWidth="1"/>
    <col min="15109" max="15109" width="28.85546875" style="198" customWidth="1"/>
    <col min="15110" max="15361" width="9.140625" style="198"/>
    <col min="15362" max="15362" width="26.7109375" style="198" customWidth="1"/>
    <col min="15363" max="15363" width="73.7109375" style="198" customWidth="1"/>
    <col min="15364" max="15364" width="58.42578125" style="198" customWidth="1"/>
    <col min="15365" max="15365" width="28.85546875" style="198" customWidth="1"/>
    <col min="15366" max="15617" width="9.140625" style="198"/>
    <col min="15618" max="15618" width="26.7109375" style="198" customWidth="1"/>
    <col min="15619" max="15619" width="73.7109375" style="198" customWidth="1"/>
    <col min="15620" max="15620" width="58.42578125" style="198" customWidth="1"/>
    <col min="15621" max="15621" width="28.85546875" style="198" customWidth="1"/>
    <col min="15622" max="15873" width="9.140625" style="198"/>
    <col min="15874" max="15874" width="26.7109375" style="198" customWidth="1"/>
    <col min="15875" max="15875" width="73.7109375" style="198" customWidth="1"/>
    <col min="15876" max="15876" width="58.42578125" style="198" customWidth="1"/>
    <col min="15877" max="15877" width="28.85546875" style="198" customWidth="1"/>
    <col min="15878" max="16129" width="9.140625" style="198"/>
    <col min="16130" max="16130" width="26.7109375" style="198" customWidth="1"/>
    <col min="16131" max="16131" width="73.7109375" style="198" customWidth="1"/>
    <col min="16132" max="16132" width="58.42578125" style="198" customWidth="1"/>
    <col min="16133" max="16133" width="28.85546875" style="198" customWidth="1"/>
    <col min="16134" max="16384" width="9.140625" style="198"/>
  </cols>
  <sheetData>
    <row r="1" spans="3:6" ht="13.5" thickBot="1"/>
    <row r="2" spans="3:6" s="510" customFormat="1" ht="19.5" thickBot="1">
      <c r="C2" s="511" t="s">
        <v>1152</v>
      </c>
      <c r="D2" s="512" t="s">
        <v>156</v>
      </c>
      <c r="E2" s="512"/>
      <c r="F2" s="513"/>
    </row>
    <row r="3" spans="3:6" s="510" customFormat="1" ht="15">
      <c r="C3" s="514" t="s">
        <v>1138</v>
      </c>
      <c r="D3" s="514" t="s">
        <v>1139</v>
      </c>
      <c r="E3" s="514" t="s">
        <v>1140</v>
      </c>
      <c r="F3" s="514" t="s">
        <v>1153</v>
      </c>
    </row>
    <row r="4" spans="3:6" ht="51">
      <c r="C4" s="506" t="s">
        <v>1141</v>
      </c>
      <c r="D4" s="507" t="s">
        <v>1165</v>
      </c>
      <c r="E4" s="507" t="s">
        <v>1551</v>
      </c>
      <c r="F4" s="507" t="s">
        <v>1549</v>
      </c>
    </row>
    <row r="5" spans="3:6" ht="51">
      <c r="C5" s="506" t="s">
        <v>1142</v>
      </c>
      <c r="D5" s="508" t="s">
        <v>1636</v>
      </c>
      <c r="E5" s="509" t="s">
        <v>1552</v>
      </c>
      <c r="F5" s="509"/>
    </row>
    <row r="6" spans="3:6">
      <c r="C6" s="506" t="s">
        <v>1144</v>
      </c>
      <c r="D6" s="509" t="s">
        <v>1155</v>
      </c>
      <c r="E6" s="508"/>
      <c r="F6" s="508"/>
    </row>
    <row r="7" spans="3:6" ht="51">
      <c r="C7" s="506" t="s">
        <v>1145</v>
      </c>
      <c r="D7" s="508" t="s">
        <v>1146</v>
      </c>
      <c r="E7" s="508" t="s">
        <v>1568</v>
      </c>
      <c r="F7" s="508"/>
    </row>
    <row r="8" spans="3:6" s="510" customFormat="1" ht="39.75" customHeight="1">
      <c r="C8" s="515" t="s">
        <v>1154</v>
      </c>
      <c r="D8" s="516" t="s">
        <v>846</v>
      </c>
      <c r="E8" s="517"/>
      <c r="F8" s="517"/>
    </row>
    <row r="9" spans="3:6">
      <c r="C9" s="506" t="s">
        <v>1147</v>
      </c>
      <c r="D9" s="508"/>
      <c r="E9" s="508"/>
      <c r="F9" s="508"/>
    </row>
    <row r="10" spans="3:6">
      <c r="C10" s="506" t="s">
        <v>1148</v>
      </c>
      <c r="D10" s="508" t="s">
        <v>1143</v>
      </c>
      <c r="E10" s="508"/>
      <c r="F10" s="508"/>
    </row>
    <row r="11" spans="3:6">
      <c r="C11" s="506" t="s">
        <v>1149</v>
      </c>
      <c r="D11" s="508" t="s">
        <v>1143</v>
      </c>
      <c r="E11" s="508"/>
      <c r="F11" s="508"/>
    </row>
    <row r="12" spans="3:6" ht="25.5">
      <c r="C12" s="506" t="s">
        <v>1150</v>
      </c>
      <c r="D12" s="508" t="s">
        <v>1156</v>
      </c>
      <c r="E12" s="508" t="s">
        <v>1157</v>
      </c>
      <c r="F12" s="508"/>
    </row>
    <row r="13" spans="3:6" ht="38.25">
      <c r="C13" s="506" t="s">
        <v>1151</v>
      </c>
      <c r="D13" s="508" t="s">
        <v>1563</v>
      </c>
      <c r="E13" s="508" t="s">
        <v>1564</v>
      </c>
      <c r="F13" s="50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4:DC65"/>
  <sheetViews>
    <sheetView topLeftCell="A13" zoomScale="115" zoomScaleNormal="115" workbookViewId="0">
      <selection activeCell="C11" sqref="C11"/>
    </sheetView>
  </sheetViews>
  <sheetFormatPr defaultRowHeight="12.75"/>
  <cols>
    <col min="1" max="1" width="19.140625" customWidth="1"/>
    <col min="2" max="2" width="12.7109375" customWidth="1"/>
    <col min="3" max="3" width="72" customWidth="1"/>
    <col min="4" max="4" width="23.140625" customWidth="1"/>
    <col min="8" max="8" width="12.42578125" bestFit="1" customWidth="1"/>
    <col min="17" max="17" width="11.140625" customWidth="1"/>
  </cols>
  <sheetData>
    <row r="4" spans="1:107">
      <c r="C4" s="760" t="s">
        <v>1637</v>
      </c>
      <c r="D4">
        <v>2</v>
      </c>
      <c r="E4">
        <v>3</v>
      </c>
      <c r="F4">
        <v>4</v>
      </c>
      <c r="G4">
        <v>5</v>
      </c>
      <c r="H4">
        <v>6</v>
      </c>
      <c r="I4">
        <v>7</v>
      </c>
      <c r="J4">
        <v>8</v>
      </c>
      <c r="K4">
        <v>9</v>
      </c>
      <c r="L4">
        <v>10</v>
      </c>
      <c r="M4">
        <v>11</v>
      </c>
      <c r="N4">
        <v>12</v>
      </c>
      <c r="O4">
        <v>13</v>
      </c>
      <c r="P4">
        <v>14</v>
      </c>
      <c r="Q4">
        <v>15</v>
      </c>
      <c r="R4">
        <v>16</v>
      </c>
    </row>
    <row r="5" spans="1:107" s="9" customFormat="1">
      <c r="C5" s="14" t="s">
        <v>3</v>
      </c>
      <c r="D5" s="15"/>
      <c r="E5" s="15"/>
      <c r="F5" s="15"/>
      <c r="G5" s="15"/>
      <c r="H5" s="15"/>
      <c r="I5" s="16"/>
      <c r="J5" s="17"/>
      <c r="K5" s="894" t="s">
        <v>4</v>
      </c>
      <c r="L5" s="895"/>
      <c r="M5" s="895"/>
      <c r="N5" s="895"/>
      <c r="O5" s="895"/>
      <c r="P5" s="896"/>
      <c r="Q5" s="897" t="s">
        <v>5</v>
      </c>
      <c r="R5" s="898"/>
      <c r="S5" s="18"/>
      <c r="T5" s="19"/>
      <c r="U5" s="19"/>
      <c r="V5" s="19"/>
      <c r="W5" s="19"/>
      <c r="X5" s="19"/>
      <c r="Y5" s="19"/>
      <c r="Z5" s="20"/>
      <c r="AA5" s="21"/>
      <c r="AB5" s="19"/>
      <c r="AC5" s="19"/>
      <c r="AD5" s="19"/>
      <c r="AE5" s="19"/>
      <c r="AF5" s="19"/>
      <c r="AG5" s="22"/>
      <c r="AH5" s="22"/>
      <c r="AI5" s="22"/>
      <c r="AJ5" s="22"/>
      <c r="AK5" s="22"/>
      <c r="AL5" s="22"/>
      <c r="AM5" s="22"/>
      <c r="AN5" s="22"/>
      <c r="AO5" s="22"/>
      <c r="AP5" s="22"/>
      <c r="AQ5" s="22"/>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row>
    <row r="6" spans="1:107" s="9" customFormat="1" ht="25.5">
      <c r="A6" s="9" t="s">
        <v>50</v>
      </c>
      <c r="B6" s="9" t="s">
        <v>52</v>
      </c>
      <c r="C6" s="23" t="s">
        <v>6</v>
      </c>
      <c r="D6" s="23" t="s">
        <v>7</v>
      </c>
      <c r="E6" s="23" t="s">
        <v>8</v>
      </c>
      <c r="F6" s="23" t="s">
        <v>9</v>
      </c>
      <c r="G6" s="23" t="s">
        <v>10</v>
      </c>
      <c r="H6" s="23" t="s">
        <v>11</v>
      </c>
      <c r="I6" s="23" t="s">
        <v>12</v>
      </c>
      <c r="J6" s="23" t="s">
        <v>13</v>
      </c>
      <c r="K6" s="23" t="s">
        <v>14</v>
      </c>
      <c r="L6" s="23" t="s">
        <v>15</v>
      </c>
      <c r="M6" s="23" t="s">
        <v>16</v>
      </c>
      <c r="N6" s="23" t="s">
        <v>17</v>
      </c>
      <c r="O6" s="23" t="s">
        <v>18</v>
      </c>
      <c r="P6" s="23" t="s">
        <v>19</v>
      </c>
      <c r="Q6" s="24" t="s">
        <v>20</v>
      </c>
      <c r="R6" s="23" t="s">
        <v>12</v>
      </c>
      <c r="S6" s="25"/>
      <c r="T6" s="25"/>
      <c r="U6" s="25"/>
      <c r="V6" s="25"/>
      <c r="W6" s="25"/>
      <c r="X6" s="25"/>
      <c r="Y6" s="25"/>
      <c r="Z6" s="25"/>
      <c r="AA6" s="25"/>
      <c r="AB6" s="25"/>
      <c r="AC6" s="25"/>
      <c r="AD6" s="25"/>
      <c r="AE6" s="25"/>
      <c r="AF6" s="25"/>
      <c r="AG6" s="22"/>
      <c r="AH6" s="22"/>
      <c r="AI6" s="22"/>
      <c r="AJ6" s="22"/>
      <c r="AK6" s="22"/>
      <c r="AL6" s="22"/>
      <c r="AM6" s="22"/>
      <c r="AN6" s="22"/>
      <c r="AO6" s="22"/>
      <c r="AP6" s="22"/>
      <c r="AQ6" s="2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row>
    <row r="7" spans="1:107" ht="25.5">
      <c r="A7" t="str">
        <f t="shared" ref="A7:A33" si="0">B7&amp;C7&amp;D7</f>
        <v>Single FamilyCEE Tier 1 Clothes Washer - Any DHW, Any Dryer - 54% ENERGY STAR BaselineWasher Savings</v>
      </c>
      <c r="B7" t="str">
        <f>RawRTF!A22</f>
        <v>Single Family</v>
      </c>
      <c r="C7" s="27" t="str">
        <f>RawRTF!B47</f>
        <v>CEE Tier 1 Clothes Washer - Any DHW, Any Dryer - 54% ENERGY STAR Baseline</v>
      </c>
      <c r="D7" s="26" t="str">
        <f>RawRTF!C47</f>
        <v>Washer Savings</v>
      </c>
      <c r="E7" s="48">
        <f ca="1">RawRTF!D47</f>
        <v>12.805498538080862</v>
      </c>
      <c r="F7" s="48">
        <f>RawRTF!E47</f>
        <v>14</v>
      </c>
      <c r="G7" s="48">
        <f ca="1">RawRTF!F47</f>
        <v>126.26454884545808</v>
      </c>
      <c r="H7" s="48">
        <f>RawRTF!G47</f>
        <v>0</v>
      </c>
      <c r="I7" s="48" t="str">
        <f>RawRTF!H47</f>
        <v>ResWASH</v>
      </c>
      <c r="J7" s="48">
        <f ca="1">RawRTF!I47</f>
        <v>7.2359000960760937</v>
      </c>
      <c r="K7" s="48">
        <f>RawRTF!J47</f>
        <v>0</v>
      </c>
      <c r="L7" s="48">
        <f>RawRTF!K47</f>
        <v>0</v>
      </c>
      <c r="M7" s="48">
        <f>RawRTF!L47</f>
        <v>0</v>
      </c>
      <c r="N7" s="48">
        <f>RawRTF!M47</f>
        <v>0</v>
      </c>
      <c r="O7" s="48">
        <f>RawRTF!N47</f>
        <v>0</v>
      </c>
      <c r="P7" s="48">
        <f>RawRTF!O47</f>
        <v>0</v>
      </c>
      <c r="Q7" s="48">
        <f ca="1">RawRTF!P47</f>
        <v>0.10598060677717332</v>
      </c>
      <c r="R7" s="48" t="str">
        <f>RawRTF!Q47</f>
        <v>ResDRY</v>
      </c>
      <c r="S7" s="48"/>
      <c r="T7" s="48"/>
      <c r="U7" s="48"/>
      <c r="V7" s="48"/>
      <c r="W7" s="48"/>
      <c r="X7" s="48"/>
      <c r="Y7" s="48"/>
      <c r="Z7" s="48"/>
      <c r="AA7" s="48"/>
      <c r="AB7" s="48"/>
      <c r="AC7" s="48"/>
      <c r="AD7" s="48"/>
      <c r="AE7" s="48"/>
      <c r="AF7" s="48"/>
      <c r="AG7" s="48"/>
      <c r="AH7" s="48"/>
      <c r="AI7" s="48"/>
      <c r="AJ7" s="48"/>
      <c r="AK7" s="48"/>
      <c r="AL7" s="48"/>
      <c r="AM7" s="48"/>
      <c r="AN7" s="48"/>
    </row>
    <row r="8" spans="1:107" ht="25.5">
      <c r="A8" t="str">
        <f t="shared" si="0"/>
        <v>Single FamilyCEE Tier 2 Clothes Washer - Any DHW, Any Dryer - 54% ENERGY STAR BaselineWasher Savings</v>
      </c>
      <c r="B8" t="str">
        <f>RawRTF!A23</f>
        <v>Single Family</v>
      </c>
      <c r="C8" s="27" t="str">
        <f>RawRTF!B52</f>
        <v>CEE Tier 2 Clothes Washer - Any DHW, Any Dryer - 54% ENERGY STAR Baseline</v>
      </c>
      <c r="D8" s="32" t="str">
        <f>RawRTF!C52</f>
        <v>Washer Savings</v>
      </c>
      <c r="E8" s="48">
        <f ca="1">RawRTF!D52</f>
        <v>20.108354852508263</v>
      </c>
      <c r="F8" s="48">
        <f>RawRTF!E52</f>
        <v>14</v>
      </c>
      <c r="G8" s="48">
        <f ca="1">RawRTF!F52</f>
        <v>175.84798335118546</v>
      </c>
      <c r="H8" s="48">
        <f>RawRTF!G52</f>
        <v>0</v>
      </c>
      <c r="I8" s="48" t="str">
        <f>RawRTF!H52</f>
        <v>ResWASH</v>
      </c>
      <c r="J8" s="48">
        <f ca="1">RawRTF!I52</f>
        <v>10.612999709998789</v>
      </c>
      <c r="K8" s="48">
        <f>RawRTF!J52</f>
        <v>0</v>
      </c>
      <c r="L8" s="48">
        <f>RawRTF!K52</f>
        <v>0</v>
      </c>
      <c r="M8" s="48">
        <f>RawRTF!L52</f>
        <v>0</v>
      </c>
      <c r="N8" s="48">
        <f>RawRTF!M52</f>
        <v>0</v>
      </c>
      <c r="O8" s="48">
        <f>RawRTF!N52</f>
        <v>0</v>
      </c>
      <c r="P8" s="48">
        <f>RawRTF!O52</f>
        <v>0</v>
      </c>
      <c r="Q8" s="48">
        <f ca="1">RawRTF!P52</f>
        <v>0.14854096839991765</v>
      </c>
      <c r="R8" s="48" t="str">
        <f>RawRTF!Q52</f>
        <v>ResDRY</v>
      </c>
      <c r="S8" s="48"/>
      <c r="T8" s="48"/>
      <c r="U8" s="48"/>
      <c r="V8" s="48"/>
      <c r="W8" s="48"/>
      <c r="X8" s="48"/>
      <c r="Y8" s="48"/>
      <c r="Z8" s="48"/>
      <c r="AA8" s="48"/>
      <c r="AB8" s="48"/>
      <c r="AC8" s="48"/>
      <c r="AD8" s="48"/>
      <c r="AE8" s="48"/>
      <c r="AF8" s="48"/>
      <c r="AG8" s="48"/>
      <c r="AH8" s="48"/>
      <c r="AI8" s="48"/>
      <c r="AJ8" s="48"/>
      <c r="AK8" s="48"/>
      <c r="AL8" s="48"/>
      <c r="AM8" s="48"/>
      <c r="AN8" s="48"/>
    </row>
    <row r="9" spans="1:107" ht="25.5">
      <c r="A9" t="str">
        <f t="shared" si="0"/>
        <v>Single FamilyCEE Tier 2 Clothes Washer - Any DHW, Any Dryer - 54% ENERGY STAR BaselineWasher Savings</v>
      </c>
      <c r="B9" t="str">
        <f>RawRTF!A24</f>
        <v>Single Family</v>
      </c>
      <c r="C9" s="27" t="str">
        <f>RawRTF!B52</f>
        <v>CEE Tier 2 Clothes Washer - Any DHW, Any Dryer - 54% ENERGY STAR Baseline</v>
      </c>
      <c r="D9" s="33" t="str">
        <f>RawRTF!C52</f>
        <v>Washer Savings</v>
      </c>
      <c r="E9" s="48">
        <f ca="1">RawRTF!D52</f>
        <v>20.108354852508263</v>
      </c>
      <c r="F9" s="48">
        <f>RawRTF!E52</f>
        <v>14</v>
      </c>
      <c r="G9" s="48">
        <f ca="1">RawRTF!F52</f>
        <v>175.84798335118546</v>
      </c>
      <c r="H9" s="48">
        <f>RawRTF!G52</f>
        <v>0</v>
      </c>
      <c r="I9" s="48" t="str">
        <f>RawRTF!H52</f>
        <v>ResWASH</v>
      </c>
      <c r="J9" s="48">
        <f ca="1">RawRTF!I52</f>
        <v>10.612999709998789</v>
      </c>
      <c r="K9" s="48">
        <f>RawRTF!J52</f>
        <v>0</v>
      </c>
      <c r="L9" s="48">
        <f>RawRTF!K52</f>
        <v>0</v>
      </c>
      <c r="M9" s="48">
        <f>RawRTF!L52</f>
        <v>0</v>
      </c>
      <c r="N9" s="48">
        <f>RawRTF!M52</f>
        <v>0</v>
      </c>
      <c r="O9" s="48">
        <f>RawRTF!N52</f>
        <v>0</v>
      </c>
      <c r="P9" s="48">
        <f>RawRTF!O52</f>
        <v>0</v>
      </c>
      <c r="Q9" s="48">
        <f ca="1">RawRTF!P52</f>
        <v>0.14854096839991765</v>
      </c>
      <c r="R9" s="48" t="str">
        <f>RawRTF!Q52</f>
        <v>ResDRY</v>
      </c>
      <c r="S9" s="48"/>
      <c r="T9" s="48"/>
      <c r="U9" s="48"/>
      <c r="V9" s="48"/>
      <c r="W9" s="48"/>
      <c r="X9" s="48"/>
      <c r="Y9" s="48"/>
      <c r="Z9" s="48"/>
      <c r="AA9" s="48"/>
      <c r="AB9" s="48"/>
      <c r="AC9" s="48"/>
      <c r="AD9" s="48"/>
      <c r="AE9" s="48"/>
      <c r="AF9" s="48"/>
      <c r="AG9" s="48"/>
      <c r="AH9" s="48"/>
      <c r="AI9" s="48"/>
      <c r="AJ9" s="48"/>
      <c r="AK9" s="48"/>
      <c r="AL9" s="48"/>
      <c r="AM9" s="48"/>
      <c r="AN9" s="48"/>
    </row>
    <row r="10" spans="1:107" ht="25.5">
      <c r="A10" t="str">
        <f t="shared" si="0"/>
        <v>Single FamilyCEE Tier 1 Clothes Washer - Any DHW, Any Dryer - 54% ENERGY STAR BaselineDryer Savings</v>
      </c>
      <c r="B10" t="str">
        <f>RawRTF!A25</f>
        <v>Single Family</v>
      </c>
      <c r="C10" s="27" t="str">
        <f>RawRTF!B97</f>
        <v>CEE Tier 1 Clothes Washer - Any DHW, Any Dryer - 54% ENERGY STAR Baseline</v>
      </c>
      <c r="D10" s="26" t="str">
        <f>RawRTF!C97</f>
        <v>Dryer Savings</v>
      </c>
      <c r="E10" s="48">
        <f ca="1">RawRTF!D97</f>
        <v>34.794737894235141</v>
      </c>
      <c r="F10" s="48">
        <f>RawRTF!E97</f>
        <v>14</v>
      </c>
      <c r="G10" s="48">
        <f>RawRTF!F97</f>
        <v>0</v>
      </c>
      <c r="H10" s="48">
        <f>RawRTF!G97</f>
        <v>0</v>
      </c>
      <c r="I10" s="48" t="str">
        <f>RawRTF!H97</f>
        <v>ResDRY</v>
      </c>
      <c r="J10" s="48">
        <f>RawRTF!I97</f>
        <v>0</v>
      </c>
      <c r="K10" s="48">
        <f>RawRTF!J97</f>
        <v>0</v>
      </c>
      <c r="L10" s="48">
        <f>RawRTF!K97</f>
        <v>0</v>
      </c>
      <c r="M10" s="48">
        <f>RawRTF!L97</f>
        <v>0</v>
      </c>
      <c r="N10" s="48">
        <f>RawRTF!M97</f>
        <v>0</v>
      </c>
      <c r="O10" s="48">
        <f>RawRTF!N97</f>
        <v>0</v>
      </c>
      <c r="P10" s="48">
        <f>RawRTF!O97</f>
        <v>0</v>
      </c>
      <c r="Q10" s="48">
        <f>RawRTF!P97</f>
        <v>0</v>
      </c>
      <c r="R10" s="48">
        <f>RawRTF!Q97</f>
        <v>0</v>
      </c>
      <c r="S10" s="48"/>
      <c r="T10" s="48"/>
      <c r="U10" s="48"/>
      <c r="V10" s="48"/>
      <c r="W10" s="48"/>
      <c r="X10" s="48"/>
      <c r="Y10" s="48"/>
      <c r="Z10" s="48"/>
      <c r="AA10" s="48"/>
      <c r="AB10" s="48"/>
      <c r="AC10" s="48"/>
      <c r="AD10" s="48"/>
      <c r="AE10" s="48"/>
      <c r="AF10" s="48"/>
      <c r="AG10" s="48"/>
      <c r="AH10" s="48"/>
      <c r="AI10" s="48"/>
      <c r="AJ10" s="48"/>
      <c r="AK10" s="48"/>
      <c r="AL10" s="48"/>
      <c r="AM10" s="48"/>
      <c r="AN10" s="48"/>
    </row>
    <row r="11" spans="1:107" ht="25.5">
      <c r="A11" t="str">
        <f t="shared" si="0"/>
        <v>Single FamilyCEE Tier 2 Clothes Washer - Any DHW, Any Dryer - 54% ENERGY STAR BaselineDryer Savings</v>
      </c>
      <c r="B11" t="str">
        <f>RawRTF!A26</f>
        <v>Single Family</v>
      </c>
      <c r="C11" s="27" t="str">
        <f>RawRTF!B102</f>
        <v>CEE Tier 2 Clothes Washer - Any DHW, Any Dryer - 54% ENERGY STAR Baseline</v>
      </c>
      <c r="D11" s="32" t="str">
        <f>RawRTF!C102</f>
        <v>Dryer Savings</v>
      </c>
      <c r="E11" s="48">
        <f ca="1">RawRTF!D102</f>
        <v>55.94932724880757</v>
      </c>
      <c r="F11" s="48">
        <f>RawRTF!E102</f>
        <v>14</v>
      </c>
      <c r="G11" s="48">
        <f>RawRTF!F102</f>
        <v>0</v>
      </c>
      <c r="H11" s="48">
        <f>RawRTF!G102</f>
        <v>0</v>
      </c>
      <c r="I11" s="48" t="str">
        <f>RawRTF!H102</f>
        <v>ResDRY</v>
      </c>
      <c r="J11" s="48">
        <f>RawRTF!I102</f>
        <v>0</v>
      </c>
      <c r="K11" s="48">
        <f>RawRTF!J102</f>
        <v>0</v>
      </c>
      <c r="L11" s="48">
        <f>RawRTF!K102</f>
        <v>0</v>
      </c>
      <c r="M11" s="48">
        <f>RawRTF!L102</f>
        <v>0</v>
      </c>
      <c r="N11" s="48">
        <f>RawRTF!M102</f>
        <v>0</v>
      </c>
      <c r="O11" s="48">
        <f>RawRTF!N102</f>
        <v>0</v>
      </c>
      <c r="P11" s="48">
        <f>RawRTF!O102</f>
        <v>0</v>
      </c>
      <c r="Q11" s="48">
        <f>RawRTF!P102</f>
        <v>0</v>
      </c>
      <c r="R11" s="48">
        <f>RawRTF!Q102</f>
        <v>0</v>
      </c>
      <c r="S11" s="48"/>
      <c r="T11" s="48"/>
      <c r="U11" s="48"/>
      <c r="V11" s="48"/>
      <c r="W11" s="48"/>
      <c r="X11" s="48"/>
      <c r="Y11" s="48"/>
      <c r="Z11" s="48"/>
      <c r="AA11" s="48"/>
      <c r="AB11" s="48"/>
      <c r="AC11" s="48"/>
      <c r="AD11" s="48"/>
      <c r="AE11" s="48"/>
      <c r="AF11" s="48"/>
      <c r="AG11" s="48"/>
      <c r="AH11" s="48"/>
      <c r="AI11" s="48"/>
      <c r="AJ11" s="48"/>
      <c r="AK11" s="48"/>
      <c r="AL11" s="48"/>
      <c r="AM11" s="48"/>
      <c r="AN11" s="48"/>
    </row>
    <row r="12" spans="1:107" ht="25.5">
      <c r="A12" t="str">
        <f t="shared" si="0"/>
        <v>Single FamilyCEE Tier 3 Clothes Washer - Any DHW, Any Dryer - 54% ENERGY STAR BaselineDryer Savings</v>
      </c>
      <c r="B12" t="str">
        <f>RawRTF!A27</f>
        <v>Single Family</v>
      </c>
      <c r="C12" s="27" t="str">
        <f>RawRTF!B107</f>
        <v>CEE Tier 3 Clothes Washer - Any DHW, Any Dryer - 54% ENERGY STAR Baseline</v>
      </c>
      <c r="D12" s="33" t="str">
        <f>RawRTF!C107</f>
        <v>Dryer Savings</v>
      </c>
      <c r="E12" s="48">
        <f ca="1">RawRTF!D107</f>
        <v>69.791765021671026</v>
      </c>
      <c r="F12" s="48">
        <f>RawRTF!E107</f>
        <v>14</v>
      </c>
      <c r="G12" s="48">
        <f>RawRTF!F107</f>
        <v>0</v>
      </c>
      <c r="H12" s="48">
        <f>RawRTF!G107</f>
        <v>0</v>
      </c>
      <c r="I12" s="48" t="str">
        <f>RawRTF!H107</f>
        <v>ResDRY</v>
      </c>
      <c r="J12" s="48">
        <f>RawRTF!I107</f>
        <v>0</v>
      </c>
      <c r="K12" s="48">
        <f>RawRTF!J107</f>
        <v>0</v>
      </c>
      <c r="L12" s="48">
        <f>RawRTF!K107</f>
        <v>0</v>
      </c>
      <c r="M12" s="48">
        <f>RawRTF!L107</f>
        <v>0</v>
      </c>
      <c r="N12" s="48">
        <f>RawRTF!M107</f>
        <v>0</v>
      </c>
      <c r="O12" s="48">
        <f>RawRTF!N107</f>
        <v>0</v>
      </c>
      <c r="P12" s="48">
        <f>RawRTF!O107</f>
        <v>0</v>
      </c>
      <c r="Q12" s="48">
        <f>RawRTF!P107</f>
        <v>0</v>
      </c>
      <c r="R12" s="48">
        <f>RawRTF!Q107</f>
        <v>0</v>
      </c>
      <c r="S12" s="48"/>
      <c r="T12" s="48"/>
      <c r="U12" s="48"/>
      <c r="V12" s="48"/>
      <c r="W12" s="48"/>
      <c r="X12" s="48"/>
      <c r="Y12" s="48"/>
      <c r="Z12" s="48"/>
      <c r="AA12" s="48"/>
      <c r="AB12" s="48"/>
      <c r="AC12" s="48"/>
      <c r="AD12" s="48"/>
      <c r="AE12" s="48"/>
      <c r="AF12" s="48"/>
      <c r="AG12" s="48"/>
      <c r="AH12" s="48"/>
      <c r="AI12" s="48"/>
      <c r="AJ12" s="48"/>
      <c r="AK12" s="48"/>
      <c r="AL12" s="48"/>
      <c r="AM12" s="48"/>
      <c r="AN12" s="48"/>
    </row>
    <row r="13" spans="1:107" ht="25.5">
      <c r="A13" t="str">
        <f t="shared" si="0"/>
        <v>Single FamilyCEE Tier 1 Clothes Washer - Any DHW, Any Dryer - 54% ENERGY STAR BaselineWaste Water Energy</v>
      </c>
      <c r="B13" t="str">
        <f>RawRTF!A28</f>
        <v>Single Family</v>
      </c>
      <c r="C13" s="27" t="str">
        <f>RawRTF!B147</f>
        <v>CEE Tier 1 Clothes Washer - Any DHW, Any Dryer - 54% ENERGY STAR Baseline</v>
      </c>
      <c r="D13" s="26" t="str">
        <f>RawRTF!C147</f>
        <v>Waste Water Energy</v>
      </c>
      <c r="E13" s="48">
        <f ca="1">RawRTF!D147</f>
        <v>2.2689844676199051</v>
      </c>
      <c r="F13" s="48">
        <f>RawRTF!E147</f>
        <v>14</v>
      </c>
      <c r="G13" s="48">
        <f>RawRTF!F147</f>
        <v>0</v>
      </c>
      <c r="H13" s="48">
        <f>RawRTF!G147</f>
        <v>0</v>
      </c>
      <c r="I13" s="48" t="str">
        <f>RawRTF!H147</f>
        <v>FLAT</v>
      </c>
      <c r="J13" s="48">
        <f ca="1">RawRTF!I147</f>
        <v>8.5265191237314468</v>
      </c>
      <c r="K13" s="48">
        <f>RawRTF!J147</f>
        <v>0</v>
      </c>
      <c r="L13" s="48">
        <f>RawRTF!K147</f>
        <v>0</v>
      </c>
      <c r="M13" s="48">
        <f>RawRTF!L147</f>
        <v>0</v>
      </c>
      <c r="N13" s="48">
        <f>RawRTF!M147</f>
        <v>0</v>
      </c>
      <c r="O13" s="48">
        <f>RawRTF!N147</f>
        <v>0</v>
      </c>
      <c r="P13" s="48">
        <f>RawRTF!O147</f>
        <v>0</v>
      </c>
      <c r="Q13" s="48">
        <f>RawRTF!P147</f>
        <v>0</v>
      </c>
      <c r="R13" s="48">
        <f>RawRTF!Q147</f>
        <v>0</v>
      </c>
      <c r="S13" s="48"/>
      <c r="T13" s="48"/>
      <c r="U13" s="48"/>
      <c r="V13" s="48"/>
      <c r="W13" s="48"/>
      <c r="X13" s="48"/>
      <c r="Y13" s="48"/>
      <c r="Z13" s="48"/>
      <c r="AA13" s="48"/>
      <c r="AB13" s="48"/>
      <c r="AC13" s="48"/>
      <c r="AD13" s="48"/>
      <c r="AE13" s="48"/>
      <c r="AF13" s="48"/>
      <c r="AG13" s="48"/>
      <c r="AH13" s="48"/>
      <c r="AI13" s="48"/>
      <c r="AJ13" s="48"/>
      <c r="AK13" s="48"/>
      <c r="AL13" s="48"/>
      <c r="AM13" s="48"/>
      <c r="AN13" s="48"/>
    </row>
    <row r="14" spans="1:107" ht="25.5">
      <c r="A14" t="str">
        <f t="shared" si="0"/>
        <v>Single FamilyCEE Tier 2 Clothes Washer - Any DHW, Any Dryer - 54% ENERGY STAR BaselineWaste Water Energy</v>
      </c>
      <c r="B14" t="str">
        <f>RawRTF!A29</f>
        <v>Single Family</v>
      </c>
      <c r="C14" s="27" t="str">
        <f>RawRTF!B152</f>
        <v>CEE Tier 2 Clothes Washer - Any DHW, Any Dryer - 54% ENERGY STAR Baseline</v>
      </c>
      <c r="D14" s="32" t="str">
        <f>RawRTF!C152</f>
        <v>Waste Water Energy</v>
      </c>
      <c r="E14" s="48">
        <f ca="1">RawRTF!D152</f>
        <v>3.3279524561015337</v>
      </c>
      <c r="F14" s="48">
        <f>RawRTF!E152</f>
        <v>14</v>
      </c>
      <c r="G14" s="48">
        <f>RawRTF!F152</f>
        <v>0</v>
      </c>
      <c r="H14" s="48">
        <f>RawRTF!G152</f>
        <v>0</v>
      </c>
      <c r="I14" s="48" t="str">
        <f>RawRTF!H152</f>
        <v>FLAT</v>
      </c>
      <c r="J14" s="48">
        <f ca="1">RawRTF!I152</f>
        <v>12.505969372978637</v>
      </c>
      <c r="K14" s="48">
        <f>RawRTF!J152</f>
        <v>0</v>
      </c>
      <c r="L14" s="48">
        <f>RawRTF!K152</f>
        <v>0</v>
      </c>
      <c r="M14" s="48">
        <f>RawRTF!L152</f>
        <v>0</v>
      </c>
      <c r="N14" s="48">
        <f>RawRTF!M152</f>
        <v>0</v>
      </c>
      <c r="O14" s="48">
        <f>RawRTF!N152</f>
        <v>0</v>
      </c>
      <c r="P14" s="48">
        <f>RawRTF!O152</f>
        <v>0</v>
      </c>
      <c r="Q14" s="48">
        <f>RawRTF!P152</f>
        <v>0</v>
      </c>
      <c r="R14" s="48">
        <f>RawRTF!Q152</f>
        <v>0</v>
      </c>
      <c r="S14" s="48"/>
      <c r="T14" s="48"/>
      <c r="U14" s="48"/>
      <c r="V14" s="48"/>
      <c r="W14" s="48"/>
      <c r="X14" s="48"/>
      <c r="Y14" s="48"/>
      <c r="Z14" s="48"/>
      <c r="AA14" s="48"/>
      <c r="AB14" s="48"/>
      <c r="AC14" s="48"/>
      <c r="AD14" s="48"/>
      <c r="AE14" s="48"/>
      <c r="AF14" s="48"/>
      <c r="AG14" s="48"/>
      <c r="AH14" s="48"/>
      <c r="AI14" s="48"/>
      <c r="AJ14" s="48"/>
      <c r="AK14" s="48"/>
      <c r="AL14" s="48"/>
      <c r="AM14" s="48"/>
      <c r="AN14" s="48"/>
    </row>
    <row r="15" spans="1:107" ht="25.5">
      <c r="A15" t="str">
        <f t="shared" si="0"/>
        <v>Single FamilyCEE Tier 3 Clothes Washer - Any DHW, Any Dryer - 54% ENERGY STAR BaselineWaste Water Energy</v>
      </c>
      <c r="B15" t="str">
        <f>RawRTF!A132</f>
        <v>Single Family</v>
      </c>
      <c r="C15" s="27" t="str">
        <f>RawRTF!B157</f>
        <v>CEE Tier 3 Clothes Washer - Any DHW, Any Dryer - 54% ENERGY STAR Baseline</v>
      </c>
      <c r="D15" s="33" t="str">
        <f>RawRTF!C157</f>
        <v>Waste Water Energy</v>
      </c>
      <c r="E15" s="48">
        <f ca="1">RawRTF!D157</f>
        <v>3.4194180213254715</v>
      </c>
      <c r="F15" s="48">
        <f>RawRTF!E157</f>
        <v>14</v>
      </c>
      <c r="G15" s="48">
        <f>RawRTF!F157</f>
        <v>0</v>
      </c>
      <c r="H15" s="48">
        <f>RawRTF!G157</f>
        <v>0</v>
      </c>
      <c r="I15" s="48" t="str">
        <f>RawRTF!H157</f>
        <v>FLAT</v>
      </c>
      <c r="J15" s="48">
        <f ca="1">RawRTF!I157</f>
        <v>12.849683885869453</v>
      </c>
      <c r="K15" s="48">
        <f>RawRTF!J157</f>
        <v>0</v>
      </c>
      <c r="L15" s="48">
        <f>RawRTF!K157</f>
        <v>0</v>
      </c>
      <c r="M15" s="48">
        <f>RawRTF!L157</f>
        <v>0</v>
      </c>
      <c r="N15" s="48">
        <f>RawRTF!M157</f>
        <v>0</v>
      </c>
      <c r="O15" s="48">
        <f>RawRTF!N157</f>
        <v>0</v>
      </c>
      <c r="P15" s="48">
        <f>RawRTF!O157</f>
        <v>0</v>
      </c>
      <c r="Q15" s="48">
        <f>RawRTF!P157</f>
        <v>0</v>
      </c>
      <c r="R15" s="48">
        <f>RawRTF!Q157</f>
        <v>0</v>
      </c>
      <c r="S15" s="48"/>
      <c r="T15" s="48"/>
      <c r="U15" s="48"/>
      <c r="V15" s="48"/>
      <c r="W15" s="48"/>
      <c r="X15" s="48"/>
      <c r="Y15" s="48"/>
      <c r="Z15" s="48"/>
      <c r="AA15" s="48"/>
      <c r="AB15" s="48"/>
      <c r="AC15" s="48"/>
      <c r="AD15" s="48"/>
      <c r="AE15" s="48"/>
      <c r="AF15" s="48"/>
      <c r="AG15" s="48"/>
      <c r="AH15" s="48"/>
      <c r="AI15" s="48"/>
      <c r="AJ15" s="48"/>
      <c r="AK15" s="48"/>
      <c r="AL15" s="48"/>
      <c r="AM15" s="48"/>
      <c r="AN15" s="48"/>
    </row>
    <row r="16" spans="1:107" ht="25.5">
      <c r="A16" t="str">
        <f t="shared" si="0"/>
        <v>MultifamilyCEE Tier 1 Clothes Washer - Any DHW, Any Dryer - 54% ENERGY STAR BaselineWasher Savings</v>
      </c>
      <c r="B16" t="str">
        <f>RawRTF!A172</f>
        <v>Multifamily</v>
      </c>
      <c r="C16" s="26" t="str">
        <f>RawRTF!B197</f>
        <v>CEE Tier 1 Clothes Washer - Any DHW, Any Dryer - 54% ENERGY STAR Baseline</v>
      </c>
      <c r="D16" s="26" t="str">
        <f>RawRTF!C197</f>
        <v>Washer Savings</v>
      </c>
      <c r="E16" s="48">
        <f ca="1">RawRTF!D197</f>
        <v>13.420513804370698</v>
      </c>
      <c r="F16" s="48">
        <f>RawRTF!E197</f>
        <v>14</v>
      </c>
      <c r="G16" s="48">
        <f ca="1">RawRTF!F197</f>
        <v>126.26454884545808</v>
      </c>
      <c r="H16" s="48">
        <f>RawRTF!G197</f>
        <v>0</v>
      </c>
      <c r="I16" s="48" t="str">
        <f>RawRTF!H197</f>
        <v>ResWASH</v>
      </c>
      <c r="J16" s="48">
        <f ca="1">RawRTF!I197</f>
        <v>6.5152515092717707</v>
      </c>
      <c r="K16" s="48">
        <f>RawRTF!J197</f>
        <v>0</v>
      </c>
      <c r="L16" s="48">
        <f>RawRTF!K197</f>
        <v>0</v>
      </c>
      <c r="M16" s="48">
        <f>RawRTF!L197</f>
        <v>0</v>
      </c>
      <c r="N16" s="48">
        <f>RawRTF!M197</f>
        <v>0</v>
      </c>
      <c r="O16" s="48">
        <f>RawRTF!N197</f>
        <v>0</v>
      </c>
      <c r="P16" s="48">
        <f>RawRTF!O197</f>
        <v>0</v>
      </c>
      <c r="Q16" s="48">
        <f ca="1">RawRTF!P197</f>
        <v>0.38507341368346421</v>
      </c>
      <c r="R16" s="48" t="str">
        <f>RawRTF!Q197</f>
        <v>ResDHW</v>
      </c>
      <c r="S16" s="48"/>
      <c r="T16" s="48"/>
      <c r="U16" s="48"/>
      <c r="V16" s="48"/>
      <c r="W16" s="48"/>
      <c r="X16" s="48"/>
      <c r="Y16" s="48"/>
      <c r="Z16" s="48"/>
      <c r="AA16" s="48"/>
      <c r="AB16" s="48"/>
      <c r="AC16" s="48"/>
      <c r="AD16" s="48"/>
      <c r="AE16" s="48"/>
      <c r="AF16" s="48"/>
      <c r="AG16" s="48"/>
      <c r="AH16" s="48"/>
      <c r="AI16" s="48"/>
      <c r="AJ16" s="48"/>
      <c r="AK16" s="48"/>
      <c r="AL16" s="48"/>
      <c r="AM16" s="48"/>
      <c r="AN16" s="48"/>
    </row>
    <row r="17" spans="1:40" ht="25.5">
      <c r="A17" t="str">
        <f t="shared" si="0"/>
        <v>MultifamilyCEE Tier 2 Clothes Washer - Any DHW, Any Dryer - 54% ENERGY STAR BaselineWasher Savings</v>
      </c>
      <c r="B17" t="str">
        <f>RawRTF!A177</f>
        <v>Multifamily</v>
      </c>
      <c r="C17" s="26" t="str">
        <f>RawRTF!B202</f>
        <v>CEE Tier 2 Clothes Washer - Any DHW, Any Dryer - 54% ENERGY STAR Baseline</v>
      </c>
      <c r="D17" s="32" t="str">
        <f>RawRTF!C202</f>
        <v>Washer Savings</v>
      </c>
      <c r="E17" s="48">
        <f ca="1">RawRTF!D202</f>
        <v>21.036640289811526</v>
      </c>
      <c r="F17" s="48">
        <f>RawRTF!E202</f>
        <v>14</v>
      </c>
      <c r="G17" s="48">
        <f ca="1">RawRTF!F202</f>
        <v>175.84798335118546</v>
      </c>
      <c r="H17" s="48">
        <f>RawRTF!G202</f>
        <v>0</v>
      </c>
      <c r="I17" s="48" t="str">
        <f>RawRTF!H202</f>
        <v>ResWASH</v>
      </c>
      <c r="J17" s="48">
        <f ca="1">RawRTF!I202</f>
        <v>9.5560139665232953</v>
      </c>
      <c r="K17" s="48">
        <f>RawRTF!J202</f>
        <v>0</v>
      </c>
      <c r="L17" s="48">
        <f>RawRTF!K202</f>
        <v>0</v>
      </c>
      <c r="M17" s="48">
        <f>RawRTF!L202</f>
        <v>0</v>
      </c>
      <c r="N17" s="48">
        <f>RawRTF!M202</f>
        <v>0</v>
      </c>
      <c r="O17" s="48">
        <f>RawRTF!N202</f>
        <v>0</v>
      </c>
      <c r="P17" s="48">
        <f>RawRTF!O202</f>
        <v>0</v>
      </c>
      <c r="Q17" s="48">
        <f ca="1">RawRTF!P202</f>
        <v>0.57909283971068659</v>
      </c>
      <c r="R17" s="48" t="str">
        <f>RawRTF!Q202</f>
        <v>ResDHW</v>
      </c>
      <c r="S17" s="48"/>
      <c r="T17" s="48"/>
      <c r="U17" s="48"/>
      <c r="V17" s="48"/>
      <c r="W17" s="48"/>
      <c r="X17" s="48"/>
      <c r="Y17" s="48"/>
      <c r="Z17" s="48"/>
      <c r="AA17" s="48"/>
      <c r="AB17" s="48"/>
      <c r="AC17" s="48"/>
      <c r="AD17" s="48"/>
      <c r="AE17" s="48"/>
      <c r="AF17" s="48"/>
      <c r="AG17" s="48"/>
      <c r="AH17" s="48"/>
      <c r="AI17" s="48"/>
      <c r="AJ17" s="48"/>
      <c r="AK17" s="48"/>
      <c r="AL17" s="48"/>
      <c r="AM17" s="48"/>
      <c r="AN17" s="48"/>
    </row>
    <row r="18" spans="1:40" ht="25.5">
      <c r="A18" t="str">
        <f t="shared" si="0"/>
        <v>MultifamilyCEE Tier 3 Clothes Washer - Any DHW, Any Dryer - 54% ENERGY STAR BaselineWasher Savings</v>
      </c>
      <c r="B18" t="str">
        <f>RawRTF!A182</f>
        <v>Multifamily</v>
      </c>
      <c r="C18" s="26" t="str">
        <f>RawRTF!B207</f>
        <v>CEE Tier 3 Clothes Washer - Any DHW, Any Dryer - 54% ENERGY STAR Baseline</v>
      </c>
      <c r="D18" s="33" t="str">
        <f>RawRTF!C207</f>
        <v>Washer Savings</v>
      </c>
      <c r="E18" s="48">
        <f ca="1">RawRTF!D207</f>
        <v>22.449701998183045</v>
      </c>
      <c r="F18" s="48">
        <f>RawRTF!E207</f>
        <v>14</v>
      </c>
      <c r="G18" s="48">
        <f ca="1">RawRTF!F207</f>
        <v>170.81353679657798</v>
      </c>
      <c r="H18" s="48">
        <f>RawRTF!G207</f>
        <v>0</v>
      </c>
      <c r="I18" s="48" t="str">
        <f>RawRTF!H207</f>
        <v>ResWASH</v>
      </c>
      <c r="J18" s="48">
        <f ca="1">RawRTF!I207</f>
        <v>9.8186517987235185</v>
      </c>
      <c r="K18" s="48">
        <f>RawRTF!J207</f>
        <v>0</v>
      </c>
      <c r="L18" s="48">
        <f>RawRTF!K207</f>
        <v>0</v>
      </c>
      <c r="M18" s="48">
        <f>RawRTF!L207</f>
        <v>0</v>
      </c>
      <c r="N18" s="48">
        <f>RawRTF!M207</f>
        <v>0</v>
      </c>
      <c r="O18" s="48">
        <f>RawRTF!N207</f>
        <v>0</v>
      </c>
      <c r="P18" s="48">
        <f>RawRTF!O207</f>
        <v>0</v>
      </c>
      <c r="Q18" s="48">
        <f ca="1">RawRTF!P207</f>
        <v>0.60722364999701206</v>
      </c>
      <c r="R18" s="48" t="str">
        <f>RawRTF!Q207</f>
        <v>ResDHW</v>
      </c>
      <c r="S18" s="48"/>
      <c r="T18" s="48"/>
      <c r="U18" s="48"/>
      <c r="V18" s="48"/>
      <c r="W18" s="48"/>
      <c r="X18" s="48"/>
      <c r="Y18" s="48"/>
      <c r="Z18" s="48"/>
      <c r="AA18" s="48"/>
      <c r="AB18" s="48"/>
      <c r="AC18" s="48"/>
      <c r="AD18" s="48"/>
      <c r="AE18" s="48"/>
      <c r="AF18" s="48"/>
      <c r="AG18" s="48"/>
      <c r="AH18" s="48"/>
      <c r="AI18" s="48"/>
      <c r="AJ18" s="48"/>
      <c r="AK18" s="48"/>
      <c r="AL18" s="48"/>
      <c r="AM18" s="48"/>
      <c r="AN18" s="48"/>
    </row>
    <row r="19" spans="1:40" ht="25.5">
      <c r="A19" t="str">
        <f t="shared" si="0"/>
        <v>MultifamilyCEE Tier 1 Clothes Washer - Any DHW, Any Dryer - 54% ENERGY STAR BaselineDryer Savings</v>
      </c>
      <c r="B19" t="str">
        <f>RawRTF!A222</f>
        <v>Multifamily</v>
      </c>
      <c r="C19" s="26" t="str">
        <f>RawRTF!B247</f>
        <v>CEE Tier 1 Clothes Washer - Any DHW, Any Dryer - 54% ENERGY STAR Baseline</v>
      </c>
      <c r="D19" s="26" t="str">
        <f>RawRTF!C247</f>
        <v>Dryer Savings</v>
      </c>
      <c r="E19" s="48">
        <f ca="1">RawRTF!D247</f>
        <v>33.614929913688762</v>
      </c>
      <c r="F19" s="48">
        <f>RawRTF!E247</f>
        <v>14</v>
      </c>
      <c r="G19" s="48">
        <f>RawRTF!F247</f>
        <v>0</v>
      </c>
      <c r="H19" s="48">
        <f>RawRTF!G247</f>
        <v>0</v>
      </c>
      <c r="I19" s="48" t="str">
        <f>RawRTF!H247</f>
        <v>ResDRY</v>
      </c>
      <c r="J19" s="48">
        <f>RawRTF!I247</f>
        <v>0</v>
      </c>
      <c r="K19" s="48">
        <f>RawRTF!J247</f>
        <v>0</v>
      </c>
      <c r="L19" s="48">
        <f>RawRTF!K247</f>
        <v>0</v>
      </c>
      <c r="M19" s="48">
        <f>RawRTF!L247</f>
        <v>0</v>
      </c>
      <c r="N19" s="48">
        <f>RawRTF!M247</f>
        <v>0</v>
      </c>
      <c r="O19" s="48">
        <f>RawRTF!N247</f>
        <v>0</v>
      </c>
      <c r="P19" s="48">
        <f>RawRTF!O247</f>
        <v>0</v>
      </c>
      <c r="Q19" s="48">
        <f ca="1">RawRTF!P247</f>
        <v>6.762899288993178E-2</v>
      </c>
      <c r="R19" s="48" t="str">
        <f>RawRTF!Q247</f>
        <v>ResDRY</v>
      </c>
      <c r="S19" s="48"/>
      <c r="T19" s="48"/>
      <c r="U19" s="48"/>
      <c r="V19" s="48"/>
      <c r="W19" s="48"/>
      <c r="X19" s="48"/>
      <c r="Y19" s="48"/>
      <c r="Z19" s="48"/>
      <c r="AA19" s="48"/>
      <c r="AB19" s="48"/>
      <c r="AC19" s="48"/>
      <c r="AD19" s="48"/>
      <c r="AE19" s="48"/>
      <c r="AF19" s="48"/>
      <c r="AG19" s="48"/>
      <c r="AH19" s="48"/>
      <c r="AI19" s="48"/>
      <c r="AJ19" s="48"/>
      <c r="AK19" s="48"/>
      <c r="AL19" s="48"/>
      <c r="AM19" s="48"/>
      <c r="AN19" s="48"/>
    </row>
    <row r="20" spans="1:40" ht="25.5">
      <c r="A20" t="str">
        <f t="shared" si="0"/>
        <v>MultifamilyCEE Tier 2 Clothes Washer - Any DHW, Any Dryer - 54% ENERGY STAR BaselineDryer Savings</v>
      </c>
      <c r="B20" t="str">
        <f>RawRTF!A227</f>
        <v>Multifamily</v>
      </c>
      <c r="C20" s="26" t="str">
        <f>RawRTF!B252</f>
        <v>CEE Tier 2 Clothes Washer - Any DHW, Any Dryer - 54% ENERGY STAR Baseline</v>
      </c>
      <c r="D20" s="32" t="str">
        <f>RawRTF!C252</f>
        <v>Dryer Savings</v>
      </c>
      <c r="E20" s="48">
        <f ca="1">RawRTF!D252</f>
        <v>54.161001405133106</v>
      </c>
      <c r="F20" s="48">
        <f>RawRTF!E252</f>
        <v>14</v>
      </c>
      <c r="G20" s="48">
        <f>RawRTF!F252</f>
        <v>0</v>
      </c>
      <c r="H20" s="48">
        <f>RawRTF!G252</f>
        <v>0</v>
      </c>
      <c r="I20" s="48" t="str">
        <f>RawRTF!H252</f>
        <v>ResDRY</v>
      </c>
      <c r="J20" s="48">
        <f>RawRTF!I252</f>
        <v>0</v>
      </c>
      <c r="K20" s="48">
        <f>RawRTF!J252</f>
        <v>0</v>
      </c>
      <c r="L20" s="48">
        <f>RawRTF!K252</f>
        <v>0</v>
      </c>
      <c r="M20" s="48">
        <f>RawRTF!L252</f>
        <v>0</v>
      </c>
      <c r="N20" s="48">
        <f>RawRTF!M252</f>
        <v>0</v>
      </c>
      <c r="O20" s="48">
        <f>RawRTF!N252</f>
        <v>0</v>
      </c>
      <c r="P20" s="48">
        <f>RawRTF!O252</f>
        <v>0</v>
      </c>
      <c r="Q20" s="48">
        <f ca="1">RawRTF!P252</f>
        <v>0.10896509343747676</v>
      </c>
      <c r="R20" s="48" t="str">
        <f>RawRTF!Q252</f>
        <v>ResDRY</v>
      </c>
      <c r="S20" s="48"/>
      <c r="T20" s="48"/>
      <c r="U20" s="48"/>
      <c r="V20" s="48"/>
      <c r="W20" s="48"/>
      <c r="X20" s="48"/>
      <c r="Y20" s="48"/>
      <c r="Z20" s="48"/>
      <c r="AA20" s="48"/>
      <c r="AB20" s="48"/>
      <c r="AC20" s="48"/>
      <c r="AD20" s="48"/>
      <c r="AE20" s="48"/>
      <c r="AF20" s="48"/>
      <c r="AG20" s="48"/>
      <c r="AH20" s="48"/>
      <c r="AI20" s="48"/>
      <c r="AJ20" s="48"/>
      <c r="AK20" s="48"/>
      <c r="AL20" s="48"/>
      <c r="AM20" s="48"/>
      <c r="AN20" s="48"/>
    </row>
    <row r="21" spans="1:40" ht="25.5">
      <c r="A21" t="str">
        <f t="shared" si="0"/>
        <v>MultifamilyCEE Tier 3 Clothes Washer - Any DHW, Any Dryer - 54% ENERGY STAR BaselineDryer Savings</v>
      </c>
      <c r="B21" t="str">
        <f>RawRTF!A232</f>
        <v>Multifamily</v>
      </c>
      <c r="C21" s="26" t="str">
        <f>RawRTF!B257</f>
        <v>CEE Tier 3 Clothes Washer - Any DHW, Any Dryer - 54% ENERGY STAR Baseline</v>
      </c>
      <c r="D21" s="33" t="str">
        <f>RawRTF!C257</f>
        <v>Dryer Savings</v>
      </c>
      <c r="E21" s="48">
        <f ca="1">RawRTF!D257</f>
        <v>67.858552153583915</v>
      </c>
      <c r="F21" s="48">
        <f>RawRTF!E257</f>
        <v>14</v>
      </c>
      <c r="G21" s="48">
        <f>RawRTF!F257</f>
        <v>0</v>
      </c>
      <c r="H21" s="48">
        <f>RawRTF!G257</f>
        <v>0</v>
      </c>
      <c r="I21" s="48" t="str">
        <f>RawRTF!H257</f>
        <v>ResDRY</v>
      </c>
      <c r="J21" s="48">
        <f>RawRTF!I257</f>
        <v>0</v>
      </c>
      <c r="K21" s="48">
        <f>RawRTF!J257</f>
        <v>0</v>
      </c>
      <c r="L21" s="48">
        <f>RawRTF!K257</f>
        <v>0</v>
      </c>
      <c r="M21" s="48">
        <f>RawRTF!L257</f>
        <v>0</v>
      </c>
      <c r="N21" s="48">
        <f>RawRTF!M257</f>
        <v>0</v>
      </c>
      <c r="O21" s="48">
        <f>RawRTF!N257</f>
        <v>0</v>
      </c>
      <c r="P21" s="48">
        <f>RawRTF!O257</f>
        <v>0</v>
      </c>
      <c r="Q21" s="48">
        <f ca="1">RawRTF!P257</f>
        <v>0.13652283532642318</v>
      </c>
      <c r="R21" s="48" t="str">
        <f>RawRTF!Q257</f>
        <v>ResDRY</v>
      </c>
      <c r="S21" s="48"/>
      <c r="T21" s="48"/>
      <c r="U21" s="48"/>
      <c r="V21" s="48"/>
      <c r="W21" s="48"/>
      <c r="X21" s="48"/>
      <c r="Y21" s="48"/>
      <c r="Z21" s="48"/>
      <c r="AA21" s="48"/>
      <c r="AB21" s="48"/>
      <c r="AC21" s="48"/>
      <c r="AD21" s="48"/>
      <c r="AE21" s="48"/>
      <c r="AF21" s="48"/>
      <c r="AG21" s="48"/>
      <c r="AH21" s="48"/>
      <c r="AI21" s="48"/>
      <c r="AJ21" s="48"/>
      <c r="AK21" s="48"/>
      <c r="AL21" s="48"/>
      <c r="AM21" s="48"/>
      <c r="AN21" s="48"/>
    </row>
    <row r="22" spans="1:40" ht="25.5">
      <c r="A22" t="str">
        <f t="shared" si="0"/>
        <v>MultifamilyCEE Tier 1 Clothes Washer - Any DHW, Any Dryer - 54% ENERGY STAR BaselineWaste Water Energy</v>
      </c>
      <c r="B22" t="str">
        <f>RawRTF!A272</f>
        <v>Multifamily</v>
      </c>
      <c r="C22" s="26" t="str">
        <f>RawRTF!B297</f>
        <v>CEE Tier 1 Clothes Washer - Any DHW, Any Dryer - 54% ENERGY STAR Baseline</v>
      </c>
      <c r="D22" s="26" t="str">
        <f>RawRTF!C297</f>
        <v>Waste Water Energy</v>
      </c>
      <c r="E22" s="48">
        <f ca="1">RawRTF!D297</f>
        <v>2.2689844676199051</v>
      </c>
      <c r="F22" s="48">
        <f>RawRTF!E297</f>
        <v>14</v>
      </c>
      <c r="G22" s="48">
        <f>RawRTF!F297</f>
        <v>0</v>
      </c>
      <c r="H22" s="48">
        <f>RawRTF!G297</f>
        <v>0</v>
      </c>
      <c r="I22" s="48" t="str">
        <f>RawRTF!H297</f>
        <v>FLAT</v>
      </c>
      <c r="J22" s="48">
        <f ca="1">RawRTF!I297</f>
        <v>8.5265191237314468</v>
      </c>
      <c r="K22" s="48">
        <f>RawRTF!J297</f>
        <v>0</v>
      </c>
      <c r="L22" s="48">
        <f>RawRTF!K297</f>
        <v>0</v>
      </c>
      <c r="M22" s="48">
        <f>RawRTF!L297</f>
        <v>0</v>
      </c>
      <c r="N22" s="48">
        <f>RawRTF!M297</f>
        <v>0</v>
      </c>
      <c r="O22" s="48">
        <f>RawRTF!N297</f>
        <v>0</v>
      </c>
      <c r="P22" s="48">
        <f>RawRTF!O297</f>
        <v>0</v>
      </c>
      <c r="Q22" s="48">
        <f>RawRTF!P297</f>
        <v>0</v>
      </c>
      <c r="R22" s="48">
        <f>RawRTF!Q297</f>
        <v>0</v>
      </c>
      <c r="S22" s="48"/>
      <c r="T22" s="48"/>
      <c r="U22" s="48"/>
      <c r="V22" s="48"/>
      <c r="W22" s="48"/>
      <c r="X22" s="48"/>
      <c r="Y22" s="48"/>
      <c r="Z22" s="48"/>
      <c r="AA22" s="48"/>
      <c r="AB22" s="48"/>
      <c r="AC22" s="48"/>
      <c r="AD22" s="48"/>
      <c r="AE22" s="48"/>
      <c r="AF22" s="48"/>
      <c r="AG22" s="48"/>
      <c r="AH22" s="48"/>
      <c r="AI22" s="48"/>
      <c r="AJ22" s="48"/>
      <c r="AK22" s="48"/>
      <c r="AL22" s="48"/>
      <c r="AM22" s="48"/>
      <c r="AN22" s="48"/>
    </row>
    <row r="23" spans="1:40" ht="25.5">
      <c r="A23" t="str">
        <f t="shared" si="0"/>
        <v>MultifamilyCEE Tier 2 Clothes Washer - Any DHW, Any Dryer - 54% ENERGY STAR BaselineWaste Water Energy</v>
      </c>
      <c r="B23" t="str">
        <f>RawRTF!A277</f>
        <v>Multifamily</v>
      </c>
      <c r="C23" s="26" t="str">
        <f>RawRTF!B302</f>
        <v>CEE Tier 2 Clothes Washer - Any DHW, Any Dryer - 54% ENERGY STAR Baseline</v>
      </c>
      <c r="D23" s="32" t="str">
        <f>RawRTF!C302</f>
        <v>Waste Water Energy</v>
      </c>
      <c r="E23" s="48">
        <f ca="1">RawRTF!D302</f>
        <v>3.3279524561015337</v>
      </c>
      <c r="F23" s="48">
        <f>RawRTF!E302</f>
        <v>14</v>
      </c>
      <c r="G23" s="48">
        <f>RawRTF!F302</f>
        <v>0</v>
      </c>
      <c r="H23" s="48">
        <f>RawRTF!G302</f>
        <v>0</v>
      </c>
      <c r="I23" s="48" t="str">
        <f>RawRTF!H302</f>
        <v>FLAT</v>
      </c>
      <c r="J23" s="48">
        <f ca="1">RawRTF!I302</f>
        <v>12.505969372978637</v>
      </c>
      <c r="K23" s="48">
        <f>RawRTF!J302</f>
        <v>0</v>
      </c>
      <c r="L23" s="48">
        <f>RawRTF!K302</f>
        <v>0</v>
      </c>
      <c r="M23" s="48">
        <f>RawRTF!L302</f>
        <v>0</v>
      </c>
      <c r="N23" s="48">
        <f>RawRTF!M302</f>
        <v>0</v>
      </c>
      <c r="O23" s="48">
        <f>RawRTF!N302</f>
        <v>0</v>
      </c>
      <c r="P23" s="48">
        <f>RawRTF!O302</f>
        <v>0</v>
      </c>
      <c r="Q23" s="48">
        <f>RawRTF!P302</f>
        <v>0</v>
      </c>
      <c r="R23" s="48">
        <f>RawRTF!Q302</f>
        <v>0</v>
      </c>
      <c r="S23" s="48"/>
      <c r="T23" s="48"/>
      <c r="U23" s="48"/>
      <c r="V23" s="48"/>
      <c r="W23" s="48"/>
      <c r="X23" s="48"/>
      <c r="Y23" s="48"/>
      <c r="Z23" s="48"/>
      <c r="AA23" s="48"/>
      <c r="AB23" s="48"/>
      <c r="AC23" s="48"/>
      <c r="AD23" s="48"/>
      <c r="AE23" s="48"/>
      <c r="AF23" s="48"/>
      <c r="AG23" s="48"/>
      <c r="AH23" s="48"/>
      <c r="AI23" s="48"/>
      <c r="AJ23" s="48"/>
      <c r="AK23" s="48"/>
      <c r="AL23" s="48"/>
      <c r="AM23" s="48"/>
      <c r="AN23" s="48"/>
    </row>
    <row r="24" spans="1:40" ht="25.5">
      <c r="A24" t="str">
        <f t="shared" si="0"/>
        <v>MultifamilyCEE Tier 3 Clothes Washer - Any DHW, Any Dryer - 54% ENERGY STAR BaselineWaste Water Energy</v>
      </c>
      <c r="B24" t="str">
        <f>RawRTF!A282</f>
        <v>Multifamily</v>
      </c>
      <c r="C24" s="26" t="str">
        <f>RawRTF!B307</f>
        <v>CEE Tier 3 Clothes Washer - Any DHW, Any Dryer - 54% ENERGY STAR Baseline</v>
      </c>
      <c r="D24" s="33" t="str">
        <f>RawRTF!C307</f>
        <v>Waste Water Energy</v>
      </c>
      <c r="E24" s="48">
        <f ca="1">RawRTF!D307</f>
        <v>3.4194180213254715</v>
      </c>
      <c r="F24" s="48">
        <f>RawRTF!E307</f>
        <v>14</v>
      </c>
      <c r="G24" s="48">
        <f>RawRTF!F307</f>
        <v>0</v>
      </c>
      <c r="H24" s="48">
        <f>RawRTF!G307</f>
        <v>0</v>
      </c>
      <c r="I24" s="48" t="str">
        <f>RawRTF!H307</f>
        <v>FLAT</v>
      </c>
      <c r="J24" s="48">
        <f ca="1">RawRTF!I307</f>
        <v>12.849683885869453</v>
      </c>
      <c r="K24" s="48">
        <f>RawRTF!J307</f>
        <v>0</v>
      </c>
      <c r="L24" s="48">
        <f>RawRTF!K307</f>
        <v>0</v>
      </c>
      <c r="M24" s="48">
        <f>RawRTF!L307</f>
        <v>0</v>
      </c>
      <c r="N24" s="48">
        <f>RawRTF!M307</f>
        <v>0</v>
      </c>
      <c r="O24" s="48">
        <f>RawRTF!N307</f>
        <v>0</v>
      </c>
      <c r="P24" s="48">
        <f>RawRTF!O307</f>
        <v>0</v>
      </c>
      <c r="Q24" s="48">
        <f>RawRTF!P307</f>
        <v>0</v>
      </c>
      <c r="R24" s="48">
        <f>RawRTF!Q307</f>
        <v>0</v>
      </c>
      <c r="S24" s="48"/>
      <c r="T24" s="48"/>
      <c r="U24" s="48"/>
      <c r="V24" s="48"/>
      <c r="W24" s="48"/>
      <c r="X24" s="48"/>
      <c r="Y24" s="48"/>
      <c r="Z24" s="48"/>
      <c r="AA24" s="48"/>
      <c r="AB24" s="48"/>
      <c r="AC24" s="48"/>
      <c r="AD24" s="48"/>
      <c r="AE24" s="48"/>
      <c r="AF24" s="48"/>
      <c r="AG24" s="48"/>
      <c r="AH24" s="48"/>
      <c r="AI24" s="48"/>
      <c r="AJ24" s="48"/>
      <c r="AK24" s="48"/>
      <c r="AL24" s="48"/>
      <c r="AM24" s="48"/>
      <c r="AN24" s="48"/>
    </row>
    <row r="25" spans="1:40" ht="25.5">
      <c r="A25" t="str">
        <f t="shared" si="0"/>
        <v>ManufacturedCEE Tier 1 Clothes Washer - Any DHW, Any Dryer - 54% ENERGY STAR BaselineWasher Savings</v>
      </c>
      <c r="B25" t="str">
        <f>RawRTF!A322</f>
        <v>Manufactured</v>
      </c>
      <c r="C25" s="761" t="str">
        <f>RawRTF!B347</f>
        <v>CEE Tier 1 Clothes Washer - Any DHW, Any Dryer - 54% ENERGY STAR Baseline</v>
      </c>
      <c r="D25" s="26" t="str">
        <f>RawRTF!C347</f>
        <v>Washer Savings</v>
      </c>
      <c r="E25" s="48">
        <f ca="1">RawRTF!D347</f>
        <v>13.366643591022726</v>
      </c>
      <c r="F25" s="48">
        <f>RawRTF!E347</f>
        <v>14</v>
      </c>
      <c r="G25" s="48">
        <f ca="1">RawRTF!F347</f>
        <v>126.26454884545808</v>
      </c>
      <c r="H25" s="48">
        <f>RawRTF!G347</f>
        <v>0</v>
      </c>
      <c r="I25" s="48" t="str">
        <f>RawRTF!H347</f>
        <v>ResWASH</v>
      </c>
      <c r="J25" s="48">
        <f ca="1">RawRTF!I347</f>
        <v>6.5740799653374253</v>
      </c>
      <c r="K25" s="48">
        <f>RawRTF!J347</f>
        <v>0</v>
      </c>
      <c r="L25" s="48">
        <f>RawRTF!K347</f>
        <v>0</v>
      </c>
      <c r="M25" s="48">
        <f>RawRTF!L347</f>
        <v>0</v>
      </c>
      <c r="N25" s="48">
        <f>RawRTF!M347</f>
        <v>0</v>
      </c>
      <c r="O25" s="48">
        <f>RawRTF!N347</f>
        <v>0</v>
      </c>
      <c r="P25" s="48">
        <f>RawRTF!O347</f>
        <v>0</v>
      </c>
      <c r="Q25" s="48">
        <f ca="1">RawRTF!P347</f>
        <v>0.38257658578402781</v>
      </c>
      <c r="R25" s="48" t="str">
        <f>RawRTF!Q347</f>
        <v>ResDHW</v>
      </c>
      <c r="S25" s="48"/>
      <c r="T25" s="48"/>
      <c r="U25" s="48"/>
      <c r="V25" s="48"/>
      <c r="W25" s="48"/>
      <c r="X25" s="48"/>
      <c r="Y25" s="48"/>
      <c r="Z25" s="48"/>
      <c r="AA25" s="48"/>
      <c r="AB25" s="48"/>
      <c r="AC25" s="48"/>
      <c r="AD25" s="48"/>
      <c r="AE25" s="48"/>
      <c r="AF25" s="48"/>
      <c r="AG25" s="48"/>
      <c r="AH25" s="48"/>
      <c r="AI25" s="48"/>
      <c r="AJ25" s="48"/>
      <c r="AK25" s="48"/>
      <c r="AL25" s="48"/>
      <c r="AM25" s="48"/>
      <c r="AN25" s="48"/>
    </row>
    <row r="26" spans="1:40" ht="25.5">
      <c r="A26" t="str">
        <f t="shared" si="0"/>
        <v>ManufacturedCEE Tier 2 Clothes Washer - Any DHW, Any Dryer - 54% ENERGY STAR BaselineWasher Savings</v>
      </c>
      <c r="B26" t="str">
        <f>RawRTF!A327</f>
        <v>Manufactured</v>
      </c>
      <c r="C26" s="761" t="str">
        <f>RawRTF!B352</f>
        <v>CEE Tier 2 Clothes Washer - Any DHW, Any Dryer - 54% ENERGY STAR Baseline</v>
      </c>
      <c r="D26" s="32" t="str">
        <f>RawRTF!C352</f>
        <v>Washer Savings</v>
      </c>
      <c r="E26" s="48">
        <f ca="1">RawRTF!D352</f>
        <v>20.955255234551387</v>
      </c>
      <c r="F26" s="48">
        <f>RawRTF!E352</f>
        <v>14</v>
      </c>
      <c r="G26" s="48">
        <f ca="1">RawRTF!F352</f>
        <v>175.84798335118546</v>
      </c>
      <c r="H26" s="48">
        <f>RawRTF!G352</f>
        <v>0</v>
      </c>
      <c r="I26" s="48" t="str">
        <f>RawRTF!H352</f>
        <v>ResWASH</v>
      </c>
      <c r="J26" s="48">
        <f ca="1">RawRTF!I352</f>
        <v>9.6422985170110884</v>
      </c>
      <c r="K26" s="48">
        <f>RawRTF!J352</f>
        <v>0</v>
      </c>
      <c r="L26" s="48">
        <f>RawRTF!K352</f>
        <v>0</v>
      </c>
      <c r="M26" s="48">
        <f>RawRTF!L352</f>
        <v>0</v>
      </c>
      <c r="N26" s="48">
        <f>RawRTF!M352</f>
        <v>0</v>
      </c>
      <c r="O26" s="48">
        <f>RawRTF!N352</f>
        <v>0</v>
      </c>
      <c r="P26" s="48">
        <f>RawRTF!O352</f>
        <v>0</v>
      </c>
      <c r="Q26" s="48">
        <f ca="1">RawRTF!P352</f>
        <v>0.57528870078890559</v>
      </c>
      <c r="R26" s="48" t="str">
        <f>RawRTF!Q352</f>
        <v>ResDHW</v>
      </c>
      <c r="S26" s="48"/>
      <c r="T26" s="48"/>
      <c r="U26" s="48"/>
      <c r="V26" s="48"/>
      <c r="W26" s="48"/>
      <c r="X26" s="48"/>
      <c r="Y26" s="48"/>
      <c r="Z26" s="48"/>
      <c r="AA26" s="48"/>
      <c r="AB26" s="48"/>
      <c r="AC26" s="48"/>
      <c r="AD26" s="48"/>
      <c r="AE26" s="48"/>
      <c r="AF26" s="48"/>
      <c r="AG26" s="48"/>
      <c r="AH26" s="48"/>
      <c r="AI26" s="48"/>
      <c r="AJ26" s="48"/>
      <c r="AK26" s="48"/>
      <c r="AL26" s="48"/>
      <c r="AM26" s="48"/>
      <c r="AN26" s="48"/>
    </row>
    <row r="27" spans="1:40" ht="25.5">
      <c r="A27" t="str">
        <f t="shared" si="0"/>
        <v>ManufacturedCEE Tier 3 Clothes Washer - Any DHW, Any Dryer - 54% ENERGY STAR BaselineWasher Savings</v>
      </c>
      <c r="B27" t="str">
        <f>RawRTF!A332</f>
        <v>Manufactured</v>
      </c>
      <c r="C27" s="761" t="str">
        <f>RawRTF!B357</f>
        <v>CEE Tier 3 Clothes Washer - Any DHW, Any Dryer - 54% ENERGY STAR Baseline</v>
      </c>
      <c r="D27" s="33" t="str">
        <f>RawRTF!C357</f>
        <v>Washer Savings</v>
      </c>
      <c r="E27" s="48">
        <f ca="1">RawRTF!D357</f>
        <v>22.360371780470118</v>
      </c>
      <c r="F27" s="48">
        <f>RawRTF!E357</f>
        <v>14</v>
      </c>
      <c r="G27" s="48">
        <f ca="1">RawRTF!F357</f>
        <v>170.81353679657798</v>
      </c>
      <c r="H27" s="48">
        <f>RawRTF!G357</f>
        <v>0</v>
      </c>
      <c r="I27" s="48" t="str">
        <f>RawRTF!H357</f>
        <v>ResWASH</v>
      </c>
      <c r="J27" s="48">
        <f ca="1">RawRTF!I357</f>
        <v>9.907307796906121</v>
      </c>
      <c r="K27" s="48">
        <f>RawRTF!J357</f>
        <v>0</v>
      </c>
      <c r="L27" s="48">
        <f>RawRTF!K357</f>
        <v>0</v>
      </c>
      <c r="M27" s="48">
        <f>RawRTF!L357</f>
        <v>0</v>
      </c>
      <c r="N27" s="48">
        <f>RawRTF!M357</f>
        <v>0</v>
      </c>
      <c r="O27" s="48">
        <f>RawRTF!N357</f>
        <v>0</v>
      </c>
      <c r="P27" s="48">
        <f>RawRTF!O357</f>
        <v>0</v>
      </c>
      <c r="Q27" s="48">
        <f ca="1">RawRTF!P357</f>
        <v>0.60316026808695733</v>
      </c>
      <c r="R27" s="48" t="str">
        <f>RawRTF!Q357</f>
        <v>ResDHW</v>
      </c>
      <c r="S27" s="48"/>
      <c r="T27" s="48"/>
      <c r="U27" s="48"/>
      <c r="V27" s="48"/>
      <c r="W27" s="48"/>
      <c r="X27" s="48"/>
      <c r="Y27" s="48"/>
      <c r="Z27" s="48"/>
      <c r="AA27" s="48"/>
      <c r="AB27" s="48"/>
      <c r="AC27" s="48"/>
      <c r="AD27" s="48"/>
      <c r="AE27" s="48"/>
      <c r="AF27" s="48"/>
      <c r="AG27" s="48"/>
      <c r="AH27" s="48"/>
      <c r="AI27" s="48"/>
      <c r="AJ27" s="48"/>
      <c r="AK27" s="48"/>
      <c r="AL27" s="48"/>
      <c r="AM27" s="48"/>
      <c r="AN27" s="48"/>
    </row>
    <row r="28" spans="1:40" ht="25.5">
      <c r="A28" t="str">
        <f t="shared" si="0"/>
        <v>ManufacturedCEE Tier 1 Clothes Washer - Any DHW, Any Dryer - 54% ENERGY STAR BaselineDryer Savings</v>
      </c>
      <c r="B28" t="str">
        <f>RawRTF!A372</f>
        <v>Manufactured</v>
      </c>
      <c r="C28" s="761" t="str">
        <f>RawRTF!B397</f>
        <v>CEE Tier 1 Clothes Washer - Any DHW, Any Dryer - 54% ENERGY STAR Baseline</v>
      </c>
      <c r="D28" s="26" t="str">
        <f>RawRTF!C397</f>
        <v>Dryer Savings</v>
      </c>
      <c r="E28" s="48">
        <f ca="1">RawRTF!D397</f>
        <v>33.71823055068964</v>
      </c>
      <c r="F28" s="48">
        <f>RawRTF!E397</f>
        <v>14</v>
      </c>
      <c r="G28" s="48">
        <f>RawRTF!F397</f>
        <v>0</v>
      </c>
      <c r="H28" s="48">
        <f>RawRTF!G397</f>
        <v>0</v>
      </c>
      <c r="I28" s="48" t="str">
        <f>RawRTF!H397</f>
        <v>ResDRY</v>
      </c>
      <c r="J28" s="48">
        <f>RawRTF!I397</f>
        <v>0</v>
      </c>
      <c r="K28" s="48">
        <f>RawRTF!J397</f>
        <v>0</v>
      </c>
      <c r="L28" s="48">
        <f>RawRTF!K397</f>
        <v>0</v>
      </c>
      <c r="M28" s="48">
        <f>RawRTF!L397</f>
        <v>0</v>
      </c>
      <c r="N28" s="48">
        <f>RawRTF!M397</f>
        <v>0</v>
      </c>
      <c r="O28" s="48">
        <f>RawRTF!N397</f>
        <v>0</v>
      </c>
      <c r="P28" s="48">
        <f>RawRTF!O397</f>
        <v>0</v>
      </c>
      <c r="Q28" s="48">
        <f ca="1">RawRTF!P397</f>
        <v>6.7836820723076105E-2</v>
      </c>
      <c r="R28" s="48" t="str">
        <f>RawRTF!Q397</f>
        <v>ResDRY</v>
      </c>
      <c r="S28" s="48"/>
      <c r="T28" s="48"/>
      <c r="U28" s="48"/>
      <c r="V28" s="48"/>
      <c r="W28" s="48"/>
      <c r="X28" s="48"/>
      <c r="Y28" s="48"/>
      <c r="Z28" s="48"/>
      <c r="AA28" s="48"/>
      <c r="AB28" s="48"/>
      <c r="AC28" s="48"/>
      <c r="AD28" s="48"/>
      <c r="AE28" s="48"/>
      <c r="AF28" s="48"/>
      <c r="AG28" s="48"/>
      <c r="AH28" s="48"/>
      <c r="AI28" s="48"/>
      <c r="AJ28" s="48"/>
      <c r="AK28" s="48"/>
      <c r="AL28" s="48"/>
      <c r="AM28" s="48"/>
      <c r="AN28" s="48"/>
    </row>
    <row r="29" spans="1:40" ht="25.5">
      <c r="A29" t="str">
        <f t="shared" si="0"/>
        <v>ManufacturedCEE Tier 2 Clothes Washer - Any DHW, Any Dryer - 54% ENERGY STAR BaselineDryer Savings</v>
      </c>
      <c r="B29" t="str">
        <f>RawRTF!A377</f>
        <v>Manufactured</v>
      </c>
      <c r="C29" s="761" t="str">
        <f>RawRTF!B402</f>
        <v>CEE Tier 2 Clothes Washer - Any DHW, Any Dryer - 54% ENERGY STAR Baseline</v>
      </c>
      <c r="D29" s="32" t="str">
        <f>RawRTF!C402</f>
        <v>Dryer Savings</v>
      </c>
      <c r="E29" s="48">
        <f ca="1">RawRTF!D402</f>
        <v>54.317732648057145</v>
      </c>
      <c r="F29" s="48">
        <f>RawRTF!E402</f>
        <v>14</v>
      </c>
      <c r="G29" s="48">
        <f>RawRTF!F402</f>
        <v>0</v>
      </c>
      <c r="H29" s="48">
        <f>RawRTF!G402</f>
        <v>0</v>
      </c>
      <c r="I29" s="48" t="str">
        <f>RawRTF!H402</f>
        <v>ResDRY</v>
      </c>
      <c r="J29" s="48">
        <f>RawRTF!I402</f>
        <v>0</v>
      </c>
      <c r="K29" s="48">
        <f>RawRTF!J402</f>
        <v>0</v>
      </c>
      <c r="L29" s="48">
        <f>RawRTF!K402</f>
        <v>0</v>
      </c>
      <c r="M29" s="48">
        <f>RawRTF!L402</f>
        <v>0</v>
      </c>
      <c r="N29" s="48">
        <f>RawRTF!M402</f>
        <v>0</v>
      </c>
      <c r="O29" s="48">
        <f>RawRTF!N402</f>
        <v>0</v>
      </c>
      <c r="P29" s="48">
        <f>RawRTF!O402</f>
        <v>0</v>
      </c>
      <c r="Q29" s="48">
        <f ca="1">RawRTF!P402</f>
        <v>0.10928041690060937</v>
      </c>
      <c r="R29" s="48" t="str">
        <f>RawRTF!Q402</f>
        <v>ResDRY</v>
      </c>
      <c r="S29" s="48"/>
      <c r="T29" s="48"/>
      <c r="U29" s="48"/>
      <c r="V29" s="48"/>
      <c r="W29" s="48"/>
      <c r="X29" s="48"/>
      <c r="Y29" s="48"/>
      <c r="Z29" s="48"/>
      <c r="AA29" s="48"/>
      <c r="AB29" s="48"/>
      <c r="AC29" s="48"/>
      <c r="AD29" s="48"/>
      <c r="AE29" s="48"/>
      <c r="AF29" s="48"/>
      <c r="AG29" s="48"/>
      <c r="AH29" s="48"/>
      <c r="AI29" s="48"/>
      <c r="AJ29" s="48"/>
      <c r="AK29" s="48"/>
      <c r="AL29" s="48"/>
      <c r="AM29" s="48"/>
      <c r="AN29" s="48"/>
    </row>
    <row r="30" spans="1:40" ht="25.5">
      <c r="A30" t="str">
        <f t="shared" si="0"/>
        <v>ManufacturedCEE Tier 3 Clothes Washer - Any DHW, Any Dryer - 54% ENERGY STAR BaselineDryer Savings</v>
      </c>
      <c r="B30" t="str">
        <f>RawRTF!A382</f>
        <v>Manufactured</v>
      </c>
      <c r="C30" s="761" t="str">
        <f>RawRTF!B407</f>
        <v>CEE Tier 3 Clothes Washer - Any DHW, Any Dryer - 54% ENERGY STAR Baseline</v>
      </c>
      <c r="D30" s="33" t="str">
        <f>RawRTF!C407</f>
        <v>Dryer Savings</v>
      </c>
      <c r="E30" s="48">
        <f ca="1">RawRTF!D407</f>
        <v>68.028243273564271</v>
      </c>
      <c r="F30" s="48">
        <f>RawRTF!E407</f>
        <v>14</v>
      </c>
      <c r="G30" s="48">
        <f>RawRTF!F407</f>
        <v>0</v>
      </c>
      <c r="H30" s="48">
        <f>RawRTF!G407</f>
        <v>0</v>
      </c>
      <c r="I30" s="48" t="str">
        <f>RawRTF!H407</f>
        <v>ResDRY</v>
      </c>
      <c r="J30" s="48">
        <f>RawRTF!I407</f>
        <v>0</v>
      </c>
      <c r="K30" s="48">
        <f>RawRTF!J407</f>
        <v>0</v>
      </c>
      <c r="L30" s="48">
        <f>RawRTF!K407</f>
        <v>0</v>
      </c>
      <c r="M30" s="48">
        <f>RawRTF!L407</f>
        <v>0</v>
      </c>
      <c r="N30" s="48">
        <f>RawRTF!M407</f>
        <v>0</v>
      </c>
      <c r="O30" s="48">
        <f>RawRTF!N407</f>
        <v>0</v>
      </c>
      <c r="P30" s="48">
        <f>RawRTF!O407</f>
        <v>0</v>
      </c>
      <c r="Q30" s="48">
        <f ca="1">RawRTF!P407</f>
        <v>0.13686423242515597</v>
      </c>
      <c r="R30" s="48" t="str">
        <f>RawRTF!Q407</f>
        <v>ResDRY</v>
      </c>
      <c r="S30" s="48"/>
      <c r="T30" s="48"/>
      <c r="U30" s="48"/>
      <c r="V30" s="48"/>
      <c r="W30" s="48"/>
      <c r="X30" s="48"/>
      <c r="Y30" s="48"/>
      <c r="Z30" s="48"/>
      <c r="AA30" s="48"/>
      <c r="AB30" s="48"/>
      <c r="AC30" s="48"/>
      <c r="AD30" s="48"/>
      <c r="AE30" s="48"/>
      <c r="AF30" s="48"/>
      <c r="AG30" s="48"/>
      <c r="AH30" s="48"/>
      <c r="AI30" s="48"/>
      <c r="AJ30" s="48"/>
      <c r="AK30" s="48"/>
      <c r="AL30" s="48"/>
      <c r="AM30" s="48"/>
      <c r="AN30" s="48"/>
    </row>
    <row r="31" spans="1:40" ht="25.5">
      <c r="A31" t="str">
        <f t="shared" si="0"/>
        <v>ManufacturedCEE Tier 1 Clothes Washer - Any DHW, Any Dryer - 54% ENERGY STAR BaselineWaste Water Energy</v>
      </c>
      <c r="B31" t="str">
        <f>RawRTF!A422</f>
        <v>Manufactured</v>
      </c>
      <c r="C31" s="761" t="str">
        <f>RawRTF!B447</f>
        <v>CEE Tier 1 Clothes Washer - Any DHW, Any Dryer - 54% ENERGY STAR Baseline</v>
      </c>
      <c r="D31" s="26" t="str">
        <f>RawRTF!C447</f>
        <v>Waste Water Energy</v>
      </c>
      <c r="E31" s="48">
        <f ca="1">RawRTF!D447</f>
        <v>2.2689844676199051</v>
      </c>
      <c r="F31" s="48">
        <f>RawRTF!E447</f>
        <v>14</v>
      </c>
      <c r="G31" s="48">
        <f>RawRTF!F447</f>
        <v>0</v>
      </c>
      <c r="H31" s="48">
        <f>RawRTF!G447</f>
        <v>0</v>
      </c>
      <c r="I31" s="48" t="str">
        <f>RawRTF!H447</f>
        <v>FLAT</v>
      </c>
      <c r="J31" s="48">
        <f ca="1">RawRTF!I447</f>
        <v>8.5265191237314468</v>
      </c>
      <c r="K31" s="48">
        <f>RawRTF!J447</f>
        <v>0</v>
      </c>
      <c r="L31" s="48">
        <f>RawRTF!K447</f>
        <v>0</v>
      </c>
      <c r="M31" s="48">
        <f>RawRTF!L447</f>
        <v>0</v>
      </c>
      <c r="N31" s="48">
        <f>RawRTF!M447</f>
        <v>0</v>
      </c>
      <c r="O31" s="48">
        <f>RawRTF!N447</f>
        <v>0</v>
      </c>
      <c r="P31" s="48">
        <f>RawRTF!O447</f>
        <v>0</v>
      </c>
      <c r="Q31" s="48">
        <f>RawRTF!P447</f>
        <v>0</v>
      </c>
      <c r="R31" s="48">
        <f>RawRTF!Q447</f>
        <v>0</v>
      </c>
      <c r="S31" s="48"/>
      <c r="T31" s="48"/>
      <c r="U31" s="48"/>
      <c r="V31" s="48"/>
      <c r="W31" s="48"/>
      <c r="X31" s="48"/>
      <c r="Y31" s="48"/>
      <c r="Z31" s="48"/>
      <c r="AA31" s="48"/>
      <c r="AB31" s="48"/>
      <c r="AC31" s="48"/>
      <c r="AD31" s="48"/>
      <c r="AE31" s="48"/>
      <c r="AF31" s="48"/>
      <c r="AG31" s="48"/>
      <c r="AH31" s="48"/>
      <c r="AI31" s="48"/>
      <c r="AJ31" s="48"/>
      <c r="AK31" s="48"/>
      <c r="AL31" s="48"/>
      <c r="AM31" s="48"/>
      <c r="AN31" s="48"/>
    </row>
    <row r="32" spans="1:40" ht="25.5">
      <c r="A32" t="str">
        <f t="shared" si="0"/>
        <v>ManufacturedCEE Tier 2 Clothes Washer - Any DHW, Any Dryer - 54% ENERGY STAR BaselineWaste Water Energy</v>
      </c>
      <c r="B32" t="str">
        <f>RawRTF!A427</f>
        <v>Manufactured</v>
      </c>
      <c r="C32" s="761" t="str">
        <f>RawRTF!B452</f>
        <v>CEE Tier 2 Clothes Washer - Any DHW, Any Dryer - 54% ENERGY STAR Baseline</v>
      </c>
      <c r="D32" s="32" t="str">
        <f>RawRTF!C452</f>
        <v>Waste Water Energy</v>
      </c>
      <c r="E32" s="48">
        <f ca="1">RawRTF!D452</f>
        <v>3.3279524561015337</v>
      </c>
      <c r="F32" s="48">
        <f>RawRTF!E452</f>
        <v>14</v>
      </c>
      <c r="G32" s="48">
        <f>RawRTF!F452</f>
        <v>0</v>
      </c>
      <c r="H32" s="48">
        <f>RawRTF!G452</f>
        <v>0</v>
      </c>
      <c r="I32" s="48" t="str">
        <f>RawRTF!H452</f>
        <v>FLAT</v>
      </c>
      <c r="J32" s="48">
        <f ca="1">RawRTF!I452</f>
        <v>12.505969372978637</v>
      </c>
      <c r="K32" s="48">
        <f>RawRTF!J452</f>
        <v>0</v>
      </c>
      <c r="L32" s="48">
        <f>RawRTF!K452</f>
        <v>0</v>
      </c>
      <c r="M32" s="48">
        <f>RawRTF!L452</f>
        <v>0</v>
      </c>
      <c r="N32" s="48">
        <f>RawRTF!M452</f>
        <v>0</v>
      </c>
      <c r="O32" s="48">
        <f>RawRTF!N452</f>
        <v>0</v>
      </c>
      <c r="P32" s="48">
        <f>RawRTF!O452</f>
        <v>0</v>
      </c>
      <c r="Q32" s="48">
        <f>RawRTF!P452</f>
        <v>0</v>
      </c>
      <c r="R32" s="48">
        <f>RawRTF!Q452</f>
        <v>0</v>
      </c>
      <c r="S32" s="48"/>
      <c r="T32" s="48"/>
      <c r="U32" s="48"/>
      <c r="V32" s="48"/>
      <c r="W32" s="48"/>
      <c r="X32" s="48"/>
      <c r="Y32" s="48"/>
      <c r="Z32" s="48"/>
      <c r="AA32" s="48"/>
      <c r="AB32" s="48"/>
      <c r="AC32" s="48"/>
      <c r="AD32" s="48"/>
      <c r="AE32" s="48"/>
      <c r="AF32" s="48"/>
      <c r="AG32" s="48"/>
      <c r="AH32" s="48"/>
      <c r="AI32" s="48"/>
      <c r="AJ32" s="48"/>
      <c r="AK32" s="48"/>
      <c r="AL32" s="48"/>
      <c r="AM32" s="48"/>
      <c r="AN32" s="48"/>
    </row>
    <row r="33" spans="1:107" ht="25.5">
      <c r="A33" t="str">
        <f t="shared" si="0"/>
        <v>ManufacturedCEE Tier 3 Clothes Washer - Any DHW, Any Dryer - 54% ENERGY STAR BaselineWaste Water Energy</v>
      </c>
      <c r="B33" t="str">
        <f>RawRTF!A432</f>
        <v>Manufactured</v>
      </c>
      <c r="C33" s="761" t="str">
        <f>RawRTF!B457</f>
        <v>CEE Tier 3 Clothes Washer - Any DHW, Any Dryer - 54% ENERGY STAR Baseline</v>
      </c>
      <c r="D33" s="33" t="str">
        <f>RawRTF!C457</f>
        <v>Waste Water Energy</v>
      </c>
      <c r="E33" s="48">
        <f ca="1">RawRTF!D457</f>
        <v>3.4194180213254715</v>
      </c>
      <c r="F33" s="48">
        <f>RawRTF!E457</f>
        <v>14</v>
      </c>
      <c r="G33" s="48">
        <f>RawRTF!F457</f>
        <v>0</v>
      </c>
      <c r="H33" s="48">
        <f>RawRTF!G457</f>
        <v>0</v>
      </c>
      <c r="I33" s="48" t="str">
        <f>RawRTF!H457</f>
        <v>FLAT</v>
      </c>
      <c r="J33" s="48">
        <f ca="1">RawRTF!I457</f>
        <v>12.849683885869453</v>
      </c>
      <c r="K33" s="48">
        <f>RawRTF!J457</f>
        <v>0</v>
      </c>
      <c r="L33" s="48">
        <f>RawRTF!K457</f>
        <v>0</v>
      </c>
      <c r="M33" s="48">
        <f>RawRTF!L457</f>
        <v>0</v>
      </c>
      <c r="N33" s="48">
        <f>RawRTF!M457</f>
        <v>0</v>
      </c>
      <c r="O33" s="48">
        <f>RawRTF!N457</f>
        <v>0</v>
      </c>
      <c r="P33" s="48">
        <f>RawRTF!O457</f>
        <v>0</v>
      </c>
      <c r="Q33" s="48">
        <f>RawRTF!P457</f>
        <v>0</v>
      </c>
      <c r="R33" s="48">
        <f>RawRTF!Q457</f>
        <v>0</v>
      </c>
      <c r="S33" s="48"/>
      <c r="T33" s="48"/>
      <c r="U33" s="48"/>
      <c r="V33" s="48"/>
      <c r="W33" s="48"/>
      <c r="X33" s="48"/>
      <c r="Y33" s="48"/>
      <c r="Z33" s="48"/>
      <c r="AA33" s="48"/>
      <c r="AB33" s="48"/>
      <c r="AC33" s="48"/>
      <c r="AD33" s="48"/>
      <c r="AE33" s="48"/>
      <c r="AF33" s="48"/>
      <c r="AG33" s="48"/>
      <c r="AH33" s="48"/>
      <c r="AI33" s="48"/>
      <c r="AJ33" s="48"/>
      <c r="AK33" s="48"/>
      <c r="AL33" s="48"/>
      <c r="AM33" s="48"/>
      <c r="AN33" s="48"/>
    </row>
    <row r="34" spans="1:107">
      <c r="C34" s="26"/>
      <c r="D34" s="33"/>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row>
    <row r="35" spans="1:107">
      <c r="C35" s="26"/>
      <c r="D35" s="33"/>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row>
    <row r="36" spans="1:107">
      <c r="A36" s="49" t="s">
        <v>51</v>
      </c>
    </row>
    <row r="37" spans="1:107" s="9" customFormat="1">
      <c r="C37" s="14" t="s">
        <v>3</v>
      </c>
      <c r="D37" s="15"/>
      <c r="E37" s="15"/>
      <c r="F37" s="15"/>
      <c r="G37" s="15"/>
      <c r="H37" s="15"/>
      <c r="I37" s="16"/>
      <c r="J37" s="17"/>
      <c r="K37" s="894" t="s">
        <v>4</v>
      </c>
      <c r="L37" s="895"/>
      <c r="M37" s="895"/>
      <c r="N37" s="895"/>
      <c r="O37" s="895"/>
      <c r="P37" s="896"/>
      <c r="Q37" s="897" t="s">
        <v>5</v>
      </c>
      <c r="R37" s="898"/>
      <c r="S37" s="18"/>
      <c r="T37" s="19"/>
      <c r="U37" s="19"/>
      <c r="V37" s="19"/>
      <c r="W37" s="19"/>
      <c r="X37" s="19"/>
      <c r="Y37" s="19"/>
      <c r="Z37" s="20"/>
      <c r="AA37" s="21"/>
      <c r="AB37" s="19"/>
      <c r="AC37" s="19"/>
      <c r="AD37" s="19"/>
      <c r="AE37" s="19"/>
      <c r="AF37" s="19"/>
      <c r="AG37" s="22"/>
      <c r="AH37" s="22"/>
      <c r="AI37" s="22"/>
      <c r="AJ37" s="22"/>
      <c r="AK37" s="22"/>
      <c r="AL37" s="22"/>
      <c r="AM37" s="22"/>
      <c r="AN37" s="22"/>
      <c r="AO37" s="22"/>
      <c r="AP37" s="22"/>
      <c r="AQ37" s="22"/>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row>
    <row r="38" spans="1:107" ht="25.5">
      <c r="A38" s="9" t="s">
        <v>50</v>
      </c>
      <c r="C38" s="23" t="s">
        <v>6</v>
      </c>
      <c r="D38" s="23" t="s">
        <v>7</v>
      </c>
      <c r="E38" s="23" t="s">
        <v>8</v>
      </c>
      <c r="F38" s="23" t="s">
        <v>9</v>
      </c>
      <c r="G38" s="23" t="s">
        <v>10</v>
      </c>
      <c r="H38" s="23" t="s">
        <v>11</v>
      </c>
      <c r="I38" s="23" t="s">
        <v>12</v>
      </c>
      <c r="J38" s="23" t="s">
        <v>13</v>
      </c>
      <c r="K38" s="23" t="s">
        <v>14</v>
      </c>
      <c r="L38" s="23" t="s">
        <v>15</v>
      </c>
      <c r="M38" s="23" t="s">
        <v>16</v>
      </c>
      <c r="N38" s="23" t="s">
        <v>17</v>
      </c>
      <c r="O38" s="23" t="s">
        <v>18</v>
      </c>
      <c r="P38" s="23" t="s">
        <v>19</v>
      </c>
      <c r="Q38" s="24" t="s">
        <v>20</v>
      </c>
      <c r="R38" s="23" t="s">
        <v>12</v>
      </c>
    </row>
    <row r="39" spans="1:107" ht="25.5">
      <c r="A39" t="str">
        <f t="shared" ref="A39:A65" si="1">B39&amp;C39&amp;D39</f>
        <v>Single FamilyCEE Tier 1 Clothes Washer - Any DHW, Any Dryer - 54% ENERGY STAR BaselineWasher Savings</v>
      </c>
      <c r="B39" t="str">
        <f>B7</f>
        <v>Single Family</v>
      </c>
      <c r="C39" s="27" t="str">
        <f>C7</f>
        <v>CEE Tier 1 Clothes Washer - Any DHW, Any Dryer - 54% ENERGY STAR Baseline</v>
      </c>
      <c r="D39" s="26" t="str">
        <f t="shared" ref="D39:R39" si="2">D7</f>
        <v>Washer Savings</v>
      </c>
      <c r="E39" s="48">
        <f t="shared" ca="1" si="2"/>
        <v>12.805498538080862</v>
      </c>
      <c r="F39" s="48">
        <f t="shared" si="2"/>
        <v>14</v>
      </c>
      <c r="G39" s="48">
        <f t="shared" ref="G39:H39" ca="1" si="3">G7</f>
        <v>126.26454884545808</v>
      </c>
      <c r="H39" s="48">
        <f t="shared" si="3"/>
        <v>0</v>
      </c>
      <c r="I39" s="48" t="str">
        <f t="shared" si="2"/>
        <v>ResWASH</v>
      </c>
      <c r="J39" s="48">
        <f t="shared" ref="J39:K39" ca="1" si="4">J7</f>
        <v>7.2359000960760937</v>
      </c>
      <c r="K39" s="48">
        <f t="shared" si="4"/>
        <v>0</v>
      </c>
      <c r="L39" s="48">
        <f t="shared" si="2"/>
        <v>0</v>
      </c>
      <c r="M39" s="48">
        <f t="shared" ref="M39" si="5">M7</f>
        <v>0</v>
      </c>
      <c r="N39" s="48">
        <f t="shared" si="2"/>
        <v>0</v>
      </c>
      <c r="O39" s="48">
        <f t="shared" ref="O39" si="6">O7</f>
        <v>0</v>
      </c>
      <c r="P39" s="48">
        <f t="shared" si="2"/>
        <v>0</v>
      </c>
      <c r="Q39" s="48">
        <f t="shared" ref="Q39" ca="1" si="7">Q7</f>
        <v>0.10598060677717332</v>
      </c>
      <c r="R39" s="48" t="str">
        <f t="shared" si="2"/>
        <v>ResDRY</v>
      </c>
    </row>
    <row r="40" spans="1:107" ht="25.5">
      <c r="A40" t="str">
        <f t="shared" si="1"/>
        <v>Single FamilyCEE Tier 2 Clothes Washer - Any DHW, Any Dryer - 54% ENERGY STAR BaselineWasher Savings</v>
      </c>
      <c r="B40" t="str">
        <f t="shared" ref="B40:B65" si="8">B8</f>
        <v>Single Family</v>
      </c>
      <c r="C40" s="27" t="str">
        <f t="shared" ref="C40:R65" si="9">C8</f>
        <v>CEE Tier 2 Clothes Washer - Any DHW, Any Dryer - 54% ENERGY STAR Baseline</v>
      </c>
      <c r="D40" s="32" t="str">
        <f t="shared" si="9"/>
        <v>Washer Savings</v>
      </c>
      <c r="E40" s="48">
        <f ca="1">E8-E7</f>
        <v>7.3028563144274017</v>
      </c>
      <c r="F40" s="48">
        <f t="shared" si="9"/>
        <v>14</v>
      </c>
      <c r="G40" s="48">
        <f ca="1">IF(G8-G7&gt;0,G8-G7,0)</f>
        <v>49.583434505727382</v>
      </c>
      <c r="H40" s="48">
        <f>H8-H7</f>
        <v>0</v>
      </c>
      <c r="I40" s="48" t="str">
        <f t="shared" si="9"/>
        <v>ResWASH</v>
      </c>
      <c r="J40" s="48">
        <f ca="1">J8-J7</f>
        <v>3.3770996139226952</v>
      </c>
      <c r="K40" s="48">
        <f>K8-K7</f>
        <v>0</v>
      </c>
      <c r="L40" s="48">
        <f t="shared" si="9"/>
        <v>0</v>
      </c>
      <c r="M40" s="48">
        <f>M8-M7</f>
        <v>0</v>
      </c>
      <c r="N40" s="48">
        <f t="shared" si="9"/>
        <v>0</v>
      </c>
      <c r="O40" s="48">
        <f>O8-O7</f>
        <v>0</v>
      </c>
      <c r="P40" s="48">
        <f t="shared" si="9"/>
        <v>0</v>
      </c>
      <c r="Q40" s="48">
        <f ca="1">Q8-Q7</f>
        <v>4.2560361622744333E-2</v>
      </c>
      <c r="R40" s="48" t="str">
        <f t="shared" si="9"/>
        <v>ResDRY</v>
      </c>
    </row>
    <row r="41" spans="1:107" ht="25.5">
      <c r="A41" t="str">
        <f t="shared" si="1"/>
        <v>Single FamilyCEE Tier 2 Clothes Washer - Any DHW, Any Dryer - 54% ENERGY STAR BaselineWasher Savings</v>
      </c>
      <c r="B41" t="str">
        <f t="shared" si="8"/>
        <v>Single Family</v>
      </c>
      <c r="C41" s="27" t="str">
        <f t="shared" si="9"/>
        <v>CEE Tier 2 Clothes Washer - Any DHW, Any Dryer - 54% ENERGY STAR Baseline</v>
      </c>
      <c r="D41" s="33" t="str">
        <f t="shared" si="9"/>
        <v>Washer Savings</v>
      </c>
      <c r="E41" s="48">
        <f ca="1">E9-E8</f>
        <v>0</v>
      </c>
      <c r="F41" s="48">
        <f t="shared" si="9"/>
        <v>14</v>
      </c>
      <c r="G41" s="48">
        <f ca="1">IF(G9-G8&gt;0,G9-G8,0)</f>
        <v>0</v>
      </c>
      <c r="H41" s="48">
        <f>H9-H8</f>
        <v>0</v>
      </c>
      <c r="I41" s="48" t="str">
        <f t="shared" si="9"/>
        <v>ResWASH</v>
      </c>
      <c r="J41" s="48">
        <f ca="1">J9-J8</f>
        <v>0</v>
      </c>
      <c r="K41" s="48">
        <f>K9-K8</f>
        <v>0</v>
      </c>
      <c r="L41" s="48">
        <f t="shared" si="9"/>
        <v>0</v>
      </c>
      <c r="M41" s="48">
        <f>M9-M8</f>
        <v>0</v>
      </c>
      <c r="N41" s="48">
        <f t="shared" si="9"/>
        <v>0</v>
      </c>
      <c r="O41" s="48">
        <f>O9-O8</f>
        <v>0</v>
      </c>
      <c r="P41" s="48">
        <f t="shared" si="9"/>
        <v>0</v>
      </c>
      <c r="Q41" s="48">
        <f ca="1">Q9-Q8</f>
        <v>0</v>
      </c>
      <c r="R41" s="48" t="str">
        <f t="shared" si="9"/>
        <v>ResDRY</v>
      </c>
    </row>
    <row r="42" spans="1:107" ht="25.5">
      <c r="A42" t="str">
        <f t="shared" si="1"/>
        <v>Single FamilyCEE Tier 1 Clothes Washer - Any DHW, Any Dryer - 54% ENERGY STAR BaselineDryer Savings</v>
      </c>
      <c r="B42" t="str">
        <f t="shared" si="8"/>
        <v>Single Family</v>
      </c>
      <c r="C42" s="27" t="str">
        <f t="shared" si="9"/>
        <v>CEE Tier 1 Clothes Washer - Any DHW, Any Dryer - 54% ENERGY STAR Baseline</v>
      </c>
      <c r="D42" s="26" t="str">
        <f t="shared" si="9"/>
        <v>Dryer Savings</v>
      </c>
      <c r="E42" s="48">
        <f t="shared" ca="1" si="9"/>
        <v>34.794737894235141</v>
      </c>
      <c r="F42" s="48">
        <f t="shared" si="9"/>
        <v>14</v>
      </c>
      <c r="G42" s="48">
        <f t="shared" ref="G42:H54" si="10">G10</f>
        <v>0</v>
      </c>
      <c r="H42" s="48">
        <f t="shared" si="10"/>
        <v>0</v>
      </c>
      <c r="I42" s="48" t="str">
        <f t="shared" si="9"/>
        <v>ResDRY</v>
      </c>
      <c r="J42" s="48">
        <f t="shared" ref="J42:K54" si="11">J10</f>
        <v>0</v>
      </c>
      <c r="K42" s="48">
        <f t="shared" si="11"/>
        <v>0</v>
      </c>
      <c r="L42" s="48">
        <f t="shared" si="9"/>
        <v>0</v>
      </c>
      <c r="M42" s="48">
        <f t="shared" ref="M42:M54" si="12">M10</f>
        <v>0</v>
      </c>
      <c r="N42" s="48">
        <f t="shared" si="9"/>
        <v>0</v>
      </c>
      <c r="O42" s="48">
        <f t="shared" ref="O42:O54" si="13">O10</f>
        <v>0</v>
      </c>
      <c r="P42" s="48">
        <f t="shared" si="9"/>
        <v>0</v>
      </c>
      <c r="Q42" s="48">
        <f t="shared" ref="Q42:Q54" si="14">Q10</f>
        <v>0</v>
      </c>
      <c r="R42" s="48">
        <f t="shared" si="9"/>
        <v>0</v>
      </c>
    </row>
    <row r="43" spans="1:107" ht="25.5">
      <c r="A43" t="str">
        <f t="shared" si="1"/>
        <v>Single FamilyCEE Tier 2 Clothes Washer - Any DHW, Any Dryer - 54% ENERGY STAR BaselineDryer Savings</v>
      </c>
      <c r="B43" t="str">
        <f t="shared" si="8"/>
        <v>Single Family</v>
      </c>
      <c r="C43" s="27" t="str">
        <f t="shared" si="9"/>
        <v>CEE Tier 2 Clothes Washer - Any DHW, Any Dryer - 54% ENERGY STAR Baseline</v>
      </c>
      <c r="D43" s="32" t="str">
        <f t="shared" si="9"/>
        <v>Dryer Savings</v>
      </c>
      <c r="E43" s="48">
        <f ca="1">E11-E10</f>
        <v>21.15458935457243</v>
      </c>
      <c r="F43" s="48">
        <f t="shared" si="9"/>
        <v>14</v>
      </c>
      <c r="G43" s="48">
        <f>G11-G10</f>
        <v>0</v>
      </c>
      <c r="H43" s="48">
        <f>H11-H10</f>
        <v>0</v>
      </c>
      <c r="I43" s="48" t="str">
        <f t="shared" si="9"/>
        <v>ResDRY</v>
      </c>
      <c r="J43" s="48">
        <f>J11-J10</f>
        <v>0</v>
      </c>
      <c r="K43" s="48">
        <f>K11-K10</f>
        <v>0</v>
      </c>
      <c r="L43" s="48">
        <f t="shared" si="9"/>
        <v>0</v>
      </c>
      <c r="M43" s="48">
        <f>M11-M10</f>
        <v>0</v>
      </c>
      <c r="N43" s="48">
        <f t="shared" si="9"/>
        <v>0</v>
      </c>
      <c r="O43" s="48">
        <f>O11-O10</f>
        <v>0</v>
      </c>
      <c r="P43" s="48">
        <f t="shared" si="9"/>
        <v>0</v>
      </c>
      <c r="Q43" s="48">
        <f>Q11-Q10</f>
        <v>0</v>
      </c>
      <c r="R43" s="48">
        <f t="shared" si="9"/>
        <v>0</v>
      </c>
    </row>
    <row r="44" spans="1:107" ht="25.5">
      <c r="A44" t="str">
        <f t="shared" si="1"/>
        <v>Single FamilyCEE Tier 3 Clothes Washer - Any DHW, Any Dryer - 54% ENERGY STAR BaselineDryer Savings</v>
      </c>
      <c r="B44" t="str">
        <f t="shared" si="8"/>
        <v>Single Family</v>
      </c>
      <c r="C44" s="27" t="str">
        <f t="shared" si="9"/>
        <v>CEE Tier 3 Clothes Washer - Any DHW, Any Dryer - 54% ENERGY STAR Baseline</v>
      </c>
      <c r="D44" s="33" t="str">
        <f t="shared" si="9"/>
        <v>Dryer Savings</v>
      </c>
      <c r="E44" s="48">
        <f ca="1">E12-E11</f>
        <v>13.842437772863455</v>
      </c>
      <c r="F44" s="48">
        <f t="shared" si="9"/>
        <v>14</v>
      </c>
      <c r="G44" s="48">
        <f>G12-G11</f>
        <v>0</v>
      </c>
      <c r="H44" s="48">
        <f>H12-H11</f>
        <v>0</v>
      </c>
      <c r="I44" s="48" t="str">
        <f t="shared" si="9"/>
        <v>ResDRY</v>
      </c>
      <c r="J44" s="48">
        <f>J12-J11</f>
        <v>0</v>
      </c>
      <c r="K44" s="48">
        <f>K12-K11</f>
        <v>0</v>
      </c>
      <c r="L44" s="48">
        <f t="shared" si="9"/>
        <v>0</v>
      </c>
      <c r="M44" s="48">
        <f>M12-M11</f>
        <v>0</v>
      </c>
      <c r="N44" s="48">
        <f t="shared" si="9"/>
        <v>0</v>
      </c>
      <c r="O44" s="48">
        <f>O12-O11</f>
        <v>0</v>
      </c>
      <c r="P44" s="48">
        <f t="shared" si="9"/>
        <v>0</v>
      </c>
      <c r="Q44" s="48">
        <f>Q12-Q11</f>
        <v>0</v>
      </c>
      <c r="R44" s="48">
        <f t="shared" si="9"/>
        <v>0</v>
      </c>
    </row>
    <row r="45" spans="1:107" ht="25.5">
      <c r="A45" t="str">
        <f t="shared" si="1"/>
        <v>Single FamilyCEE Tier 1 Clothes Washer - Any DHW, Any Dryer - 54% ENERGY STAR BaselineWaste Water Energy</v>
      </c>
      <c r="B45" t="str">
        <f t="shared" si="8"/>
        <v>Single Family</v>
      </c>
      <c r="C45" s="27" t="str">
        <f t="shared" si="9"/>
        <v>CEE Tier 1 Clothes Washer - Any DHW, Any Dryer - 54% ENERGY STAR Baseline</v>
      </c>
      <c r="D45" s="26" t="str">
        <f t="shared" si="9"/>
        <v>Waste Water Energy</v>
      </c>
      <c r="E45" s="48">
        <f t="shared" ca="1" si="9"/>
        <v>2.2689844676199051</v>
      </c>
      <c r="F45" s="48">
        <f t="shared" si="9"/>
        <v>14</v>
      </c>
      <c r="G45" s="48">
        <f t="shared" si="10"/>
        <v>0</v>
      </c>
      <c r="H45" s="48">
        <f t="shared" si="10"/>
        <v>0</v>
      </c>
      <c r="I45" s="48" t="str">
        <f t="shared" si="9"/>
        <v>FLAT</v>
      </c>
      <c r="J45" s="48">
        <f t="shared" ca="1" si="11"/>
        <v>8.5265191237314468</v>
      </c>
      <c r="K45" s="48">
        <f t="shared" si="11"/>
        <v>0</v>
      </c>
      <c r="L45" s="48">
        <f t="shared" si="9"/>
        <v>0</v>
      </c>
      <c r="M45" s="48">
        <f t="shared" si="12"/>
        <v>0</v>
      </c>
      <c r="N45" s="48">
        <f t="shared" si="9"/>
        <v>0</v>
      </c>
      <c r="O45" s="48">
        <f t="shared" si="13"/>
        <v>0</v>
      </c>
      <c r="P45" s="48">
        <f t="shared" si="9"/>
        <v>0</v>
      </c>
      <c r="Q45" s="48">
        <f t="shared" si="14"/>
        <v>0</v>
      </c>
      <c r="R45" s="48">
        <f t="shared" si="9"/>
        <v>0</v>
      </c>
    </row>
    <row r="46" spans="1:107" ht="25.5">
      <c r="A46" t="str">
        <f t="shared" si="1"/>
        <v>Single FamilyCEE Tier 2 Clothes Washer - Any DHW, Any Dryer - 54% ENERGY STAR BaselineWaste Water Energy</v>
      </c>
      <c r="B46" t="str">
        <f t="shared" si="8"/>
        <v>Single Family</v>
      </c>
      <c r="C46" s="27" t="str">
        <f t="shared" si="9"/>
        <v>CEE Tier 2 Clothes Washer - Any DHW, Any Dryer - 54% ENERGY STAR Baseline</v>
      </c>
      <c r="D46" s="32" t="str">
        <f t="shared" si="9"/>
        <v>Waste Water Energy</v>
      </c>
      <c r="E46" s="48">
        <f ca="1">E14-E13</f>
        <v>1.0589679884816285</v>
      </c>
      <c r="F46" s="48">
        <f t="shared" si="9"/>
        <v>14</v>
      </c>
      <c r="G46" s="48">
        <f>G14-G13</f>
        <v>0</v>
      </c>
      <c r="H46" s="48">
        <f>H14-H13</f>
        <v>0</v>
      </c>
      <c r="I46" s="48" t="str">
        <f t="shared" si="9"/>
        <v>FLAT</v>
      </c>
      <c r="J46" s="48">
        <f ca="1">J14-J13</f>
        <v>3.9794502492471899</v>
      </c>
      <c r="K46" s="48">
        <f>K14-K13</f>
        <v>0</v>
      </c>
      <c r="L46" s="48">
        <f t="shared" si="9"/>
        <v>0</v>
      </c>
      <c r="M46" s="48">
        <f>M14-M13</f>
        <v>0</v>
      </c>
      <c r="N46" s="48">
        <f t="shared" si="9"/>
        <v>0</v>
      </c>
      <c r="O46" s="48">
        <f>O14-O13</f>
        <v>0</v>
      </c>
      <c r="P46" s="48">
        <f t="shared" si="9"/>
        <v>0</v>
      </c>
      <c r="Q46" s="48">
        <f>Q14-Q13</f>
        <v>0</v>
      </c>
      <c r="R46" s="48">
        <f t="shared" si="9"/>
        <v>0</v>
      </c>
    </row>
    <row r="47" spans="1:107" ht="25.5">
      <c r="A47" t="str">
        <f t="shared" si="1"/>
        <v>Single FamilyCEE Tier 3 Clothes Washer - Any DHW, Any Dryer - 54% ENERGY STAR BaselineWaste Water Energy</v>
      </c>
      <c r="B47" t="str">
        <f t="shared" si="8"/>
        <v>Single Family</v>
      </c>
      <c r="C47" s="27" t="str">
        <f t="shared" si="9"/>
        <v>CEE Tier 3 Clothes Washer - Any DHW, Any Dryer - 54% ENERGY STAR Baseline</v>
      </c>
      <c r="D47" s="33" t="str">
        <f t="shared" si="9"/>
        <v>Waste Water Energy</v>
      </c>
      <c r="E47" s="48">
        <f ca="1">E15-E14</f>
        <v>9.1465565223937784E-2</v>
      </c>
      <c r="F47" s="48">
        <f t="shared" si="9"/>
        <v>14</v>
      </c>
      <c r="G47" s="48">
        <f>G15-G14</f>
        <v>0</v>
      </c>
      <c r="H47" s="48">
        <f>H15-H14</f>
        <v>0</v>
      </c>
      <c r="I47" s="48" t="str">
        <f t="shared" si="9"/>
        <v>FLAT</v>
      </c>
      <c r="J47" s="48">
        <f ca="1">J15-J14</f>
        <v>0.34371451289081634</v>
      </c>
      <c r="K47" s="48">
        <f>K15-K14</f>
        <v>0</v>
      </c>
      <c r="L47" s="48">
        <f t="shared" si="9"/>
        <v>0</v>
      </c>
      <c r="M47" s="48">
        <f>M15-M14</f>
        <v>0</v>
      </c>
      <c r="N47" s="48">
        <f t="shared" si="9"/>
        <v>0</v>
      </c>
      <c r="O47" s="48">
        <f>O15-O14</f>
        <v>0</v>
      </c>
      <c r="P47" s="48">
        <f t="shared" si="9"/>
        <v>0</v>
      </c>
      <c r="Q47" s="48">
        <f>Q15-Q14</f>
        <v>0</v>
      </c>
      <c r="R47" s="48">
        <f t="shared" si="9"/>
        <v>0</v>
      </c>
    </row>
    <row r="48" spans="1:107" ht="25.5">
      <c r="A48" t="str">
        <f t="shared" si="1"/>
        <v>MultifamilyCEE Tier 1 Clothes Washer - Any DHW, Any Dryer - 54% ENERGY STAR BaselineWasher Savings</v>
      </c>
      <c r="B48" t="str">
        <f t="shared" si="8"/>
        <v>Multifamily</v>
      </c>
      <c r="C48" s="27" t="str">
        <f t="shared" si="9"/>
        <v>CEE Tier 1 Clothes Washer - Any DHW, Any Dryer - 54% ENERGY STAR Baseline</v>
      </c>
      <c r="D48" s="26" t="str">
        <f t="shared" si="9"/>
        <v>Washer Savings</v>
      </c>
      <c r="E48" s="48">
        <f t="shared" ref="E48:G48" ca="1" si="15">E16</f>
        <v>13.420513804370698</v>
      </c>
      <c r="F48" s="48">
        <f t="shared" si="9"/>
        <v>14</v>
      </c>
      <c r="G48" s="48">
        <f t="shared" ca="1" si="15"/>
        <v>126.26454884545808</v>
      </c>
      <c r="H48" s="48">
        <f t="shared" ref="H48" si="16">H16</f>
        <v>0</v>
      </c>
      <c r="I48" s="48" t="str">
        <f t="shared" si="9"/>
        <v>ResWASH</v>
      </c>
      <c r="J48" s="48">
        <f t="shared" ref="J48:K48" ca="1" si="17">J16</f>
        <v>6.5152515092717707</v>
      </c>
      <c r="K48" s="48">
        <f t="shared" si="17"/>
        <v>0</v>
      </c>
      <c r="L48" s="48">
        <f t="shared" si="9"/>
        <v>0</v>
      </c>
      <c r="M48" s="48">
        <f t="shared" ref="M48" si="18">M16</f>
        <v>0</v>
      </c>
      <c r="N48" s="48">
        <f t="shared" si="9"/>
        <v>0</v>
      </c>
      <c r="O48" s="48">
        <f t="shared" ref="O48" si="19">O16</f>
        <v>0</v>
      </c>
      <c r="P48" s="48">
        <f t="shared" si="9"/>
        <v>0</v>
      </c>
      <c r="Q48" s="48">
        <f t="shared" ref="Q48" ca="1" si="20">Q16</f>
        <v>0.38507341368346421</v>
      </c>
      <c r="R48" s="48" t="str">
        <f t="shared" si="9"/>
        <v>ResDHW</v>
      </c>
    </row>
    <row r="49" spans="1:18" ht="25.5">
      <c r="A49" t="str">
        <f t="shared" si="1"/>
        <v>MultifamilyCEE Tier 2 Clothes Washer - Any DHW, Any Dryer - 54% ENERGY STAR BaselineWasher Savings</v>
      </c>
      <c r="B49" t="str">
        <f t="shared" si="8"/>
        <v>Multifamily</v>
      </c>
      <c r="C49" s="27" t="str">
        <f t="shared" si="9"/>
        <v>CEE Tier 2 Clothes Washer - Any DHW, Any Dryer - 54% ENERGY STAR Baseline</v>
      </c>
      <c r="D49" s="32" t="str">
        <f t="shared" si="9"/>
        <v>Washer Savings</v>
      </c>
      <c r="E49" s="48">
        <f ca="1">E17-E16</f>
        <v>7.6161264854408284</v>
      </c>
      <c r="F49" s="48">
        <f t="shared" si="9"/>
        <v>14</v>
      </c>
      <c r="G49" s="48">
        <f ca="1">IF(G17-G16&gt;0,G17-G16,0)</f>
        <v>49.583434505727382</v>
      </c>
      <c r="H49" s="48">
        <f>H17-H16</f>
        <v>0</v>
      </c>
      <c r="I49" s="48" t="str">
        <f t="shared" si="9"/>
        <v>ResWASH</v>
      </c>
      <c r="J49" s="48">
        <f ca="1">J17-J16</f>
        <v>3.0407624572515246</v>
      </c>
      <c r="K49" s="48">
        <f>K17-K16</f>
        <v>0</v>
      </c>
      <c r="L49" s="48">
        <f t="shared" si="9"/>
        <v>0</v>
      </c>
      <c r="M49" s="48">
        <f>M17-M16</f>
        <v>0</v>
      </c>
      <c r="N49" s="48">
        <f t="shared" si="9"/>
        <v>0</v>
      </c>
      <c r="O49" s="48">
        <f>O17-O16</f>
        <v>0</v>
      </c>
      <c r="P49" s="48">
        <f t="shared" si="9"/>
        <v>0</v>
      </c>
      <c r="Q49" s="48">
        <f ca="1">Q17-Q16</f>
        <v>0.19401942602722239</v>
      </c>
      <c r="R49" s="48" t="str">
        <f t="shared" si="9"/>
        <v>ResDHW</v>
      </c>
    </row>
    <row r="50" spans="1:18" ht="25.5">
      <c r="A50" t="str">
        <f t="shared" si="1"/>
        <v>MultifamilyCEE Tier 3 Clothes Washer - Any DHW, Any Dryer - 54% ENERGY STAR BaselineWasher Savings</v>
      </c>
      <c r="B50" t="str">
        <f t="shared" si="8"/>
        <v>Multifamily</v>
      </c>
      <c r="C50" s="27" t="str">
        <f t="shared" si="9"/>
        <v>CEE Tier 3 Clothes Washer - Any DHW, Any Dryer - 54% ENERGY STAR Baseline</v>
      </c>
      <c r="D50" s="33" t="str">
        <f t="shared" si="9"/>
        <v>Washer Savings</v>
      </c>
      <c r="E50" s="48">
        <f ca="1">E18-E17</f>
        <v>1.4130617083715187</v>
      </c>
      <c r="F50" s="48">
        <f t="shared" si="9"/>
        <v>14</v>
      </c>
      <c r="G50" s="48">
        <f ca="1">IF(G18-G17&gt;0,G18-G17,0)</f>
        <v>0</v>
      </c>
      <c r="H50" s="48">
        <f>H18-H17</f>
        <v>0</v>
      </c>
      <c r="I50" s="48" t="str">
        <f t="shared" si="9"/>
        <v>ResWASH</v>
      </c>
      <c r="J50" s="48">
        <f ca="1">J18-J17</f>
        <v>0.26263783220022319</v>
      </c>
      <c r="K50" s="48">
        <f>K18-K17</f>
        <v>0</v>
      </c>
      <c r="L50" s="48">
        <f t="shared" si="9"/>
        <v>0</v>
      </c>
      <c r="M50" s="48">
        <f>M18-M17</f>
        <v>0</v>
      </c>
      <c r="N50" s="48">
        <f t="shared" si="9"/>
        <v>0</v>
      </c>
      <c r="O50" s="48">
        <f>O18-O17</f>
        <v>0</v>
      </c>
      <c r="P50" s="48">
        <f t="shared" si="9"/>
        <v>0</v>
      </c>
      <c r="Q50" s="48">
        <f ca="1">Q18-Q17</f>
        <v>2.8130810286325469E-2</v>
      </c>
      <c r="R50" s="48" t="str">
        <f t="shared" si="9"/>
        <v>ResDHW</v>
      </c>
    </row>
    <row r="51" spans="1:18" ht="25.5">
      <c r="A51" t="str">
        <f t="shared" si="1"/>
        <v>MultifamilyCEE Tier 1 Clothes Washer - Any DHW, Any Dryer - 54% ENERGY STAR BaselineDryer Savings</v>
      </c>
      <c r="B51" t="str">
        <f t="shared" si="8"/>
        <v>Multifamily</v>
      </c>
      <c r="C51" s="27" t="str">
        <f t="shared" si="9"/>
        <v>CEE Tier 1 Clothes Washer - Any DHW, Any Dryer - 54% ENERGY STAR Baseline</v>
      </c>
      <c r="D51" s="26" t="str">
        <f t="shared" si="9"/>
        <v>Dryer Savings</v>
      </c>
      <c r="E51" s="48">
        <f t="shared" ca="1" si="9"/>
        <v>33.614929913688762</v>
      </c>
      <c r="F51" s="48">
        <f t="shared" si="9"/>
        <v>14</v>
      </c>
      <c r="G51" s="48">
        <f t="shared" si="10"/>
        <v>0</v>
      </c>
      <c r="H51" s="48">
        <f t="shared" si="10"/>
        <v>0</v>
      </c>
      <c r="I51" s="48" t="str">
        <f t="shared" si="9"/>
        <v>ResDRY</v>
      </c>
      <c r="J51" s="48">
        <f t="shared" si="11"/>
        <v>0</v>
      </c>
      <c r="K51" s="48">
        <f t="shared" si="11"/>
        <v>0</v>
      </c>
      <c r="L51" s="48">
        <f t="shared" si="9"/>
        <v>0</v>
      </c>
      <c r="M51" s="48">
        <f t="shared" si="12"/>
        <v>0</v>
      </c>
      <c r="N51" s="48">
        <f t="shared" si="9"/>
        <v>0</v>
      </c>
      <c r="O51" s="48">
        <f t="shared" si="13"/>
        <v>0</v>
      </c>
      <c r="P51" s="48">
        <f t="shared" si="9"/>
        <v>0</v>
      </c>
      <c r="Q51" s="48">
        <f t="shared" ca="1" si="14"/>
        <v>6.762899288993178E-2</v>
      </c>
      <c r="R51" s="48" t="str">
        <f t="shared" si="9"/>
        <v>ResDRY</v>
      </c>
    </row>
    <row r="52" spans="1:18" ht="25.5">
      <c r="A52" t="str">
        <f t="shared" si="1"/>
        <v>MultifamilyCEE Tier 2 Clothes Washer - Any DHW, Any Dryer - 54% ENERGY STAR BaselineDryer Savings</v>
      </c>
      <c r="B52" t="str">
        <f t="shared" si="8"/>
        <v>Multifamily</v>
      </c>
      <c r="C52" s="27" t="str">
        <f t="shared" si="9"/>
        <v>CEE Tier 2 Clothes Washer - Any DHW, Any Dryer - 54% ENERGY STAR Baseline</v>
      </c>
      <c r="D52" s="32" t="str">
        <f t="shared" si="9"/>
        <v>Dryer Savings</v>
      </c>
      <c r="E52" s="48">
        <f ca="1">E20-E19</f>
        <v>20.546071491444344</v>
      </c>
      <c r="F52" s="48">
        <f t="shared" si="9"/>
        <v>14</v>
      </c>
      <c r="G52" s="48">
        <f>G20-G19</f>
        <v>0</v>
      </c>
      <c r="H52" s="48">
        <f>H20-H19</f>
        <v>0</v>
      </c>
      <c r="I52" s="48" t="str">
        <f t="shared" si="9"/>
        <v>ResDRY</v>
      </c>
      <c r="J52" s="48">
        <f>J20-J19</f>
        <v>0</v>
      </c>
      <c r="K52" s="48">
        <f>K20-K19</f>
        <v>0</v>
      </c>
      <c r="L52" s="48">
        <f t="shared" si="9"/>
        <v>0</v>
      </c>
      <c r="M52" s="48">
        <f>M20-M19</f>
        <v>0</v>
      </c>
      <c r="N52" s="48">
        <f t="shared" si="9"/>
        <v>0</v>
      </c>
      <c r="O52" s="48">
        <f>O20-O19</f>
        <v>0</v>
      </c>
      <c r="P52" s="48">
        <f t="shared" si="9"/>
        <v>0</v>
      </c>
      <c r="Q52" s="48">
        <f ca="1">Q20-Q19</f>
        <v>4.1336100547544982E-2</v>
      </c>
      <c r="R52" s="48" t="str">
        <f t="shared" si="9"/>
        <v>ResDRY</v>
      </c>
    </row>
    <row r="53" spans="1:18" ht="25.5">
      <c r="A53" t="str">
        <f t="shared" si="1"/>
        <v>MultifamilyCEE Tier 3 Clothes Washer - Any DHW, Any Dryer - 54% ENERGY STAR BaselineDryer Savings</v>
      </c>
      <c r="B53" t="str">
        <f t="shared" si="8"/>
        <v>Multifamily</v>
      </c>
      <c r="C53" s="27" t="str">
        <f t="shared" si="9"/>
        <v>CEE Tier 3 Clothes Washer - Any DHW, Any Dryer - 54% ENERGY STAR Baseline</v>
      </c>
      <c r="D53" s="33" t="str">
        <f t="shared" si="9"/>
        <v>Dryer Savings</v>
      </c>
      <c r="E53" s="48">
        <f ca="1">E21-E20</f>
        <v>13.697550748450809</v>
      </c>
      <c r="F53" s="48">
        <f t="shared" si="9"/>
        <v>14</v>
      </c>
      <c r="G53" s="48">
        <f>G21-G20</f>
        <v>0</v>
      </c>
      <c r="H53" s="48">
        <f>H21-H20</f>
        <v>0</v>
      </c>
      <c r="I53" s="48" t="str">
        <f t="shared" si="9"/>
        <v>ResDRY</v>
      </c>
      <c r="J53" s="48">
        <f>J21-J20</f>
        <v>0</v>
      </c>
      <c r="K53" s="48">
        <f>K21-K20</f>
        <v>0</v>
      </c>
      <c r="L53" s="48">
        <f t="shared" si="9"/>
        <v>0</v>
      </c>
      <c r="M53" s="48">
        <f>M21-M20</f>
        <v>0</v>
      </c>
      <c r="N53" s="48">
        <f t="shared" si="9"/>
        <v>0</v>
      </c>
      <c r="O53" s="48">
        <f>O21-O20</f>
        <v>0</v>
      </c>
      <c r="P53" s="48">
        <f t="shared" si="9"/>
        <v>0</v>
      </c>
      <c r="Q53" s="48">
        <f ca="1">Q21-Q20</f>
        <v>2.7557741888946413E-2</v>
      </c>
      <c r="R53" s="48" t="str">
        <f t="shared" si="9"/>
        <v>ResDRY</v>
      </c>
    </row>
    <row r="54" spans="1:18" ht="25.5">
      <c r="A54" t="str">
        <f t="shared" si="1"/>
        <v>MultifamilyCEE Tier 1 Clothes Washer - Any DHW, Any Dryer - 54% ENERGY STAR BaselineWaste Water Energy</v>
      </c>
      <c r="B54" t="str">
        <f t="shared" si="8"/>
        <v>Multifamily</v>
      </c>
      <c r="C54" s="27" t="str">
        <f t="shared" si="9"/>
        <v>CEE Tier 1 Clothes Washer - Any DHW, Any Dryer - 54% ENERGY STAR Baseline</v>
      </c>
      <c r="D54" s="26" t="str">
        <f t="shared" si="9"/>
        <v>Waste Water Energy</v>
      </c>
      <c r="E54" s="48">
        <f t="shared" ca="1" si="9"/>
        <v>2.2689844676199051</v>
      </c>
      <c r="F54" s="48">
        <f t="shared" si="9"/>
        <v>14</v>
      </c>
      <c r="G54" s="48">
        <f t="shared" si="10"/>
        <v>0</v>
      </c>
      <c r="H54" s="48">
        <f t="shared" si="10"/>
        <v>0</v>
      </c>
      <c r="I54" s="48" t="str">
        <f t="shared" si="9"/>
        <v>FLAT</v>
      </c>
      <c r="J54" s="48">
        <f t="shared" ca="1" si="11"/>
        <v>8.5265191237314468</v>
      </c>
      <c r="K54" s="48">
        <f t="shared" si="11"/>
        <v>0</v>
      </c>
      <c r="L54" s="48">
        <f t="shared" si="9"/>
        <v>0</v>
      </c>
      <c r="M54" s="48">
        <f t="shared" si="12"/>
        <v>0</v>
      </c>
      <c r="N54" s="48">
        <f t="shared" si="9"/>
        <v>0</v>
      </c>
      <c r="O54" s="48">
        <f t="shared" si="13"/>
        <v>0</v>
      </c>
      <c r="P54" s="48">
        <f t="shared" si="9"/>
        <v>0</v>
      </c>
      <c r="Q54" s="48">
        <f t="shared" si="14"/>
        <v>0</v>
      </c>
      <c r="R54" s="48">
        <f t="shared" si="9"/>
        <v>0</v>
      </c>
    </row>
    <row r="55" spans="1:18" ht="25.5">
      <c r="A55" t="str">
        <f t="shared" si="1"/>
        <v>MultifamilyCEE Tier 2 Clothes Washer - Any DHW, Any Dryer - 54% ENERGY STAR BaselineWaste Water Energy</v>
      </c>
      <c r="B55" t="str">
        <f t="shared" si="8"/>
        <v>Multifamily</v>
      </c>
      <c r="C55" s="27" t="str">
        <f t="shared" si="9"/>
        <v>CEE Tier 2 Clothes Washer - Any DHW, Any Dryer - 54% ENERGY STAR Baseline</v>
      </c>
      <c r="D55" s="32" t="str">
        <f t="shared" si="9"/>
        <v>Waste Water Energy</v>
      </c>
      <c r="E55" s="48">
        <f ca="1">E23-E22</f>
        <v>1.0589679884816285</v>
      </c>
      <c r="F55" s="48">
        <f t="shared" si="9"/>
        <v>14</v>
      </c>
      <c r="G55" s="48">
        <f>G23-G22</f>
        <v>0</v>
      </c>
      <c r="H55" s="48">
        <f>H23-H22</f>
        <v>0</v>
      </c>
      <c r="I55" s="48" t="str">
        <f t="shared" ref="D55:R65" si="21">I23</f>
        <v>FLAT</v>
      </c>
      <c r="J55" s="48">
        <f ca="1">J23-J22</f>
        <v>3.9794502492471899</v>
      </c>
      <c r="K55" s="48">
        <f>K23-K22</f>
        <v>0</v>
      </c>
      <c r="L55" s="48">
        <f t="shared" si="21"/>
        <v>0</v>
      </c>
      <c r="M55" s="48">
        <f>M23-M22</f>
        <v>0</v>
      </c>
      <c r="N55" s="48">
        <f t="shared" si="21"/>
        <v>0</v>
      </c>
      <c r="O55" s="48">
        <f>O23-O22</f>
        <v>0</v>
      </c>
      <c r="P55" s="48">
        <f t="shared" si="21"/>
        <v>0</v>
      </c>
      <c r="Q55" s="48">
        <f>Q23-Q22</f>
        <v>0</v>
      </c>
      <c r="R55" s="48">
        <f t="shared" si="21"/>
        <v>0</v>
      </c>
    </row>
    <row r="56" spans="1:18" ht="25.5">
      <c r="A56" t="str">
        <f t="shared" si="1"/>
        <v>MultifamilyCEE Tier 3 Clothes Washer - Any DHW, Any Dryer - 54% ENERGY STAR BaselineWaste Water Energy</v>
      </c>
      <c r="B56" t="str">
        <f t="shared" si="8"/>
        <v>Multifamily</v>
      </c>
      <c r="C56" s="27" t="str">
        <f t="shared" si="9"/>
        <v>CEE Tier 3 Clothes Washer - Any DHW, Any Dryer - 54% ENERGY STAR Baseline</v>
      </c>
      <c r="D56" s="33" t="str">
        <f t="shared" si="21"/>
        <v>Waste Water Energy</v>
      </c>
      <c r="E56" s="48">
        <f ca="1">E24-E23</f>
        <v>9.1465565223937784E-2</v>
      </c>
      <c r="F56" s="48">
        <f t="shared" si="21"/>
        <v>14</v>
      </c>
      <c r="G56" s="48">
        <f>G24-G23</f>
        <v>0</v>
      </c>
      <c r="H56" s="48">
        <f>H24-H23</f>
        <v>0</v>
      </c>
      <c r="I56" s="48" t="str">
        <f t="shared" si="21"/>
        <v>FLAT</v>
      </c>
      <c r="J56" s="48">
        <f ca="1">J24-J23</f>
        <v>0.34371451289081634</v>
      </c>
      <c r="K56" s="48">
        <f>K24-K23</f>
        <v>0</v>
      </c>
      <c r="L56" s="48">
        <f t="shared" si="21"/>
        <v>0</v>
      </c>
      <c r="M56" s="48">
        <f>M24-M23</f>
        <v>0</v>
      </c>
      <c r="N56" s="48">
        <f t="shared" si="21"/>
        <v>0</v>
      </c>
      <c r="O56" s="48">
        <f>O24-O23</f>
        <v>0</v>
      </c>
      <c r="P56" s="48">
        <f t="shared" si="21"/>
        <v>0</v>
      </c>
      <c r="Q56" s="48">
        <f>Q24-Q23</f>
        <v>0</v>
      </c>
      <c r="R56" s="48">
        <f t="shared" si="21"/>
        <v>0</v>
      </c>
    </row>
    <row r="57" spans="1:18" ht="25.5">
      <c r="A57" t="str">
        <f t="shared" si="1"/>
        <v>ManufacturedCEE Tier 1 Clothes Washer - Any DHW, Any Dryer - 54% ENERGY STAR BaselineWasher Savings</v>
      </c>
      <c r="B57" t="str">
        <f t="shared" si="8"/>
        <v>Manufactured</v>
      </c>
      <c r="C57" s="27" t="str">
        <f t="shared" si="9"/>
        <v>CEE Tier 1 Clothes Washer - Any DHW, Any Dryer - 54% ENERGY STAR Baseline</v>
      </c>
      <c r="D57" s="26" t="str">
        <f t="shared" si="21"/>
        <v>Washer Savings</v>
      </c>
      <c r="E57" s="48">
        <f t="shared" ca="1" si="21"/>
        <v>13.366643591022726</v>
      </c>
      <c r="F57" s="48">
        <f t="shared" si="21"/>
        <v>14</v>
      </c>
      <c r="G57" s="48">
        <f t="shared" ref="G57:H57" ca="1" si="22">G25</f>
        <v>126.26454884545808</v>
      </c>
      <c r="H57" s="48">
        <f t="shared" si="22"/>
        <v>0</v>
      </c>
      <c r="I57" s="48" t="str">
        <f t="shared" si="21"/>
        <v>ResWASH</v>
      </c>
      <c r="J57" s="48">
        <f t="shared" ref="J57:K57" ca="1" si="23">J25</f>
        <v>6.5740799653374253</v>
      </c>
      <c r="K57" s="48">
        <f t="shared" si="23"/>
        <v>0</v>
      </c>
      <c r="L57" s="48">
        <f t="shared" si="21"/>
        <v>0</v>
      </c>
      <c r="M57" s="48">
        <f t="shared" ref="M57" si="24">M25</f>
        <v>0</v>
      </c>
      <c r="N57" s="48">
        <f t="shared" si="21"/>
        <v>0</v>
      </c>
      <c r="O57" s="48">
        <f t="shared" ref="O57" si="25">O25</f>
        <v>0</v>
      </c>
      <c r="P57" s="48">
        <f t="shared" si="21"/>
        <v>0</v>
      </c>
      <c r="Q57" s="48">
        <f t="shared" ref="Q57" ca="1" si="26">Q25</f>
        <v>0.38257658578402781</v>
      </c>
      <c r="R57" s="48" t="str">
        <f t="shared" si="21"/>
        <v>ResDHW</v>
      </c>
    </row>
    <row r="58" spans="1:18" ht="25.5">
      <c r="A58" t="str">
        <f t="shared" si="1"/>
        <v>ManufacturedCEE Tier 2 Clothes Washer - Any DHW, Any Dryer - 54% ENERGY STAR BaselineWasher Savings</v>
      </c>
      <c r="B58" t="str">
        <f t="shared" si="8"/>
        <v>Manufactured</v>
      </c>
      <c r="C58" s="27" t="str">
        <f t="shared" si="9"/>
        <v>CEE Tier 2 Clothes Washer - Any DHW, Any Dryer - 54% ENERGY STAR Baseline</v>
      </c>
      <c r="D58" s="32" t="str">
        <f t="shared" si="21"/>
        <v>Washer Savings</v>
      </c>
      <c r="E58" s="48">
        <f ca="1">E26-E25</f>
        <v>7.5886116435286617</v>
      </c>
      <c r="F58" s="48">
        <f t="shared" si="21"/>
        <v>14</v>
      </c>
      <c r="G58" s="48">
        <f ca="1">IF(G26-G25&gt;0,G26-G25,0)</f>
        <v>49.583434505727382</v>
      </c>
      <c r="H58" s="48">
        <f>H26-H25</f>
        <v>0</v>
      </c>
      <c r="I58" s="48" t="str">
        <f t="shared" si="21"/>
        <v>ResWASH</v>
      </c>
      <c r="J58" s="48">
        <f ca="1">J26-J25</f>
        <v>3.0682185516736631</v>
      </c>
      <c r="K58" s="48">
        <f>K26-K25</f>
        <v>0</v>
      </c>
      <c r="L58" s="48">
        <f t="shared" si="21"/>
        <v>0</v>
      </c>
      <c r="M58" s="48">
        <f>M26-M25</f>
        <v>0</v>
      </c>
      <c r="N58" s="48">
        <f t="shared" si="21"/>
        <v>0</v>
      </c>
      <c r="O58" s="48">
        <f>O26-O25</f>
        <v>0</v>
      </c>
      <c r="P58" s="48">
        <f t="shared" si="21"/>
        <v>0</v>
      </c>
      <c r="Q58" s="48">
        <f ca="1">Q26-Q25</f>
        <v>0.19271211500487778</v>
      </c>
      <c r="R58" s="48" t="str">
        <f t="shared" si="21"/>
        <v>ResDHW</v>
      </c>
    </row>
    <row r="59" spans="1:18" ht="25.5">
      <c r="A59" t="str">
        <f t="shared" si="1"/>
        <v>ManufacturedCEE Tier 3 Clothes Washer - Any DHW, Any Dryer - 54% ENERGY STAR BaselineWasher Savings</v>
      </c>
      <c r="B59" t="str">
        <f t="shared" si="8"/>
        <v>Manufactured</v>
      </c>
      <c r="C59" s="27" t="str">
        <f t="shared" si="9"/>
        <v>CEE Tier 3 Clothes Washer - Any DHW, Any Dryer - 54% ENERGY STAR Baseline</v>
      </c>
      <c r="D59" s="33" t="str">
        <f t="shared" si="21"/>
        <v>Washer Savings</v>
      </c>
      <c r="E59" s="48">
        <f ca="1">E27-E26</f>
        <v>1.4051165459187303</v>
      </c>
      <c r="F59" s="48">
        <f t="shared" si="21"/>
        <v>14</v>
      </c>
      <c r="G59" s="48">
        <f ca="1">IF(G27-G26&gt;0,G27-G26,0)</f>
        <v>0</v>
      </c>
      <c r="H59" s="48">
        <f>H27-H26</f>
        <v>0</v>
      </c>
      <c r="I59" s="48" t="str">
        <f t="shared" si="21"/>
        <v>ResWASH</v>
      </c>
      <c r="J59" s="48">
        <f ca="1">J27-J26</f>
        <v>0.26500927989503253</v>
      </c>
      <c r="K59" s="48">
        <f>K27-K26</f>
        <v>0</v>
      </c>
      <c r="L59" s="48">
        <f t="shared" si="21"/>
        <v>0</v>
      </c>
      <c r="M59" s="48">
        <f>M27-M26</f>
        <v>0</v>
      </c>
      <c r="N59" s="48">
        <f t="shared" si="21"/>
        <v>0</v>
      </c>
      <c r="O59" s="48">
        <f>O27-O26</f>
        <v>0</v>
      </c>
      <c r="P59" s="48">
        <f t="shared" si="21"/>
        <v>0</v>
      </c>
      <c r="Q59" s="48">
        <f ca="1">Q27-Q26</f>
        <v>2.7871567298051736E-2</v>
      </c>
      <c r="R59" s="48" t="str">
        <f t="shared" si="21"/>
        <v>ResDHW</v>
      </c>
    </row>
    <row r="60" spans="1:18" ht="25.5">
      <c r="A60" t="str">
        <f t="shared" si="1"/>
        <v>ManufacturedCEE Tier 1 Clothes Washer - Any DHW, Any Dryer - 54% ENERGY STAR BaselineDryer Savings</v>
      </c>
      <c r="B60" t="str">
        <f t="shared" si="8"/>
        <v>Manufactured</v>
      </c>
      <c r="C60" s="27" t="str">
        <f t="shared" si="9"/>
        <v>CEE Tier 1 Clothes Washer - Any DHW, Any Dryer - 54% ENERGY STAR Baseline</v>
      </c>
      <c r="D60" s="26" t="str">
        <f t="shared" si="21"/>
        <v>Dryer Savings</v>
      </c>
      <c r="E60" s="48">
        <f t="shared" ca="1" si="21"/>
        <v>33.71823055068964</v>
      </c>
      <c r="F60" s="48">
        <f t="shared" si="21"/>
        <v>14</v>
      </c>
      <c r="G60" s="48">
        <f t="shared" ref="G60:H60" si="27">G28</f>
        <v>0</v>
      </c>
      <c r="H60" s="48">
        <f t="shared" si="27"/>
        <v>0</v>
      </c>
      <c r="I60" s="48" t="str">
        <f t="shared" si="21"/>
        <v>ResDRY</v>
      </c>
      <c r="J60" s="48">
        <f t="shared" ref="J60:K60" si="28">J28</f>
        <v>0</v>
      </c>
      <c r="K60" s="48">
        <f t="shared" si="28"/>
        <v>0</v>
      </c>
      <c r="L60" s="48">
        <f t="shared" si="21"/>
        <v>0</v>
      </c>
      <c r="M60" s="48">
        <f t="shared" ref="M60" si="29">M28</f>
        <v>0</v>
      </c>
      <c r="N60" s="48">
        <f t="shared" si="21"/>
        <v>0</v>
      </c>
      <c r="O60" s="48">
        <f t="shared" ref="O60" si="30">O28</f>
        <v>0</v>
      </c>
      <c r="P60" s="48">
        <f t="shared" si="21"/>
        <v>0</v>
      </c>
      <c r="Q60" s="48">
        <f t="shared" ref="Q60" ca="1" si="31">Q28</f>
        <v>6.7836820723076105E-2</v>
      </c>
      <c r="R60" s="48" t="str">
        <f t="shared" si="21"/>
        <v>ResDRY</v>
      </c>
    </row>
    <row r="61" spans="1:18" ht="25.5">
      <c r="A61" t="str">
        <f t="shared" si="1"/>
        <v>ManufacturedCEE Tier 2 Clothes Washer - Any DHW, Any Dryer - 54% ENERGY STAR BaselineDryer Savings</v>
      </c>
      <c r="B61" t="str">
        <f t="shared" si="8"/>
        <v>Manufactured</v>
      </c>
      <c r="C61" s="27" t="str">
        <f t="shared" si="9"/>
        <v>CEE Tier 2 Clothes Washer - Any DHW, Any Dryer - 54% ENERGY STAR Baseline</v>
      </c>
      <c r="D61" s="32" t="str">
        <f t="shared" si="21"/>
        <v>Dryer Savings</v>
      </c>
      <c r="E61" s="48">
        <f ca="1">E29-E28</f>
        <v>20.599502097367505</v>
      </c>
      <c r="F61" s="48">
        <f t="shared" si="21"/>
        <v>14</v>
      </c>
      <c r="G61" s="48">
        <f>G29-G28</f>
        <v>0</v>
      </c>
      <c r="H61" s="48">
        <f>H29-H28</f>
        <v>0</v>
      </c>
      <c r="I61" s="48" t="str">
        <f t="shared" si="21"/>
        <v>ResDRY</v>
      </c>
      <c r="J61" s="48">
        <f>J29-J28</f>
        <v>0</v>
      </c>
      <c r="K61" s="48">
        <f>K29-K28</f>
        <v>0</v>
      </c>
      <c r="L61" s="48">
        <f t="shared" si="21"/>
        <v>0</v>
      </c>
      <c r="M61" s="48">
        <f>M29-M28</f>
        <v>0</v>
      </c>
      <c r="N61" s="48">
        <f t="shared" si="21"/>
        <v>0</v>
      </c>
      <c r="O61" s="48">
        <f>O29-O28</f>
        <v>0</v>
      </c>
      <c r="P61" s="48">
        <f t="shared" si="21"/>
        <v>0</v>
      </c>
      <c r="Q61" s="48">
        <f ca="1">Q29-Q28</f>
        <v>4.1443596177533265E-2</v>
      </c>
      <c r="R61" s="48" t="str">
        <f t="shared" si="21"/>
        <v>ResDRY</v>
      </c>
    </row>
    <row r="62" spans="1:18" ht="25.5">
      <c r="A62" t="str">
        <f t="shared" si="1"/>
        <v>ManufacturedCEE Tier 3 Clothes Washer - Any DHW, Any Dryer - 54% ENERGY STAR BaselineDryer Savings</v>
      </c>
      <c r="B62" t="str">
        <f t="shared" si="8"/>
        <v>Manufactured</v>
      </c>
      <c r="C62" s="27" t="str">
        <f t="shared" si="9"/>
        <v>CEE Tier 3 Clothes Washer - Any DHW, Any Dryer - 54% ENERGY STAR Baseline</v>
      </c>
      <c r="D62" s="33" t="str">
        <f t="shared" si="21"/>
        <v>Dryer Savings</v>
      </c>
      <c r="E62" s="48">
        <f ca="1">E30-E29</f>
        <v>13.710510625507126</v>
      </c>
      <c r="F62" s="48">
        <f t="shared" si="21"/>
        <v>14</v>
      </c>
      <c r="G62" s="48">
        <f>G30-G29</f>
        <v>0</v>
      </c>
      <c r="H62" s="48">
        <f>H30-H29</f>
        <v>0</v>
      </c>
      <c r="I62" s="48" t="str">
        <f t="shared" si="21"/>
        <v>ResDRY</v>
      </c>
      <c r="J62" s="48">
        <f>J30-J29</f>
        <v>0</v>
      </c>
      <c r="K62" s="48">
        <f>K30-K29</f>
        <v>0</v>
      </c>
      <c r="L62" s="48">
        <f t="shared" si="21"/>
        <v>0</v>
      </c>
      <c r="M62" s="48">
        <f>M30-M29</f>
        <v>0</v>
      </c>
      <c r="N62" s="48">
        <f t="shared" si="21"/>
        <v>0</v>
      </c>
      <c r="O62" s="48">
        <f>O30-O29</f>
        <v>0</v>
      </c>
      <c r="P62" s="48">
        <f t="shared" si="21"/>
        <v>0</v>
      </c>
      <c r="Q62" s="48">
        <f ca="1">Q30-Q29</f>
        <v>2.7583815524546598E-2</v>
      </c>
      <c r="R62" s="48" t="str">
        <f t="shared" si="21"/>
        <v>ResDRY</v>
      </c>
    </row>
    <row r="63" spans="1:18" ht="25.5">
      <c r="A63" t="str">
        <f t="shared" si="1"/>
        <v>ManufacturedCEE Tier 1 Clothes Washer - Any DHW, Any Dryer - 54% ENERGY STAR BaselineWaste Water Energy</v>
      </c>
      <c r="B63" t="str">
        <f t="shared" si="8"/>
        <v>Manufactured</v>
      </c>
      <c r="C63" s="27" t="str">
        <f t="shared" si="9"/>
        <v>CEE Tier 1 Clothes Washer - Any DHW, Any Dryer - 54% ENERGY STAR Baseline</v>
      </c>
      <c r="D63" s="26" t="str">
        <f t="shared" si="21"/>
        <v>Waste Water Energy</v>
      </c>
      <c r="E63" s="48">
        <f t="shared" ca="1" si="21"/>
        <v>2.2689844676199051</v>
      </c>
      <c r="F63" s="48">
        <f t="shared" si="21"/>
        <v>14</v>
      </c>
      <c r="G63" s="48">
        <f t="shared" ref="G63:H63" si="32">G31</f>
        <v>0</v>
      </c>
      <c r="H63" s="48">
        <f t="shared" si="32"/>
        <v>0</v>
      </c>
      <c r="I63" s="48" t="str">
        <f t="shared" si="21"/>
        <v>FLAT</v>
      </c>
      <c r="J63" s="48">
        <f t="shared" ref="J63:K63" ca="1" si="33">J31</f>
        <v>8.5265191237314468</v>
      </c>
      <c r="K63" s="48">
        <f t="shared" si="33"/>
        <v>0</v>
      </c>
      <c r="L63" s="48">
        <f t="shared" si="21"/>
        <v>0</v>
      </c>
      <c r="M63" s="48">
        <f t="shared" ref="M63" si="34">M31</f>
        <v>0</v>
      </c>
      <c r="N63" s="48">
        <f t="shared" si="21"/>
        <v>0</v>
      </c>
      <c r="O63" s="48">
        <f t="shared" ref="O63" si="35">O31</f>
        <v>0</v>
      </c>
      <c r="P63" s="48">
        <f t="shared" si="21"/>
        <v>0</v>
      </c>
      <c r="Q63" s="48">
        <f t="shared" ref="Q63" si="36">Q31</f>
        <v>0</v>
      </c>
      <c r="R63" s="48">
        <f t="shared" si="21"/>
        <v>0</v>
      </c>
    </row>
    <row r="64" spans="1:18" ht="25.5">
      <c r="A64" t="str">
        <f t="shared" si="1"/>
        <v>ManufacturedCEE Tier 2 Clothes Washer - Any DHW, Any Dryer - 54% ENERGY STAR BaselineWaste Water Energy</v>
      </c>
      <c r="B64" t="str">
        <f t="shared" si="8"/>
        <v>Manufactured</v>
      </c>
      <c r="C64" s="27" t="str">
        <f t="shared" si="9"/>
        <v>CEE Tier 2 Clothes Washer - Any DHW, Any Dryer - 54% ENERGY STAR Baseline</v>
      </c>
      <c r="D64" s="32" t="str">
        <f t="shared" si="21"/>
        <v>Waste Water Energy</v>
      </c>
      <c r="E64" s="48">
        <f ca="1">E32-E31</f>
        <v>1.0589679884816285</v>
      </c>
      <c r="F64" s="48">
        <f t="shared" si="21"/>
        <v>14</v>
      </c>
      <c r="G64" s="48">
        <f>G32-G31</f>
        <v>0</v>
      </c>
      <c r="H64" s="48">
        <f>H32-H31</f>
        <v>0</v>
      </c>
      <c r="I64" s="48" t="str">
        <f t="shared" si="21"/>
        <v>FLAT</v>
      </c>
      <c r="J64" s="48">
        <f ca="1">J32-J31</f>
        <v>3.9794502492471899</v>
      </c>
      <c r="K64" s="48">
        <f>K32-K31</f>
        <v>0</v>
      </c>
      <c r="L64" s="48">
        <f t="shared" si="21"/>
        <v>0</v>
      </c>
      <c r="M64" s="48">
        <f>M32-M31</f>
        <v>0</v>
      </c>
      <c r="N64" s="48">
        <f t="shared" si="21"/>
        <v>0</v>
      </c>
      <c r="O64" s="48">
        <f>O32-O31</f>
        <v>0</v>
      </c>
      <c r="P64" s="48">
        <f t="shared" si="21"/>
        <v>0</v>
      </c>
      <c r="Q64" s="48">
        <f>Q32-Q31</f>
        <v>0</v>
      </c>
      <c r="R64" s="48">
        <f t="shared" si="21"/>
        <v>0</v>
      </c>
    </row>
    <row r="65" spans="1:18" ht="25.5">
      <c r="A65" t="str">
        <f t="shared" si="1"/>
        <v>ManufacturedCEE Tier 3 Clothes Washer - Any DHW, Any Dryer - 54% ENERGY STAR BaselineWaste Water Energy</v>
      </c>
      <c r="B65" t="str">
        <f t="shared" si="8"/>
        <v>Manufactured</v>
      </c>
      <c r="C65" s="27" t="str">
        <f t="shared" si="9"/>
        <v>CEE Tier 3 Clothes Washer - Any DHW, Any Dryer - 54% ENERGY STAR Baseline</v>
      </c>
      <c r="D65" s="33" t="str">
        <f t="shared" si="21"/>
        <v>Waste Water Energy</v>
      </c>
      <c r="E65" s="48">
        <f ca="1">E33-E32</f>
        <v>9.1465565223937784E-2</v>
      </c>
      <c r="F65" s="48">
        <f t="shared" si="21"/>
        <v>14</v>
      </c>
      <c r="G65" s="48">
        <f>G33-G32</f>
        <v>0</v>
      </c>
      <c r="H65" s="48">
        <f>H33-H32</f>
        <v>0</v>
      </c>
      <c r="I65" s="48" t="str">
        <f t="shared" si="21"/>
        <v>FLAT</v>
      </c>
      <c r="J65" s="48">
        <f ca="1">J33-J32</f>
        <v>0.34371451289081634</v>
      </c>
      <c r="K65" s="48">
        <f>K33-K32</f>
        <v>0</v>
      </c>
      <c r="L65" s="48">
        <f t="shared" si="21"/>
        <v>0</v>
      </c>
      <c r="M65" s="48">
        <f>M33-M32</f>
        <v>0</v>
      </c>
      <c r="N65" s="48">
        <f t="shared" si="21"/>
        <v>0</v>
      </c>
      <c r="O65" s="48">
        <f>O33-O32</f>
        <v>0</v>
      </c>
      <c r="P65" s="48">
        <f t="shared" si="21"/>
        <v>0</v>
      </c>
      <c r="Q65" s="48">
        <f>Q33-Q32</f>
        <v>0</v>
      </c>
      <c r="R65" s="48">
        <f t="shared" si="21"/>
        <v>0</v>
      </c>
    </row>
  </sheetData>
  <mergeCells count="4">
    <mergeCell ref="K5:P5"/>
    <mergeCell ref="Q5:R5"/>
    <mergeCell ref="K37:P37"/>
    <mergeCell ref="Q37:R37"/>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sheetPr codeName="Sheet18">
    <tabColor rgb="FFFFC000"/>
  </sheetPr>
  <dimension ref="A1:DB468"/>
  <sheetViews>
    <sheetView topLeftCell="A85" zoomScale="90" zoomScaleNormal="90" workbookViewId="0">
      <selection activeCell="A443" sqref="A443:XFD447"/>
    </sheetView>
  </sheetViews>
  <sheetFormatPr defaultRowHeight="12.75"/>
  <cols>
    <col min="1" max="1" width="9.140625" style="9"/>
    <col min="2" max="2" width="87.7109375" style="9" customWidth="1"/>
    <col min="3" max="3" width="18.7109375" style="9" customWidth="1"/>
    <col min="4" max="4" width="17.42578125" style="9" bestFit="1" customWidth="1"/>
    <col min="5" max="5" width="12.140625" style="9" bestFit="1" customWidth="1"/>
    <col min="6" max="6" width="12.5703125" style="9" customWidth="1"/>
    <col min="7" max="7" width="13.7109375" style="9" customWidth="1"/>
    <col min="8" max="8" width="17.42578125" style="9" bestFit="1" customWidth="1"/>
    <col min="9" max="9" width="15.7109375" style="9" bestFit="1" customWidth="1"/>
    <col min="10" max="10" width="15.42578125" style="9" bestFit="1" customWidth="1"/>
    <col min="11" max="11" width="14.42578125" style="9" bestFit="1" customWidth="1"/>
    <col min="12" max="12" width="14.28515625" style="9" customWidth="1"/>
    <col min="13" max="13" width="12.5703125" style="9" customWidth="1"/>
    <col min="14" max="14" width="12.7109375" style="9" bestFit="1" customWidth="1"/>
    <col min="15" max="16" width="11" style="9" bestFit="1" customWidth="1"/>
    <col min="17" max="17" width="13.42578125" style="9" customWidth="1"/>
    <col min="18" max="18" width="11.85546875" style="9" bestFit="1" customWidth="1"/>
    <col min="19" max="19" width="11" style="9" bestFit="1" customWidth="1"/>
    <col min="20" max="20" width="14.28515625" style="9" bestFit="1" customWidth="1"/>
    <col min="21" max="21" width="10.7109375" style="9" customWidth="1"/>
    <col min="22" max="22" width="13.85546875" style="9" bestFit="1" customWidth="1"/>
    <col min="23" max="23" width="11.7109375" style="9" bestFit="1" customWidth="1"/>
    <col min="24" max="24" width="15.28515625" style="9" bestFit="1" customWidth="1"/>
    <col min="25" max="27" width="12.28515625" style="9" bestFit="1" customWidth="1"/>
    <col min="28" max="28" width="12.5703125" style="9" bestFit="1" customWidth="1"/>
    <col min="29" max="31" width="14.28515625" style="9" bestFit="1" customWidth="1"/>
    <col min="32" max="32" width="13.7109375" style="9" bestFit="1" customWidth="1"/>
    <col min="33" max="33" width="14" style="9" bestFit="1" customWidth="1"/>
    <col min="34" max="34" width="12.85546875" style="9" bestFit="1" customWidth="1"/>
    <col min="35" max="35" width="15.28515625" style="9" bestFit="1" customWidth="1"/>
    <col min="36" max="36" width="12.28515625" style="9" bestFit="1" customWidth="1"/>
    <col min="37" max="37" width="10.85546875" style="9" bestFit="1" customWidth="1"/>
    <col min="38" max="38" width="12.28515625" style="9" bestFit="1" customWidth="1"/>
    <col min="39" max="39" width="12.5703125" style="9" bestFit="1" customWidth="1"/>
    <col min="40" max="44" width="12.85546875" style="9" customWidth="1"/>
    <col min="45" max="45" width="12.5703125" style="9" customWidth="1"/>
    <col min="46" max="46" width="12.28515625" style="9" customWidth="1"/>
    <col min="47" max="47" width="12.7109375" style="9" customWidth="1"/>
    <col min="48" max="48" width="11.85546875" style="9" customWidth="1"/>
    <col min="49" max="49" width="12.5703125" style="9" bestFit="1" customWidth="1"/>
    <col min="50" max="50" width="13.42578125" style="9" customWidth="1"/>
    <col min="51" max="51" width="15.7109375" style="9" bestFit="1" customWidth="1"/>
    <col min="52" max="52" width="11" style="9" bestFit="1" customWidth="1"/>
    <col min="53" max="53" width="14.28515625" style="9" bestFit="1" customWidth="1"/>
    <col min="54" max="54" width="14.7109375" style="9" bestFit="1" customWidth="1"/>
    <col min="55" max="55" width="15" style="9" bestFit="1" customWidth="1"/>
    <col min="56" max="56" width="12.5703125" style="9" bestFit="1" customWidth="1"/>
    <col min="57" max="57" width="13.5703125" style="9" customWidth="1"/>
    <col min="58" max="59" width="14.5703125" style="9" bestFit="1" customWidth="1"/>
    <col min="60" max="60" width="14.85546875" style="9" bestFit="1" customWidth="1"/>
    <col min="61" max="61" width="12.5703125" style="9" bestFit="1" customWidth="1"/>
    <col min="62" max="62" width="13.28515625" style="9" bestFit="1" customWidth="1"/>
    <col min="63" max="63" width="14" style="9" bestFit="1" customWidth="1"/>
    <col min="64" max="64" width="13.28515625" style="9" bestFit="1" customWidth="1"/>
    <col min="65" max="65" width="11.140625" style="9" bestFit="1" customWidth="1"/>
    <col min="66" max="66" width="16.85546875" style="9" bestFit="1" customWidth="1"/>
    <col min="67" max="67" width="14.7109375" style="9" customWidth="1"/>
    <col min="68" max="68" width="12" style="9" customWidth="1"/>
    <col min="69" max="69" width="14" style="9" customWidth="1"/>
    <col min="70" max="70" width="12.5703125" style="9" customWidth="1"/>
    <col min="71" max="71" width="11.28515625" style="9" customWidth="1"/>
    <col min="72" max="72" width="14.42578125" style="9" customWidth="1"/>
    <col min="73" max="73" width="15.7109375" style="9" customWidth="1"/>
    <col min="74" max="74" width="12.85546875" style="9" customWidth="1"/>
    <col min="75" max="75" width="13" style="9" customWidth="1"/>
    <col min="76" max="76" width="11.7109375" style="9" customWidth="1"/>
    <col min="77" max="77" width="14" style="9" customWidth="1"/>
    <col min="78" max="78" width="14.85546875" style="9" customWidth="1"/>
    <col min="79" max="79" width="11.85546875" style="9" customWidth="1"/>
    <col min="80" max="80" width="13.85546875" style="9" customWidth="1"/>
    <col min="81" max="81" width="13.7109375" style="9" customWidth="1"/>
    <col min="82" max="82" width="13" style="9" customWidth="1"/>
    <col min="83" max="83" width="12.42578125" style="9" customWidth="1"/>
    <col min="84" max="84" width="13" style="9" customWidth="1"/>
    <col min="85" max="85" width="12.7109375" style="9" hidden="1" customWidth="1"/>
    <col min="86" max="86" width="12.42578125" style="9" hidden="1" customWidth="1"/>
    <col min="87" max="87" width="10.28515625" style="9" hidden="1" customWidth="1"/>
    <col min="88" max="91" width="9.85546875" style="9" hidden="1" customWidth="1"/>
    <col min="92" max="92" width="9.85546875" style="9" customWidth="1"/>
    <col min="93" max="100" width="10.7109375" style="9" customWidth="1"/>
    <col min="101" max="101" width="16.5703125" style="9" customWidth="1"/>
    <col min="102" max="106" width="10.7109375" style="9" customWidth="1"/>
    <col min="107" max="16384" width="9.140625" style="9"/>
  </cols>
  <sheetData>
    <row r="1" spans="1:106">
      <c r="B1" s="1" t="s">
        <v>0</v>
      </c>
      <c r="C1" s="2"/>
      <c r="D1" s="2"/>
      <c r="E1" s="2"/>
      <c r="F1" s="2"/>
      <c r="G1" s="2"/>
      <c r="H1" s="2"/>
      <c r="I1" s="3"/>
      <c r="J1" s="4"/>
      <c r="K1" s="4"/>
      <c r="L1" s="4"/>
      <c r="M1" s="4"/>
      <c r="N1" s="4"/>
      <c r="O1" s="5"/>
      <c r="P1" s="6"/>
      <c r="Q1" s="5"/>
      <c r="R1" s="5"/>
      <c r="S1" s="5"/>
      <c r="T1" s="3"/>
      <c r="U1" s="3"/>
      <c r="V1" s="3"/>
      <c r="W1" s="5"/>
      <c r="X1" s="3"/>
      <c r="Y1" s="3"/>
      <c r="Z1" s="3"/>
      <c r="AA1" s="3"/>
      <c r="AB1" s="3"/>
      <c r="AC1" s="3"/>
      <c r="AD1" s="3"/>
      <c r="AE1" s="3"/>
      <c r="AF1" s="3"/>
      <c r="AG1" s="3"/>
      <c r="AH1" s="3"/>
      <c r="AI1" s="3"/>
      <c r="AJ1" s="3"/>
      <c r="AK1" s="3"/>
      <c r="AL1" s="3"/>
      <c r="AM1" s="3"/>
      <c r="AN1" s="3"/>
      <c r="AO1" s="3"/>
      <c r="AP1" s="3"/>
      <c r="AQ1" s="7"/>
      <c r="AR1" s="3"/>
      <c r="AS1" s="3"/>
      <c r="AT1" s="3"/>
      <c r="AU1" s="3"/>
      <c r="AV1" s="3"/>
      <c r="AW1" s="7"/>
      <c r="AX1" s="3"/>
      <c r="AY1" s="3"/>
      <c r="AZ1" s="3"/>
      <c r="BA1" s="3"/>
      <c r="BB1" s="3"/>
      <c r="BC1" s="3"/>
      <c r="BD1" s="3"/>
      <c r="BE1" s="3"/>
      <c r="BF1" s="3"/>
      <c r="BG1" s="3"/>
      <c r="BH1" s="3"/>
      <c r="BI1" s="3"/>
      <c r="BJ1" s="3"/>
      <c r="BK1" s="3"/>
      <c r="BL1" s="3"/>
      <c r="BM1" s="3"/>
      <c r="BN1" s="8"/>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7"/>
      <c r="CR1" s="3"/>
      <c r="CS1" s="3"/>
      <c r="CT1" s="3"/>
      <c r="CU1" s="3"/>
      <c r="CV1" s="3"/>
      <c r="CW1" s="3"/>
      <c r="CX1" s="3"/>
      <c r="CY1" s="3"/>
      <c r="CZ1" s="3"/>
      <c r="DA1" s="3"/>
      <c r="DB1" s="3"/>
    </row>
    <row r="2" spans="1:106">
      <c r="B2" s="10" t="s">
        <v>1</v>
      </c>
      <c r="C2" s="3"/>
      <c r="D2" s="3"/>
      <c r="E2" s="3"/>
      <c r="F2" s="3"/>
      <c r="G2" s="3"/>
      <c r="H2" s="3"/>
      <c r="I2" s="3"/>
      <c r="J2" s="4"/>
      <c r="K2" s="4"/>
      <c r="L2" s="4"/>
      <c r="M2" s="4"/>
      <c r="N2" s="4"/>
      <c r="O2" s="5"/>
      <c r="P2" s="5"/>
      <c r="Q2" s="5"/>
      <c r="R2" s="5"/>
      <c r="S2" s="5"/>
      <c r="T2" s="3"/>
      <c r="U2" s="3"/>
      <c r="V2" s="3"/>
      <c r="W2" s="5"/>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7"/>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row>
    <row r="3" spans="1:106">
      <c r="B3" s="10" t="s">
        <v>2</v>
      </c>
      <c r="D3" s="10">
        <v>2012</v>
      </c>
      <c r="K3" s="11"/>
      <c r="L3" s="12"/>
      <c r="CP3" s="12"/>
      <c r="CQ3" s="12"/>
    </row>
    <row r="5" spans="1:106">
      <c r="B5" s="13">
        <v>1</v>
      </c>
      <c r="C5" s="13">
        <v>2</v>
      </c>
      <c r="D5" s="13">
        <v>3</v>
      </c>
      <c r="E5" s="13">
        <v>4</v>
      </c>
      <c r="F5" s="13">
        <v>5</v>
      </c>
      <c r="G5" s="13">
        <v>6</v>
      </c>
      <c r="H5" s="13">
        <v>7</v>
      </c>
      <c r="I5" s="13">
        <v>8</v>
      </c>
      <c r="J5" s="13">
        <v>9</v>
      </c>
      <c r="K5" s="13">
        <v>10</v>
      </c>
      <c r="L5" s="13">
        <v>11</v>
      </c>
      <c r="M5" s="13">
        <v>12</v>
      </c>
      <c r="N5" s="13">
        <v>13</v>
      </c>
      <c r="O5" s="13">
        <v>14</v>
      </c>
      <c r="P5" s="13">
        <v>15</v>
      </c>
      <c r="Q5" s="13">
        <v>16</v>
      </c>
      <c r="R5" s="13">
        <v>17</v>
      </c>
      <c r="S5" s="13">
        <v>18</v>
      </c>
      <c r="T5" s="13">
        <v>19</v>
      </c>
      <c r="U5" s="13">
        <v>20</v>
      </c>
      <c r="V5" s="13">
        <v>21</v>
      </c>
      <c r="W5" s="13">
        <v>22</v>
      </c>
      <c r="X5" s="13">
        <v>23</v>
      </c>
      <c r="Y5" s="13">
        <v>24</v>
      </c>
      <c r="Z5" s="13">
        <v>25</v>
      </c>
      <c r="AA5" s="13">
        <v>26</v>
      </c>
      <c r="AB5" s="13">
        <v>27</v>
      </c>
      <c r="AC5" s="13">
        <v>28</v>
      </c>
      <c r="AD5" s="13">
        <v>29</v>
      </c>
      <c r="AE5" s="13">
        <v>30</v>
      </c>
      <c r="AF5" s="13">
        <v>31</v>
      </c>
      <c r="AG5" s="13">
        <v>32</v>
      </c>
      <c r="AH5" s="13">
        <v>33</v>
      </c>
      <c r="AI5" s="13">
        <v>34</v>
      </c>
      <c r="AJ5" s="13">
        <v>35</v>
      </c>
      <c r="AK5" s="13">
        <v>36</v>
      </c>
      <c r="AL5" s="13">
        <v>37</v>
      </c>
      <c r="AM5" s="13">
        <v>38</v>
      </c>
      <c r="AN5" s="13">
        <v>39</v>
      </c>
      <c r="AO5" s="13">
        <v>40</v>
      </c>
      <c r="AP5" s="13">
        <v>41</v>
      </c>
      <c r="AQ5" s="13">
        <v>42</v>
      </c>
      <c r="AR5" s="13">
        <v>43</v>
      </c>
      <c r="AS5" s="13">
        <v>44</v>
      </c>
      <c r="AT5" s="13">
        <v>45</v>
      </c>
      <c r="AU5" s="13">
        <v>46</v>
      </c>
      <c r="AV5" s="13">
        <v>47</v>
      </c>
      <c r="AW5" s="13">
        <v>48</v>
      </c>
      <c r="AX5" s="13">
        <v>49</v>
      </c>
      <c r="AY5" s="13">
        <v>50</v>
      </c>
      <c r="AZ5" s="13">
        <v>51</v>
      </c>
      <c r="BA5" s="13">
        <v>52</v>
      </c>
      <c r="BB5" s="13">
        <v>53</v>
      </c>
      <c r="BC5" s="13">
        <v>54</v>
      </c>
      <c r="BD5" s="13">
        <v>55</v>
      </c>
      <c r="BE5" s="13">
        <v>56</v>
      </c>
      <c r="BF5" s="13">
        <v>57</v>
      </c>
      <c r="BG5" s="13">
        <v>58</v>
      </c>
      <c r="BH5" s="13">
        <v>59</v>
      </c>
      <c r="BI5" s="13">
        <v>60</v>
      </c>
      <c r="BJ5" s="13">
        <v>61</v>
      </c>
      <c r="BK5" s="13">
        <v>62</v>
      </c>
      <c r="BL5" s="13">
        <v>63</v>
      </c>
      <c r="BM5" s="13">
        <v>64</v>
      </c>
      <c r="BN5" s="13">
        <v>65</v>
      </c>
      <c r="BO5" s="13">
        <v>66</v>
      </c>
      <c r="BP5" s="13">
        <v>67</v>
      </c>
      <c r="BQ5" s="13">
        <v>68</v>
      </c>
      <c r="BR5" s="13">
        <v>69</v>
      </c>
      <c r="BS5" s="13">
        <v>70</v>
      </c>
      <c r="BT5" s="13">
        <v>71</v>
      </c>
      <c r="BU5" s="13">
        <v>72</v>
      </c>
      <c r="BV5" s="13">
        <v>73</v>
      </c>
      <c r="BW5" s="13">
        <v>74</v>
      </c>
      <c r="BX5" s="13">
        <v>75</v>
      </c>
      <c r="BY5" s="13">
        <v>76</v>
      </c>
      <c r="BZ5" s="13">
        <v>77</v>
      </c>
      <c r="CA5" s="13">
        <v>78</v>
      </c>
      <c r="CB5" s="13">
        <v>79</v>
      </c>
      <c r="CC5" s="13">
        <v>80</v>
      </c>
      <c r="CD5" s="13">
        <v>81</v>
      </c>
      <c r="CE5" s="13">
        <v>82</v>
      </c>
      <c r="CF5" s="13">
        <v>83</v>
      </c>
      <c r="CG5" s="13">
        <v>84</v>
      </c>
      <c r="CH5" s="13">
        <v>85</v>
      </c>
      <c r="CI5" s="13">
        <v>86</v>
      </c>
      <c r="CJ5" s="13">
        <v>87</v>
      </c>
      <c r="CK5" s="13">
        <v>88</v>
      </c>
      <c r="CL5" s="13">
        <v>89</v>
      </c>
      <c r="CM5" s="13">
        <v>90</v>
      </c>
      <c r="CN5" s="13">
        <v>91</v>
      </c>
      <c r="CO5" s="13">
        <v>92</v>
      </c>
      <c r="CP5" s="13">
        <v>93</v>
      </c>
      <c r="CQ5" s="13">
        <v>94</v>
      </c>
      <c r="CR5" s="13">
        <v>95</v>
      </c>
      <c r="CS5" s="13">
        <v>96</v>
      </c>
      <c r="CT5" s="13">
        <v>97</v>
      </c>
      <c r="CU5" s="13">
        <v>98</v>
      </c>
      <c r="CV5" s="13">
        <v>99</v>
      </c>
      <c r="CW5" s="13">
        <v>100</v>
      </c>
      <c r="CX5" s="13">
        <v>101</v>
      </c>
      <c r="CY5" s="13">
        <v>102</v>
      </c>
      <c r="CZ5" s="13">
        <v>103</v>
      </c>
      <c r="DA5" s="13">
        <v>104</v>
      </c>
      <c r="DB5" s="13">
        <v>105</v>
      </c>
    </row>
    <row r="6" spans="1:106">
      <c r="B6" s="14" t="s">
        <v>3</v>
      </c>
      <c r="C6" s="15"/>
      <c r="D6" s="15"/>
      <c r="E6" s="15"/>
      <c r="F6" s="15"/>
      <c r="G6" s="15"/>
      <c r="H6" s="16"/>
      <c r="I6" s="17"/>
      <c r="J6" s="894" t="s">
        <v>4</v>
      </c>
      <c r="K6" s="895"/>
      <c r="L6" s="895"/>
      <c r="M6" s="895"/>
      <c r="N6" s="895"/>
      <c r="O6" s="896"/>
      <c r="P6" s="897" t="s">
        <v>5</v>
      </c>
      <c r="Q6" s="898"/>
      <c r="R6" s="18"/>
      <c r="S6" s="19"/>
      <c r="T6" s="19"/>
      <c r="U6" s="19"/>
      <c r="V6" s="19"/>
      <c r="W6" s="19"/>
      <c r="X6" s="19"/>
      <c r="Y6" s="20"/>
      <c r="Z6" s="21"/>
      <c r="AA6" s="19"/>
      <c r="AB6" s="19"/>
      <c r="AC6" s="19"/>
      <c r="AD6" s="19"/>
      <c r="AE6" s="19"/>
      <c r="AF6" s="22"/>
      <c r="AG6" s="22"/>
      <c r="AH6" s="22"/>
      <c r="AI6" s="22"/>
      <c r="AJ6" s="22"/>
      <c r="AK6" s="22"/>
      <c r="AL6" s="22"/>
      <c r="AM6" s="22"/>
      <c r="AN6" s="22"/>
      <c r="AO6" s="22"/>
      <c r="AP6" s="22"/>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ht="25.5">
      <c r="B7" s="23" t="s">
        <v>6</v>
      </c>
      <c r="C7" s="23" t="s">
        <v>7</v>
      </c>
      <c r="D7" s="23" t="s">
        <v>8</v>
      </c>
      <c r="E7" s="23" t="s">
        <v>9</v>
      </c>
      <c r="F7" s="23" t="s">
        <v>10</v>
      </c>
      <c r="G7" s="23" t="s">
        <v>11</v>
      </c>
      <c r="H7" s="23" t="s">
        <v>12</v>
      </c>
      <c r="I7" s="23" t="s">
        <v>13</v>
      </c>
      <c r="J7" s="23" t="s">
        <v>14</v>
      </c>
      <c r="K7" s="23" t="s">
        <v>15</v>
      </c>
      <c r="L7" s="23" t="s">
        <v>16</v>
      </c>
      <c r="M7" s="23" t="s">
        <v>17</v>
      </c>
      <c r="N7" s="23" t="s">
        <v>18</v>
      </c>
      <c r="O7" s="23" t="s">
        <v>19</v>
      </c>
      <c r="P7" s="24" t="s">
        <v>20</v>
      </c>
      <c r="Q7" s="23" t="s">
        <v>12</v>
      </c>
      <c r="R7" s="25"/>
      <c r="S7" s="25"/>
      <c r="T7" s="25"/>
      <c r="U7" s="25"/>
      <c r="V7" s="25"/>
      <c r="W7" s="25"/>
      <c r="X7" s="25"/>
      <c r="Y7" s="25"/>
      <c r="Z7" s="25"/>
      <c r="AA7" s="25"/>
      <c r="AB7" s="25"/>
      <c r="AC7" s="25"/>
      <c r="AD7" s="25"/>
      <c r="AE7" s="25"/>
      <c r="AF7" s="22"/>
      <c r="AG7" s="22"/>
      <c r="AH7" s="22"/>
      <c r="AI7" s="22"/>
      <c r="AJ7" s="22"/>
      <c r="AK7" s="22"/>
      <c r="AL7" s="22"/>
      <c r="AM7" s="22"/>
      <c r="AN7" s="22"/>
      <c r="AO7" s="22"/>
      <c r="AP7" s="22"/>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row>
    <row r="8" spans="1:106" ht="25.5">
      <c r="A8" s="9" t="s">
        <v>54</v>
      </c>
      <c r="B8" s="755" t="str">
        <f>'SF Measure Development'!BA18</f>
        <v>ENERGY STAR - Top-Load Clothes Washer - Electric DHW, Electric Dryer - 31% ENERGY STAR Baseline</v>
      </c>
      <c r="C8" s="755" t="str">
        <f>'SF Measure Development'!BB18</f>
        <v>Washer Savings</v>
      </c>
      <c r="D8" s="751">
        <f ca="1">'SF Measure Development'!BC18</f>
        <v>8.3230359342092228</v>
      </c>
      <c r="E8" s="755">
        <f>'SF Measure Development'!BD18</f>
        <v>14</v>
      </c>
      <c r="F8" s="752">
        <f ca="1">'SF Measure Development'!BE18</f>
        <v>-21.580021166835763</v>
      </c>
      <c r="G8" s="756">
        <f>'SF Measure Development'!BF18</f>
        <v>0</v>
      </c>
      <c r="H8" s="750" t="str">
        <f>'SF Measure Development'!BG18</f>
        <v>ResWASH</v>
      </c>
      <c r="I8" s="753">
        <f ca="1">'SF Measure Development'!BH18</f>
        <v>0.9398852595185474</v>
      </c>
      <c r="J8" s="750">
        <f>'SF Measure Development'!BI18</f>
        <v>0</v>
      </c>
      <c r="K8" s="750">
        <f>'SF Measure Development'!BJ18</f>
        <v>0</v>
      </c>
      <c r="L8" s="750">
        <f>'SF Measure Development'!BK18</f>
        <v>0</v>
      </c>
      <c r="M8" s="750">
        <f>'SF Measure Development'!BL18</f>
        <v>0</v>
      </c>
      <c r="N8" s="757">
        <f>'SF Measure Development'!BM18</f>
        <v>0</v>
      </c>
      <c r="O8" s="750">
        <f>'SF Measure Development'!BN18</f>
        <v>0</v>
      </c>
      <c r="P8" s="754">
        <f ca="1">'SF Measure Development'!BO18</f>
        <v>0</v>
      </c>
      <c r="Q8" s="750" t="str">
        <f>'SF Measure Development'!BP18</f>
        <v>ResDHW</v>
      </c>
      <c r="R8" s="28"/>
      <c r="S8" s="29"/>
      <c r="T8" s="30"/>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row>
    <row r="9" spans="1:106" ht="25.5">
      <c r="A9" s="9" t="s">
        <v>54</v>
      </c>
      <c r="B9" s="755" t="str">
        <f>'SF Measure Development'!BA19</f>
        <v>ENERGY STAR - Top-Load Clothes Washer - Electric DHW, Gas Dryer - 31% ENERGY STAR Baseline</v>
      </c>
      <c r="C9" s="755" t="str">
        <f>'SF Measure Development'!BB19</f>
        <v>Washer Savings</v>
      </c>
      <c r="D9" s="751">
        <f ca="1">'SF Measure Development'!BC19</f>
        <v>8.3230359342092228</v>
      </c>
      <c r="E9" s="755">
        <f>'SF Measure Development'!BD19</f>
        <v>14</v>
      </c>
      <c r="F9" s="752">
        <f ca="1">'SF Measure Development'!BE19</f>
        <v>-21.580021166835763</v>
      </c>
      <c r="G9" s="756">
        <f>'SF Measure Development'!BF19</f>
        <v>0</v>
      </c>
      <c r="H9" s="750" t="str">
        <f>'SF Measure Development'!BG19</f>
        <v>ResWASH</v>
      </c>
      <c r="I9" s="753">
        <f ca="1">'SF Measure Development'!BH19</f>
        <v>0.9398852595185474</v>
      </c>
      <c r="J9" s="750">
        <f>'SF Measure Development'!BI19</f>
        <v>0</v>
      </c>
      <c r="K9" s="750">
        <f>'SF Measure Development'!BJ19</f>
        <v>0</v>
      </c>
      <c r="L9" s="750">
        <f>'SF Measure Development'!BK19</f>
        <v>0</v>
      </c>
      <c r="M9" s="750">
        <f>'SF Measure Development'!BL19</f>
        <v>0</v>
      </c>
      <c r="N9" s="757">
        <f>'SF Measure Development'!BM19</f>
        <v>0</v>
      </c>
      <c r="O9" s="750">
        <f>'SF Measure Development'!BN19</f>
        <v>0</v>
      </c>
      <c r="P9" s="754">
        <f ca="1">'SF Measure Development'!BO19</f>
        <v>0</v>
      </c>
      <c r="Q9" s="750" t="str">
        <f>'SF Measure Development'!BP19</f>
        <v>ResDHW</v>
      </c>
      <c r="R9" s="28"/>
      <c r="S9" s="29"/>
      <c r="T9" s="30"/>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row>
    <row r="10" spans="1:106" ht="25.5">
      <c r="A10" s="9" t="s">
        <v>54</v>
      </c>
      <c r="B10" s="755" t="str">
        <f>'SF Measure Development'!BA20</f>
        <v>ENERGY STAR - Top-Load Clothes Washer - Gas DHW, Electric Dryer - 31% ENERGY STAR Baseline</v>
      </c>
      <c r="C10" s="755" t="str">
        <f>'SF Measure Development'!BB20</f>
        <v>Washer Savings</v>
      </c>
      <c r="D10" s="751">
        <f ca="1">'SF Measure Development'!BC20</f>
        <v>2.4859057674460345</v>
      </c>
      <c r="E10" s="755">
        <f>'SF Measure Development'!BD20</f>
        <v>14</v>
      </c>
      <c r="F10" s="752">
        <f ca="1">'SF Measure Development'!BE20</f>
        <v>-21.580021166835763</v>
      </c>
      <c r="G10" s="756">
        <f>'SF Measure Development'!BF20</f>
        <v>0</v>
      </c>
      <c r="H10" s="750" t="str">
        <f>'SF Measure Development'!BG20</f>
        <v>ResWASH</v>
      </c>
      <c r="I10" s="753">
        <f ca="1">'SF Measure Development'!BH20</f>
        <v>0.9398852595185474</v>
      </c>
      <c r="J10" s="750">
        <f>'SF Measure Development'!BI20</f>
        <v>0</v>
      </c>
      <c r="K10" s="750">
        <f>'SF Measure Development'!BJ20</f>
        <v>0</v>
      </c>
      <c r="L10" s="750">
        <f>'SF Measure Development'!BK20</f>
        <v>0</v>
      </c>
      <c r="M10" s="750">
        <f>'SF Measure Development'!BL20</f>
        <v>0</v>
      </c>
      <c r="N10" s="757">
        <f>'SF Measure Development'!BM20</f>
        <v>0</v>
      </c>
      <c r="O10" s="750">
        <f>'SF Measure Development'!BN20</f>
        <v>0</v>
      </c>
      <c r="P10" s="754">
        <f ca="1">'SF Measure Development'!BO20</f>
        <v>0.26562833678883724</v>
      </c>
      <c r="Q10" s="750" t="str">
        <f>'SF Measure Development'!BP20</f>
        <v>ResDHW</v>
      </c>
      <c r="R10" s="28"/>
      <c r="S10" s="29"/>
      <c r="T10" s="30"/>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row>
    <row r="11" spans="1:106">
      <c r="A11" s="9" t="s">
        <v>54</v>
      </c>
      <c r="B11" s="755" t="str">
        <f>'SF Measure Development'!BA21</f>
        <v>ENERGY STAR - Top-Load Clothes Washer - Gas DHW, Gas Dryer - 31% ENERGY STAR Baseline</v>
      </c>
      <c r="C11" s="755" t="str">
        <f>'SF Measure Development'!BB21</f>
        <v>Washer Savings</v>
      </c>
      <c r="D11" s="751">
        <f ca="1">'SF Measure Development'!BC21</f>
        <v>2.4859057674460345</v>
      </c>
      <c r="E11" s="755">
        <f>'SF Measure Development'!BD21</f>
        <v>14</v>
      </c>
      <c r="F11" s="752">
        <f ca="1">'SF Measure Development'!BE21</f>
        <v>-21.580021166835763</v>
      </c>
      <c r="G11" s="756">
        <f>'SF Measure Development'!BF21</f>
        <v>0</v>
      </c>
      <c r="H11" s="750" t="str">
        <f>'SF Measure Development'!BG21</f>
        <v>ResWASH</v>
      </c>
      <c r="I11" s="753">
        <f ca="1">'SF Measure Development'!BH21</f>
        <v>0.9398852595185474</v>
      </c>
      <c r="J11" s="750">
        <f>'SF Measure Development'!BI21</f>
        <v>0</v>
      </c>
      <c r="K11" s="750">
        <f>'SF Measure Development'!BJ21</f>
        <v>0</v>
      </c>
      <c r="L11" s="750">
        <f>'SF Measure Development'!BK21</f>
        <v>0</v>
      </c>
      <c r="M11" s="750">
        <f>'SF Measure Development'!BL21</f>
        <v>0</v>
      </c>
      <c r="N11" s="757">
        <f>'SF Measure Development'!BM21</f>
        <v>0</v>
      </c>
      <c r="O11" s="750">
        <f>'SF Measure Development'!BN21</f>
        <v>0</v>
      </c>
      <c r="P11" s="754">
        <f ca="1">'SF Measure Development'!BO21</f>
        <v>0.26562833678883724</v>
      </c>
      <c r="Q11" s="750" t="str">
        <f>'SF Measure Development'!BP21</f>
        <v>ResDHW</v>
      </c>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row>
    <row r="12" spans="1:106">
      <c r="A12" s="9" t="s">
        <v>54</v>
      </c>
      <c r="B12" s="755" t="str">
        <f>'SF Measure Development'!BA22</f>
        <v>ENERGY STAR - Top-Load Clothes Washer - Any DHW, Any Dryer - 31% ENERGY STAR Baseline</v>
      </c>
      <c r="C12" s="755" t="str">
        <f>'SF Measure Development'!BB22</f>
        <v>Washer Savings</v>
      </c>
      <c r="D12" s="751">
        <f ca="1">'SF Measure Development'!BC22</f>
        <v>5.7080016194993153</v>
      </c>
      <c r="E12" s="755">
        <f>'SF Measure Development'!BD22</f>
        <v>14</v>
      </c>
      <c r="F12" s="752">
        <f ca="1">'SF Measure Development'!BE22</f>
        <v>-21.580021166835763</v>
      </c>
      <c r="G12" s="756">
        <f>'SF Measure Development'!BF22</f>
        <v>0</v>
      </c>
      <c r="H12" s="750" t="str">
        <f>'SF Measure Development'!BG22</f>
        <v>ResWASH</v>
      </c>
      <c r="I12" s="753">
        <f ca="1">'SF Measure Development'!BH22</f>
        <v>0.9398852595185474</v>
      </c>
      <c r="J12" s="750">
        <f>'SF Measure Development'!BI22</f>
        <v>0</v>
      </c>
      <c r="K12" s="750">
        <f>'SF Measure Development'!BJ22</f>
        <v>0</v>
      </c>
      <c r="L12" s="750">
        <f>'SF Measure Development'!BK22</f>
        <v>0</v>
      </c>
      <c r="M12" s="750">
        <f>'SF Measure Development'!BL22</f>
        <v>0</v>
      </c>
      <c r="N12" s="757">
        <f>'SF Measure Development'!BM22</f>
        <v>0</v>
      </c>
      <c r="O12" s="750">
        <f>'SF Measure Development'!BN22</f>
        <v>0</v>
      </c>
      <c r="P12" s="754">
        <f ca="1">'SF Measure Development'!BO22</f>
        <v>0.11900149488139906</v>
      </c>
      <c r="Q12" s="750" t="str">
        <f>'SF Measure Development'!BP22</f>
        <v>ResDHW</v>
      </c>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row>
    <row r="13" spans="1:106" ht="25.5">
      <c r="A13" s="9" t="s">
        <v>54</v>
      </c>
      <c r="B13" s="755" t="str">
        <f>'SF Measure Development'!BA23</f>
        <v>ENERGY STAR - Front-Load Clothes Washer - Electric DHW, Electric Dryer - 31% ENERGY STAR Baseline</v>
      </c>
      <c r="C13" s="755" t="str">
        <f>'SF Measure Development'!BB23</f>
        <v>Washer Savings</v>
      </c>
      <c r="D13" s="751">
        <f ca="1">'SF Measure Development'!BC23</f>
        <v>34.552860154528837</v>
      </c>
      <c r="E13" s="755">
        <f>'SF Measure Development'!BD23</f>
        <v>14</v>
      </c>
      <c r="F13" s="752">
        <f ca="1">'SF Measure Development'!BE23</f>
        <v>193.50283895096402</v>
      </c>
      <c r="G13" s="756">
        <f>'SF Measure Development'!BF23</f>
        <v>0</v>
      </c>
      <c r="H13" s="750" t="str">
        <f>'SF Measure Development'!BG23</f>
        <v>ResWASH</v>
      </c>
      <c r="I13" s="753">
        <f ca="1">'SF Measure Development'!BH23</f>
        <v>11.526603428682648</v>
      </c>
      <c r="J13" s="750">
        <f>'SF Measure Development'!BI23</f>
        <v>0</v>
      </c>
      <c r="K13" s="750">
        <f>'SF Measure Development'!BJ23</f>
        <v>0</v>
      </c>
      <c r="L13" s="750">
        <f>'SF Measure Development'!BK23</f>
        <v>0</v>
      </c>
      <c r="M13" s="750">
        <f>'SF Measure Development'!BL23</f>
        <v>0</v>
      </c>
      <c r="N13" s="757">
        <f>'SF Measure Development'!BM23</f>
        <v>0</v>
      </c>
      <c r="O13" s="750">
        <f>'SF Measure Development'!BN23</f>
        <v>0</v>
      </c>
      <c r="P13" s="754">
        <f ca="1">'SF Measure Development'!BO23</f>
        <v>0</v>
      </c>
      <c r="Q13" s="750" t="str">
        <f>'SF Measure Development'!BP23</f>
        <v>ResDHW</v>
      </c>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row>
    <row r="14" spans="1:106" ht="25.5">
      <c r="A14" s="9" t="s">
        <v>54</v>
      </c>
      <c r="B14" s="755" t="str">
        <f>'SF Measure Development'!BA24</f>
        <v>ENERGY STAR - Front-Load Clothes Washer - Electric DHW, Gas Dryer - 31% ENERGY STAR Baseline</v>
      </c>
      <c r="C14" s="755" t="str">
        <f>'SF Measure Development'!BB24</f>
        <v>Washer Savings</v>
      </c>
      <c r="D14" s="751">
        <f ca="1">'SF Measure Development'!BC24</f>
        <v>34.552860154528837</v>
      </c>
      <c r="E14" s="755">
        <f>'SF Measure Development'!BD24</f>
        <v>14</v>
      </c>
      <c r="F14" s="752">
        <f ca="1">'SF Measure Development'!BE24</f>
        <v>193.50283895096402</v>
      </c>
      <c r="G14" s="756">
        <f>'SF Measure Development'!BF24</f>
        <v>0</v>
      </c>
      <c r="H14" s="750" t="str">
        <f>'SF Measure Development'!BG24</f>
        <v>ResWASH</v>
      </c>
      <c r="I14" s="753">
        <f ca="1">'SF Measure Development'!BH24</f>
        <v>11.526603428682648</v>
      </c>
      <c r="J14" s="750">
        <f>'SF Measure Development'!BI24</f>
        <v>0</v>
      </c>
      <c r="K14" s="750">
        <f>'SF Measure Development'!BJ24</f>
        <v>0</v>
      </c>
      <c r="L14" s="750">
        <f>'SF Measure Development'!BK24</f>
        <v>0</v>
      </c>
      <c r="M14" s="750">
        <f>'SF Measure Development'!BL24</f>
        <v>0</v>
      </c>
      <c r="N14" s="757">
        <f>'SF Measure Development'!BM24</f>
        <v>0</v>
      </c>
      <c r="O14" s="750">
        <f>'SF Measure Development'!BN24</f>
        <v>0</v>
      </c>
      <c r="P14" s="754">
        <f ca="1">'SF Measure Development'!BO24</f>
        <v>0</v>
      </c>
      <c r="Q14" s="750" t="str">
        <f>'SF Measure Development'!BP24</f>
        <v>ResDHW</v>
      </c>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row>
    <row r="15" spans="1:106" ht="25.5">
      <c r="A15" s="9" t="s">
        <v>54</v>
      </c>
      <c r="B15" s="755" t="str">
        <f>'SF Measure Development'!BA25</f>
        <v>ENERGY STAR - Front-Load Clothes Washer - Gas DHW, Electric Dryer - 31% ENERGY STAR Baseline</v>
      </c>
      <c r="C15" s="755" t="str">
        <f>'SF Measure Development'!BB25</f>
        <v>Washer Savings</v>
      </c>
      <c r="D15" s="751">
        <f ca="1">'SF Measure Development'!BC25</f>
        <v>5.6136748047180163</v>
      </c>
      <c r="E15" s="755">
        <f>'SF Measure Development'!BD25</f>
        <v>14</v>
      </c>
      <c r="F15" s="752">
        <f ca="1">'SF Measure Development'!BE25</f>
        <v>193.50283895096402</v>
      </c>
      <c r="G15" s="756">
        <f>'SF Measure Development'!BF25</f>
        <v>0</v>
      </c>
      <c r="H15" s="750" t="str">
        <f>'SF Measure Development'!BG25</f>
        <v>ResWASH</v>
      </c>
      <c r="I15" s="753">
        <f ca="1">'SF Measure Development'!BH25</f>
        <v>11.526603428682648</v>
      </c>
      <c r="J15" s="750">
        <f>'SF Measure Development'!BI25</f>
        <v>0</v>
      </c>
      <c r="K15" s="750">
        <f>'SF Measure Development'!BJ25</f>
        <v>0</v>
      </c>
      <c r="L15" s="750">
        <f>'SF Measure Development'!BK25</f>
        <v>0</v>
      </c>
      <c r="M15" s="750">
        <f>'SF Measure Development'!BL25</f>
        <v>0</v>
      </c>
      <c r="N15" s="757">
        <f>'SF Measure Development'!BM25</f>
        <v>0</v>
      </c>
      <c r="O15" s="750">
        <f>'SF Measure Development'!BN25</f>
        <v>0</v>
      </c>
      <c r="P15" s="754">
        <f ca="1">'SF Measure Development'!BO25</f>
        <v>1.3169258613187247</v>
      </c>
      <c r="Q15" s="750" t="str">
        <f>'SF Measure Development'!BP25</f>
        <v>ResDHW</v>
      </c>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row>
    <row r="16" spans="1:106" ht="25.5">
      <c r="A16" s="9" t="s">
        <v>54</v>
      </c>
      <c r="B16" s="755" t="str">
        <f>'SF Measure Development'!BA26</f>
        <v>ENERGY STAR - Front-Load Clothes Washer - Gas DHW, Gas Dryer - 31% ENERGY STAR Baseline</v>
      </c>
      <c r="C16" s="755" t="str">
        <f>'SF Measure Development'!BB26</f>
        <v>Washer Savings</v>
      </c>
      <c r="D16" s="751">
        <f ca="1">'SF Measure Development'!BC26</f>
        <v>5.6136748047180163</v>
      </c>
      <c r="E16" s="755">
        <f>'SF Measure Development'!BD26</f>
        <v>14</v>
      </c>
      <c r="F16" s="752">
        <f ca="1">'SF Measure Development'!BE26</f>
        <v>193.50283895096402</v>
      </c>
      <c r="G16" s="756">
        <f>'SF Measure Development'!BF26</f>
        <v>0</v>
      </c>
      <c r="H16" s="750" t="str">
        <f>'SF Measure Development'!BG26</f>
        <v>ResWASH</v>
      </c>
      <c r="I16" s="753">
        <f ca="1">'SF Measure Development'!BH26</f>
        <v>11.526603428682648</v>
      </c>
      <c r="J16" s="750">
        <f>'SF Measure Development'!BI26</f>
        <v>0</v>
      </c>
      <c r="K16" s="750">
        <f>'SF Measure Development'!BJ26</f>
        <v>0</v>
      </c>
      <c r="L16" s="750">
        <f>'SF Measure Development'!BK26</f>
        <v>0</v>
      </c>
      <c r="M16" s="750">
        <f>'SF Measure Development'!BL26</f>
        <v>0</v>
      </c>
      <c r="N16" s="757">
        <f>'SF Measure Development'!BM26</f>
        <v>0</v>
      </c>
      <c r="O16" s="750">
        <f>'SF Measure Development'!BN26</f>
        <v>0</v>
      </c>
      <c r="P16" s="754">
        <f ca="1">'SF Measure Development'!BO26</f>
        <v>1.3169258613187247</v>
      </c>
      <c r="Q16" s="750" t="str">
        <f>'SF Measure Development'!BP26</f>
        <v>ResDHW</v>
      </c>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row>
    <row r="17" spans="1:103" ht="25.5">
      <c r="A17" s="9" t="s">
        <v>54</v>
      </c>
      <c r="B17" s="755" t="str">
        <f>'SF Measure Development'!BA27</f>
        <v>ENERGY STAR - Front-Load Clothes Washer - Any DHW, Any Dryer - 31% ENERGY STAR Baseline</v>
      </c>
      <c r="C17" s="755" t="str">
        <f>'SF Measure Development'!BB27</f>
        <v>Washer Savings</v>
      </c>
      <c r="D17" s="751">
        <f ca="1">'SF Measure Development'!BC27</f>
        <v>21.588105117813591</v>
      </c>
      <c r="E17" s="755">
        <f>'SF Measure Development'!BD27</f>
        <v>14</v>
      </c>
      <c r="F17" s="752">
        <f ca="1">'SF Measure Development'!BE27</f>
        <v>193.50283895096402</v>
      </c>
      <c r="G17" s="756">
        <f>'SF Measure Development'!BF27</f>
        <v>0</v>
      </c>
      <c r="H17" s="750" t="str">
        <f>'SF Measure Development'!BG27</f>
        <v>ResWASH</v>
      </c>
      <c r="I17" s="753">
        <f ca="1">'SF Measure Development'!BH27</f>
        <v>11.526603428682648</v>
      </c>
      <c r="J17" s="750">
        <f>'SF Measure Development'!BI27</f>
        <v>0</v>
      </c>
      <c r="K17" s="750">
        <f>'SF Measure Development'!BJ27</f>
        <v>0</v>
      </c>
      <c r="L17" s="750">
        <f>'SF Measure Development'!BK27</f>
        <v>0</v>
      </c>
      <c r="M17" s="750">
        <f>'SF Measure Development'!BL27</f>
        <v>0</v>
      </c>
      <c r="N17" s="757">
        <f>'SF Measure Development'!BM27</f>
        <v>0</v>
      </c>
      <c r="O17" s="750">
        <f>'SF Measure Development'!BN27</f>
        <v>0</v>
      </c>
      <c r="P17" s="754">
        <f ca="1">'SF Measure Development'!BO27</f>
        <v>0.58998278587078856</v>
      </c>
      <c r="Q17" s="750" t="str">
        <f>'SF Measure Development'!BP27</f>
        <v>ResDHW</v>
      </c>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row>
    <row r="18" spans="1:103">
      <c r="A18" s="9" t="s">
        <v>54</v>
      </c>
      <c r="B18" s="755" t="str">
        <f>'SF Measure Development'!BA33</f>
        <v>CEE Tier 1 Clothes Washer - Electric DHW, Electric Dryer - 31% ENERGY STAR Baseline</v>
      </c>
      <c r="C18" s="755" t="str">
        <f>'SF Measure Development'!BB33</f>
        <v>Washer Savings</v>
      </c>
      <c r="D18" s="751">
        <f ca="1">'SF Measure Development'!BC33</f>
        <v>29.790273302264971</v>
      </c>
      <c r="E18" s="755">
        <f>'SF Measure Development'!BD33</f>
        <v>14</v>
      </c>
      <c r="F18" s="752">
        <f ca="1">'SF Measure Development'!BE33</f>
        <v>175.18308770271631</v>
      </c>
      <c r="G18" s="756">
        <f>'SF Measure Development'!BF33</f>
        <v>0</v>
      </c>
      <c r="H18" s="750" t="str">
        <f>'SF Measure Development'!BG33</f>
        <v>ResWASH</v>
      </c>
      <c r="I18" s="753">
        <f ca="1">'SF Measure Development'!BH33</f>
        <v>10.118637351955186</v>
      </c>
      <c r="J18" s="750">
        <f>'SF Measure Development'!BI33</f>
        <v>0</v>
      </c>
      <c r="K18" s="750">
        <f>'SF Measure Development'!BJ33</f>
        <v>0</v>
      </c>
      <c r="L18" s="750">
        <f>'SF Measure Development'!BK33</f>
        <v>0</v>
      </c>
      <c r="M18" s="750">
        <f>'SF Measure Development'!BL33</f>
        <v>0</v>
      </c>
      <c r="N18" s="757">
        <f>'SF Measure Development'!BM33</f>
        <v>0</v>
      </c>
      <c r="O18" s="750">
        <f>'SF Measure Development'!BN33</f>
        <v>0</v>
      </c>
      <c r="P18" s="754">
        <f ca="1">'SF Measure Development'!BO33</f>
        <v>0</v>
      </c>
      <c r="Q18" s="750" t="str">
        <f>'SF Measure Development'!BP33</f>
        <v>ResDHW</v>
      </c>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row>
    <row r="19" spans="1:103">
      <c r="A19" s="9" t="s">
        <v>54</v>
      </c>
      <c r="B19" s="755" t="str">
        <f>'SF Measure Development'!BA34</f>
        <v>CEE Tier 1 Clothes Washer - Electric DHW, Gas Dryer - 31% ENERGY STAR Baseline</v>
      </c>
      <c r="C19" s="755" t="str">
        <f>'SF Measure Development'!BB34</f>
        <v>Washer Savings</v>
      </c>
      <c r="D19" s="751">
        <f ca="1">'SF Measure Development'!BC34</f>
        <v>29.790273302264971</v>
      </c>
      <c r="E19" s="755">
        <f>'SF Measure Development'!BD34</f>
        <v>14</v>
      </c>
      <c r="F19" s="752">
        <f ca="1">'SF Measure Development'!BE34</f>
        <v>175.18308770271631</v>
      </c>
      <c r="G19" s="756">
        <f>'SF Measure Development'!BF34</f>
        <v>0</v>
      </c>
      <c r="H19" s="750" t="str">
        <f>'SF Measure Development'!BG34</f>
        <v>ResWASH</v>
      </c>
      <c r="I19" s="753">
        <f ca="1">'SF Measure Development'!BH34</f>
        <v>10.118637351955186</v>
      </c>
      <c r="J19" s="750">
        <f>'SF Measure Development'!BI34</f>
        <v>0</v>
      </c>
      <c r="K19" s="750">
        <f>'SF Measure Development'!BJ34</f>
        <v>0</v>
      </c>
      <c r="L19" s="750">
        <f>'SF Measure Development'!BK34</f>
        <v>0</v>
      </c>
      <c r="M19" s="750">
        <f>'SF Measure Development'!BL34</f>
        <v>0</v>
      </c>
      <c r="N19" s="757">
        <f>'SF Measure Development'!BM34</f>
        <v>0</v>
      </c>
      <c r="O19" s="750">
        <f>'SF Measure Development'!BN34</f>
        <v>0</v>
      </c>
      <c r="P19" s="754">
        <f ca="1">'SF Measure Development'!BO34</f>
        <v>0</v>
      </c>
      <c r="Q19" s="750" t="str">
        <f>'SF Measure Development'!BP34</f>
        <v>ResDHW</v>
      </c>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row>
    <row r="20" spans="1:103">
      <c r="A20" s="9" t="s">
        <v>54</v>
      </c>
      <c r="B20" s="755" t="str">
        <f>'SF Measure Development'!BA35</f>
        <v>CEE Tier 1 Clothes Washer - Gas DHW, Electric Dryer - 31% ENERGY STAR Baseline</v>
      </c>
      <c r="C20" s="755" t="str">
        <f>'SF Measure Development'!BB35</f>
        <v>Washer Savings</v>
      </c>
      <c r="D20" s="751">
        <f ca="1">'SF Measure Development'!BC35</f>
        <v>4.5882382582042638</v>
      </c>
      <c r="E20" s="755">
        <f>'SF Measure Development'!BD35</f>
        <v>14</v>
      </c>
      <c r="F20" s="752">
        <f ca="1">'SF Measure Development'!BE35</f>
        <v>175.18308770271631</v>
      </c>
      <c r="G20" s="756">
        <f>'SF Measure Development'!BF35</f>
        <v>0</v>
      </c>
      <c r="H20" s="750" t="str">
        <f>'SF Measure Development'!BG35</f>
        <v>ResWASH</v>
      </c>
      <c r="I20" s="753">
        <f ca="1">'SF Measure Development'!BH35</f>
        <v>10.118637351955186</v>
      </c>
      <c r="J20" s="750">
        <f>'SF Measure Development'!BI35</f>
        <v>0</v>
      </c>
      <c r="K20" s="750">
        <f>'SF Measure Development'!BJ35</f>
        <v>0</v>
      </c>
      <c r="L20" s="750">
        <f>'SF Measure Development'!BK35</f>
        <v>0</v>
      </c>
      <c r="M20" s="750">
        <f>'SF Measure Development'!BL35</f>
        <v>0</v>
      </c>
      <c r="N20" s="757">
        <f>'SF Measure Development'!BM35</f>
        <v>0</v>
      </c>
      <c r="O20" s="750">
        <f>'SF Measure Development'!BN35</f>
        <v>0</v>
      </c>
      <c r="P20" s="754">
        <f ca="1">'SF Measure Development'!BO35</f>
        <v>1.1468606080717234</v>
      </c>
      <c r="Q20" s="750" t="str">
        <f>'SF Measure Development'!BP35</f>
        <v>ResDHW</v>
      </c>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row>
    <row r="21" spans="1:103">
      <c r="A21" s="9" t="s">
        <v>54</v>
      </c>
      <c r="B21" s="755" t="str">
        <f>'SF Measure Development'!BA36</f>
        <v>CEE Tier 1 Clothes Washer - Gas DHW, Gas Dryer - 31% ENERGY STAR Baseline</v>
      </c>
      <c r="C21" s="755" t="str">
        <f>'SF Measure Development'!BB36</f>
        <v>Washer Savings</v>
      </c>
      <c r="D21" s="751">
        <f ca="1">'SF Measure Development'!BC36</f>
        <v>4.5882382582042638</v>
      </c>
      <c r="E21" s="755">
        <f>'SF Measure Development'!BD36</f>
        <v>14</v>
      </c>
      <c r="F21" s="752">
        <f ca="1">'SF Measure Development'!BE36</f>
        <v>175.18308770271631</v>
      </c>
      <c r="G21" s="756">
        <f>'SF Measure Development'!BF36</f>
        <v>0</v>
      </c>
      <c r="H21" s="750" t="str">
        <f>'SF Measure Development'!BG36</f>
        <v>ResWASH</v>
      </c>
      <c r="I21" s="753">
        <f ca="1">'SF Measure Development'!BH36</f>
        <v>10.118637351955186</v>
      </c>
      <c r="J21" s="750">
        <f>'SF Measure Development'!BI36</f>
        <v>0</v>
      </c>
      <c r="K21" s="750">
        <f>'SF Measure Development'!BJ36</f>
        <v>0</v>
      </c>
      <c r="L21" s="750">
        <f>'SF Measure Development'!BK36</f>
        <v>0</v>
      </c>
      <c r="M21" s="750">
        <f>'SF Measure Development'!BL36</f>
        <v>0</v>
      </c>
      <c r="N21" s="757">
        <f>'SF Measure Development'!BM36</f>
        <v>0</v>
      </c>
      <c r="O21" s="750">
        <f>'SF Measure Development'!BN36</f>
        <v>0</v>
      </c>
      <c r="P21" s="754">
        <f ca="1">'SF Measure Development'!BO36</f>
        <v>1.1468606080717234</v>
      </c>
      <c r="Q21" s="750" t="str">
        <f>'SF Measure Development'!BP36</f>
        <v>ResDHW</v>
      </c>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row>
    <row r="22" spans="1:103">
      <c r="A22" s="9" t="s">
        <v>54</v>
      </c>
      <c r="B22" s="755" t="str">
        <f>'SF Measure Development'!BA37</f>
        <v>CEE Tier 1 Clothes Washer - Any DHW, Any Dryer - 31% ENERGY STAR Baseline</v>
      </c>
      <c r="C22" s="755" t="str">
        <f>'SF Measure Development'!BB37</f>
        <v>Washer Savings</v>
      </c>
      <c r="D22" s="751">
        <f ca="1">'SF Measure Development'!BC37</f>
        <v>18.499761602525776</v>
      </c>
      <c r="E22" s="755">
        <f>'SF Measure Development'!BD37</f>
        <v>14</v>
      </c>
      <c r="F22" s="752">
        <f ca="1">'SF Measure Development'!BE37</f>
        <v>175.18308770271631</v>
      </c>
      <c r="G22" s="756">
        <f>'SF Measure Development'!BF37</f>
        <v>0</v>
      </c>
      <c r="H22" s="750" t="str">
        <f>'SF Measure Development'!BG37</f>
        <v>ResWASH</v>
      </c>
      <c r="I22" s="753">
        <f ca="1">'SF Measure Development'!BH37</f>
        <v>10.118637351955186</v>
      </c>
      <c r="J22" s="750">
        <f>'SF Measure Development'!BI37</f>
        <v>0</v>
      </c>
      <c r="K22" s="750">
        <f>'SF Measure Development'!BJ37</f>
        <v>0</v>
      </c>
      <c r="L22" s="750">
        <f>'SF Measure Development'!BK37</f>
        <v>0</v>
      </c>
      <c r="M22" s="750">
        <f>'SF Measure Development'!BL37</f>
        <v>0</v>
      </c>
      <c r="N22" s="757">
        <f>'SF Measure Development'!BM37</f>
        <v>0</v>
      </c>
      <c r="O22" s="750">
        <f>'SF Measure Development'!BN37</f>
        <v>0</v>
      </c>
      <c r="P22" s="754">
        <f ca="1">'SF Measure Development'!BO37</f>
        <v>0.513793552416132</v>
      </c>
      <c r="Q22" s="750" t="str">
        <f>'SF Measure Development'!BP37</f>
        <v>ResDHW</v>
      </c>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row>
    <row r="23" spans="1:103">
      <c r="A23" s="9" t="s">
        <v>54</v>
      </c>
      <c r="B23" s="755" t="str">
        <f>'SF Measure Development'!BA38</f>
        <v>CEE Tier 2 Clothes Washer - Electric DHW, Electric Dryer - 31% ENERGY STAR Baseline</v>
      </c>
      <c r="C23" s="755" t="str">
        <f>'SF Measure Development'!BB38</f>
        <v>Washer Savings</v>
      </c>
      <c r="D23" s="751">
        <f ca="1">'SF Measure Development'!BC38</f>
        <v>41.029393183725205</v>
      </c>
      <c r="E23" s="755">
        <f>'SF Measure Development'!BD38</f>
        <v>14</v>
      </c>
      <c r="F23" s="752">
        <f ca="1">'SF Measure Development'!BE38</f>
        <v>224.76652220844369</v>
      </c>
      <c r="G23" s="756">
        <f>'SF Measure Development'!BF38</f>
        <v>0</v>
      </c>
      <c r="H23" s="750" t="str">
        <f>'SF Measure Development'!BG38</f>
        <v>ResWASH</v>
      </c>
      <c r="I23" s="753">
        <f ca="1">'SF Measure Development'!BH38</f>
        <v>13.495736965877882</v>
      </c>
      <c r="J23" s="750">
        <f>'SF Measure Development'!BI38</f>
        <v>0</v>
      </c>
      <c r="K23" s="750">
        <f>'SF Measure Development'!BJ38</f>
        <v>0</v>
      </c>
      <c r="L23" s="750">
        <f>'SF Measure Development'!BK38</f>
        <v>0</v>
      </c>
      <c r="M23" s="750">
        <f>'SF Measure Development'!BL38</f>
        <v>0</v>
      </c>
      <c r="N23" s="757">
        <f>'SF Measure Development'!BM38</f>
        <v>0</v>
      </c>
      <c r="O23" s="750">
        <f>'SF Measure Development'!BN38</f>
        <v>0</v>
      </c>
      <c r="P23" s="754">
        <f ca="1">'SF Measure Development'!BO38</f>
        <v>0</v>
      </c>
      <c r="Q23" s="750" t="str">
        <f>'SF Measure Development'!BP38</f>
        <v>ResDHW</v>
      </c>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row>
    <row r="24" spans="1:103">
      <c r="A24" s="9" t="s">
        <v>54</v>
      </c>
      <c r="B24" s="755" t="str">
        <f>'SF Measure Development'!BA39</f>
        <v>CEE Tier 2 Clothes Washer - Electric DHW, Gas Dryer - 31% ENERGY STAR Baseline</v>
      </c>
      <c r="C24" s="755" t="str">
        <f>'SF Measure Development'!BB39</f>
        <v>Washer Savings</v>
      </c>
      <c r="D24" s="751">
        <f ca="1">'SF Measure Development'!BC39</f>
        <v>41.029393183725205</v>
      </c>
      <c r="E24" s="755">
        <f>'SF Measure Development'!BD39</f>
        <v>14</v>
      </c>
      <c r="F24" s="752">
        <f ca="1">'SF Measure Development'!BE39</f>
        <v>224.76652220844369</v>
      </c>
      <c r="G24" s="756">
        <f>'SF Measure Development'!BF39</f>
        <v>0</v>
      </c>
      <c r="H24" s="750" t="str">
        <f>'SF Measure Development'!BG39</f>
        <v>ResWASH</v>
      </c>
      <c r="I24" s="753">
        <f ca="1">'SF Measure Development'!BH39</f>
        <v>13.495736965877882</v>
      </c>
      <c r="J24" s="750">
        <f>'SF Measure Development'!BI39</f>
        <v>0</v>
      </c>
      <c r="K24" s="750">
        <f>'SF Measure Development'!BJ39</f>
        <v>0</v>
      </c>
      <c r="L24" s="750">
        <f>'SF Measure Development'!BK39</f>
        <v>0</v>
      </c>
      <c r="M24" s="750">
        <f>'SF Measure Development'!BL39</f>
        <v>0</v>
      </c>
      <c r="N24" s="757">
        <f>'SF Measure Development'!BM39</f>
        <v>0</v>
      </c>
      <c r="O24" s="750">
        <f>'SF Measure Development'!BN39</f>
        <v>0</v>
      </c>
      <c r="P24" s="754">
        <f ca="1">'SF Measure Development'!BO39</f>
        <v>0</v>
      </c>
      <c r="Q24" s="750" t="str">
        <f>'SF Measure Development'!BP39</f>
        <v>ResDHW</v>
      </c>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row>
    <row r="25" spans="1:103">
      <c r="A25" s="9" t="s">
        <v>54</v>
      </c>
      <c r="B25" s="755" t="str">
        <f>'SF Measure Development'!BA40</f>
        <v>CEE Tier 2 Clothes Washer - Gas DHW, Electric Dryer - 31% ENERGY STAR Baseline</v>
      </c>
      <c r="C25" s="755" t="str">
        <f>'SF Measure Development'!BB40</f>
        <v>Washer Savings</v>
      </c>
      <c r="D25" s="751">
        <f ca="1">'SF Measure Development'!BC40</f>
        <v>7.0410555346804955</v>
      </c>
      <c r="E25" s="755">
        <f>'SF Measure Development'!BD40</f>
        <v>14</v>
      </c>
      <c r="F25" s="752">
        <f ca="1">'SF Measure Development'!BE40</f>
        <v>224.76652220844369</v>
      </c>
      <c r="G25" s="756">
        <f>'SF Measure Development'!BF40</f>
        <v>0</v>
      </c>
      <c r="H25" s="750" t="str">
        <f>'SF Measure Development'!BG40</f>
        <v>ResWASH</v>
      </c>
      <c r="I25" s="753">
        <f ca="1">'SF Measure Development'!BH40</f>
        <v>13.495736965877882</v>
      </c>
      <c r="J25" s="750">
        <f>'SF Measure Development'!BI40</f>
        <v>0</v>
      </c>
      <c r="K25" s="750">
        <f>'SF Measure Development'!BJ40</f>
        <v>0</v>
      </c>
      <c r="L25" s="750">
        <f>'SF Measure Development'!BK40</f>
        <v>0</v>
      </c>
      <c r="M25" s="750">
        <f>'SF Measure Development'!BL40</f>
        <v>0</v>
      </c>
      <c r="N25" s="757">
        <f>'SF Measure Development'!BM40</f>
        <v>0</v>
      </c>
      <c r="O25" s="750">
        <f>'SF Measure Development'!BN40</f>
        <v>0</v>
      </c>
      <c r="P25" s="754">
        <f ca="1">'SF Measure Development'!BO40</f>
        <v>1.5466959519491947</v>
      </c>
      <c r="Q25" s="750" t="str">
        <f>'SF Measure Development'!BP40</f>
        <v>ResDHW</v>
      </c>
      <c r="R25" s="31"/>
      <c r="S25" s="31"/>
      <c r="T25" s="31"/>
      <c r="U25" s="31"/>
      <c r="V25" s="31"/>
      <c r="W25" s="31"/>
      <c r="X25" s="31"/>
      <c r="Y25" s="31"/>
      <c r="Z25" s="31"/>
      <c r="AA25" s="31"/>
      <c r="AB25" s="31"/>
      <c r="AC25" s="31"/>
      <c r="AD25" s="31"/>
      <c r="AE25" s="31"/>
      <c r="AF25" s="31"/>
      <c r="AG25" s="31"/>
      <c r="AH25" s="31"/>
      <c r="AI25" s="31"/>
      <c r="AJ25" s="31"/>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row>
    <row r="26" spans="1:103">
      <c r="A26" s="9" t="s">
        <v>54</v>
      </c>
      <c r="B26" s="755" t="str">
        <f>'SF Measure Development'!BA41</f>
        <v>CEE Tier 2 Clothes Washer - Gas DHW, Gas Dryer - 31% ENERGY STAR Baseline</v>
      </c>
      <c r="C26" s="755" t="str">
        <f>'SF Measure Development'!BB41</f>
        <v>Washer Savings</v>
      </c>
      <c r="D26" s="751">
        <f ca="1">'SF Measure Development'!BC41</f>
        <v>7.0410555346804955</v>
      </c>
      <c r="E26" s="755">
        <f>'SF Measure Development'!BD41</f>
        <v>14</v>
      </c>
      <c r="F26" s="752">
        <f ca="1">'SF Measure Development'!BE41</f>
        <v>224.76652220844369</v>
      </c>
      <c r="G26" s="756">
        <f>'SF Measure Development'!BF41</f>
        <v>0</v>
      </c>
      <c r="H26" s="750" t="str">
        <f>'SF Measure Development'!BG41</f>
        <v>ResWASH</v>
      </c>
      <c r="I26" s="753">
        <f ca="1">'SF Measure Development'!BH41</f>
        <v>13.495736965877882</v>
      </c>
      <c r="J26" s="750">
        <f>'SF Measure Development'!BI41</f>
        <v>0</v>
      </c>
      <c r="K26" s="750">
        <f>'SF Measure Development'!BJ41</f>
        <v>0</v>
      </c>
      <c r="L26" s="750">
        <f>'SF Measure Development'!BK41</f>
        <v>0</v>
      </c>
      <c r="M26" s="750">
        <f>'SF Measure Development'!BL41</f>
        <v>0</v>
      </c>
      <c r="N26" s="757">
        <f>'SF Measure Development'!BM41</f>
        <v>0</v>
      </c>
      <c r="O26" s="750">
        <f>'SF Measure Development'!BN41</f>
        <v>0</v>
      </c>
      <c r="P26" s="754">
        <f ca="1">'SF Measure Development'!BO41</f>
        <v>1.5466959519491947</v>
      </c>
      <c r="Q26" s="750" t="str">
        <f>'SF Measure Development'!BP41</f>
        <v>ResDHW</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row>
    <row r="27" spans="1:103">
      <c r="A27" s="9" t="s">
        <v>54</v>
      </c>
      <c r="B27" s="755" t="str">
        <f>'SF Measure Development'!BA42</f>
        <v>CEE Tier 2 Clothes Washer - Any DHW, Any Dryer - 31% ENERGY STAR Baseline</v>
      </c>
      <c r="C27" s="755" t="str">
        <f>'SF Measure Development'!BB42</f>
        <v>Washer Savings</v>
      </c>
      <c r="D27" s="751">
        <f ca="1">'SF Measure Development'!BC42</f>
        <v>25.802617916953178</v>
      </c>
      <c r="E27" s="755">
        <f>'SF Measure Development'!BD42</f>
        <v>14</v>
      </c>
      <c r="F27" s="752">
        <f ca="1">'SF Measure Development'!BE42</f>
        <v>224.76652220844369</v>
      </c>
      <c r="G27" s="756">
        <f>'SF Measure Development'!BF42</f>
        <v>0</v>
      </c>
      <c r="H27" s="750" t="str">
        <f>'SF Measure Development'!BG42</f>
        <v>ResWASH</v>
      </c>
      <c r="I27" s="753">
        <f ca="1">'SF Measure Development'!BH42</f>
        <v>13.495736965877882</v>
      </c>
      <c r="J27" s="750">
        <f>'SF Measure Development'!BI42</f>
        <v>0</v>
      </c>
      <c r="K27" s="750">
        <f>'SF Measure Development'!BJ42</f>
        <v>0</v>
      </c>
      <c r="L27" s="750">
        <f>'SF Measure Development'!BK42</f>
        <v>0</v>
      </c>
      <c r="M27" s="750">
        <f>'SF Measure Development'!BL42</f>
        <v>0</v>
      </c>
      <c r="N27" s="757">
        <f>'SF Measure Development'!BM42</f>
        <v>0</v>
      </c>
      <c r="O27" s="750">
        <f>'SF Measure Development'!BN42</f>
        <v>0</v>
      </c>
      <c r="P27" s="754">
        <f ca="1">'SF Measure Development'!BO42</f>
        <v>0.69291978647323915</v>
      </c>
      <c r="Q27" s="750" t="str">
        <f>'SF Measure Development'!BP42</f>
        <v>ResDHW</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row>
    <row r="28" spans="1:103">
      <c r="A28" s="9" t="s">
        <v>54</v>
      </c>
      <c r="B28" s="755" t="str">
        <f>'SF Measure Development'!BA43</f>
        <v>CEE Tier 3 Clothes Washer - Electric DHW, Electric Dryer - 31% ENERGY STAR Baseline</v>
      </c>
      <c r="C28" s="755" t="str">
        <f>'SF Measure Development'!BB43</f>
        <v>Washer Savings</v>
      </c>
      <c r="D28" s="751">
        <f ca="1">'SF Measure Development'!BC43</f>
        <v>42.908111227341379</v>
      </c>
      <c r="E28" s="755">
        <f>'SF Measure Development'!BD43</f>
        <v>14</v>
      </c>
      <c r="F28" s="752">
        <f ca="1">'SF Measure Development'!BE43</f>
        <v>219.7320756538362</v>
      </c>
      <c r="G28" s="756">
        <f>'SF Measure Development'!BF43</f>
        <v>0</v>
      </c>
      <c r="H28" s="750" t="str">
        <f>'SF Measure Development'!BG43</f>
        <v>ResWASH</v>
      </c>
      <c r="I28" s="753">
        <f ca="1">'SF Measure Development'!BH43</f>
        <v>13.787425032339527</v>
      </c>
      <c r="J28" s="750">
        <f>'SF Measure Development'!BI43</f>
        <v>0</v>
      </c>
      <c r="K28" s="750">
        <f>'SF Measure Development'!BJ43</f>
        <v>0</v>
      </c>
      <c r="L28" s="750">
        <f>'SF Measure Development'!BK43</f>
        <v>0</v>
      </c>
      <c r="M28" s="750">
        <f>'SF Measure Development'!BL43</f>
        <v>0</v>
      </c>
      <c r="N28" s="757">
        <f>'SF Measure Development'!BM43</f>
        <v>0</v>
      </c>
      <c r="O28" s="750">
        <f>'SF Measure Development'!BN43</f>
        <v>0</v>
      </c>
      <c r="P28" s="754">
        <f ca="1">'SF Measure Development'!BO43</f>
        <v>0</v>
      </c>
      <c r="Q28" s="750" t="str">
        <f>'SF Measure Development'!BP43</f>
        <v>ResDHW</v>
      </c>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row>
    <row r="29" spans="1:103">
      <c r="A29" s="9" t="s">
        <v>54</v>
      </c>
      <c r="B29" s="755" t="str">
        <f>'SF Measure Development'!BA44</f>
        <v>CEE Tier 3 Clothes Washer - Electric DHW, Gas Dryer - 31% ENERGY STAR Baseline</v>
      </c>
      <c r="C29" s="755" t="str">
        <f>'SF Measure Development'!BB44</f>
        <v>Washer Savings</v>
      </c>
      <c r="D29" s="751">
        <f ca="1">'SF Measure Development'!BC44</f>
        <v>42.908111227341379</v>
      </c>
      <c r="E29" s="755">
        <f>'SF Measure Development'!BD44</f>
        <v>14</v>
      </c>
      <c r="F29" s="752">
        <f ca="1">'SF Measure Development'!BE44</f>
        <v>219.7320756538362</v>
      </c>
      <c r="G29" s="756">
        <f>'SF Measure Development'!BF44</f>
        <v>0</v>
      </c>
      <c r="H29" s="750" t="str">
        <f>'SF Measure Development'!BG44</f>
        <v>ResWASH</v>
      </c>
      <c r="I29" s="753">
        <f ca="1">'SF Measure Development'!BH44</f>
        <v>13.787425032339527</v>
      </c>
      <c r="J29" s="750">
        <f>'SF Measure Development'!BI44</f>
        <v>0</v>
      </c>
      <c r="K29" s="750">
        <f>'SF Measure Development'!BJ44</f>
        <v>0</v>
      </c>
      <c r="L29" s="750">
        <f>'SF Measure Development'!BK44</f>
        <v>0</v>
      </c>
      <c r="M29" s="750">
        <f>'SF Measure Development'!BL44</f>
        <v>0</v>
      </c>
      <c r="N29" s="757">
        <f>'SF Measure Development'!BM44</f>
        <v>0</v>
      </c>
      <c r="O29" s="750">
        <f>'SF Measure Development'!BN44</f>
        <v>0</v>
      </c>
      <c r="P29" s="754">
        <f ca="1">'SF Measure Development'!BO44</f>
        <v>0</v>
      </c>
      <c r="Q29" s="750" t="str">
        <f>'SF Measure Development'!BP44</f>
        <v>ResDHW</v>
      </c>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row>
    <row r="30" spans="1:103">
      <c r="A30" s="9" t="s">
        <v>54</v>
      </c>
      <c r="B30" s="755" t="str">
        <f>'SF Measure Development'!BA45</f>
        <v>CEE Tier 3 Clothes Washer - Gas DHW, Electric Dryer - 31% ENERGY STAR Baseline</v>
      </c>
      <c r="C30" s="755" t="str">
        <f>'SF Measure Development'!BB45</f>
        <v>Washer Savings</v>
      </c>
      <c r="D30" s="751">
        <f ca="1">'SF Measure Development'!BC45</f>
        <v>7.6815909358568604</v>
      </c>
      <c r="E30" s="755">
        <f>'SF Measure Development'!BD45</f>
        <v>14</v>
      </c>
      <c r="F30" s="752">
        <f ca="1">'SF Measure Development'!BE45</f>
        <v>219.7320756538362</v>
      </c>
      <c r="G30" s="756">
        <f>'SF Measure Development'!BF45</f>
        <v>0</v>
      </c>
      <c r="H30" s="750" t="str">
        <f>'SF Measure Development'!BG45</f>
        <v>ResWASH</v>
      </c>
      <c r="I30" s="753">
        <f ca="1">'SF Measure Development'!BH45</f>
        <v>13.787425032339527</v>
      </c>
      <c r="J30" s="750">
        <f>'SF Measure Development'!BI45</f>
        <v>0</v>
      </c>
      <c r="K30" s="750">
        <f>'SF Measure Development'!BJ45</f>
        <v>0</v>
      </c>
      <c r="L30" s="750">
        <f>'SF Measure Development'!BK45</f>
        <v>0</v>
      </c>
      <c r="M30" s="750">
        <f>'SF Measure Development'!BL45</f>
        <v>0</v>
      </c>
      <c r="N30" s="757">
        <f>'SF Measure Development'!BM45</f>
        <v>0</v>
      </c>
      <c r="O30" s="750">
        <f>'SF Measure Development'!BN45</f>
        <v>0</v>
      </c>
      <c r="P30" s="754">
        <f ca="1">'SF Measure Development'!BO45</f>
        <v>1.6030415167311558</v>
      </c>
      <c r="Q30" s="750" t="str">
        <f>'SF Measure Development'!BP45</f>
        <v>ResDHW</v>
      </c>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row>
    <row r="31" spans="1:103">
      <c r="A31" s="9" t="s">
        <v>54</v>
      </c>
      <c r="B31" s="755" t="str">
        <f>'SF Measure Development'!BA46</f>
        <v>CEE Tier 3 Clothes Washer - Gas DHW, Gas Dryer - 31% ENERGY STAR Baseline</v>
      </c>
      <c r="C31" s="755" t="str">
        <f>'SF Measure Development'!BB46</f>
        <v>Washer Savings</v>
      </c>
      <c r="D31" s="751">
        <f ca="1">'SF Measure Development'!BC46</f>
        <v>7.6815909358568604</v>
      </c>
      <c r="E31" s="755">
        <f>'SF Measure Development'!BD46</f>
        <v>14</v>
      </c>
      <c r="F31" s="752">
        <f ca="1">'SF Measure Development'!BE46</f>
        <v>219.7320756538362</v>
      </c>
      <c r="G31" s="756">
        <f>'SF Measure Development'!BF46</f>
        <v>0</v>
      </c>
      <c r="H31" s="750" t="str">
        <f>'SF Measure Development'!BG46</f>
        <v>ResWASH</v>
      </c>
      <c r="I31" s="753">
        <f ca="1">'SF Measure Development'!BH46</f>
        <v>13.787425032339527</v>
      </c>
      <c r="J31" s="750">
        <f>'SF Measure Development'!BI46</f>
        <v>0</v>
      </c>
      <c r="K31" s="750">
        <f>'SF Measure Development'!BJ46</f>
        <v>0</v>
      </c>
      <c r="L31" s="750">
        <f>'SF Measure Development'!BK46</f>
        <v>0</v>
      </c>
      <c r="M31" s="750">
        <f>'SF Measure Development'!BL46</f>
        <v>0</v>
      </c>
      <c r="N31" s="757">
        <f>'SF Measure Development'!BM46</f>
        <v>0</v>
      </c>
      <c r="O31" s="750">
        <f>'SF Measure Development'!BN46</f>
        <v>0</v>
      </c>
      <c r="P31" s="754">
        <f ca="1">'SF Measure Development'!BO46</f>
        <v>1.6030415167311558</v>
      </c>
      <c r="Q31" s="750" t="str">
        <f>'SF Measure Development'!BP46</f>
        <v>ResDHW</v>
      </c>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row>
    <row r="32" spans="1:103">
      <c r="A32" s="9" t="s">
        <v>54</v>
      </c>
      <c r="B32" s="755" t="str">
        <f>'SF Measure Development'!BA47</f>
        <v>CEE Tier 3 Clothes Washer - Any DHW, Any Dryer - 31% ENERGY STAR Baseline</v>
      </c>
      <c r="C32" s="755" t="str">
        <f>'SF Measure Development'!BB47</f>
        <v>Washer Savings</v>
      </c>
      <c r="D32" s="751">
        <f ca="1">'SF Measure Development'!BC47</f>
        <v>27.126630136756315</v>
      </c>
      <c r="E32" s="755">
        <f>'SF Measure Development'!BD47</f>
        <v>14</v>
      </c>
      <c r="F32" s="752">
        <f ca="1">'SF Measure Development'!BE47</f>
        <v>219.7320756538362</v>
      </c>
      <c r="G32" s="756">
        <f>'SF Measure Development'!BF47</f>
        <v>0</v>
      </c>
      <c r="H32" s="750" t="str">
        <f>'SF Measure Development'!BG47</f>
        <v>ResWASH</v>
      </c>
      <c r="I32" s="753">
        <f ca="1">'SF Measure Development'!BH47</f>
        <v>13.787425032339527</v>
      </c>
      <c r="J32" s="750">
        <f>'SF Measure Development'!BI47</f>
        <v>0</v>
      </c>
      <c r="K32" s="750">
        <f>'SF Measure Development'!BJ47</f>
        <v>0</v>
      </c>
      <c r="L32" s="750">
        <f>'SF Measure Development'!BK47</f>
        <v>0</v>
      </c>
      <c r="M32" s="750">
        <f>'SF Measure Development'!BL47</f>
        <v>0</v>
      </c>
      <c r="N32" s="757">
        <f>'SF Measure Development'!BM47</f>
        <v>0</v>
      </c>
      <c r="O32" s="750">
        <f>'SF Measure Development'!BN47</f>
        <v>0</v>
      </c>
      <c r="P32" s="754">
        <f ca="1">'SF Measure Development'!BO47</f>
        <v>0.71816259949555772</v>
      </c>
      <c r="Q32" s="750" t="str">
        <f>'SF Measure Development'!BP47</f>
        <v>ResDHW</v>
      </c>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row>
    <row r="33" spans="1:103" ht="25.5">
      <c r="A33" s="9" t="s">
        <v>54</v>
      </c>
      <c r="B33" s="755" t="str">
        <f>'MF Measure Development'!BA18</f>
        <v>ENERGY STAR - Top-Load Clothes Washer - Electric DHW, Electric Dryer - 31% ENERGY STAR Baseline</v>
      </c>
      <c r="C33" s="755" t="str">
        <f>'SF Measure Development'!BB48</f>
        <v>Washer Savings</v>
      </c>
      <c r="D33" s="751">
        <f ca="1">'SF Measure Development'!BC48</f>
        <v>-0.8267145926172077</v>
      </c>
      <c r="E33" s="755">
        <f>'SF Measure Development'!BD48</f>
        <v>14</v>
      </c>
      <c r="F33" s="752">
        <f ca="1">'SF Measure Development'!BE48</f>
        <v>-70.49856002409399</v>
      </c>
      <c r="G33" s="756">
        <f>'SF Measure Development'!BF48</f>
        <v>0</v>
      </c>
      <c r="H33" s="750" t="str">
        <f>'SF Measure Development'!BG48</f>
        <v>ResWASH</v>
      </c>
      <c r="I33" s="753">
        <f ca="1">'SF Measure Development'!BH48</f>
        <v>-1.9428519963605453</v>
      </c>
      <c r="J33" s="750">
        <f>'SF Measure Development'!BI48</f>
        <v>0</v>
      </c>
      <c r="K33" s="750">
        <f>'SF Measure Development'!BJ48</f>
        <v>0</v>
      </c>
      <c r="L33" s="750">
        <f>'SF Measure Development'!BK78</f>
        <v>0</v>
      </c>
      <c r="M33" s="750">
        <f>'SF Measure Development'!BL78</f>
        <v>0</v>
      </c>
      <c r="N33" s="757">
        <f>'SF Measure Development'!BM78</f>
        <v>0</v>
      </c>
      <c r="O33" s="750">
        <f>'SF Measure Development'!BN78</f>
        <v>0</v>
      </c>
      <c r="P33" s="754">
        <f ca="1">'SF Measure Development'!BO78</f>
        <v>0</v>
      </c>
      <c r="Q33" s="750" t="str">
        <f>'SF Measure Development'!BP78</f>
        <v>ResDRY</v>
      </c>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row>
    <row r="34" spans="1:103" ht="25.5">
      <c r="A34" s="9" t="s">
        <v>54</v>
      </c>
      <c r="B34" s="755" t="str">
        <f>'SF Measure Development'!BA49</f>
        <v>ENERGY STAR - Top-Load Clothes Washer - Electric DHW, Gas Dryer - 54% ENERGY STAR Baseline</v>
      </c>
      <c r="C34" s="755" t="str">
        <f>'SF Measure Development'!BB49</f>
        <v>Washer Savings</v>
      </c>
      <c r="D34" s="751">
        <f ca="1">'SF Measure Development'!BC49</f>
        <v>-0.8267145926172077</v>
      </c>
      <c r="E34" s="755">
        <f>'SF Measure Development'!BD49</f>
        <v>14</v>
      </c>
      <c r="F34" s="752">
        <f ca="1">'SF Measure Development'!BE49</f>
        <v>-70.49856002409399</v>
      </c>
      <c r="G34" s="756">
        <f>'SF Measure Development'!BF49</f>
        <v>0</v>
      </c>
      <c r="H34" s="750" t="str">
        <f>'SF Measure Development'!BG49</f>
        <v>ResWASH</v>
      </c>
      <c r="I34" s="753">
        <f ca="1">'SF Measure Development'!BH49</f>
        <v>-1.9428519963605453</v>
      </c>
      <c r="J34" s="750">
        <f>'SF Measure Development'!BI49</f>
        <v>0</v>
      </c>
      <c r="K34" s="750">
        <f>'SF Measure Development'!BJ49</f>
        <v>0</v>
      </c>
      <c r="L34" s="750">
        <f>'SF Measure Development'!BK79</f>
        <v>0</v>
      </c>
      <c r="M34" s="750">
        <f>'SF Measure Development'!BL79</f>
        <v>0</v>
      </c>
      <c r="N34" s="757">
        <f>'SF Measure Development'!BM79</f>
        <v>0</v>
      </c>
      <c r="O34" s="750">
        <f>'SF Measure Development'!BN79</f>
        <v>0</v>
      </c>
      <c r="P34" s="754">
        <f ca="1">'SF Measure Development'!BO79</f>
        <v>1.1508819730187536</v>
      </c>
      <c r="Q34" s="750" t="str">
        <f>'SF Measure Development'!BP79</f>
        <v>ResDRY</v>
      </c>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row>
    <row r="35" spans="1:103" ht="25.5">
      <c r="A35" s="9" t="s">
        <v>54</v>
      </c>
      <c r="B35" s="755" t="str">
        <f>'SF Measure Development'!BA50</f>
        <v>ENERGY STAR - Top-Load Clothes Washer - Gas DHW, Electric Dryer - 54% ENERGY STAR Baseline</v>
      </c>
      <c r="C35" s="755" t="str">
        <f>'SF Measure Development'!BB50</f>
        <v>Washer Savings</v>
      </c>
      <c r="D35" s="751">
        <f ca="1">'SF Measure Development'!BC50</f>
        <v>1.0492968977212058</v>
      </c>
      <c r="E35" s="755">
        <f>'SF Measure Development'!BD50</f>
        <v>14</v>
      </c>
      <c r="F35" s="752">
        <f ca="1">'SF Measure Development'!BE50</f>
        <v>-70.49856002409399</v>
      </c>
      <c r="G35" s="756">
        <f>'SF Measure Development'!BF50</f>
        <v>0</v>
      </c>
      <c r="H35" s="750" t="str">
        <f>'SF Measure Development'!BG50</f>
        <v>ResWASH</v>
      </c>
      <c r="I35" s="753">
        <f ca="1">'SF Measure Development'!BH50</f>
        <v>-1.9428519963605453</v>
      </c>
      <c r="J35" s="750">
        <f>'SF Measure Development'!BI50</f>
        <v>0</v>
      </c>
      <c r="K35" s="750">
        <f>'SF Measure Development'!BJ50</f>
        <v>0</v>
      </c>
      <c r="L35" s="750">
        <f>'SF Measure Development'!BK80</f>
        <v>0</v>
      </c>
      <c r="M35" s="750">
        <f>'SF Measure Development'!BL80</f>
        <v>0</v>
      </c>
      <c r="N35" s="757">
        <f>'SF Measure Development'!BM80</f>
        <v>0</v>
      </c>
      <c r="O35" s="750">
        <f>'SF Measure Development'!BN80</f>
        <v>0</v>
      </c>
      <c r="P35" s="754">
        <f ca="1">'SF Measure Development'!BO80</f>
        <v>0</v>
      </c>
      <c r="Q35" s="750" t="str">
        <f>'SF Measure Development'!BP80</f>
        <v>ResDRY</v>
      </c>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row>
    <row r="36" spans="1:103">
      <c r="A36" s="9" t="s">
        <v>54</v>
      </c>
      <c r="B36" s="755" t="str">
        <f>'SF Measure Development'!BA51</f>
        <v>ENERGY STAR - Top-Load Clothes Washer - Gas DHW, Gas Dryer - 54% ENERGY STAR Baseline</v>
      </c>
      <c r="C36" s="755" t="str">
        <f>'SF Measure Development'!BB51</f>
        <v>Washer Savings</v>
      </c>
      <c r="D36" s="751">
        <f ca="1">'SF Measure Development'!BC51</f>
        <v>1.0492968977212058</v>
      </c>
      <c r="E36" s="755">
        <f>'SF Measure Development'!BD51</f>
        <v>14</v>
      </c>
      <c r="F36" s="752">
        <f ca="1">'SF Measure Development'!BE51</f>
        <v>-70.49856002409399</v>
      </c>
      <c r="G36" s="756">
        <f>'SF Measure Development'!BF51</f>
        <v>0</v>
      </c>
      <c r="H36" s="750" t="str">
        <f>'SF Measure Development'!BG51</f>
        <v>ResWASH</v>
      </c>
      <c r="I36" s="753">
        <f ca="1">'SF Measure Development'!BH51</f>
        <v>-1.9428519963605453</v>
      </c>
      <c r="J36" s="750">
        <f>'SF Measure Development'!BI51</f>
        <v>0</v>
      </c>
      <c r="K36" s="750">
        <f>'SF Measure Development'!BJ51</f>
        <v>0</v>
      </c>
      <c r="L36" s="750">
        <f>'SF Measure Development'!BK81</f>
        <v>0</v>
      </c>
      <c r="M36" s="750">
        <f>'SF Measure Development'!BL81</f>
        <v>0</v>
      </c>
      <c r="N36" s="757">
        <f>'SF Measure Development'!BM81</f>
        <v>0</v>
      </c>
      <c r="O36" s="750">
        <f>'SF Measure Development'!BN81</f>
        <v>0</v>
      </c>
      <c r="P36" s="754">
        <f ca="1">'SF Measure Development'!BO81</f>
        <v>1.1508819730187536</v>
      </c>
      <c r="Q36" s="750" t="str">
        <f>'SF Measure Development'!BP81</f>
        <v>ResDRY</v>
      </c>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row>
    <row r="37" spans="1:103">
      <c r="A37" s="9" t="s">
        <v>54</v>
      </c>
      <c r="B37" s="755" t="str">
        <f>'SF Measure Development'!BA52</f>
        <v>ENERGY STAR - Top-Load Clothes Washer - Any DHW, Any Dryer - 54% ENERGY STAR Baseline</v>
      </c>
      <c r="C37" s="755" t="str">
        <f>'SF Measure Development'!BB52</f>
        <v>Washer Savings</v>
      </c>
      <c r="D37" s="751">
        <f ca="1">'SF Measure Development'!BC52</f>
        <v>1.373855505440158E-2</v>
      </c>
      <c r="E37" s="755">
        <f>'SF Measure Development'!BD52</f>
        <v>14</v>
      </c>
      <c r="F37" s="752">
        <f ca="1">'SF Measure Development'!BE52</f>
        <v>-70.49856002409399</v>
      </c>
      <c r="G37" s="756">
        <f>'SF Measure Development'!BF52</f>
        <v>0</v>
      </c>
      <c r="H37" s="750" t="str">
        <f>'SF Measure Development'!BG52</f>
        <v>ResWASH</v>
      </c>
      <c r="I37" s="753">
        <f ca="1">'SF Measure Development'!BH52</f>
        <v>-1.9428519963605453</v>
      </c>
      <c r="J37" s="750">
        <f>'SF Measure Development'!BI52</f>
        <v>0</v>
      </c>
      <c r="K37" s="750">
        <f>'SF Measure Development'!BJ52</f>
        <v>0</v>
      </c>
      <c r="L37" s="750">
        <f>'SF Measure Development'!BK82</f>
        <v>0</v>
      </c>
      <c r="M37" s="750">
        <f>'SF Measure Development'!BL82</f>
        <v>0</v>
      </c>
      <c r="N37" s="757">
        <f>'SF Measure Development'!BM82</f>
        <v>0</v>
      </c>
      <c r="O37" s="750">
        <f>'SF Measure Development'!BN82</f>
        <v>0</v>
      </c>
      <c r="P37" s="754">
        <f ca="1">'SF Measure Development'!BO82</f>
        <v>5.7544098650937729E-2</v>
      </c>
      <c r="Q37" s="750" t="str">
        <f>'SF Measure Development'!BP82</f>
        <v>ResDRY</v>
      </c>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row>
    <row r="38" spans="1:103" ht="25.5">
      <c r="A38" s="9" t="s">
        <v>54</v>
      </c>
      <c r="B38" s="755" t="str">
        <f>'SF Measure Development'!BA53</f>
        <v>ENERGY STAR - Front-Load Clothes Washer - Electric DHW, Electric Dryer - 54% ENERGY STAR Baseline</v>
      </c>
      <c r="C38" s="755" t="str">
        <f>'SF Measure Development'!BB53</f>
        <v>Washer Savings</v>
      </c>
      <c r="D38" s="751">
        <f ca="1">'SF Measure Development'!BC53</f>
        <v>25.403109627702406</v>
      </c>
      <c r="E38" s="755">
        <f>'SF Measure Development'!BD53</f>
        <v>14</v>
      </c>
      <c r="F38" s="752">
        <f ca="1">'SF Measure Development'!BE53</f>
        <v>144.58430009370579</v>
      </c>
      <c r="G38" s="756">
        <f>'SF Measure Development'!BF53</f>
        <v>0</v>
      </c>
      <c r="H38" s="750" t="str">
        <f>'SF Measure Development'!BG53</f>
        <v>ResWASH</v>
      </c>
      <c r="I38" s="753">
        <f ca="1">'SF Measure Development'!BH53</f>
        <v>8.6438661728035555</v>
      </c>
      <c r="J38" s="750">
        <f>'SF Measure Development'!BI53</f>
        <v>0</v>
      </c>
      <c r="K38" s="750">
        <f>'SF Measure Development'!BJ53</f>
        <v>0</v>
      </c>
      <c r="L38" s="750">
        <f>'SF Measure Development'!BK83</f>
        <v>0</v>
      </c>
      <c r="M38" s="750">
        <f>'SF Measure Development'!BL83</f>
        <v>0</v>
      </c>
      <c r="N38" s="757">
        <f>'SF Measure Development'!BM83</f>
        <v>0</v>
      </c>
      <c r="O38" s="750">
        <f>'SF Measure Development'!BN83</f>
        <v>0</v>
      </c>
      <c r="P38" s="754">
        <f ca="1">'SF Measure Development'!BO83</f>
        <v>0</v>
      </c>
      <c r="Q38" s="750" t="str">
        <f>'SF Measure Development'!BP83</f>
        <v>ResDRY</v>
      </c>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row>
    <row r="39" spans="1:103" ht="25.5">
      <c r="A39" s="9" t="s">
        <v>54</v>
      </c>
      <c r="B39" s="755" t="str">
        <f>'SF Measure Development'!BA54</f>
        <v>ENERGY STAR - Front-Load Clothes Washer - Electric DHW, Gas Dryer - 54% ENERGY STAR Baseline</v>
      </c>
      <c r="C39" s="755" t="str">
        <f>'SF Measure Development'!BB54</f>
        <v>Washer Savings</v>
      </c>
      <c r="D39" s="751">
        <f ca="1">'SF Measure Development'!BC54</f>
        <v>25.403109627702406</v>
      </c>
      <c r="E39" s="755">
        <f>'SF Measure Development'!BD54</f>
        <v>14</v>
      </c>
      <c r="F39" s="752">
        <f ca="1">'SF Measure Development'!BE54</f>
        <v>144.58430009370579</v>
      </c>
      <c r="G39" s="756">
        <f>'SF Measure Development'!BF54</f>
        <v>0</v>
      </c>
      <c r="H39" s="750" t="str">
        <f>'SF Measure Development'!BG54</f>
        <v>ResWASH</v>
      </c>
      <c r="I39" s="753">
        <f ca="1">'SF Measure Development'!BH54</f>
        <v>8.6438661728035555</v>
      </c>
      <c r="J39" s="750">
        <f>'SF Measure Development'!BI54</f>
        <v>0</v>
      </c>
      <c r="K39" s="750">
        <f>'SF Measure Development'!BJ54</f>
        <v>0</v>
      </c>
      <c r="L39" s="750">
        <f>'SF Measure Development'!BK84</f>
        <v>0</v>
      </c>
      <c r="M39" s="750">
        <f>'SF Measure Development'!BL84</f>
        <v>0</v>
      </c>
      <c r="N39" s="757">
        <f>'SF Measure Development'!BM84</f>
        <v>0</v>
      </c>
      <c r="O39" s="750">
        <f>'SF Measure Development'!BN84</f>
        <v>0</v>
      </c>
      <c r="P39" s="754">
        <f ca="1">'SF Measure Development'!BO84</f>
        <v>2.5140304215502205</v>
      </c>
      <c r="Q39" s="750" t="str">
        <f>'SF Measure Development'!BP84</f>
        <v>ResDRY</v>
      </c>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row>
    <row r="40" spans="1:103" ht="25.5">
      <c r="A40" s="9" t="s">
        <v>54</v>
      </c>
      <c r="B40" s="755" t="str">
        <f>'SF Measure Development'!BA55</f>
        <v>ENERGY STAR - Front-Load Clothes Washer - Gas DHW, Electric Dryer - 54% ENERGY STAR Baseline</v>
      </c>
      <c r="C40" s="755" t="str">
        <f>'SF Measure Development'!BB55</f>
        <v>Washer Savings</v>
      </c>
      <c r="D40" s="751">
        <f ca="1">'SF Measure Development'!BC55</f>
        <v>4.1770659349931876</v>
      </c>
      <c r="E40" s="755">
        <f>'SF Measure Development'!BD55</f>
        <v>14</v>
      </c>
      <c r="F40" s="752">
        <f ca="1">'SF Measure Development'!BE55</f>
        <v>144.58430009370579</v>
      </c>
      <c r="G40" s="756">
        <f>'SF Measure Development'!BF55</f>
        <v>0</v>
      </c>
      <c r="H40" s="750" t="str">
        <f>'SF Measure Development'!BG55</f>
        <v>ResWASH</v>
      </c>
      <c r="I40" s="753">
        <f ca="1">'SF Measure Development'!BH55</f>
        <v>8.6438661728035555</v>
      </c>
      <c r="J40" s="750">
        <f>'SF Measure Development'!BI55</f>
        <v>0</v>
      </c>
      <c r="K40" s="750">
        <f>'SF Measure Development'!BJ55</f>
        <v>0</v>
      </c>
      <c r="L40" s="750">
        <f>'SF Measure Development'!BK85</f>
        <v>0</v>
      </c>
      <c r="M40" s="750">
        <f>'SF Measure Development'!BL85</f>
        <v>0</v>
      </c>
      <c r="N40" s="757">
        <f>'SF Measure Development'!BM85</f>
        <v>0</v>
      </c>
      <c r="O40" s="750">
        <f>'SF Measure Development'!BN85</f>
        <v>0</v>
      </c>
      <c r="P40" s="754">
        <f ca="1">'SF Measure Development'!BO85</f>
        <v>0</v>
      </c>
      <c r="Q40" s="750" t="str">
        <f>'SF Measure Development'!BP85</f>
        <v>ResDRY</v>
      </c>
      <c r="R40" s="31"/>
      <c r="S40" s="31"/>
      <c r="T40" s="31"/>
      <c r="U40" s="31"/>
      <c r="V40" s="31"/>
      <c r="W40" s="31"/>
      <c r="X40" s="31"/>
      <c r="Y40" s="31"/>
      <c r="Z40" s="31"/>
      <c r="AA40" s="31"/>
      <c r="AB40" s="31"/>
      <c r="AC40" s="31"/>
      <c r="AD40" s="31"/>
      <c r="AE40" s="31"/>
      <c r="AF40" s="31"/>
      <c r="AG40" s="31"/>
      <c r="AH40" s="31"/>
      <c r="AI40" s="31"/>
      <c r="AJ40" s="31"/>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row>
    <row r="41" spans="1:103" ht="25.5">
      <c r="A41" s="9" t="s">
        <v>54</v>
      </c>
      <c r="B41" s="755" t="str">
        <f>'SF Measure Development'!BA56</f>
        <v>ENERGY STAR - Front-Load Clothes Washer - Gas DHW, Gas Dryer - 54% ENERGY STAR Baseline</v>
      </c>
      <c r="C41" s="755" t="str">
        <f>'SF Measure Development'!BB56</f>
        <v>Washer Savings</v>
      </c>
      <c r="D41" s="751">
        <f ca="1">'SF Measure Development'!BC56</f>
        <v>4.1770659349931876</v>
      </c>
      <c r="E41" s="755">
        <f>'SF Measure Development'!BD56</f>
        <v>14</v>
      </c>
      <c r="F41" s="752">
        <f ca="1">'SF Measure Development'!BE56</f>
        <v>144.58430009370579</v>
      </c>
      <c r="G41" s="756">
        <f>'SF Measure Development'!BF56</f>
        <v>0</v>
      </c>
      <c r="H41" s="750" t="str">
        <f>'SF Measure Development'!BG56</f>
        <v>ResWASH</v>
      </c>
      <c r="I41" s="753">
        <f ca="1">'SF Measure Development'!BH56</f>
        <v>8.6438661728035555</v>
      </c>
      <c r="J41" s="750">
        <f>'SF Measure Development'!BI56</f>
        <v>0</v>
      </c>
      <c r="K41" s="750">
        <f>'SF Measure Development'!BJ56</f>
        <v>0</v>
      </c>
      <c r="L41" s="750">
        <f>'SF Measure Development'!BK86</f>
        <v>0</v>
      </c>
      <c r="M41" s="750">
        <f>'SF Measure Development'!BL86</f>
        <v>0</v>
      </c>
      <c r="N41" s="757">
        <f>'SF Measure Development'!BM86</f>
        <v>0</v>
      </c>
      <c r="O41" s="750">
        <f>'SF Measure Development'!BN86</f>
        <v>0</v>
      </c>
      <c r="P41" s="754">
        <f ca="1">'SF Measure Development'!BO86</f>
        <v>2.5140304215502205</v>
      </c>
      <c r="Q41" s="750" t="str">
        <f>'SF Measure Development'!BP86</f>
        <v>ResDRY</v>
      </c>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row>
    <row r="42" spans="1:103" ht="25.5">
      <c r="A42" s="9" t="s">
        <v>54</v>
      </c>
      <c r="B42" s="755" t="str">
        <f>'SF Measure Development'!BA57</f>
        <v>ENERGY STAR - Front-Load Clothes Washer - Any DHW, Any Dryer - 54% ENERGY STAR Baseline</v>
      </c>
      <c r="C42" s="755" t="str">
        <f>'SF Measure Development'!BB57</f>
        <v>Washer Savings</v>
      </c>
      <c r="D42" s="751">
        <f ca="1">'SF Measure Development'!BC57</f>
        <v>15.893842053368678</v>
      </c>
      <c r="E42" s="755">
        <f>'SF Measure Development'!BD57</f>
        <v>14</v>
      </c>
      <c r="F42" s="752">
        <f ca="1">'SF Measure Development'!BE57</f>
        <v>144.58430009370579</v>
      </c>
      <c r="G42" s="756">
        <f>'SF Measure Development'!BF57</f>
        <v>0</v>
      </c>
      <c r="H42" s="750" t="str">
        <f>'SF Measure Development'!BG57</f>
        <v>ResWASH</v>
      </c>
      <c r="I42" s="753">
        <f ca="1">'SF Measure Development'!BH57</f>
        <v>8.6438661728035555</v>
      </c>
      <c r="J42" s="750">
        <f>'SF Measure Development'!BI57</f>
        <v>0</v>
      </c>
      <c r="K42" s="750">
        <f>'SF Measure Development'!BJ57</f>
        <v>0</v>
      </c>
      <c r="L42" s="750">
        <f>'SF Measure Development'!BK87</f>
        <v>0</v>
      </c>
      <c r="M42" s="750">
        <f>'SF Measure Development'!BL87</f>
        <v>0</v>
      </c>
      <c r="N42" s="757">
        <f>'SF Measure Development'!BM87</f>
        <v>0</v>
      </c>
      <c r="O42" s="750">
        <f>'SF Measure Development'!BN87</f>
        <v>0</v>
      </c>
      <c r="P42" s="754">
        <f ca="1">'SF Measure Development'!BO87</f>
        <v>0.12570152107751115</v>
      </c>
      <c r="Q42" s="750" t="str">
        <f>'SF Measure Development'!BP87</f>
        <v>ResDRY</v>
      </c>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row>
    <row r="43" spans="1:103">
      <c r="A43" s="9" t="s">
        <v>54</v>
      </c>
      <c r="B43" s="755" t="str">
        <f>'SF Measure Development'!BA63</f>
        <v>CEE Tier 1 Clothes Washer - Electric DHW, Electric Dryer - 54% ENERGY STAR Baseline</v>
      </c>
      <c r="C43" s="755" t="str">
        <f>'SF Measure Development'!BB63</f>
        <v>Washer Savings</v>
      </c>
      <c r="D43" s="751">
        <f ca="1">'SF Measure Development'!BC63</f>
        <v>20.640522775438541</v>
      </c>
      <c r="E43" s="755">
        <f>'SF Measure Development'!BD63</f>
        <v>14</v>
      </c>
      <c r="F43" s="752">
        <f ca="1">'SF Measure Development'!BE63</f>
        <v>126.26454884545808</v>
      </c>
      <c r="G43" s="756">
        <f>'SF Measure Development'!BF63</f>
        <v>0</v>
      </c>
      <c r="H43" s="750" t="str">
        <f>'SF Measure Development'!BG63</f>
        <v>ResWASH</v>
      </c>
      <c r="I43" s="753">
        <f ca="1">'SF Measure Development'!BH63</f>
        <v>7.2359000960760937</v>
      </c>
      <c r="J43" s="750">
        <f>'SF Measure Development'!BI63</f>
        <v>0</v>
      </c>
      <c r="K43" s="750">
        <f>'SF Measure Development'!BJ63</f>
        <v>0</v>
      </c>
      <c r="L43" s="750">
        <f>'SF Measure Development'!BK93</f>
        <v>0</v>
      </c>
      <c r="M43" s="750">
        <f>'SF Measure Development'!BL93</f>
        <v>0</v>
      </c>
      <c r="N43" s="757">
        <f>'SF Measure Development'!BM93</f>
        <v>0</v>
      </c>
      <c r="O43" s="750">
        <f>'SF Measure Development'!BN93</f>
        <v>0</v>
      </c>
      <c r="P43" s="754">
        <f ca="1">'SF Measure Development'!BO93</f>
        <v>0</v>
      </c>
      <c r="Q43" s="750" t="str">
        <f>'SF Measure Development'!BP93</f>
        <v>ResDRY</v>
      </c>
    </row>
    <row r="44" spans="1:103">
      <c r="A44" s="9" t="s">
        <v>54</v>
      </c>
      <c r="B44" s="755" t="str">
        <f>'SF Measure Development'!BA64</f>
        <v>CEE Tier 1 Clothes Washer - Electric DHW, Gas Dryer - 54% ENERGY STAR Baseline</v>
      </c>
      <c r="C44" s="755" t="str">
        <f>'SF Measure Development'!BB64</f>
        <v>Washer Savings</v>
      </c>
      <c r="D44" s="751">
        <f ca="1">'SF Measure Development'!BC64</f>
        <v>20.640522775438541</v>
      </c>
      <c r="E44" s="755">
        <f>'SF Measure Development'!BD64</f>
        <v>14</v>
      </c>
      <c r="F44" s="752">
        <f ca="1">'SF Measure Development'!BE64</f>
        <v>126.26454884545808</v>
      </c>
      <c r="G44" s="756">
        <f>'SF Measure Development'!BF64</f>
        <v>0</v>
      </c>
      <c r="H44" s="750" t="str">
        <f>'SF Measure Development'!BG64</f>
        <v>ResWASH</v>
      </c>
      <c r="I44" s="753">
        <f ca="1">'SF Measure Development'!BH64</f>
        <v>7.2359000960760937</v>
      </c>
      <c r="J44" s="750">
        <f>'SF Measure Development'!BI64</f>
        <v>0</v>
      </c>
      <c r="K44" s="750">
        <f>'SF Measure Development'!BJ64</f>
        <v>0</v>
      </c>
      <c r="L44" s="750">
        <f>'SF Measure Development'!BK94</f>
        <v>0</v>
      </c>
      <c r="M44" s="750">
        <f>'SF Measure Development'!BL94</f>
        <v>0</v>
      </c>
      <c r="N44" s="757">
        <f>'SF Measure Development'!BM94</f>
        <v>0</v>
      </c>
      <c r="O44" s="750">
        <f>'SF Measure Development'!BN94</f>
        <v>0</v>
      </c>
      <c r="P44" s="754">
        <f ca="1">'SF Measure Development'!BO94</f>
        <v>2.1196121355434645</v>
      </c>
      <c r="Q44" s="750" t="str">
        <f>'SF Measure Development'!BP94</f>
        <v>ResDRY</v>
      </c>
    </row>
    <row r="45" spans="1:103">
      <c r="A45" s="9" t="s">
        <v>54</v>
      </c>
      <c r="B45" s="755" t="str">
        <f>'SF Measure Development'!BA65</f>
        <v>CEE Tier 1 Clothes Washer - Gas DHW, Electric Dryer - 54% ENERGY STAR Baseline</v>
      </c>
      <c r="C45" s="755" t="str">
        <f>'SF Measure Development'!BB65</f>
        <v>Washer Savings</v>
      </c>
      <c r="D45" s="751">
        <f ca="1">'SF Measure Development'!BC65</f>
        <v>3.1516293884794351</v>
      </c>
      <c r="E45" s="755">
        <f>'SF Measure Development'!BD65</f>
        <v>14</v>
      </c>
      <c r="F45" s="752">
        <f ca="1">'SF Measure Development'!BE65</f>
        <v>126.26454884545808</v>
      </c>
      <c r="G45" s="756">
        <f>'SF Measure Development'!BF65</f>
        <v>0</v>
      </c>
      <c r="H45" s="750" t="str">
        <f>'SF Measure Development'!BG65</f>
        <v>ResWASH</v>
      </c>
      <c r="I45" s="753">
        <f ca="1">'SF Measure Development'!BH65</f>
        <v>7.2359000960760937</v>
      </c>
      <c r="J45" s="750">
        <f>'SF Measure Development'!BI65</f>
        <v>0</v>
      </c>
      <c r="K45" s="750">
        <f>'SF Measure Development'!BJ65</f>
        <v>0</v>
      </c>
      <c r="L45" s="750">
        <f>'SF Measure Development'!BK95</f>
        <v>0</v>
      </c>
      <c r="M45" s="750">
        <f>'SF Measure Development'!BL95</f>
        <v>0</v>
      </c>
      <c r="N45" s="757">
        <f>'SF Measure Development'!BM95</f>
        <v>0</v>
      </c>
      <c r="O45" s="750">
        <f>'SF Measure Development'!BN95</f>
        <v>0</v>
      </c>
      <c r="P45" s="754">
        <f ca="1">'SF Measure Development'!BO95</f>
        <v>0</v>
      </c>
      <c r="Q45" s="750" t="str">
        <f>'SF Measure Development'!BP95</f>
        <v>ResDRY</v>
      </c>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row>
    <row r="46" spans="1:103">
      <c r="A46" s="9" t="s">
        <v>54</v>
      </c>
      <c r="B46" s="755" t="str">
        <f>'SF Measure Development'!BA66</f>
        <v>CEE Tier 1 Clothes Washer - Gas DHW, Gas Dryer - 54% ENERGY STAR Baseline</v>
      </c>
      <c r="C46" s="755" t="str">
        <f>'SF Measure Development'!BB66</f>
        <v>Washer Savings</v>
      </c>
      <c r="D46" s="751">
        <f ca="1">'SF Measure Development'!BC66</f>
        <v>3.1516293884794351</v>
      </c>
      <c r="E46" s="755">
        <f>'SF Measure Development'!BD66</f>
        <v>14</v>
      </c>
      <c r="F46" s="752">
        <f ca="1">'SF Measure Development'!BE66</f>
        <v>126.26454884545808</v>
      </c>
      <c r="G46" s="756">
        <f>'SF Measure Development'!BF66</f>
        <v>0</v>
      </c>
      <c r="H46" s="750" t="str">
        <f>'SF Measure Development'!BG66</f>
        <v>ResWASH</v>
      </c>
      <c r="I46" s="753">
        <f ca="1">'SF Measure Development'!BH66</f>
        <v>7.2359000960760937</v>
      </c>
      <c r="J46" s="750">
        <f>'SF Measure Development'!BI66</f>
        <v>0</v>
      </c>
      <c r="K46" s="750">
        <f>'SF Measure Development'!BJ66</f>
        <v>0</v>
      </c>
      <c r="L46" s="750">
        <f>'SF Measure Development'!BK96</f>
        <v>0</v>
      </c>
      <c r="M46" s="750">
        <f>'SF Measure Development'!BL96</f>
        <v>0</v>
      </c>
      <c r="N46" s="757">
        <f>'SF Measure Development'!BM96</f>
        <v>0</v>
      </c>
      <c r="O46" s="750">
        <f>'SF Measure Development'!BN96</f>
        <v>0</v>
      </c>
      <c r="P46" s="754">
        <f ca="1">'SF Measure Development'!BO96</f>
        <v>2.1196121355434645</v>
      </c>
      <c r="Q46" s="750" t="str">
        <f>'SF Measure Development'!BP96</f>
        <v>ResDRY</v>
      </c>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row>
    <row r="47" spans="1:103">
      <c r="A47" s="9" t="s">
        <v>54</v>
      </c>
      <c r="B47" s="755" t="str">
        <f>'SF Measure Development'!BA67</f>
        <v>CEE Tier 1 Clothes Washer - Any DHW, Any Dryer - 54% ENERGY STAR Baseline</v>
      </c>
      <c r="C47" s="755" t="str">
        <f>'SF Measure Development'!BB67</f>
        <v>Washer Savings</v>
      </c>
      <c r="D47" s="751">
        <f ca="1">'SF Measure Development'!BC67</f>
        <v>12.805498538080862</v>
      </c>
      <c r="E47" s="755">
        <f>'SF Measure Development'!BD67</f>
        <v>14</v>
      </c>
      <c r="F47" s="752">
        <f ca="1">'SF Measure Development'!BE67</f>
        <v>126.26454884545808</v>
      </c>
      <c r="G47" s="756">
        <f>'SF Measure Development'!BF67</f>
        <v>0</v>
      </c>
      <c r="H47" s="750" t="str">
        <f>'SF Measure Development'!BG67</f>
        <v>ResWASH</v>
      </c>
      <c r="I47" s="753">
        <f ca="1">'SF Measure Development'!BH67</f>
        <v>7.2359000960760937</v>
      </c>
      <c r="J47" s="750">
        <f>'SF Measure Development'!BI67</f>
        <v>0</v>
      </c>
      <c r="K47" s="750">
        <f>'SF Measure Development'!BJ67</f>
        <v>0</v>
      </c>
      <c r="L47" s="750">
        <f>'SF Measure Development'!BK97</f>
        <v>0</v>
      </c>
      <c r="M47" s="750">
        <f>'SF Measure Development'!BL97</f>
        <v>0</v>
      </c>
      <c r="N47" s="757">
        <f>'SF Measure Development'!BM97</f>
        <v>0</v>
      </c>
      <c r="O47" s="750">
        <f>'SF Measure Development'!BN97</f>
        <v>0</v>
      </c>
      <c r="P47" s="754">
        <f ca="1">'SF Measure Development'!BO97</f>
        <v>0.10598060677717332</v>
      </c>
      <c r="Q47" s="750" t="str">
        <f>'SF Measure Development'!BP97</f>
        <v>ResDRY</v>
      </c>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row>
    <row r="48" spans="1:103">
      <c r="A48" s="9" t="s">
        <v>54</v>
      </c>
      <c r="B48" s="755" t="str">
        <f>'SF Measure Development'!BA68</f>
        <v>CEE Tier 2 Clothes Washer - Electric DHW, Electric Dryer - 54% ENERGY STAR Baseline</v>
      </c>
      <c r="C48" s="755" t="str">
        <f>'SF Measure Development'!BB68</f>
        <v>Washer Savings</v>
      </c>
      <c r="D48" s="751">
        <f ca="1">'SF Measure Development'!BC68</f>
        <v>31.879642656898774</v>
      </c>
      <c r="E48" s="755">
        <f>'SF Measure Development'!BD68</f>
        <v>14</v>
      </c>
      <c r="F48" s="752">
        <f ca="1">'SF Measure Development'!BE68</f>
        <v>175.84798335118546</v>
      </c>
      <c r="G48" s="756">
        <f>'SF Measure Development'!BF68</f>
        <v>0</v>
      </c>
      <c r="H48" s="750" t="str">
        <f>'SF Measure Development'!BG68</f>
        <v>ResWASH</v>
      </c>
      <c r="I48" s="753">
        <f ca="1">'SF Measure Development'!BH68</f>
        <v>10.612999709998789</v>
      </c>
      <c r="J48" s="750">
        <f>'SF Measure Development'!BI68</f>
        <v>0</v>
      </c>
      <c r="K48" s="750">
        <f>'SF Measure Development'!BJ68</f>
        <v>0</v>
      </c>
      <c r="L48" s="750">
        <f>'SF Measure Development'!BK98</f>
        <v>0</v>
      </c>
      <c r="M48" s="750">
        <f>'SF Measure Development'!BL98</f>
        <v>0</v>
      </c>
      <c r="N48" s="757">
        <f>'SF Measure Development'!BM98</f>
        <v>0</v>
      </c>
      <c r="O48" s="750">
        <f>'SF Measure Development'!BN98</f>
        <v>0</v>
      </c>
      <c r="P48" s="754">
        <f ca="1">'SF Measure Development'!BO98</f>
        <v>0</v>
      </c>
      <c r="Q48" s="750" t="str">
        <f>'SF Measure Development'!BP98</f>
        <v>ResDRY</v>
      </c>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row>
    <row r="49" spans="1:102">
      <c r="A49" s="9" t="s">
        <v>54</v>
      </c>
      <c r="B49" s="755" t="str">
        <f>'SF Measure Development'!BA69</f>
        <v>CEE Tier 2 Clothes Washer - Electric DHW, Gas Dryer - 54% ENERGY STAR Baseline</v>
      </c>
      <c r="C49" s="755" t="str">
        <f>'SF Measure Development'!BB69</f>
        <v>Washer Savings</v>
      </c>
      <c r="D49" s="751">
        <f ca="1">'SF Measure Development'!BC69</f>
        <v>31.879642656898774</v>
      </c>
      <c r="E49" s="755">
        <f>'SF Measure Development'!BD69</f>
        <v>14</v>
      </c>
      <c r="F49" s="752">
        <f ca="1">'SF Measure Development'!BE69</f>
        <v>175.84798335118546</v>
      </c>
      <c r="G49" s="756">
        <f>'SF Measure Development'!BF69</f>
        <v>0</v>
      </c>
      <c r="H49" s="750" t="str">
        <f>'SF Measure Development'!BG69</f>
        <v>ResWASH</v>
      </c>
      <c r="I49" s="753">
        <f ca="1">'SF Measure Development'!BH69</f>
        <v>10.612999709998789</v>
      </c>
      <c r="J49" s="750">
        <f>'SF Measure Development'!BI69</f>
        <v>0</v>
      </c>
      <c r="K49" s="750">
        <f>'SF Measure Development'!BJ69</f>
        <v>0</v>
      </c>
      <c r="L49" s="750">
        <f>'SF Measure Development'!BK99</f>
        <v>0</v>
      </c>
      <c r="M49" s="750">
        <f>'SF Measure Development'!BL99</f>
        <v>0</v>
      </c>
      <c r="N49" s="757">
        <f>'SF Measure Development'!BM99</f>
        <v>0</v>
      </c>
      <c r="O49" s="750">
        <f>'SF Measure Development'!BN99</f>
        <v>0</v>
      </c>
      <c r="P49" s="754">
        <f ca="1">'SF Measure Development'!BO99</f>
        <v>2.9708193679983506</v>
      </c>
      <c r="Q49" s="750" t="str">
        <f>'SF Measure Development'!BP99</f>
        <v>ResDRY</v>
      </c>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row>
    <row r="50" spans="1:102">
      <c r="A50" s="9" t="s">
        <v>54</v>
      </c>
      <c r="B50" s="755" t="str">
        <f>'SF Measure Development'!BA70</f>
        <v>CEE Tier 2 Clothes Washer - Gas DHW, Electric Dryer - 54% ENERGY STAR Baseline</v>
      </c>
      <c r="C50" s="755" t="str">
        <f>'SF Measure Development'!BB70</f>
        <v>Washer Savings</v>
      </c>
      <c r="D50" s="751">
        <f ca="1">'SF Measure Development'!BC70</f>
        <v>5.6044466649556668</v>
      </c>
      <c r="E50" s="755">
        <f>'SF Measure Development'!BD70</f>
        <v>14</v>
      </c>
      <c r="F50" s="752">
        <f ca="1">'SF Measure Development'!BE70</f>
        <v>175.84798335118546</v>
      </c>
      <c r="G50" s="756">
        <f>'SF Measure Development'!BF70</f>
        <v>0</v>
      </c>
      <c r="H50" s="750" t="str">
        <f>'SF Measure Development'!BG70</f>
        <v>ResWASH</v>
      </c>
      <c r="I50" s="753">
        <f ca="1">'SF Measure Development'!BH70</f>
        <v>10.612999709998789</v>
      </c>
      <c r="J50" s="750">
        <f>'SF Measure Development'!BI70</f>
        <v>0</v>
      </c>
      <c r="K50" s="750">
        <f>'SF Measure Development'!BJ70</f>
        <v>0</v>
      </c>
      <c r="L50" s="750">
        <f>'SF Measure Development'!BK100</f>
        <v>0</v>
      </c>
      <c r="M50" s="750">
        <f>'SF Measure Development'!BL100</f>
        <v>0</v>
      </c>
      <c r="N50" s="757">
        <f>'SF Measure Development'!BM100</f>
        <v>0</v>
      </c>
      <c r="O50" s="750">
        <f>'SF Measure Development'!BN100</f>
        <v>0</v>
      </c>
      <c r="P50" s="754">
        <f ca="1">'SF Measure Development'!BO100</f>
        <v>0</v>
      </c>
      <c r="Q50" s="750" t="str">
        <f>'SF Measure Development'!BP100</f>
        <v>ResDRY</v>
      </c>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row>
    <row r="51" spans="1:102">
      <c r="A51" s="9" t="s">
        <v>54</v>
      </c>
      <c r="B51" s="755" t="str">
        <f>'SF Measure Development'!BA71</f>
        <v>CEE Tier 2 Clothes Washer - Gas DHW, Gas Dryer - 54% ENERGY STAR Baseline</v>
      </c>
      <c r="C51" s="755" t="str">
        <f>'SF Measure Development'!BB71</f>
        <v>Washer Savings</v>
      </c>
      <c r="D51" s="751">
        <f ca="1">'SF Measure Development'!BC71</f>
        <v>5.6044466649556668</v>
      </c>
      <c r="E51" s="755">
        <f>'SF Measure Development'!BD71</f>
        <v>14</v>
      </c>
      <c r="F51" s="752">
        <f ca="1">'SF Measure Development'!BE71</f>
        <v>175.84798335118546</v>
      </c>
      <c r="G51" s="756">
        <f>'SF Measure Development'!BF71</f>
        <v>0</v>
      </c>
      <c r="H51" s="750" t="str">
        <f>'SF Measure Development'!BG71</f>
        <v>ResWASH</v>
      </c>
      <c r="I51" s="753">
        <f ca="1">'SF Measure Development'!BH71</f>
        <v>10.612999709998789</v>
      </c>
      <c r="J51" s="750">
        <f>'SF Measure Development'!BI71</f>
        <v>0</v>
      </c>
      <c r="K51" s="750">
        <f>'SF Measure Development'!BJ71</f>
        <v>0</v>
      </c>
      <c r="L51" s="750">
        <f>'SF Measure Development'!BK101</f>
        <v>0</v>
      </c>
      <c r="M51" s="750">
        <f>'SF Measure Development'!BL101</f>
        <v>0</v>
      </c>
      <c r="N51" s="757">
        <f>'SF Measure Development'!BM101</f>
        <v>0</v>
      </c>
      <c r="O51" s="750">
        <f>'SF Measure Development'!BN101</f>
        <v>0</v>
      </c>
      <c r="P51" s="754">
        <f ca="1">'SF Measure Development'!BO101</f>
        <v>2.9708193679983506</v>
      </c>
      <c r="Q51" s="750" t="str">
        <f>'SF Measure Development'!BP101</f>
        <v>ResDRY</v>
      </c>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row>
    <row r="52" spans="1:102">
      <c r="A52" s="9" t="s">
        <v>54</v>
      </c>
      <c r="B52" s="755" t="str">
        <f>'SF Measure Development'!BA72</f>
        <v>CEE Tier 2 Clothes Washer - Any DHW, Any Dryer - 54% ENERGY STAR Baseline</v>
      </c>
      <c r="C52" s="755" t="str">
        <f>'SF Measure Development'!BB72</f>
        <v>Washer Savings</v>
      </c>
      <c r="D52" s="751">
        <f ca="1">'SF Measure Development'!BC72</f>
        <v>20.108354852508263</v>
      </c>
      <c r="E52" s="755">
        <f>'SF Measure Development'!BD72</f>
        <v>14</v>
      </c>
      <c r="F52" s="752">
        <f ca="1">'SF Measure Development'!BE72</f>
        <v>175.84798335118546</v>
      </c>
      <c r="G52" s="756">
        <f>'SF Measure Development'!BF72</f>
        <v>0</v>
      </c>
      <c r="H52" s="750" t="str">
        <f>'SF Measure Development'!BG72</f>
        <v>ResWASH</v>
      </c>
      <c r="I52" s="753">
        <f ca="1">'SF Measure Development'!BH72</f>
        <v>10.612999709998789</v>
      </c>
      <c r="J52" s="750">
        <f>'SF Measure Development'!BI72</f>
        <v>0</v>
      </c>
      <c r="K52" s="750">
        <f>'SF Measure Development'!BJ72</f>
        <v>0</v>
      </c>
      <c r="L52" s="750">
        <f>'SF Measure Development'!BK102</f>
        <v>0</v>
      </c>
      <c r="M52" s="750">
        <f>'SF Measure Development'!BL102</f>
        <v>0</v>
      </c>
      <c r="N52" s="757">
        <f>'SF Measure Development'!BM102</f>
        <v>0</v>
      </c>
      <c r="O52" s="750">
        <f>'SF Measure Development'!BN102</f>
        <v>0</v>
      </c>
      <c r="P52" s="754">
        <f ca="1">'SF Measure Development'!BO102</f>
        <v>0.14854096839991765</v>
      </c>
      <c r="Q52" s="750" t="str">
        <f>'SF Measure Development'!BP102</f>
        <v>ResDRY</v>
      </c>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row>
    <row r="53" spans="1:102">
      <c r="A53" s="9" t="s">
        <v>54</v>
      </c>
      <c r="B53" s="755" t="str">
        <f>'SF Measure Development'!BA73</f>
        <v>CEE Tier 3 Clothes Washer - Electric DHW, Electric Dryer - 54% ENERGY STAR Baseline</v>
      </c>
      <c r="C53" s="755" t="str">
        <f>'SF Measure Development'!BB73</f>
        <v>Washer Savings</v>
      </c>
      <c r="D53" s="751">
        <f ca="1">'SF Measure Development'!BC73</f>
        <v>33.758360700514949</v>
      </c>
      <c r="E53" s="755">
        <f>'SF Measure Development'!BD73</f>
        <v>14</v>
      </c>
      <c r="F53" s="752">
        <f ca="1">'SF Measure Development'!BE73</f>
        <v>170.81353679657798</v>
      </c>
      <c r="G53" s="756">
        <f>'SF Measure Development'!BF73</f>
        <v>0</v>
      </c>
      <c r="H53" s="750" t="str">
        <f>'SF Measure Development'!BG73</f>
        <v>ResWASH</v>
      </c>
      <c r="I53" s="753">
        <f ca="1">'SF Measure Development'!BH73</f>
        <v>10.904687776460435</v>
      </c>
      <c r="J53" s="750">
        <f>'SF Measure Development'!BI73</f>
        <v>0</v>
      </c>
      <c r="K53" s="750">
        <f>'SF Measure Development'!BJ73</f>
        <v>0</v>
      </c>
      <c r="L53" s="750">
        <f>'SF Measure Development'!BK103</f>
        <v>0</v>
      </c>
      <c r="M53" s="750">
        <f>'SF Measure Development'!BL103</f>
        <v>0</v>
      </c>
      <c r="N53" s="757">
        <f>'SF Measure Development'!BM103</f>
        <v>0</v>
      </c>
      <c r="O53" s="750">
        <f>'SF Measure Development'!BN103</f>
        <v>0</v>
      </c>
      <c r="P53" s="754">
        <f ca="1">'SF Measure Development'!BO103</f>
        <v>0</v>
      </c>
      <c r="Q53" s="750" t="str">
        <f>'SF Measure Development'!BP103</f>
        <v>ResDRY</v>
      </c>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row>
    <row r="54" spans="1:102">
      <c r="A54" s="9" t="s">
        <v>54</v>
      </c>
      <c r="B54" s="755" t="str">
        <f>'SF Measure Development'!BA74</f>
        <v>CEE Tier 3 Clothes Washer - Electric DHW, Gas Dryer - 54% ENERGY STAR Baseline</v>
      </c>
      <c r="C54" s="755" t="str">
        <f>'SF Measure Development'!BB74</f>
        <v>Washer Savings</v>
      </c>
      <c r="D54" s="751">
        <f ca="1">'SF Measure Development'!BC74</f>
        <v>33.758360700514949</v>
      </c>
      <c r="E54" s="755">
        <f>'SF Measure Development'!BD74</f>
        <v>14</v>
      </c>
      <c r="F54" s="752">
        <f ca="1">'SF Measure Development'!BE74</f>
        <v>170.81353679657798</v>
      </c>
      <c r="G54" s="756">
        <f>'SF Measure Development'!BF74</f>
        <v>0</v>
      </c>
      <c r="H54" s="750" t="str">
        <f>'SF Measure Development'!BG74</f>
        <v>ResWASH</v>
      </c>
      <c r="I54" s="753">
        <f ca="1">'SF Measure Development'!BH74</f>
        <v>10.904687776460435</v>
      </c>
      <c r="J54" s="750">
        <f>'SF Measure Development'!BI74</f>
        <v>0</v>
      </c>
      <c r="K54" s="750">
        <f>'SF Measure Development'!BJ74</f>
        <v>0</v>
      </c>
      <c r="L54" s="750">
        <f>'SF Measure Development'!BK104</f>
        <v>0</v>
      </c>
      <c r="M54" s="750">
        <f>'SF Measure Development'!BL104</f>
        <v>0</v>
      </c>
      <c r="N54" s="757">
        <f>'SF Measure Development'!BM104</f>
        <v>0</v>
      </c>
      <c r="O54" s="750">
        <f>'SF Measure Development'!BN104</f>
        <v>0</v>
      </c>
      <c r="P54" s="754">
        <f ca="1">'SF Measure Development'!BO104</f>
        <v>3.5278040936092676</v>
      </c>
      <c r="Q54" s="750" t="str">
        <f>'SF Measure Development'!BP104</f>
        <v>ResDRY</v>
      </c>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row>
    <row r="55" spans="1:102">
      <c r="A55" s="9" t="s">
        <v>54</v>
      </c>
      <c r="B55" s="755" t="str">
        <f>'SF Measure Development'!BA75</f>
        <v>CEE Tier 3 Clothes Washer - Gas DHW, Electric Dryer - 54% ENERGY STAR Baseline</v>
      </c>
      <c r="C55" s="755" t="str">
        <f>'SF Measure Development'!BB75</f>
        <v>Washer Savings</v>
      </c>
      <c r="D55" s="751">
        <f ca="1">'SF Measure Development'!BC75</f>
        <v>6.2449820661320317</v>
      </c>
      <c r="E55" s="755">
        <f>'SF Measure Development'!BD75</f>
        <v>14</v>
      </c>
      <c r="F55" s="752">
        <f ca="1">'SF Measure Development'!BE75</f>
        <v>170.81353679657798</v>
      </c>
      <c r="G55" s="756">
        <f>'SF Measure Development'!BF75</f>
        <v>0</v>
      </c>
      <c r="H55" s="750" t="str">
        <f>'SF Measure Development'!BG75</f>
        <v>ResWASH</v>
      </c>
      <c r="I55" s="753">
        <f ca="1">'SF Measure Development'!BH75</f>
        <v>10.904687776460435</v>
      </c>
      <c r="J55" s="750">
        <f>'SF Measure Development'!BI75</f>
        <v>0</v>
      </c>
      <c r="K55" s="750">
        <f>'SF Measure Development'!BJ75</f>
        <v>0</v>
      </c>
      <c r="L55" s="750">
        <f>'SF Measure Development'!BK105</f>
        <v>0</v>
      </c>
      <c r="M55" s="750">
        <f>'SF Measure Development'!BL105</f>
        <v>0</v>
      </c>
      <c r="N55" s="757">
        <f>'SF Measure Development'!BM105</f>
        <v>0</v>
      </c>
      <c r="O55" s="750">
        <f>'SF Measure Development'!BN105</f>
        <v>0</v>
      </c>
      <c r="P55" s="754">
        <f ca="1">'SF Measure Development'!BO105</f>
        <v>0</v>
      </c>
      <c r="Q55" s="750" t="str">
        <f>'SF Measure Development'!BP105</f>
        <v>ResDRY</v>
      </c>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row>
    <row r="56" spans="1:102">
      <c r="A56" s="9" t="s">
        <v>54</v>
      </c>
      <c r="B56" s="755" t="str">
        <f>'SF Measure Development'!BA76</f>
        <v>CEE Tier 3 Clothes Washer - Gas DHW, Gas Dryer - 54% ENERGY STAR Baseline</v>
      </c>
      <c r="C56" s="755" t="str">
        <f>'SF Measure Development'!BB76</f>
        <v>Washer Savings</v>
      </c>
      <c r="D56" s="751">
        <f ca="1">'SF Measure Development'!BC76</f>
        <v>6.2449820661320317</v>
      </c>
      <c r="E56" s="755">
        <f>'SF Measure Development'!BD76</f>
        <v>14</v>
      </c>
      <c r="F56" s="752">
        <f ca="1">'SF Measure Development'!BE76</f>
        <v>170.81353679657798</v>
      </c>
      <c r="G56" s="756">
        <f>'SF Measure Development'!BF76</f>
        <v>0</v>
      </c>
      <c r="H56" s="750" t="str">
        <f>'SF Measure Development'!BG76</f>
        <v>ResWASH</v>
      </c>
      <c r="I56" s="753">
        <f ca="1">'SF Measure Development'!BH76</f>
        <v>10.904687776460435</v>
      </c>
      <c r="J56" s="750">
        <f>'SF Measure Development'!BI76</f>
        <v>0</v>
      </c>
      <c r="K56" s="750">
        <f>'SF Measure Development'!BJ76</f>
        <v>0</v>
      </c>
      <c r="L56" s="750">
        <f>'SF Measure Development'!BK106</f>
        <v>0</v>
      </c>
      <c r="M56" s="750">
        <f>'SF Measure Development'!BL106</f>
        <v>0</v>
      </c>
      <c r="N56" s="757">
        <f>'SF Measure Development'!BM106</f>
        <v>0</v>
      </c>
      <c r="O56" s="750">
        <f>'SF Measure Development'!BN106</f>
        <v>0</v>
      </c>
      <c r="P56" s="754">
        <f ca="1">'SF Measure Development'!BO106</f>
        <v>3.5278040936092676</v>
      </c>
      <c r="Q56" s="750" t="str">
        <f>'SF Measure Development'!BP106</f>
        <v>ResDRY</v>
      </c>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row>
    <row r="57" spans="1:102">
      <c r="A57" s="9" t="s">
        <v>54</v>
      </c>
      <c r="B57" s="755" t="str">
        <f>'SF Measure Development'!BA77</f>
        <v>CEE Tier 3 Clothes Washer - Any DHW, Any Dryer - 54% ENERGY STAR Baseline</v>
      </c>
      <c r="C57" s="755" t="str">
        <f>'SF Measure Development'!BB77</f>
        <v>Washer Savings</v>
      </c>
      <c r="D57" s="751">
        <f ca="1">'SF Measure Development'!BC77</f>
        <v>21.432367072311401</v>
      </c>
      <c r="E57" s="755">
        <f>'SF Measure Development'!BD77</f>
        <v>14</v>
      </c>
      <c r="F57" s="752">
        <f ca="1">'SF Measure Development'!BE77</f>
        <v>170.81353679657798</v>
      </c>
      <c r="G57" s="756">
        <f>'SF Measure Development'!BF77</f>
        <v>0</v>
      </c>
      <c r="H57" s="750" t="str">
        <f>'SF Measure Development'!BG77</f>
        <v>ResWASH</v>
      </c>
      <c r="I57" s="753">
        <f ca="1">'SF Measure Development'!BH77</f>
        <v>10.904687776460435</v>
      </c>
      <c r="J57" s="750">
        <f>'SF Measure Development'!BI77</f>
        <v>0</v>
      </c>
      <c r="K57" s="750">
        <f>'SF Measure Development'!BJ77</f>
        <v>0</v>
      </c>
      <c r="L57" s="750">
        <f>'SF Measure Development'!BK107</f>
        <v>0</v>
      </c>
      <c r="M57" s="750">
        <f>'SF Measure Development'!BL107</f>
        <v>0</v>
      </c>
      <c r="N57" s="757">
        <f>'SF Measure Development'!BM107</f>
        <v>0</v>
      </c>
      <c r="O57" s="750">
        <f>'SF Measure Development'!BN107</f>
        <v>0</v>
      </c>
      <c r="P57" s="754">
        <f ca="1">'SF Measure Development'!BO107</f>
        <v>0.17639020468046354</v>
      </c>
      <c r="Q57" s="750" t="str">
        <f>'SF Measure Development'!BP107</f>
        <v>ResDRY</v>
      </c>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row>
    <row r="58" spans="1:102" ht="25.5">
      <c r="A58" s="9" t="s">
        <v>54</v>
      </c>
      <c r="B58" s="755" t="str">
        <f>'SF Measure Development'!BA78</f>
        <v>ENERGY STAR - Top-Load Clothes Washer - Electric DHW, Electric Dryer - 31% ENERGY STAR Baseline</v>
      </c>
      <c r="C58" s="755" t="str">
        <f>'SF Measure Development'!BB78</f>
        <v>Dryer Savings</v>
      </c>
      <c r="D58" s="751">
        <f ca="1">'SF Measure Development'!BC78</f>
        <v>30.107623504111189</v>
      </c>
      <c r="E58" s="755">
        <f>'SF Measure Development'!BD78</f>
        <v>14</v>
      </c>
      <c r="F58" s="752">
        <f>'SF Measure Development'!BE78</f>
        <v>0</v>
      </c>
      <c r="G58" s="758">
        <f>'SF Measure Development'!BF78</f>
        <v>0</v>
      </c>
      <c r="H58" s="750" t="str">
        <f>'SF Measure Development'!BG78</f>
        <v>ResDRY</v>
      </c>
      <c r="I58" s="753">
        <f>'SF Measure Development'!BH78</f>
        <v>0</v>
      </c>
      <c r="J58" s="750">
        <f>'SF Measure Development'!BI78</f>
        <v>0</v>
      </c>
      <c r="K58" s="750">
        <f>'SF Measure Development'!BJ78</f>
        <v>0</v>
      </c>
      <c r="L58" s="750">
        <f>'SF Measure Development'!BK138</f>
        <v>0</v>
      </c>
      <c r="M58" s="750">
        <f>'SF Measure Development'!BL138</f>
        <v>0</v>
      </c>
      <c r="N58" s="750">
        <f>'SF Measure Development'!BM138</f>
        <v>0</v>
      </c>
      <c r="O58" s="750">
        <f>'SF Measure Development'!BN138</f>
        <v>0</v>
      </c>
      <c r="P58" s="754">
        <f>'SF Measure Development'!BO138</f>
        <v>0</v>
      </c>
      <c r="Q58" s="750">
        <f>'SF Measure Development'!BP138</f>
        <v>0</v>
      </c>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row>
    <row r="59" spans="1:102" ht="25.5">
      <c r="A59" s="9" t="s">
        <v>54</v>
      </c>
      <c r="B59" s="755" t="str">
        <f>'SF Measure Development'!BA79</f>
        <v>ENERGY STAR - Top-Load Clothes Washer - Electric DHW, Gas Dryer - 31% ENERGY STAR Baseline</v>
      </c>
      <c r="C59" s="755" t="str">
        <f>'SF Measure Development'!BB79</f>
        <v>Dryer Savings</v>
      </c>
      <c r="D59" s="751">
        <f ca="1">'SF Measure Development'!BC79</f>
        <v>0</v>
      </c>
      <c r="E59" s="755">
        <f>'SF Measure Development'!BD79</f>
        <v>14</v>
      </c>
      <c r="F59" s="752">
        <f>'SF Measure Development'!BE79</f>
        <v>0</v>
      </c>
      <c r="G59" s="758">
        <f>'SF Measure Development'!BF79</f>
        <v>0</v>
      </c>
      <c r="H59" s="750" t="str">
        <f>'SF Measure Development'!BG79</f>
        <v>ResDRY</v>
      </c>
      <c r="I59" s="753">
        <f>'SF Measure Development'!BH79</f>
        <v>0</v>
      </c>
      <c r="J59" s="750">
        <f>'SF Measure Development'!BI79</f>
        <v>0</v>
      </c>
      <c r="K59" s="750">
        <f>'SF Measure Development'!BJ79</f>
        <v>0</v>
      </c>
      <c r="L59" s="750">
        <f>'SF Measure Development'!BK139</f>
        <v>0</v>
      </c>
      <c r="M59" s="750">
        <f>'SF Measure Development'!BL139</f>
        <v>0</v>
      </c>
      <c r="N59" s="750">
        <f>'SF Measure Development'!BM139</f>
        <v>0</v>
      </c>
      <c r="O59" s="750">
        <f>'SF Measure Development'!BN139</f>
        <v>0</v>
      </c>
      <c r="P59" s="754">
        <f>'SF Measure Development'!BO139</f>
        <v>0</v>
      </c>
      <c r="Q59" s="750">
        <f>'SF Measure Development'!BP139</f>
        <v>0</v>
      </c>
    </row>
    <row r="60" spans="1:102" ht="25.5">
      <c r="A60" s="9" t="s">
        <v>54</v>
      </c>
      <c r="B60" s="755" t="str">
        <f>'SF Measure Development'!BA80</f>
        <v>ENERGY STAR - Top-Load Clothes Washer - Gas DHW, Electric Dryer - 31% ENERGY STAR Baseline</v>
      </c>
      <c r="C60" s="755" t="str">
        <f>'SF Measure Development'!BB80</f>
        <v>Dryer Savings</v>
      </c>
      <c r="D60" s="751">
        <f ca="1">'SF Measure Development'!BC80</f>
        <v>30.107623504111189</v>
      </c>
      <c r="E60" s="755">
        <f>'SF Measure Development'!BD80</f>
        <v>14</v>
      </c>
      <c r="F60" s="752">
        <f>'SF Measure Development'!BE80</f>
        <v>0</v>
      </c>
      <c r="G60" s="758">
        <f>'SF Measure Development'!BF80</f>
        <v>0</v>
      </c>
      <c r="H60" s="750" t="str">
        <f>'SF Measure Development'!BG80</f>
        <v>ResDRY</v>
      </c>
      <c r="I60" s="753">
        <f>'SF Measure Development'!BH80</f>
        <v>0</v>
      </c>
      <c r="J60" s="750">
        <f>'SF Measure Development'!BI80</f>
        <v>0</v>
      </c>
      <c r="K60" s="750">
        <f>'SF Measure Development'!BJ80</f>
        <v>0</v>
      </c>
      <c r="L60" s="750">
        <f>'SF Measure Development'!BK140</f>
        <v>0</v>
      </c>
      <c r="M60" s="750">
        <f>'SF Measure Development'!BL140</f>
        <v>0</v>
      </c>
      <c r="N60" s="750">
        <f>'SF Measure Development'!BM140</f>
        <v>0</v>
      </c>
      <c r="O60" s="750">
        <f>'SF Measure Development'!BN140</f>
        <v>0</v>
      </c>
      <c r="P60" s="754">
        <f>'SF Measure Development'!BO140</f>
        <v>0</v>
      </c>
      <c r="Q60" s="750">
        <f>'SF Measure Development'!BP140</f>
        <v>0</v>
      </c>
    </row>
    <row r="61" spans="1:102">
      <c r="A61" s="9" t="s">
        <v>54</v>
      </c>
      <c r="B61" s="755" t="str">
        <f>'SF Measure Development'!BA81</f>
        <v>ENERGY STAR - Top-Load Clothes Washer - Gas DHW, Gas Dryer - 31% ENERGY STAR Baseline</v>
      </c>
      <c r="C61" s="755" t="str">
        <f>'SF Measure Development'!BB81</f>
        <v>Dryer Savings</v>
      </c>
      <c r="D61" s="751">
        <f ca="1">'SF Measure Development'!BC81</f>
        <v>0</v>
      </c>
      <c r="E61" s="755">
        <f>'SF Measure Development'!BD81</f>
        <v>14</v>
      </c>
      <c r="F61" s="752">
        <f>'SF Measure Development'!BE81</f>
        <v>0</v>
      </c>
      <c r="G61" s="758">
        <f>'SF Measure Development'!BF81</f>
        <v>0</v>
      </c>
      <c r="H61" s="750" t="str">
        <f>'SF Measure Development'!BG81</f>
        <v>ResDRY</v>
      </c>
      <c r="I61" s="753">
        <f>'SF Measure Development'!BH81</f>
        <v>0</v>
      </c>
      <c r="J61" s="750">
        <f>'SF Measure Development'!BI81</f>
        <v>0</v>
      </c>
      <c r="K61" s="750">
        <f>'SF Measure Development'!BJ81</f>
        <v>0</v>
      </c>
      <c r="L61" s="750">
        <f>'SF Measure Development'!BK141</f>
        <v>0</v>
      </c>
      <c r="M61" s="750">
        <f>'SF Measure Development'!BL141</f>
        <v>0</v>
      </c>
      <c r="N61" s="750">
        <f>'SF Measure Development'!BM141</f>
        <v>0</v>
      </c>
      <c r="O61" s="750">
        <f>'SF Measure Development'!BN141</f>
        <v>0</v>
      </c>
      <c r="P61" s="754">
        <f>'SF Measure Development'!BO141</f>
        <v>0</v>
      </c>
      <c r="Q61" s="750">
        <f>'SF Measure Development'!BP141</f>
        <v>0</v>
      </c>
    </row>
    <row r="62" spans="1:102">
      <c r="A62" s="9" t="s">
        <v>54</v>
      </c>
      <c r="B62" s="755" t="str">
        <f>'SF Measure Development'!BA82</f>
        <v>ENERGY STAR - Top-Load Clothes Washer - Any DHW, Any Dryer - 31% ENERGY STAR Baseline</v>
      </c>
      <c r="C62" s="755" t="str">
        <f>'SF Measure Development'!BB82</f>
        <v>Dryer Savings</v>
      </c>
      <c r="D62" s="751">
        <f ca="1">'SF Measure Development'!BC82</f>
        <v>28.602242328905628</v>
      </c>
      <c r="E62" s="755">
        <f>'SF Measure Development'!BD82</f>
        <v>14</v>
      </c>
      <c r="F62" s="752">
        <f>'SF Measure Development'!BE82</f>
        <v>0</v>
      </c>
      <c r="G62" s="758">
        <f>'SF Measure Development'!BF82</f>
        <v>0</v>
      </c>
      <c r="H62" s="750" t="str">
        <f>'SF Measure Development'!BG82</f>
        <v>ResDRY</v>
      </c>
      <c r="I62" s="753">
        <f>'SF Measure Development'!BH82</f>
        <v>0</v>
      </c>
      <c r="J62" s="750">
        <f>'SF Measure Development'!BI82</f>
        <v>0</v>
      </c>
      <c r="K62" s="750">
        <f>'SF Measure Development'!BJ82</f>
        <v>0</v>
      </c>
      <c r="L62" s="750">
        <f>'SF Measure Development'!BK142</f>
        <v>0</v>
      </c>
      <c r="M62" s="750">
        <f>'SF Measure Development'!BL142</f>
        <v>0</v>
      </c>
      <c r="N62" s="750">
        <f>'SF Measure Development'!BM142</f>
        <v>0</v>
      </c>
      <c r="O62" s="750">
        <f>'SF Measure Development'!BN142</f>
        <v>0</v>
      </c>
      <c r="P62" s="754">
        <f>'SF Measure Development'!BO142</f>
        <v>0</v>
      </c>
      <c r="Q62" s="750">
        <f>'SF Measure Development'!BP142</f>
        <v>0</v>
      </c>
    </row>
    <row r="63" spans="1:102" ht="25.5">
      <c r="A63" s="9" t="s">
        <v>54</v>
      </c>
      <c r="B63" s="755" t="str">
        <f>'SF Measure Development'!BA83</f>
        <v>ENERGY STAR - Front-Load Clothes Washer - Electric DHW, Electric Dryer - 31% ENERGY STAR Baseline</v>
      </c>
      <c r="C63" s="755" t="str">
        <f>'SF Measure Development'!BB83</f>
        <v>Dryer Savings</v>
      </c>
      <c r="D63" s="751">
        <f ca="1">'SF Measure Development'!BC83</f>
        <v>65.768239649612298</v>
      </c>
      <c r="E63" s="755">
        <f>'SF Measure Development'!BD83</f>
        <v>14</v>
      </c>
      <c r="F63" s="752">
        <f>'SF Measure Development'!BE83</f>
        <v>0</v>
      </c>
      <c r="G63" s="758">
        <f>'SF Measure Development'!BF83</f>
        <v>0</v>
      </c>
      <c r="H63" s="750" t="str">
        <f>'SF Measure Development'!BG83</f>
        <v>ResDRY</v>
      </c>
      <c r="I63" s="753">
        <f>'SF Measure Development'!BH83</f>
        <v>0</v>
      </c>
      <c r="J63" s="750">
        <f>'SF Measure Development'!BI83</f>
        <v>0</v>
      </c>
      <c r="K63" s="750">
        <f>'SF Measure Development'!BJ83</f>
        <v>0</v>
      </c>
      <c r="L63" s="750">
        <f>'SF Measure Development'!BK143</f>
        <v>0</v>
      </c>
      <c r="M63" s="750">
        <f>'SF Measure Development'!BL143</f>
        <v>0</v>
      </c>
      <c r="N63" s="750">
        <f>'SF Measure Development'!BM143</f>
        <v>0</v>
      </c>
      <c r="O63" s="750">
        <f>'SF Measure Development'!BN143</f>
        <v>0</v>
      </c>
      <c r="P63" s="754">
        <f>'SF Measure Development'!BO143</f>
        <v>0</v>
      </c>
      <c r="Q63" s="750">
        <f>'SF Measure Development'!BP143</f>
        <v>0</v>
      </c>
    </row>
    <row r="64" spans="1:102" ht="25.5">
      <c r="A64" s="9" t="s">
        <v>54</v>
      </c>
      <c r="B64" s="755" t="str">
        <f>'SF Measure Development'!BA84</f>
        <v>ENERGY STAR - Front-Load Clothes Washer - Electric DHW, Gas Dryer - 31% ENERGY STAR Baseline</v>
      </c>
      <c r="C64" s="755" t="str">
        <f>'SF Measure Development'!BB84</f>
        <v>Dryer Savings</v>
      </c>
      <c r="D64" s="751">
        <f ca="1">'SF Measure Development'!BC84</f>
        <v>0</v>
      </c>
      <c r="E64" s="755">
        <f>'SF Measure Development'!BD84</f>
        <v>14</v>
      </c>
      <c r="F64" s="752">
        <f>'SF Measure Development'!BE84</f>
        <v>0</v>
      </c>
      <c r="G64" s="758">
        <f>'SF Measure Development'!BF84</f>
        <v>0</v>
      </c>
      <c r="H64" s="750" t="str">
        <f>'SF Measure Development'!BG84</f>
        <v>ResDRY</v>
      </c>
      <c r="I64" s="753">
        <f>'SF Measure Development'!BH84</f>
        <v>0</v>
      </c>
      <c r="J64" s="750">
        <f>'SF Measure Development'!BI84</f>
        <v>0</v>
      </c>
      <c r="K64" s="750">
        <f>'SF Measure Development'!BJ84</f>
        <v>0</v>
      </c>
      <c r="L64" s="750">
        <f>'SF Measure Development'!BK144</f>
        <v>0</v>
      </c>
      <c r="M64" s="750">
        <f>'SF Measure Development'!BL144</f>
        <v>0</v>
      </c>
      <c r="N64" s="750">
        <f>'SF Measure Development'!BM144</f>
        <v>0</v>
      </c>
      <c r="O64" s="750">
        <f>'SF Measure Development'!BN144</f>
        <v>0</v>
      </c>
      <c r="P64" s="754">
        <f>'SF Measure Development'!BO144</f>
        <v>0</v>
      </c>
      <c r="Q64" s="750">
        <f>'SF Measure Development'!BP144</f>
        <v>0</v>
      </c>
    </row>
    <row r="65" spans="1:17" ht="25.5">
      <c r="A65" s="9" t="s">
        <v>54</v>
      </c>
      <c r="B65" s="755" t="str">
        <f>'SF Measure Development'!BA85</f>
        <v>ENERGY STAR - Front-Load Clothes Washer - Gas DHW, Electric Dryer - 31% ENERGY STAR Baseline</v>
      </c>
      <c r="C65" s="755" t="str">
        <f>'SF Measure Development'!BB85</f>
        <v>Dryer Savings</v>
      </c>
      <c r="D65" s="751">
        <f ca="1">'SF Measure Development'!BC85</f>
        <v>65.768239649612298</v>
      </c>
      <c r="E65" s="755">
        <f>'SF Measure Development'!BD85</f>
        <v>14</v>
      </c>
      <c r="F65" s="752">
        <f>'SF Measure Development'!BE85</f>
        <v>0</v>
      </c>
      <c r="G65" s="758">
        <f>'SF Measure Development'!BF85</f>
        <v>0</v>
      </c>
      <c r="H65" s="750" t="str">
        <f>'SF Measure Development'!BG85</f>
        <v>ResDRY</v>
      </c>
      <c r="I65" s="753">
        <f>'SF Measure Development'!BH85</f>
        <v>0</v>
      </c>
      <c r="J65" s="750">
        <f>'SF Measure Development'!BI85</f>
        <v>0</v>
      </c>
      <c r="K65" s="750">
        <f>'SF Measure Development'!BJ85</f>
        <v>0</v>
      </c>
      <c r="L65" s="750">
        <f>'SF Measure Development'!BK145</f>
        <v>0</v>
      </c>
      <c r="M65" s="750">
        <f>'SF Measure Development'!BL145</f>
        <v>0</v>
      </c>
      <c r="N65" s="750">
        <f>'SF Measure Development'!BM145</f>
        <v>0</v>
      </c>
      <c r="O65" s="750">
        <f>'SF Measure Development'!BN145</f>
        <v>0</v>
      </c>
      <c r="P65" s="754">
        <f>'SF Measure Development'!BO145</f>
        <v>0</v>
      </c>
      <c r="Q65" s="750">
        <f>'SF Measure Development'!BP145</f>
        <v>0</v>
      </c>
    </row>
    <row r="66" spans="1:17" ht="25.5">
      <c r="A66" s="9" t="s">
        <v>54</v>
      </c>
      <c r="B66" s="755" t="str">
        <f>'SF Measure Development'!BA86</f>
        <v>ENERGY STAR - Front-Load Clothes Washer - Gas DHW, Gas Dryer - 31% ENERGY STAR Baseline</v>
      </c>
      <c r="C66" s="755" t="str">
        <f>'SF Measure Development'!BB86</f>
        <v>Dryer Savings</v>
      </c>
      <c r="D66" s="751">
        <f ca="1">'SF Measure Development'!BC86</f>
        <v>0</v>
      </c>
      <c r="E66" s="755">
        <f>'SF Measure Development'!BD86</f>
        <v>14</v>
      </c>
      <c r="F66" s="752">
        <f>'SF Measure Development'!BE86</f>
        <v>0</v>
      </c>
      <c r="G66" s="758">
        <f>'SF Measure Development'!BF86</f>
        <v>0</v>
      </c>
      <c r="H66" s="750" t="str">
        <f>'SF Measure Development'!BG86</f>
        <v>ResDRY</v>
      </c>
      <c r="I66" s="753">
        <f>'SF Measure Development'!BH86</f>
        <v>0</v>
      </c>
      <c r="J66" s="750">
        <f>'SF Measure Development'!BI86</f>
        <v>0</v>
      </c>
      <c r="K66" s="750">
        <f>'SF Measure Development'!BJ86</f>
        <v>0</v>
      </c>
      <c r="L66" s="750">
        <f>'SF Measure Development'!BK146</f>
        <v>0</v>
      </c>
      <c r="M66" s="750">
        <f>'SF Measure Development'!BL146</f>
        <v>0</v>
      </c>
      <c r="N66" s="750">
        <f>'SF Measure Development'!BM146</f>
        <v>0</v>
      </c>
      <c r="O66" s="750">
        <f>'SF Measure Development'!BN146</f>
        <v>0</v>
      </c>
      <c r="P66" s="754">
        <f>'SF Measure Development'!BO146</f>
        <v>0</v>
      </c>
      <c r="Q66" s="750">
        <f>'SF Measure Development'!BP146</f>
        <v>0</v>
      </c>
    </row>
    <row r="67" spans="1:17" ht="25.5">
      <c r="A67" s="9" t="s">
        <v>54</v>
      </c>
      <c r="B67" s="755" t="str">
        <f>'SF Measure Development'!BA87</f>
        <v>ENERGY STAR - Front-Load Clothes Washer - Any DHW, Any Dryer - 31% ENERGY STAR Baseline</v>
      </c>
      <c r="C67" s="755" t="str">
        <f>'SF Measure Development'!BB87</f>
        <v>Dryer Savings</v>
      </c>
      <c r="D67" s="751">
        <f ca="1">'SF Measure Development'!BC87</f>
        <v>62.47982766713168</v>
      </c>
      <c r="E67" s="755">
        <f>'SF Measure Development'!BD87</f>
        <v>14</v>
      </c>
      <c r="F67" s="752">
        <f>'SF Measure Development'!BE87</f>
        <v>0</v>
      </c>
      <c r="G67" s="758">
        <f>'SF Measure Development'!BF87</f>
        <v>0</v>
      </c>
      <c r="H67" s="750" t="str">
        <f>'SF Measure Development'!BG87</f>
        <v>ResDRY</v>
      </c>
      <c r="I67" s="753">
        <f>'SF Measure Development'!BH87</f>
        <v>0</v>
      </c>
      <c r="J67" s="750">
        <f>'SF Measure Development'!BI87</f>
        <v>0</v>
      </c>
      <c r="K67" s="750">
        <f>'SF Measure Development'!BJ87</f>
        <v>0</v>
      </c>
      <c r="L67" s="750">
        <f>'SF Measure Development'!BK147</f>
        <v>0</v>
      </c>
      <c r="M67" s="750">
        <f>'SF Measure Development'!BL147</f>
        <v>0</v>
      </c>
      <c r="N67" s="750">
        <f>'SF Measure Development'!BM147</f>
        <v>0</v>
      </c>
      <c r="O67" s="750">
        <f>'SF Measure Development'!BN147</f>
        <v>0</v>
      </c>
      <c r="P67" s="754">
        <f>'SF Measure Development'!BO147</f>
        <v>0</v>
      </c>
      <c r="Q67" s="750">
        <f>'SF Measure Development'!BP147</f>
        <v>0</v>
      </c>
    </row>
    <row r="68" spans="1:17">
      <c r="A68" s="9" t="s">
        <v>54</v>
      </c>
      <c r="B68" s="755" t="str">
        <f>'SF Measure Development'!BA93</f>
        <v>CEE Tier 1 Clothes Washer - Electric DHW, Electric Dryer - 31% ENERGY STAR Baseline</v>
      </c>
      <c r="C68" s="755" t="str">
        <f>'SF Measure Development'!BB93</f>
        <v>Dryer Savings</v>
      </c>
      <c r="D68" s="751">
        <f ca="1">'SF Measure Development'!BC93</f>
        <v>55.450068423869425</v>
      </c>
      <c r="E68" s="755">
        <f>'SF Measure Development'!BD93</f>
        <v>14</v>
      </c>
      <c r="F68" s="752">
        <f>'SF Measure Development'!BE93</f>
        <v>0</v>
      </c>
      <c r="G68" s="758">
        <f>'SF Measure Development'!BF93</f>
        <v>0</v>
      </c>
      <c r="H68" s="750" t="str">
        <f>'SF Measure Development'!BG93</f>
        <v>ResDRY</v>
      </c>
      <c r="I68" s="753">
        <f>'SF Measure Development'!BH93</f>
        <v>0</v>
      </c>
      <c r="J68" s="750">
        <f>'SF Measure Development'!BI93</f>
        <v>0</v>
      </c>
      <c r="K68" s="750">
        <f>'SF Measure Development'!BJ93</f>
        <v>0</v>
      </c>
      <c r="L68" s="750">
        <f>'SF Measure Development'!BK153</f>
        <v>0</v>
      </c>
      <c r="M68" s="750">
        <f>'SF Measure Development'!BL153</f>
        <v>0</v>
      </c>
      <c r="N68" s="750">
        <f>'SF Measure Development'!BM153</f>
        <v>0</v>
      </c>
      <c r="O68" s="750">
        <f>'SF Measure Development'!BN153</f>
        <v>0</v>
      </c>
      <c r="P68" s="754">
        <f>'SF Measure Development'!BO153</f>
        <v>0</v>
      </c>
      <c r="Q68" s="750">
        <f>'SF Measure Development'!BP153</f>
        <v>0</v>
      </c>
    </row>
    <row r="69" spans="1:17">
      <c r="A69" s="9" t="s">
        <v>54</v>
      </c>
      <c r="B69" s="755" t="str">
        <f>'SF Measure Development'!BA94</f>
        <v>CEE Tier 1 Clothes Washer - Electric DHW, Gas Dryer - 31% ENERGY STAR Baseline</v>
      </c>
      <c r="C69" s="755" t="str">
        <f>'SF Measure Development'!BB94</f>
        <v>Dryer Savings</v>
      </c>
      <c r="D69" s="751">
        <f ca="1">'SF Measure Development'!BC94</f>
        <v>0</v>
      </c>
      <c r="E69" s="755">
        <f>'SF Measure Development'!BD94</f>
        <v>14</v>
      </c>
      <c r="F69" s="752">
        <f>'SF Measure Development'!BE94</f>
        <v>0</v>
      </c>
      <c r="G69" s="758">
        <f>'SF Measure Development'!BF94</f>
        <v>0</v>
      </c>
      <c r="H69" s="750" t="str">
        <f>'SF Measure Development'!BG94</f>
        <v>ResDRY</v>
      </c>
      <c r="I69" s="753">
        <f>'SF Measure Development'!BH94</f>
        <v>0</v>
      </c>
      <c r="J69" s="750">
        <f>'SF Measure Development'!BI94</f>
        <v>0</v>
      </c>
      <c r="K69" s="750">
        <f>'SF Measure Development'!BJ94</f>
        <v>0</v>
      </c>
      <c r="L69" s="750">
        <f>'SF Measure Development'!BK154</f>
        <v>0</v>
      </c>
      <c r="M69" s="750">
        <f>'SF Measure Development'!BL154</f>
        <v>0</v>
      </c>
      <c r="N69" s="750">
        <f>'SF Measure Development'!BM154</f>
        <v>0</v>
      </c>
      <c r="O69" s="750">
        <f>'SF Measure Development'!BN154</f>
        <v>0</v>
      </c>
      <c r="P69" s="754">
        <f>'SF Measure Development'!BO154</f>
        <v>0</v>
      </c>
      <c r="Q69" s="750">
        <f>'SF Measure Development'!BP154</f>
        <v>0</v>
      </c>
    </row>
    <row r="70" spans="1:17">
      <c r="A70" s="9" t="s">
        <v>54</v>
      </c>
      <c r="B70" s="755" t="str">
        <f>'SF Measure Development'!BA95</f>
        <v>CEE Tier 1 Clothes Washer - Gas DHW, Electric Dryer - 31% ENERGY STAR Baseline</v>
      </c>
      <c r="C70" s="755" t="str">
        <f>'SF Measure Development'!BB95</f>
        <v>Dryer Savings</v>
      </c>
      <c r="D70" s="751">
        <f ca="1">'SF Measure Development'!BC95</f>
        <v>55.450068423869425</v>
      </c>
      <c r="E70" s="755">
        <f>'SF Measure Development'!BD95</f>
        <v>14</v>
      </c>
      <c r="F70" s="752">
        <f>'SF Measure Development'!BE95</f>
        <v>0</v>
      </c>
      <c r="G70" s="758">
        <f>'SF Measure Development'!BF95</f>
        <v>0</v>
      </c>
      <c r="H70" s="750" t="str">
        <f>'SF Measure Development'!BG95</f>
        <v>ResDRY</v>
      </c>
      <c r="I70" s="753">
        <f>'SF Measure Development'!BH95</f>
        <v>0</v>
      </c>
      <c r="J70" s="750">
        <f>'SF Measure Development'!BI95</f>
        <v>0</v>
      </c>
      <c r="K70" s="750">
        <f>'SF Measure Development'!BJ95</f>
        <v>0</v>
      </c>
      <c r="L70" s="750">
        <f>'SF Measure Development'!BK155</f>
        <v>0</v>
      </c>
      <c r="M70" s="750">
        <f>'SF Measure Development'!BL155</f>
        <v>0</v>
      </c>
      <c r="N70" s="750">
        <f>'SF Measure Development'!BM155</f>
        <v>0</v>
      </c>
      <c r="O70" s="750">
        <f>'SF Measure Development'!BN155</f>
        <v>0</v>
      </c>
      <c r="P70" s="754">
        <f>'SF Measure Development'!BO155</f>
        <v>0</v>
      </c>
      <c r="Q70" s="750">
        <f>'SF Measure Development'!BP155</f>
        <v>0</v>
      </c>
    </row>
    <row r="71" spans="1:17">
      <c r="A71" s="9" t="s">
        <v>54</v>
      </c>
      <c r="B71" s="755" t="str">
        <f>'SF Measure Development'!BA96</f>
        <v>CEE Tier 1 Clothes Washer - Gas DHW, Gas Dryer - 31% ENERGY STAR Baseline</v>
      </c>
      <c r="C71" s="755" t="str">
        <f>'SF Measure Development'!BB96</f>
        <v>Dryer Savings</v>
      </c>
      <c r="D71" s="751">
        <f ca="1">'SF Measure Development'!BC96</f>
        <v>0</v>
      </c>
      <c r="E71" s="755">
        <f>'SF Measure Development'!BD96</f>
        <v>14</v>
      </c>
      <c r="F71" s="752">
        <f>'SF Measure Development'!BE96</f>
        <v>0</v>
      </c>
      <c r="G71" s="758">
        <f>'SF Measure Development'!BF96</f>
        <v>0</v>
      </c>
      <c r="H71" s="750" t="str">
        <f>'SF Measure Development'!BG96</f>
        <v>ResDRY</v>
      </c>
      <c r="I71" s="753">
        <f>'SF Measure Development'!BH96</f>
        <v>0</v>
      </c>
      <c r="J71" s="750">
        <f>'SF Measure Development'!BI96</f>
        <v>0</v>
      </c>
      <c r="K71" s="750">
        <f>'SF Measure Development'!BJ96</f>
        <v>0</v>
      </c>
      <c r="L71" s="750">
        <f>'SF Measure Development'!BK156</f>
        <v>0</v>
      </c>
      <c r="M71" s="750">
        <f>'SF Measure Development'!BL156</f>
        <v>0</v>
      </c>
      <c r="N71" s="750">
        <f>'SF Measure Development'!BM156</f>
        <v>0</v>
      </c>
      <c r="O71" s="750">
        <f>'SF Measure Development'!BN156</f>
        <v>0</v>
      </c>
      <c r="P71" s="754">
        <f>'SF Measure Development'!BO156</f>
        <v>0</v>
      </c>
      <c r="Q71" s="750">
        <f>'SF Measure Development'!BP156</f>
        <v>0</v>
      </c>
    </row>
    <row r="72" spans="1:17">
      <c r="A72" s="9" t="s">
        <v>54</v>
      </c>
      <c r="B72" s="755" t="str">
        <f>'SF Measure Development'!BA97</f>
        <v>CEE Tier 1 Clothes Washer - Any DHW, Any Dryer - 31% ENERGY STAR Baseline</v>
      </c>
      <c r="C72" s="755" t="str">
        <f>'SF Measure Development'!BB97</f>
        <v>Dryer Savings</v>
      </c>
      <c r="D72" s="751">
        <f ca="1">'SF Measure Development'!BC97</f>
        <v>52.677565002675948</v>
      </c>
      <c r="E72" s="755">
        <f>'SF Measure Development'!BD97</f>
        <v>14</v>
      </c>
      <c r="F72" s="752">
        <f>'SF Measure Development'!BE97</f>
        <v>0</v>
      </c>
      <c r="G72" s="758">
        <f>'SF Measure Development'!BF97</f>
        <v>0</v>
      </c>
      <c r="H72" s="750" t="str">
        <f>'SF Measure Development'!BG97</f>
        <v>ResDRY</v>
      </c>
      <c r="I72" s="753">
        <f>'SF Measure Development'!BH97</f>
        <v>0</v>
      </c>
      <c r="J72" s="750">
        <f>'SF Measure Development'!BI97</f>
        <v>0</v>
      </c>
      <c r="K72" s="750">
        <f>'SF Measure Development'!BJ97</f>
        <v>0</v>
      </c>
      <c r="L72" s="750">
        <f>'SF Measure Development'!BK157</f>
        <v>0</v>
      </c>
      <c r="M72" s="750">
        <f>'SF Measure Development'!BL157</f>
        <v>0</v>
      </c>
      <c r="N72" s="750">
        <f>'SF Measure Development'!BM157</f>
        <v>0</v>
      </c>
      <c r="O72" s="750">
        <f>'SF Measure Development'!BN157</f>
        <v>0</v>
      </c>
      <c r="P72" s="754">
        <f>'SF Measure Development'!BO157</f>
        <v>0</v>
      </c>
      <c r="Q72" s="750">
        <f>'SF Measure Development'!BP157</f>
        <v>0</v>
      </c>
    </row>
    <row r="73" spans="1:17">
      <c r="A73" s="9" t="s">
        <v>54</v>
      </c>
      <c r="B73" s="755" t="str">
        <f>'SF Measure Development'!BA98</f>
        <v>CEE Tier 2 Clothes Washer - Electric DHW, Electric Dryer - 31% ENERGY STAR Baseline</v>
      </c>
      <c r="C73" s="755" t="str">
        <f>'SF Measure Development'!BB98</f>
        <v>Dryer Savings</v>
      </c>
      <c r="D73" s="751">
        <f ca="1">'SF Measure Development'!BC98</f>
        <v>77.71805721815619</v>
      </c>
      <c r="E73" s="755">
        <f>'SF Measure Development'!BD98</f>
        <v>14</v>
      </c>
      <c r="F73" s="752">
        <f>'SF Measure Development'!BE98</f>
        <v>0</v>
      </c>
      <c r="G73" s="758">
        <f>'SF Measure Development'!BF98</f>
        <v>0</v>
      </c>
      <c r="H73" s="750" t="str">
        <f>'SF Measure Development'!BG98</f>
        <v>ResDRY</v>
      </c>
      <c r="I73" s="753">
        <f>'SF Measure Development'!BH98</f>
        <v>0</v>
      </c>
      <c r="J73" s="750">
        <f>'SF Measure Development'!BI98</f>
        <v>0</v>
      </c>
      <c r="K73" s="750">
        <f>'SF Measure Development'!BJ98</f>
        <v>0</v>
      </c>
      <c r="L73" s="750">
        <f>'SF Measure Development'!BK158</f>
        <v>0</v>
      </c>
      <c r="M73" s="750">
        <f>'SF Measure Development'!BL158</f>
        <v>0</v>
      </c>
      <c r="N73" s="750">
        <f>'SF Measure Development'!BM158</f>
        <v>0</v>
      </c>
      <c r="O73" s="750">
        <f>'SF Measure Development'!BN158</f>
        <v>0</v>
      </c>
      <c r="P73" s="754">
        <f>'SF Measure Development'!BO158</f>
        <v>0</v>
      </c>
      <c r="Q73" s="750">
        <f>'SF Measure Development'!BP158</f>
        <v>0</v>
      </c>
    </row>
    <row r="74" spans="1:17">
      <c r="A74" s="9" t="s">
        <v>54</v>
      </c>
      <c r="B74" s="755" t="str">
        <f>'SF Measure Development'!BA99</f>
        <v>CEE Tier 2 Clothes Washer - Electric DHW, Gas Dryer - 31% ENERGY STAR Baseline</v>
      </c>
      <c r="C74" s="755" t="str">
        <f>'SF Measure Development'!BB99</f>
        <v>Dryer Savings</v>
      </c>
      <c r="D74" s="751">
        <f ca="1">'SF Measure Development'!BC99</f>
        <v>0</v>
      </c>
      <c r="E74" s="755">
        <f>'SF Measure Development'!BD99</f>
        <v>14</v>
      </c>
      <c r="F74" s="752">
        <f>'SF Measure Development'!BE99</f>
        <v>0</v>
      </c>
      <c r="G74" s="758">
        <f>'SF Measure Development'!BF99</f>
        <v>0</v>
      </c>
      <c r="H74" s="750" t="str">
        <f>'SF Measure Development'!BG99</f>
        <v>ResDRY</v>
      </c>
      <c r="I74" s="753">
        <f>'SF Measure Development'!BH99</f>
        <v>0</v>
      </c>
      <c r="J74" s="750">
        <f>'SF Measure Development'!BI99</f>
        <v>0</v>
      </c>
      <c r="K74" s="750">
        <f>'SF Measure Development'!BJ99</f>
        <v>0</v>
      </c>
      <c r="L74" s="750">
        <f>'SF Measure Development'!BK159</f>
        <v>0</v>
      </c>
      <c r="M74" s="750">
        <f>'SF Measure Development'!BL159</f>
        <v>0</v>
      </c>
      <c r="N74" s="750">
        <f>'SF Measure Development'!BM159</f>
        <v>0</v>
      </c>
      <c r="O74" s="750">
        <f>'SF Measure Development'!BN159</f>
        <v>0</v>
      </c>
      <c r="P74" s="754">
        <f>'SF Measure Development'!BO159</f>
        <v>0</v>
      </c>
      <c r="Q74" s="750">
        <f>'SF Measure Development'!BP159</f>
        <v>0</v>
      </c>
    </row>
    <row r="75" spans="1:17">
      <c r="A75" s="9" t="s">
        <v>54</v>
      </c>
      <c r="B75" s="755" t="str">
        <f>'SF Measure Development'!BA100</f>
        <v>CEE Tier 2 Clothes Washer - Gas DHW, Electric Dryer - 31% ENERGY STAR Baseline</v>
      </c>
      <c r="C75" s="755" t="str">
        <f>'SF Measure Development'!BB100</f>
        <v>Dryer Savings</v>
      </c>
      <c r="D75" s="751">
        <f ca="1">'SF Measure Development'!BC100</f>
        <v>77.71805721815619</v>
      </c>
      <c r="E75" s="755">
        <f>'SF Measure Development'!BD100</f>
        <v>14</v>
      </c>
      <c r="F75" s="752">
        <f>'SF Measure Development'!BE100</f>
        <v>0</v>
      </c>
      <c r="G75" s="758">
        <f>'SF Measure Development'!BF100</f>
        <v>0</v>
      </c>
      <c r="H75" s="750" t="str">
        <f>'SF Measure Development'!BG100</f>
        <v>ResDRY</v>
      </c>
      <c r="I75" s="753">
        <f>'SF Measure Development'!BH100</f>
        <v>0</v>
      </c>
      <c r="J75" s="750">
        <f>'SF Measure Development'!BI100</f>
        <v>0</v>
      </c>
      <c r="K75" s="750">
        <f>'SF Measure Development'!BJ100</f>
        <v>0</v>
      </c>
      <c r="L75" s="750">
        <f>'SF Measure Development'!BK160</f>
        <v>0</v>
      </c>
      <c r="M75" s="750">
        <f>'SF Measure Development'!BL160</f>
        <v>0</v>
      </c>
      <c r="N75" s="750">
        <f>'SF Measure Development'!BM160</f>
        <v>0</v>
      </c>
      <c r="O75" s="750">
        <f>'SF Measure Development'!BN160</f>
        <v>0</v>
      </c>
      <c r="P75" s="754">
        <f>'SF Measure Development'!BO160</f>
        <v>0</v>
      </c>
      <c r="Q75" s="750">
        <f>'SF Measure Development'!BP160</f>
        <v>0</v>
      </c>
    </row>
    <row r="76" spans="1:17">
      <c r="A76" s="9" t="s">
        <v>54</v>
      </c>
      <c r="B76" s="755" t="str">
        <f>'SF Measure Development'!BA101</f>
        <v>CEE Tier 2 Clothes Washer - Gas DHW, Gas Dryer - 31% ENERGY STAR Baseline</v>
      </c>
      <c r="C76" s="755" t="str">
        <f>'SF Measure Development'!BB101</f>
        <v>Dryer Savings</v>
      </c>
      <c r="D76" s="751">
        <f ca="1">'SF Measure Development'!BC101</f>
        <v>0</v>
      </c>
      <c r="E76" s="755">
        <f>'SF Measure Development'!BD101</f>
        <v>14</v>
      </c>
      <c r="F76" s="752">
        <f>'SF Measure Development'!BE101</f>
        <v>0</v>
      </c>
      <c r="G76" s="758">
        <f>'SF Measure Development'!BF101</f>
        <v>0</v>
      </c>
      <c r="H76" s="750" t="str">
        <f>'SF Measure Development'!BG101</f>
        <v>ResDRY</v>
      </c>
      <c r="I76" s="753">
        <f>'SF Measure Development'!BH101</f>
        <v>0</v>
      </c>
      <c r="J76" s="750">
        <f>'SF Measure Development'!BI101</f>
        <v>0</v>
      </c>
      <c r="K76" s="750">
        <f>'SF Measure Development'!BJ101</f>
        <v>0</v>
      </c>
      <c r="L76" s="750">
        <f>'SF Measure Development'!BK161</f>
        <v>0</v>
      </c>
      <c r="M76" s="750">
        <f>'SF Measure Development'!BL161</f>
        <v>0</v>
      </c>
      <c r="N76" s="750">
        <f>'SF Measure Development'!BM161</f>
        <v>0</v>
      </c>
      <c r="O76" s="750">
        <f>'SF Measure Development'!BN161</f>
        <v>0</v>
      </c>
      <c r="P76" s="754">
        <f>'SF Measure Development'!BO161</f>
        <v>0</v>
      </c>
      <c r="Q76" s="750">
        <f>'SF Measure Development'!BP161</f>
        <v>0</v>
      </c>
    </row>
    <row r="77" spans="1:17">
      <c r="A77" s="9" t="s">
        <v>54</v>
      </c>
      <c r="B77" s="755" t="str">
        <f>'SF Measure Development'!BA102</f>
        <v>CEE Tier 2 Clothes Washer - Any DHW, Any Dryer - 31% ENERGY STAR Baseline</v>
      </c>
      <c r="C77" s="755" t="str">
        <f>'SF Measure Development'!BB102</f>
        <v>Dryer Savings</v>
      </c>
      <c r="D77" s="751">
        <f ca="1">'SF Measure Development'!BC102</f>
        <v>73.832154357248371</v>
      </c>
      <c r="E77" s="755">
        <f>'SF Measure Development'!BD102</f>
        <v>14</v>
      </c>
      <c r="F77" s="752">
        <f>'SF Measure Development'!BE102</f>
        <v>0</v>
      </c>
      <c r="G77" s="758">
        <f>'SF Measure Development'!BF102</f>
        <v>0</v>
      </c>
      <c r="H77" s="750" t="str">
        <f>'SF Measure Development'!BG102</f>
        <v>ResDRY</v>
      </c>
      <c r="I77" s="753">
        <f>'SF Measure Development'!BH102</f>
        <v>0</v>
      </c>
      <c r="J77" s="750">
        <f>'SF Measure Development'!BI102</f>
        <v>0</v>
      </c>
      <c r="K77" s="750">
        <f>'SF Measure Development'!BJ102</f>
        <v>0</v>
      </c>
      <c r="L77" s="750">
        <f>'SF Measure Development'!BK162</f>
        <v>0</v>
      </c>
      <c r="M77" s="750">
        <f>'SF Measure Development'!BL162</f>
        <v>0</v>
      </c>
      <c r="N77" s="750">
        <f>'SF Measure Development'!BM162</f>
        <v>0</v>
      </c>
      <c r="O77" s="750">
        <f>'SF Measure Development'!BN162</f>
        <v>0</v>
      </c>
      <c r="P77" s="754">
        <f>'SF Measure Development'!BO162</f>
        <v>0</v>
      </c>
      <c r="Q77" s="750">
        <f>'SF Measure Development'!BP162</f>
        <v>0</v>
      </c>
    </row>
    <row r="78" spans="1:17">
      <c r="A78" s="9" t="s">
        <v>54</v>
      </c>
      <c r="B78" s="755" t="str">
        <f>'SF Measure Development'!BA103</f>
        <v>CEE Tier 3 Clothes Washer - Electric DHW, Electric Dryer - 31% ENERGY STAR Baseline</v>
      </c>
      <c r="C78" s="755" t="str">
        <f>'SF Measure Development'!BB103</f>
        <v>Dryer Savings</v>
      </c>
      <c r="D78" s="751">
        <f ca="1">'SF Measure Development'!BC103</f>
        <v>92.28904434748614</v>
      </c>
      <c r="E78" s="755">
        <f>'SF Measure Development'!BD103</f>
        <v>14</v>
      </c>
      <c r="F78" s="752">
        <f>'SF Measure Development'!BE103</f>
        <v>0</v>
      </c>
      <c r="G78" s="758">
        <f>'SF Measure Development'!BF103</f>
        <v>0</v>
      </c>
      <c r="H78" s="750" t="str">
        <f>'SF Measure Development'!BG103</f>
        <v>ResDRY</v>
      </c>
      <c r="I78" s="753">
        <f>'SF Measure Development'!BH103</f>
        <v>0</v>
      </c>
      <c r="J78" s="750">
        <f>'SF Measure Development'!BI103</f>
        <v>0</v>
      </c>
      <c r="K78" s="750">
        <f>'SF Measure Development'!BJ103</f>
        <v>0</v>
      </c>
      <c r="L78" s="750">
        <f>'SF Measure Development'!BK163</f>
        <v>0</v>
      </c>
      <c r="M78" s="750">
        <f>'SF Measure Development'!BL163</f>
        <v>0</v>
      </c>
      <c r="N78" s="750">
        <f>'SF Measure Development'!BM163</f>
        <v>0</v>
      </c>
      <c r="O78" s="750">
        <f>'SF Measure Development'!BN163</f>
        <v>0</v>
      </c>
      <c r="P78" s="754">
        <f>'SF Measure Development'!BO163</f>
        <v>0</v>
      </c>
      <c r="Q78" s="750">
        <f>'SF Measure Development'!BP163</f>
        <v>0</v>
      </c>
    </row>
    <row r="79" spans="1:17">
      <c r="A79" s="9" t="s">
        <v>54</v>
      </c>
      <c r="B79" s="755" t="str">
        <f>'SF Measure Development'!BA104</f>
        <v>CEE Tier 3 Clothes Washer - Electric DHW, Gas Dryer - 31% ENERGY STAR Baseline</v>
      </c>
      <c r="C79" s="755" t="str">
        <f>'SF Measure Development'!BB104</f>
        <v>Dryer Savings</v>
      </c>
      <c r="D79" s="751">
        <f ca="1">'SF Measure Development'!BC104</f>
        <v>0</v>
      </c>
      <c r="E79" s="755">
        <f>'SF Measure Development'!BD104</f>
        <v>14</v>
      </c>
      <c r="F79" s="752">
        <f>'SF Measure Development'!BE104</f>
        <v>0</v>
      </c>
      <c r="G79" s="758">
        <f>'SF Measure Development'!BF104</f>
        <v>0</v>
      </c>
      <c r="H79" s="750" t="str">
        <f>'SF Measure Development'!BG104</f>
        <v>ResDRY</v>
      </c>
      <c r="I79" s="753">
        <f>'SF Measure Development'!BH104</f>
        <v>0</v>
      </c>
      <c r="J79" s="750">
        <f>'SF Measure Development'!BI104</f>
        <v>0</v>
      </c>
      <c r="K79" s="750">
        <f>'SF Measure Development'!BJ104</f>
        <v>0</v>
      </c>
      <c r="L79" s="750">
        <f>'SF Measure Development'!BK164</f>
        <v>0</v>
      </c>
      <c r="M79" s="750">
        <f>'SF Measure Development'!BL164</f>
        <v>0</v>
      </c>
      <c r="N79" s="750">
        <f>'SF Measure Development'!BM164</f>
        <v>0</v>
      </c>
      <c r="O79" s="750">
        <f>'SF Measure Development'!BN164</f>
        <v>0</v>
      </c>
      <c r="P79" s="754">
        <f>'SF Measure Development'!BO164</f>
        <v>0</v>
      </c>
      <c r="Q79" s="750">
        <f>'SF Measure Development'!BP164</f>
        <v>0</v>
      </c>
    </row>
    <row r="80" spans="1:17">
      <c r="A80" s="9" t="s">
        <v>54</v>
      </c>
      <c r="B80" s="755" t="str">
        <f>'SF Measure Development'!BA105</f>
        <v>CEE Tier 3 Clothes Washer - Gas DHW, Electric Dryer - 31% ENERGY STAR Baseline</v>
      </c>
      <c r="C80" s="755" t="str">
        <f>'SF Measure Development'!BB105</f>
        <v>Dryer Savings</v>
      </c>
      <c r="D80" s="751">
        <f ca="1">'SF Measure Development'!BC105</f>
        <v>92.28904434748614</v>
      </c>
      <c r="E80" s="755">
        <f>'SF Measure Development'!BD105</f>
        <v>14</v>
      </c>
      <c r="F80" s="752">
        <f>'SF Measure Development'!BE105</f>
        <v>0</v>
      </c>
      <c r="G80" s="758">
        <f>'SF Measure Development'!BF105</f>
        <v>0</v>
      </c>
      <c r="H80" s="750" t="str">
        <f>'SF Measure Development'!BG105</f>
        <v>ResDRY</v>
      </c>
      <c r="I80" s="753">
        <f>'SF Measure Development'!BH105</f>
        <v>0</v>
      </c>
      <c r="J80" s="750">
        <f>'SF Measure Development'!BI105</f>
        <v>0</v>
      </c>
      <c r="K80" s="750">
        <f>'SF Measure Development'!BJ105</f>
        <v>0</v>
      </c>
      <c r="L80" s="750">
        <f>'SF Measure Development'!BK165</f>
        <v>0</v>
      </c>
      <c r="M80" s="750">
        <f>'SF Measure Development'!BL165</f>
        <v>0</v>
      </c>
      <c r="N80" s="750">
        <f>'SF Measure Development'!BM165</f>
        <v>0</v>
      </c>
      <c r="O80" s="750">
        <f>'SF Measure Development'!BN165</f>
        <v>0</v>
      </c>
      <c r="P80" s="754">
        <f>'SF Measure Development'!BO165</f>
        <v>0</v>
      </c>
      <c r="Q80" s="750">
        <f>'SF Measure Development'!BP165</f>
        <v>0</v>
      </c>
    </row>
    <row r="81" spans="1:17">
      <c r="A81" s="9" t="s">
        <v>54</v>
      </c>
      <c r="B81" s="755" t="str">
        <f>'SF Measure Development'!BA106</f>
        <v>CEE Tier 3 Clothes Washer - Gas DHW, Gas Dryer - 31% ENERGY STAR Baseline</v>
      </c>
      <c r="C81" s="755" t="str">
        <f>'SF Measure Development'!BB106</f>
        <v>Dryer Savings</v>
      </c>
      <c r="D81" s="751">
        <f ca="1">'SF Measure Development'!BC106</f>
        <v>0</v>
      </c>
      <c r="E81" s="755">
        <f>'SF Measure Development'!BD106</f>
        <v>14</v>
      </c>
      <c r="F81" s="752">
        <f>'SF Measure Development'!BE106</f>
        <v>0</v>
      </c>
      <c r="G81" s="758">
        <f>'SF Measure Development'!BF106</f>
        <v>0</v>
      </c>
      <c r="H81" s="750" t="str">
        <f>'SF Measure Development'!BG106</f>
        <v>ResDRY</v>
      </c>
      <c r="I81" s="753">
        <f>'SF Measure Development'!BH106</f>
        <v>0</v>
      </c>
      <c r="J81" s="750">
        <f>'SF Measure Development'!BI106</f>
        <v>0</v>
      </c>
      <c r="K81" s="750">
        <f>'SF Measure Development'!BJ106</f>
        <v>0</v>
      </c>
      <c r="L81" s="750">
        <f>'SF Measure Development'!BK166</f>
        <v>0</v>
      </c>
      <c r="M81" s="750">
        <f>'SF Measure Development'!BL166</f>
        <v>0</v>
      </c>
      <c r="N81" s="750">
        <f>'SF Measure Development'!BM166</f>
        <v>0</v>
      </c>
      <c r="O81" s="750">
        <f>'SF Measure Development'!BN166</f>
        <v>0</v>
      </c>
      <c r="P81" s="754">
        <f>'SF Measure Development'!BO166</f>
        <v>0</v>
      </c>
      <c r="Q81" s="750">
        <f>'SF Measure Development'!BP166</f>
        <v>0</v>
      </c>
    </row>
    <row r="82" spans="1:17">
      <c r="A82" s="9" t="s">
        <v>54</v>
      </c>
      <c r="B82" s="755" t="str">
        <f>'SF Measure Development'!BA107</f>
        <v>CEE Tier 3 Clothes Washer - Any DHW, Any Dryer - 31% ENERGY STAR Baseline</v>
      </c>
      <c r="C82" s="755" t="str">
        <f>'SF Measure Development'!BB107</f>
        <v>Dryer Savings</v>
      </c>
      <c r="D82" s="751">
        <f ca="1">'SF Measure Development'!BC107</f>
        <v>87.674592130111833</v>
      </c>
      <c r="E82" s="755">
        <f>'SF Measure Development'!BD107</f>
        <v>14</v>
      </c>
      <c r="F82" s="752">
        <f>'SF Measure Development'!BE107</f>
        <v>0</v>
      </c>
      <c r="G82" s="758">
        <f>'SF Measure Development'!BF107</f>
        <v>0</v>
      </c>
      <c r="H82" s="750" t="str">
        <f>'SF Measure Development'!BG107</f>
        <v>ResDRY</v>
      </c>
      <c r="I82" s="753">
        <f>'SF Measure Development'!BH107</f>
        <v>0</v>
      </c>
      <c r="J82" s="750">
        <f>'SF Measure Development'!BI107</f>
        <v>0</v>
      </c>
      <c r="K82" s="750">
        <f>'SF Measure Development'!BJ107</f>
        <v>0</v>
      </c>
      <c r="L82" s="750">
        <f>'SF Measure Development'!BK167</f>
        <v>0</v>
      </c>
      <c r="M82" s="750">
        <f>'SF Measure Development'!BL167</f>
        <v>0</v>
      </c>
      <c r="N82" s="750">
        <f>'SF Measure Development'!BM167</f>
        <v>0</v>
      </c>
      <c r="O82" s="750">
        <f>'SF Measure Development'!BN167</f>
        <v>0</v>
      </c>
      <c r="P82" s="754">
        <f>'SF Measure Development'!BO167</f>
        <v>0</v>
      </c>
      <c r="Q82" s="750">
        <f>'SF Measure Development'!BP167</f>
        <v>0</v>
      </c>
    </row>
    <row r="83" spans="1:17" ht="25.5">
      <c r="A83" s="9" t="s">
        <v>54</v>
      </c>
      <c r="B83" s="755" t="str">
        <f>'SF Measure Development'!BA108</f>
        <v>ENERGY STAR - Top-Load Clothes Washer - Electric DHW, Electric Dryer - 54% ENERGY STAR Baseline</v>
      </c>
      <c r="C83" s="755" t="str">
        <f>'SF Measure Development'!BB108</f>
        <v>Dryer Savings</v>
      </c>
      <c r="D83" s="751">
        <f ca="1">'SF Measure Development'!BC108</f>
        <v>11.283594968910336</v>
      </c>
      <c r="E83" s="755">
        <f>'SF Measure Development'!BD108</f>
        <v>14</v>
      </c>
      <c r="F83" s="752">
        <f>'SF Measure Development'!BE108</f>
        <v>0</v>
      </c>
      <c r="G83" s="758">
        <f>'SF Measure Development'!BF108</f>
        <v>0</v>
      </c>
      <c r="H83" s="750" t="str">
        <f>'SF Measure Development'!BG108</f>
        <v>ResDRY</v>
      </c>
      <c r="I83" s="753">
        <f>'SF Measure Development'!BH108</f>
        <v>0</v>
      </c>
      <c r="J83" s="750">
        <f>'SF Measure Development'!BI108</f>
        <v>0</v>
      </c>
      <c r="K83" s="750">
        <f>'SF Measure Development'!BJ108</f>
        <v>0</v>
      </c>
      <c r="L83" s="750">
        <f>'SF Measure Development'!BK168</f>
        <v>0</v>
      </c>
      <c r="M83" s="750">
        <f>'SF Measure Development'!BL168</f>
        <v>0</v>
      </c>
      <c r="N83" s="750">
        <f>'SF Measure Development'!BM168</f>
        <v>0</v>
      </c>
      <c r="O83" s="750">
        <f>'SF Measure Development'!BN168</f>
        <v>0</v>
      </c>
      <c r="P83" s="754">
        <f>'SF Measure Development'!BO168</f>
        <v>0</v>
      </c>
      <c r="Q83" s="750">
        <f>'SF Measure Development'!BP168</f>
        <v>0</v>
      </c>
    </row>
    <row r="84" spans="1:17" ht="25.5">
      <c r="A84" s="9" t="s">
        <v>54</v>
      </c>
      <c r="B84" s="755" t="str">
        <f>'SF Measure Development'!BA109</f>
        <v>ENERGY STAR - Top-Load Clothes Washer - Electric DHW, Gas Dryer - 54% ENERGY STAR Baseline</v>
      </c>
      <c r="C84" s="755" t="str">
        <f>'SF Measure Development'!BB109</f>
        <v>Dryer Savings</v>
      </c>
      <c r="D84" s="751">
        <f ca="1">'SF Measure Development'!BC109</f>
        <v>0</v>
      </c>
      <c r="E84" s="755">
        <f>'SF Measure Development'!BD109</f>
        <v>14</v>
      </c>
      <c r="F84" s="752">
        <f>'SF Measure Development'!BE109</f>
        <v>0</v>
      </c>
      <c r="G84" s="758">
        <f>'SF Measure Development'!BF109</f>
        <v>0</v>
      </c>
      <c r="H84" s="750" t="str">
        <f>'SF Measure Development'!BG109</f>
        <v>ResDRY</v>
      </c>
      <c r="I84" s="753">
        <f>'SF Measure Development'!BH109</f>
        <v>0</v>
      </c>
      <c r="J84" s="750">
        <f>'SF Measure Development'!BI109</f>
        <v>0</v>
      </c>
      <c r="K84" s="750">
        <f>'SF Measure Development'!BJ109</f>
        <v>0</v>
      </c>
      <c r="L84" s="750">
        <f>'SF Measure Development'!BK169</f>
        <v>0</v>
      </c>
      <c r="M84" s="750">
        <f>'SF Measure Development'!BL169</f>
        <v>0</v>
      </c>
      <c r="N84" s="750">
        <f>'SF Measure Development'!BM169</f>
        <v>0</v>
      </c>
      <c r="O84" s="750">
        <f>'SF Measure Development'!BN169</f>
        <v>0</v>
      </c>
      <c r="P84" s="754">
        <f>'SF Measure Development'!BO169</f>
        <v>0</v>
      </c>
      <c r="Q84" s="750">
        <f>'SF Measure Development'!BP169</f>
        <v>0</v>
      </c>
    </row>
    <row r="85" spans="1:17" ht="25.5">
      <c r="A85" s="9" t="s">
        <v>54</v>
      </c>
      <c r="B85" s="755" t="str">
        <f>'SF Measure Development'!BA110</f>
        <v>ENERGY STAR - Top-Load Clothes Washer - Gas DHW, Electric Dryer - 54% ENERGY STAR Baseline</v>
      </c>
      <c r="C85" s="755" t="str">
        <f>'SF Measure Development'!BB110</f>
        <v>Dryer Savings</v>
      </c>
      <c r="D85" s="751">
        <f ca="1">'SF Measure Development'!BC110</f>
        <v>11.283594968910336</v>
      </c>
      <c r="E85" s="755">
        <f>'SF Measure Development'!BD110</f>
        <v>14</v>
      </c>
      <c r="F85" s="752">
        <f>'SF Measure Development'!BE110</f>
        <v>0</v>
      </c>
      <c r="G85" s="758">
        <f>'SF Measure Development'!BF110</f>
        <v>0</v>
      </c>
      <c r="H85" s="750" t="str">
        <f>'SF Measure Development'!BG110</f>
        <v>ResDRY</v>
      </c>
      <c r="I85" s="753">
        <f>'SF Measure Development'!BH110</f>
        <v>0</v>
      </c>
      <c r="J85" s="750">
        <f>'SF Measure Development'!BI110</f>
        <v>0</v>
      </c>
      <c r="K85" s="750">
        <f>'SF Measure Development'!BJ110</f>
        <v>0</v>
      </c>
      <c r="L85" s="750">
        <f>'SF Measure Development'!BK170</f>
        <v>0</v>
      </c>
      <c r="M85" s="750">
        <f>'SF Measure Development'!BL170</f>
        <v>0</v>
      </c>
      <c r="N85" s="750">
        <f>'SF Measure Development'!BM170</f>
        <v>0</v>
      </c>
      <c r="O85" s="750">
        <f>'SF Measure Development'!BN170</f>
        <v>0</v>
      </c>
      <c r="P85" s="754">
        <f>'SF Measure Development'!BO170</f>
        <v>0</v>
      </c>
      <c r="Q85" s="750">
        <f>'SF Measure Development'!BP170</f>
        <v>0</v>
      </c>
    </row>
    <row r="86" spans="1:17">
      <c r="A86" s="9" t="s">
        <v>54</v>
      </c>
      <c r="B86" s="755" t="str">
        <f>'SF Measure Development'!BA111</f>
        <v>ENERGY STAR - Top-Load Clothes Washer - Gas DHW, Gas Dryer - 54% ENERGY STAR Baseline</v>
      </c>
      <c r="C86" s="755" t="str">
        <f>'SF Measure Development'!BB111</f>
        <v>Dryer Savings</v>
      </c>
      <c r="D86" s="751">
        <f ca="1">'SF Measure Development'!BC111</f>
        <v>0</v>
      </c>
      <c r="E86" s="755">
        <f>'SF Measure Development'!BD111</f>
        <v>14</v>
      </c>
      <c r="F86" s="752">
        <f>'SF Measure Development'!BE111</f>
        <v>0</v>
      </c>
      <c r="G86" s="758">
        <f>'SF Measure Development'!BF111</f>
        <v>0</v>
      </c>
      <c r="H86" s="750" t="str">
        <f>'SF Measure Development'!BG111</f>
        <v>ResDRY</v>
      </c>
      <c r="I86" s="753">
        <f>'SF Measure Development'!BH111</f>
        <v>0</v>
      </c>
      <c r="J86" s="750">
        <f>'SF Measure Development'!BI111</f>
        <v>0</v>
      </c>
      <c r="K86" s="750">
        <f>'SF Measure Development'!BJ111</f>
        <v>0</v>
      </c>
      <c r="L86" s="750">
        <f>'SF Measure Development'!BK171</f>
        <v>0</v>
      </c>
      <c r="M86" s="750">
        <f>'SF Measure Development'!BL171</f>
        <v>0</v>
      </c>
      <c r="N86" s="750">
        <f>'SF Measure Development'!BM171</f>
        <v>0</v>
      </c>
      <c r="O86" s="750">
        <f>'SF Measure Development'!BN171</f>
        <v>0</v>
      </c>
      <c r="P86" s="754">
        <f>'SF Measure Development'!BO171</f>
        <v>0</v>
      </c>
      <c r="Q86" s="750">
        <f>'SF Measure Development'!BP171</f>
        <v>0</v>
      </c>
    </row>
    <row r="87" spans="1:17">
      <c r="A87" s="9" t="s">
        <v>54</v>
      </c>
      <c r="B87" s="755" t="str">
        <f>'SF Measure Development'!BA112</f>
        <v>ENERGY STAR - Top-Load Clothes Washer - Any DHW, Any Dryer - 54% ENERGY STAR Baseline</v>
      </c>
      <c r="C87" s="755" t="str">
        <f>'SF Measure Development'!BB112</f>
        <v>Dryer Savings</v>
      </c>
      <c r="D87" s="751">
        <f ca="1">'SF Measure Development'!BC112</f>
        <v>10.719415220464819</v>
      </c>
      <c r="E87" s="755">
        <f>'SF Measure Development'!BD112</f>
        <v>14</v>
      </c>
      <c r="F87" s="752">
        <f>'SF Measure Development'!BE112</f>
        <v>0</v>
      </c>
      <c r="G87" s="758">
        <f>'SF Measure Development'!BF112</f>
        <v>0</v>
      </c>
      <c r="H87" s="750" t="str">
        <f>'SF Measure Development'!BG112</f>
        <v>ResDRY</v>
      </c>
      <c r="I87" s="753">
        <f>'SF Measure Development'!BH112</f>
        <v>0</v>
      </c>
      <c r="J87" s="750">
        <f>'SF Measure Development'!BI112</f>
        <v>0</v>
      </c>
      <c r="K87" s="750">
        <f>'SF Measure Development'!BJ112</f>
        <v>0</v>
      </c>
      <c r="L87" s="750">
        <f>'SF Measure Development'!BK172</f>
        <v>0</v>
      </c>
      <c r="M87" s="750">
        <f>'SF Measure Development'!BL172</f>
        <v>0</v>
      </c>
      <c r="N87" s="750">
        <f>'SF Measure Development'!BM172</f>
        <v>0</v>
      </c>
      <c r="O87" s="750">
        <f>'SF Measure Development'!BN172</f>
        <v>0</v>
      </c>
      <c r="P87" s="754">
        <f>'SF Measure Development'!BO172</f>
        <v>0</v>
      </c>
      <c r="Q87" s="750">
        <f>'SF Measure Development'!BP172</f>
        <v>0</v>
      </c>
    </row>
    <row r="88" spans="1:17" ht="25.5">
      <c r="A88" s="9" t="s">
        <v>54</v>
      </c>
      <c r="B88" s="755" t="str">
        <f>'SF Measure Development'!BA113</f>
        <v>ENERGY STAR - Front-Load Clothes Washer - Electric DHW, Electric Dryer - 54% ENERGY STAR Baseline</v>
      </c>
      <c r="C88" s="755" t="str">
        <f>'SF Measure Development'!BB113</f>
        <v>Dryer Savings</v>
      </c>
      <c r="D88" s="751">
        <f ca="1">'SF Measure Development'!BC113</f>
        <v>46.944211114411445</v>
      </c>
      <c r="E88" s="755">
        <f>'SF Measure Development'!BD113</f>
        <v>14</v>
      </c>
      <c r="F88" s="752">
        <f>'SF Measure Development'!BE113</f>
        <v>0</v>
      </c>
      <c r="G88" s="758">
        <f>'SF Measure Development'!BF113</f>
        <v>0</v>
      </c>
      <c r="H88" s="750" t="str">
        <f>'SF Measure Development'!BG113</f>
        <v>ResDRY</v>
      </c>
      <c r="I88" s="753">
        <f>'SF Measure Development'!BH113</f>
        <v>0</v>
      </c>
      <c r="J88" s="750">
        <f>'SF Measure Development'!BI113</f>
        <v>0</v>
      </c>
      <c r="K88" s="750">
        <f>'SF Measure Development'!BJ113</f>
        <v>0</v>
      </c>
      <c r="L88" s="750">
        <f>'SF Measure Development'!BK173</f>
        <v>0</v>
      </c>
      <c r="M88" s="750">
        <f>'SF Measure Development'!BL173</f>
        <v>0</v>
      </c>
      <c r="N88" s="750">
        <f>'SF Measure Development'!BM173</f>
        <v>0</v>
      </c>
      <c r="O88" s="750">
        <f>'SF Measure Development'!BN173</f>
        <v>0</v>
      </c>
      <c r="P88" s="754">
        <f>'SF Measure Development'!BO173</f>
        <v>0</v>
      </c>
      <c r="Q88" s="750">
        <f>'SF Measure Development'!BP173</f>
        <v>0</v>
      </c>
    </row>
    <row r="89" spans="1:17" ht="25.5">
      <c r="A89" s="9" t="s">
        <v>54</v>
      </c>
      <c r="B89" s="755" t="str">
        <f>'SF Measure Development'!BA114</f>
        <v>ENERGY STAR - Front-Load Clothes Washer - Electric DHW, Gas Dryer - 54% ENERGY STAR Baseline</v>
      </c>
      <c r="C89" s="755" t="str">
        <f>'SF Measure Development'!BB114</f>
        <v>Dryer Savings</v>
      </c>
      <c r="D89" s="751">
        <f ca="1">'SF Measure Development'!BC114</f>
        <v>0</v>
      </c>
      <c r="E89" s="755">
        <f>'SF Measure Development'!BD114</f>
        <v>14</v>
      </c>
      <c r="F89" s="752">
        <f>'SF Measure Development'!BE114</f>
        <v>0</v>
      </c>
      <c r="G89" s="758">
        <f>'SF Measure Development'!BF114</f>
        <v>0</v>
      </c>
      <c r="H89" s="750" t="str">
        <f>'SF Measure Development'!BG114</f>
        <v>ResDRY</v>
      </c>
      <c r="I89" s="753">
        <f>'SF Measure Development'!BH114</f>
        <v>0</v>
      </c>
      <c r="J89" s="750">
        <f>'SF Measure Development'!BI114</f>
        <v>0</v>
      </c>
      <c r="K89" s="750">
        <f>'SF Measure Development'!BJ114</f>
        <v>0</v>
      </c>
      <c r="L89" s="750">
        <f>'SF Measure Development'!BK174</f>
        <v>0</v>
      </c>
      <c r="M89" s="750">
        <f>'SF Measure Development'!BL174</f>
        <v>0</v>
      </c>
      <c r="N89" s="750">
        <f>'SF Measure Development'!BM174</f>
        <v>0</v>
      </c>
      <c r="O89" s="750">
        <f>'SF Measure Development'!BN174</f>
        <v>0</v>
      </c>
      <c r="P89" s="754">
        <f>'SF Measure Development'!BO174</f>
        <v>0</v>
      </c>
      <c r="Q89" s="750">
        <f>'SF Measure Development'!BP174</f>
        <v>0</v>
      </c>
    </row>
    <row r="90" spans="1:17" ht="25.5">
      <c r="A90" s="9" t="s">
        <v>54</v>
      </c>
      <c r="B90" s="755" t="str">
        <f>'SF Measure Development'!BA115</f>
        <v>ENERGY STAR - Front-Load Clothes Washer - Gas DHW, Electric Dryer - 54% ENERGY STAR Baseline</v>
      </c>
      <c r="C90" s="755" t="str">
        <f>'SF Measure Development'!BB115</f>
        <v>Dryer Savings</v>
      </c>
      <c r="D90" s="751">
        <f ca="1">'SF Measure Development'!BC115</f>
        <v>46.944211114411445</v>
      </c>
      <c r="E90" s="755">
        <f>'SF Measure Development'!BD115</f>
        <v>14</v>
      </c>
      <c r="F90" s="752">
        <f>'SF Measure Development'!BE115</f>
        <v>0</v>
      </c>
      <c r="G90" s="758">
        <f>'SF Measure Development'!BF115</f>
        <v>0</v>
      </c>
      <c r="H90" s="750" t="str">
        <f>'SF Measure Development'!BG115</f>
        <v>ResDRY</v>
      </c>
      <c r="I90" s="753">
        <f>'SF Measure Development'!BH115</f>
        <v>0</v>
      </c>
      <c r="J90" s="750">
        <f>'SF Measure Development'!BI115</f>
        <v>0</v>
      </c>
      <c r="K90" s="750">
        <f>'SF Measure Development'!BJ115</f>
        <v>0</v>
      </c>
      <c r="L90" s="750">
        <f>'SF Measure Development'!BK175</f>
        <v>0</v>
      </c>
      <c r="M90" s="750">
        <f>'SF Measure Development'!BL175</f>
        <v>0</v>
      </c>
      <c r="N90" s="750">
        <f>'SF Measure Development'!BM175</f>
        <v>0</v>
      </c>
      <c r="O90" s="750">
        <f>'SF Measure Development'!BN175</f>
        <v>0</v>
      </c>
      <c r="P90" s="754">
        <f>'SF Measure Development'!BO175</f>
        <v>0</v>
      </c>
      <c r="Q90" s="750">
        <f>'SF Measure Development'!BP175</f>
        <v>0</v>
      </c>
    </row>
    <row r="91" spans="1:17" ht="25.5">
      <c r="A91" s="9" t="s">
        <v>54</v>
      </c>
      <c r="B91" s="755" t="str">
        <f>'SF Measure Development'!BA116</f>
        <v>ENERGY STAR - Front-Load Clothes Washer - Gas DHW, Gas Dryer - 54% ENERGY STAR Baseline</v>
      </c>
      <c r="C91" s="755" t="str">
        <f>'SF Measure Development'!BB116</f>
        <v>Dryer Savings</v>
      </c>
      <c r="D91" s="751">
        <f ca="1">'SF Measure Development'!BC116</f>
        <v>0</v>
      </c>
      <c r="E91" s="755">
        <f>'SF Measure Development'!BD116</f>
        <v>14</v>
      </c>
      <c r="F91" s="752">
        <f>'SF Measure Development'!BE116</f>
        <v>0</v>
      </c>
      <c r="G91" s="758">
        <f>'SF Measure Development'!BF116</f>
        <v>0</v>
      </c>
      <c r="H91" s="750" t="str">
        <f>'SF Measure Development'!BG116</f>
        <v>ResDRY</v>
      </c>
      <c r="I91" s="753">
        <f>'SF Measure Development'!BH116</f>
        <v>0</v>
      </c>
      <c r="J91" s="750">
        <f>'SF Measure Development'!BI116</f>
        <v>0</v>
      </c>
      <c r="K91" s="750">
        <f>'SF Measure Development'!BJ116</f>
        <v>0</v>
      </c>
      <c r="L91" s="750">
        <f>'SF Measure Development'!BK176</f>
        <v>0</v>
      </c>
      <c r="M91" s="750">
        <f>'SF Measure Development'!BL176</f>
        <v>0</v>
      </c>
      <c r="N91" s="750">
        <f>'SF Measure Development'!BM176</f>
        <v>0</v>
      </c>
      <c r="O91" s="750">
        <f>'SF Measure Development'!BN176</f>
        <v>0</v>
      </c>
      <c r="P91" s="754">
        <f>'SF Measure Development'!BO176</f>
        <v>0</v>
      </c>
      <c r="Q91" s="750">
        <f>'SF Measure Development'!BP176</f>
        <v>0</v>
      </c>
    </row>
    <row r="92" spans="1:17" ht="25.5">
      <c r="A92" s="9" t="s">
        <v>54</v>
      </c>
      <c r="B92" s="755" t="str">
        <f>'SF Measure Development'!BA117</f>
        <v>ENERGY STAR - Front-Load Clothes Washer - Any DHW, Any Dryer - 54% ENERGY STAR Baseline</v>
      </c>
      <c r="C92" s="755" t="str">
        <f>'SF Measure Development'!BB117</f>
        <v>Dryer Savings</v>
      </c>
      <c r="D92" s="751">
        <f ca="1">'SF Measure Development'!BC117</f>
        <v>44.597000558690873</v>
      </c>
      <c r="E92" s="755">
        <f>'SF Measure Development'!BD117</f>
        <v>14</v>
      </c>
      <c r="F92" s="752">
        <f>'SF Measure Development'!BE117</f>
        <v>0</v>
      </c>
      <c r="G92" s="758">
        <f>'SF Measure Development'!BF117</f>
        <v>0</v>
      </c>
      <c r="H92" s="750" t="str">
        <f>'SF Measure Development'!BG117</f>
        <v>ResDRY</v>
      </c>
      <c r="I92" s="753">
        <f>'SF Measure Development'!BH117</f>
        <v>0</v>
      </c>
      <c r="J92" s="750">
        <f>'SF Measure Development'!BI117</f>
        <v>0</v>
      </c>
      <c r="K92" s="750">
        <f>'SF Measure Development'!BJ117</f>
        <v>0</v>
      </c>
      <c r="L92" s="750">
        <f>'SF Measure Development'!BK177</f>
        <v>0</v>
      </c>
      <c r="M92" s="750">
        <f>'SF Measure Development'!BL177</f>
        <v>0</v>
      </c>
      <c r="N92" s="750">
        <f>'SF Measure Development'!BM177</f>
        <v>0</v>
      </c>
      <c r="O92" s="750">
        <f>'SF Measure Development'!BN177</f>
        <v>0</v>
      </c>
      <c r="P92" s="754">
        <f>'SF Measure Development'!BO177</f>
        <v>0</v>
      </c>
      <c r="Q92" s="750">
        <f>'SF Measure Development'!BP177</f>
        <v>0</v>
      </c>
    </row>
    <row r="93" spans="1:17">
      <c r="A93" s="9" t="s">
        <v>54</v>
      </c>
      <c r="B93" s="755" t="str">
        <f>'SF Measure Development'!BA123</f>
        <v>CEE Tier 1 Clothes Washer - Electric DHW, Electric Dryer - 54% ENERGY STAR Baseline</v>
      </c>
      <c r="C93" s="755" t="str">
        <f>'SF Measure Development'!BB123</f>
        <v>Dryer Savings</v>
      </c>
      <c r="D93" s="751">
        <f ca="1">'SF Measure Development'!BC123</f>
        <v>36.626039888668572</v>
      </c>
      <c r="E93" s="755">
        <f>'SF Measure Development'!BD123</f>
        <v>14</v>
      </c>
      <c r="F93" s="752">
        <f>'SF Measure Development'!BE123</f>
        <v>0</v>
      </c>
      <c r="G93" s="758">
        <f>'SF Measure Development'!BF123</f>
        <v>0</v>
      </c>
      <c r="H93" s="750" t="str">
        <f>'SF Measure Development'!BG123</f>
        <v>ResDRY</v>
      </c>
      <c r="I93" s="753">
        <f>'SF Measure Development'!BH123</f>
        <v>0</v>
      </c>
      <c r="J93" s="750">
        <f>'SF Measure Development'!BI123</f>
        <v>0</v>
      </c>
      <c r="K93" s="750">
        <f>'SF Measure Development'!BJ123</f>
        <v>0</v>
      </c>
      <c r="L93" s="750">
        <f>'SF Measure Development'!BK183</f>
        <v>0</v>
      </c>
      <c r="M93" s="750">
        <f>'SF Measure Development'!BL183</f>
        <v>0</v>
      </c>
      <c r="N93" s="750">
        <f>'SF Measure Development'!BM183</f>
        <v>0</v>
      </c>
      <c r="O93" s="750">
        <f>'SF Measure Development'!BN183</f>
        <v>0</v>
      </c>
      <c r="P93" s="754">
        <f>'SF Measure Development'!BO183</f>
        <v>0</v>
      </c>
      <c r="Q93" s="750">
        <f>'SF Measure Development'!BP183</f>
        <v>0</v>
      </c>
    </row>
    <row r="94" spans="1:17">
      <c r="A94" s="9" t="s">
        <v>54</v>
      </c>
      <c r="B94" s="755" t="str">
        <f>'SF Measure Development'!BA124</f>
        <v>CEE Tier 1 Clothes Washer - Electric DHW, Gas Dryer - 54% ENERGY STAR Baseline</v>
      </c>
      <c r="C94" s="755" t="str">
        <f>'SF Measure Development'!BB124</f>
        <v>Dryer Savings</v>
      </c>
      <c r="D94" s="751">
        <f ca="1">'SF Measure Development'!BC124</f>
        <v>0</v>
      </c>
      <c r="E94" s="755">
        <f>'SF Measure Development'!BD124</f>
        <v>14</v>
      </c>
      <c r="F94" s="752">
        <f>'SF Measure Development'!BE124</f>
        <v>0</v>
      </c>
      <c r="G94" s="758">
        <f>'SF Measure Development'!BF124</f>
        <v>0</v>
      </c>
      <c r="H94" s="750" t="str">
        <f>'SF Measure Development'!BG124</f>
        <v>ResDRY</v>
      </c>
      <c r="I94" s="753">
        <f>'SF Measure Development'!BH124</f>
        <v>0</v>
      </c>
      <c r="J94" s="750">
        <f>'SF Measure Development'!BI124</f>
        <v>0</v>
      </c>
      <c r="K94" s="750">
        <f>'SF Measure Development'!BJ124</f>
        <v>0</v>
      </c>
      <c r="L94" s="750">
        <f>'SF Measure Development'!BK184</f>
        <v>0</v>
      </c>
      <c r="M94" s="750">
        <f>'SF Measure Development'!BL184</f>
        <v>0</v>
      </c>
      <c r="N94" s="750">
        <f>'SF Measure Development'!BM184</f>
        <v>0</v>
      </c>
      <c r="O94" s="750">
        <f>'SF Measure Development'!BN184</f>
        <v>0</v>
      </c>
      <c r="P94" s="754">
        <f>'SF Measure Development'!BO184</f>
        <v>0</v>
      </c>
      <c r="Q94" s="750">
        <f>'SF Measure Development'!BP184</f>
        <v>0</v>
      </c>
    </row>
    <row r="95" spans="1:17">
      <c r="A95" s="9" t="s">
        <v>54</v>
      </c>
      <c r="B95" s="755" t="str">
        <f>'SF Measure Development'!BA125</f>
        <v>CEE Tier 1 Clothes Washer - Gas DHW, Electric Dryer - 54% ENERGY STAR Baseline</v>
      </c>
      <c r="C95" s="755" t="str">
        <f>'SF Measure Development'!BB125</f>
        <v>Dryer Savings</v>
      </c>
      <c r="D95" s="751">
        <f ca="1">'SF Measure Development'!BC125</f>
        <v>36.626039888668572</v>
      </c>
      <c r="E95" s="755">
        <f>'SF Measure Development'!BD125</f>
        <v>14</v>
      </c>
      <c r="F95" s="752">
        <f>'SF Measure Development'!BE125</f>
        <v>0</v>
      </c>
      <c r="G95" s="758">
        <f>'SF Measure Development'!BF125</f>
        <v>0</v>
      </c>
      <c r="H95" s="750" t="str">
        <f>'SF Measure Development'!BG125</f>
        <v>ResDRY</v>
      </c>
      <c r="I95" s="753">
        <f>'SF Measure Development'!BH125</f>
        <v>0</v>
      </c>
      <c r="J95" s="750">
        <f>'SF Measure Development'!BI125</f>
        <v>0</v>
      </c>
      <c r="K95" s="750">
        <f>'SF Measure Development'!BJ125</f>
        <v>0</v>
      </c>
      <c r="L95" s="750">
        <f>'SF Measure Development'!BK185</f>
        <v>0</v>
      </c>
      <c r="M95" s="750">
        <f>'SF Measure Development'!BL185</f>
        <v>0</v>
      </c>
      <c r="N95" s="750">
        <f>'SF Measure Development'!BM185</f>
        <v>0</v>
      </c>
      <c r="O95" s="750">
        <f>'SF Measure Development'!BN185</f>
        <v>0</v>
      </c>
      <c r="P95" s="754">
        <f>'SF Measure Development'!BO185</f>
        <v>0</v>
      </c>
      <c r="Q95" s="750">
        <f>'SF Measure Development'!BP185</f>
        <v>0</v>
      </c>
    </row>
    <row r="96" spans="1:17">
      <c r="A96" s="9" t="s">
        <v>54</v>
      </c>
      <c r="B96" s="755" t="str">
        <f>'SF Measure Development'!BA126</f>
        <v>CEE Tier 1 Clothes Washer - Gas DHW, Gas Dryer - 54% ENERGY STAR Baseline</v>
      </c>
      <c r="C96" s="755" t="str">
        <f>'SF Measure Development'!BB126</f>
        <v>Dryer Savings</v>
      </c>
      <c r="D96" s="751">
        <f ca="1">'SF Measure Development'!BC126</f>
        <v>0</v>
      </c>
      <c r="E96" s="755">
        <f>'SF Measure Development'!BD126</f>
        <v>14</v>
      </c>
      <c r="F96" s="752">
        <f>'SF Measure Development'!BE126</f>
        <v>0</v>
      </c>
      <c r="G96" s="758">
        <f>'SF Measure Development'!BF126</f>
        <v>0</v>
      </c>
      <c r="H96" s="750" t="str">
        <f>'SF Measure Development'!BG126</f>
        <v>ResDRY</v>
      </c>
      <c r="I96" s="753">
        <f>'SF Measure Development'!BH126</f>
        <v>0</v>
      </c>
      <c r="J96" s="750">
        <f>'SF Measure Development'!BI126</f>
        <v>0</v>
      </c>
      <c r="K96" s="750">
        <f>'SF Measure Development'!BJ126</f>
        <v>0</v>
      </c>
      <c r="L96" s="750">
        <f>'SF Measure Development'!BK186</f>
        <v>0</v>
      </c>
      <c r="M96" s="750">
        <f>'SF Measure Development'!BL186</f>
        <v>0</v>
      </c>
      <c r="N96" s="750">
        <f>'SF Measure Development'!BM186</f>
        <v>0</v>
      </c>
      <c r="O96" s="750">
        <f>'SF Measure Development'!BN186</f>
        <v>0</v>
      </c>
      <c r="P96" s="754">
        <f>'SF Measure Development'!BO186</f>
        <v>0</v>
      </c>
      <c r="Q96" s="750">
        <f>'SF Measure Development'!BP186</f>
        <v>0</v>
      </c>
    </row>
    <row r="97" spans="1:17">
      <c r="A97" s="9" t="s">
        <v>54</v>
      </c>
      <c r="B97" s="755" t="str">
        <f>'SF Measure Development'!BA127</f>
        <v>CEE Tier 1 Clothes Washer - Any DHW, Any Dryer - 54% ENERGY STAR Baseline</v>
      </c>
      <c r="C97" s="755" t="str">
        <f>'SF Measure Development'!BB127</f>
        <v>Dryer Savings</v>
      </c>
      <c r="D97" s="751">
        <f ca="1">'SF Measure Development'!BC127</f>
        <v>34.794737894235141</v>
      </c>
      <c r="E97" s="755">
        <f>'SF Measure Development'!BD127</f>
        <v>14</v>
      </c>
      <c r="F97" s="752">
        <f>'SF Measure Development'!BE127</f>
        <v>0</v>
      </c>
      <c r="G97" s="758">
        <f>'SF Measure Development'!BF127</f>
        <v>0</v>
      </c>
      <c r="H97" s="750" t="str">
        <f>'SF Measure Development'!BG127</f>
        <v>ResDRY</v>
      </c>
      <c r="I97" s="753">
        <f>'SF Measure Development'!BH127</f>
        <v>0</v>
      </c>
      <c r="J97" s="750">
        <f>'SF Measure Development'!BI127</f>
        <v>0</v>
      </c>
      <c r="K97" s="750">
        <f>'SF Measure Development'!BJ127</f>
        <v>0</v>
      </c>
      <c r="L97" s="750">
        <f>'SF Measure Development'!BK187</f>
        <v>0</v>
      </c>
      <c r="M97" s="750">
        <f>'SF Measure Development'!BL187</f>
        <v>0</v>
      </c>
      <c r="N97" s="750">
        <f>'SF Measure Development'!BM187</f>
        <v>0</v>
      </c>
      <c r="O97" s="750">
        <f>'SF Measure Development'!BN187</f>
        <v>0</v>
      </c>
      <c r="P97" s="754">
        <f>'SF Measure Development'!BO187</f>
        <v>0</v>
      </c>
      <c r="Q97" s="750">
        <f>'SF Measure Development'!BP187</f>
        <v>0</v>
      </c>
    </row>
    <row r="98" spans="1:17">
      <c r="A98" s="9" t="s">
        <v>54</v>
      </c>
      <c r="B98" s="755" t="str">
        <f>'SF Measure Development'!BA128</f>
        <v>CEE Tier 2 Clothes Washer - Electric DHW, Electric Dryer - 54% ENERGY STAR Baseline</v>
      </c>
      <c r="C98" s="755" t="str">
        <f>'SF Measure Development'!BB128</f>
        <v>Dryer Savings</v>
      </c>
      <c r="D98" s="751">
        <f ca="1">'SF Measure Development'!BC128</f>
        <v>58.894028682955337</v>
      </c>
      <c r="E98" s="755">
        <f>'SF Measure Development'!BD128</f>
        <v>14</v>
      </c>
      <c r="F98" s="752">
        <f>'SF Measure Development'!BE128</f>
        <v>0</v>
      </c>
      <c r="G98" s="758">
        <f>'SF Measure Development'!BF128</f>
        <v>0</v>
      </c>
      <c r="H98" s="750" t="str">
        <f>'SF Measure Development'!BG128</f>
        <v>ResDRY</v>
      </c>
      <c r="I98" s="753">
        <f>'SF Measure Development'!BH128</f>
        <v>0</v>
      </c>
      <c r="J98" s="750">
        <f>'SF Measure Development'!BI128</f>
        <v>0</v>
      </c>
      <c r="K98" s="750">
        <f>'SF Measure Development'!BJ128</f>
        <v>0</v>
      </c>
      <c r="L98" s="750">
        <f>'SF Measure Development'!BK188</f>
        <v>0</v>
      </c>
      <c r="M98" s="750">
        <f>'SF Measure Development'!BL188</f>
        <v>0</v>
      </c>
      <c r="N98" s="750">
        <f>'SF Measure Development'!BM188</f>
        <v>0</v>
      </c>
      <c r="O98" s="750">
        <f>'SF Measure Development'!BN188</f>
        <v>0</v>
      </c>
      <c r="P98" s="754">
        <f>'SF Measure Development'!BO188</f>
        <v>0</v>
      </c>
      <c r="Q98" s="750">
        <f>'SF Measure Development'!BP188</f>
        <v>0</v>
      </c>
    </row>
    <row r="99" spans="1:17">
      <c r="A99" s="9" t="s">
        <v>54</v>
      </c>
      <c r="B99" s="755" t="str">
        <f>'SF Measure Development'!BA129</f>
        <v>CEE Tier 2 Clothes Washer - Electric DHW, Gas Dryer - 54% ENERGY STAR Baseline</v>
      </c>
      <c r="C99" s="755" t="str">
        <f>'SF Measure Development'!BB129</f>
        <v>Dryer Savings</v>
      </c>
      <c r="D99" s="751">
        <f ca="1">'SF Measure Development'!BC129</f>
        <v>0</v>
      </c>
      <c r="E99" s="755">
        <f>'SF Measure Development'!BD129</f>
        <v>14</v>
      </c>
      <c r="F99" s="752">
        <f>'SF Measure Development'!BE129</f>
        <v>0</v>
      </c>
      <c r="G99" s="758">
        <f>'SF Measure Development'!BF129</f>
        <v>0</v>
      </c>
      <c r="H99" s="750" t="str">
        <f>'SF Measure Development'!BG129</f>
        <v>ResDRY</v>
      </c>
      <c r="I99" s="753">
        <f>'SF Measure Development'!BH129</f>
        <v>0</v>
      </c>
      <c r="J99" s="750">
        <f>'SF Measure Development'!BI129</f>
        <v>0</v>
      </c>
      <c r="K99" s="750">
        <f>'SF Measure Development'!BJ129</f>
        <v>0</v>
      </c>
      <c r="L99" s="750">
        <f>'SF Measure Development'!BK189</f>
        <v>0</v>
      </c>
      <c r="M99" s="750">
        <f>'SF Measure Development'!BL189</f>
        <v>0</v>
      </c>
      <c r="N99" s="750">
        <f>'SF Measure Development'!BM189</f>
        <v>0</v>
      </c>
      <c r="O99" s="750">
        <f>'SF Measure Development'!BN189</f>
        <v>0</v>
      </c>
      <c r="P99" s="754">
        <f>'SF Measure Development'!BO189</f>
        <v>0</v>
      </c>
      <c r="Q99" s="750">
        <f>'SF Measure Development'!BP189</f>
        <v>0</v>
      </c>
    </row>
    <row r="100" spans="1:17">
      <c r="A100" s="9" t="s">
        <v>54</v>
      </c>
      <c r="B100" s="755" t="str">
        <f>'SF Measure Development'!BA130</f>
        <v>CEE Tier 2 Clothes Washer - Gas DHW, Electric Dryer - 54% ENERGY STAR Baseline</v>
      </c>
      <c r="C100" s="755" t="str">
        <f>'SF Measure Development'!BB130</f>
        <v>Dryer Savings</v>
      </c>
      <c r="D100" s="751">
        <f ca="1">'SF Measure Development'!BC130</f>
        <v>58.894028682955337</v>
      </c>
      <c r="E100" s="755">
        <f>'SF Measure Development'!BD130</f>
        <v>14</v>
      </c>
      <c r="F100" s="752">
        <f>'SF Measure Development'!BE130</f>
        <v>0</v>
      </c>
      <c r="G100" s="758">
        <f>'SF Measure Development'!BF130</f>
        <v>0</v>
      </c>
      <c r="H100" s="750" t="str">
        <f>'SF Measure Development'!BG130</f>
        <v>ResDRY</v>
      </c>
      <c r="I100" s="753">
        <f>'SF Measure Development'!BH130</f>
        <v>0</v>
      </c>
      <c r="J100" s="750">
        <f>'SF Measure Development'!BI130</f>
        <v>0</v>
      </c>
      <c r="K100" s="750">
        <f>'SF Measure Development'!BJ130</f>
        <v>0</v>
      </c>
      <c r="L100" s="750">
        <f>'SF Measure Development'!BK190</f>
        <v>0</v>
      </c>
      <c r="M100" s="750">
        <f>'SF Measure Development'!BL190</f>
        <v>0</v>
      </c>
      <c r="N100" s="750">
        <f>'SF Measure Development'!BM190</f>
        <v>0</v>
      </c>
      <c r="O100" s="750">
        <f>'SF Measure Development'!BN190</f>
        <v>0</v>
      </c>
      <c r="P100" s="754">
        <f>'SF Measure Development'!BO190</f>
        <v>0</v>
      </c>
      <c r="Q100" s="750">
        <f>'SF Measure Development'!BP190</f>
        <v>0</v>
      </c>
    </row>
    <row r="101" spans="1:17">
      <c r="A101" s="9" t="s">
        <v>54</v>
      </c>
      <c r="B101" s="755" t="str">
        <f>'SF Measure Development'!BA131</f>
        <v>CEE Tier 2 Clothes Washer - Gas DHW, Gas Dryer - 54% ENERGY STAR Baseline</v>
      </c>
      <c r="C101" s="755" t="str">
        <f>'SF Measure Development'!BB131</f>
        <v>Dryer Savings</v>
      </c>
      <c r="D101" s="751">
        <f ca="1">'SF Measure Development'!BC131</f>
        <v>0</v>
      </c>
      <c r="E101" s="755">
        <f>'SF Measure Development'!BD131</f>
        <v>14</v>
      </c>
      <c r="F101" s="752">
        <f>'SF Measure Development'!BE131</f>
        <v>0</v>
      </c>
      <c r="G101" s="758">
        <f>'SF Measure Development'!BF131</f>
        <v>0</v>
      </c>
      <c r="H101" s="750" t="str">
        <f>'SF Measure Development'!BG131</f>
        <v>ResDRY</v>
      </c>
      <c r="I101" s="753">
        <f>'SF Measure Development'!BH131</f>
        <v>0</v>
      </c>
      <c r="J101" s="750">
        <f>'SF Measure Development'!BI131</f>
        <v>0</v>
      </c>
      <c r="K101" s="750">
        <f>'SF Measure Development'!BJ131</f>
        <v>0</v>
      </c>
      <c r="L101" s="750">
        <f>'SF Measure Development'!BK191</f>
        <v>0</v>
      </c>
      <c r="M101" s="750">
        <f>'SF Measure Development'!BL191</f>
        <v>0</v>
      </c>
      <c r="N101" s="750">
        <f>'SF Measure Development'!BM191</f>
        <v>0</v>
      </c>
      <c r="O101" s="750">
        <f>'SF Measure Development'!BN191</f>
        <v>0</v>
      </c>
      <c r="P101" s="754">
        <f>'SF Measure Development'!BO191</f>
        <v>0</v>
      </c>
      <c r="Q101" s="750">
        <f>'SF Measure Development'!BP191</f>
        <v>0</v>
      </c>
    </row>
    <row r="102" spans="1:17">
      <c r="A102" s="9" t="s">
        <v>54</v>
      </c>
      <c r="B102" s="755" t="str">
        <f>'SF Measure Development'!BA132</f>
        <v>CEE Tier 2 Clothes Washer - Any DHW, Any Dryer - 54% ENERGY STAR Baseline</v>
      </c>
      <c r="C102" s="755" t="str">
        <f>'SF Measure Development'!BB132</f>
        <v>Dryer Savings</v>
      </c>
      <c r="D102" s="751">
        <f ca="1">'SF Measure Development'!BC132</f>
        <v>55.94932724880757</v>
      </c>
      <c r="E102" s="755">
        <f>'SF Measure Development'!BD132</f>
        <v>14</v>
      </c>
      <c r="F102" s="752">
        <f>'SF Measure Development'!BE132</f>
        <v>0</v>
      </c>
      <c r="G102" s="758">
        <f>'SF Measure Development'!BF132</f>
        <v>0</v>
      </c>
      <c r="H102" s="750" t="str">
        <f>'SF Measure Development'!BG132</f>
        <v>ResDRY</v>
      </c>
      <c r="I102" s="753">
        <f>'SF Measure Development'!BH132</f>
        <v>0</v>
      </c>
      <c r="J102" s="750">
        <f>'SF Measure Development'!BI132</f>
        <v>0</v>
      </c>
      <c r="K102" s="750">
        <f>'SF Measure Development'!BJ132</f>
        <v>0</v>
      </c>
      <c r="L102" s="750">
        <f>'SF Measure Development'!BK192</f>
        <v>0</v>
      </c>
      <c r="M102" s="750">
        <f>'SF Measure Development'!BL192</f>
        <v>0</v>
      </c>
      <c r="N102" s="750">
        <f>'SF Measure Development'!BM192</f>
        <v>0</v>
      </c>
      <c r="O102" s="750">
        <f>'SF Measure Development'!BN192</f>
        <v>0</v>
      </c>
      <c r="P102" s="754">
        <f>'SF Measure Development'!BO192</f>
        <v>0</v>
      </c>
      <c r="Q102" s="750">
        <f>'SF Measure Development'!BP192</f>
        <v>0</v>
      </c>
    </row>
    <row r="103" spans="1:17">
      <c r="A103" s="9" t="s">
        <v>54</v>
      </c>
      <c r="B103" s="755" t="str">
        <f>'SF Measure Development'!BA133</f>
        <v>CEE Tier 3 Clothes Washer - Electric DHW, Electric Dryer - 54% ENERGY STAR Baseline</v>
      </c>
      <c r="C103" s="755" t="str">
        <f>'SF Measure Development'!BB133</f>
        <v>Dryer Savings</v>
      </c>
      <c r="D103" s="751">
        <f ca="1">'SF Measure Development'!BC133</f>
        <v>73.465015812285287</v>
      </c>
      <c r="E103" s="755">
        <f>'SF Measure Development'!BD133</f>
        <v>14</v>
      </c>
      <c r="F103" s="752">
        <f>'SF Measure Development'!BE133</f>
        <v>0</v>
      </c>
      <c r="G103" s="758">
        <f>'SF Measure Development'!BF133</f>
        <v>0</v>
      </c>
      <c r="H103" s="750" t="str">
        <f>'SF Measure Development'!BG133</f>
        <v>ResDRY</v>
      </c>
      <c r="I103" s="753">
        <f>'SF Measure Development'!BH133</f>
        <v>0</v>
      </c>
      <c r="J103" s="750">
        <f>'SF Measure Development'!BI133</f>
        <v>0</v>
      </c>
      <c r="K103" s="750">
        <f>'SF Measure Development'!BJ133</f>
        <v>0</v>
      </c>
      <c r="L103" s="750">
        <f>'SF Measure Development'!BK193</f>
        <v>0</v>
      </c>
      <c r="M103" s="750">
        <f>'SF Measure Development'!BL193</f>
        <v>0</v>
      </c>
      <c r="N103" s="750">
        <f>'SF Measure Development'!BM193</f>
        <v>0</v>
      </c>
      <c r="O103" s="750">
        <f>'SF Measure Development'!BN193</f>
        <v>0</v>
      </c>
      <c r="P103" s="754">
        <f>'SF Measure Development'!BO193</f>
        <v>0</v>
      </c>
      <c r="Q103" s="750">
        <f>'SF Measure Development'!BP193</f>
        <v>0</v>
      </c>
    </row>
    <row r="104" spans="1:17">
      <c r="A104" s="9" t="s">
        <v>54</v>
      </c>
      <c r="B104" s="755" t="str">
        <f>'SF Measure Development'!BA134</f>
        <v>CEE Tier 3 Clothes Washer - Electric DHW, Gas Dryer - 54% ENERGY STAR Baseline</v>
      </c>
      <c r="C104" s="755" t="str">
        <f>'SF Measure Development'!BB134</f>
        <v>Dryer Savings</v>
      </c>
      <c r="D104" s="751">
        <f ca="1">'SF Measure Development'!BC134</f>
        <v>0</v>
      </c>
      <c r="E104" s="755">
        <f>'SF Measure Development'!BD134</f>
        <v>14</v>
      </c>
      <c r="F104" s="752">
        <f>'SF Measure Development'!BE134</f>
        <v>0</v>
      </c>
      <c r="G104" s="758">
        <f>'SF Measure Development'!BF134</f>
        <v>0</v>
      </c>
      <c r="H104" s="750" t="str">
        <f>'SF Measure Development'!BG134</f>
        <v>ResDRY</v>
      </c>
      <c r="I104" s="753">
        <f>'SF Measure Development'!BH134</f>
        <v>0</v>
      </c>
      <c r="J104" s="750">
        <f>'SF Measure Development'!BI134</f>
        <v>0</v>
      </c>
      <c r="K104" s="750">
        <f>'SF Measure Development'!BJ134</f>
        <v>0</v>
      </c>
      <c r="L104" s="750">
        <f>'SF Measure Development'!BK194</f>
        <v>0</v>
      </c>
      <c r="M104" s="750">
        <f>'SF Measure Development'!BL194</f>
        <v>0</v>
      </c>
      <c r="N104" s="750">
        <f>'SF Measure Development'!BM194</f>
        <v>0</v>
      </c>
      <c r="O104" s="750">
        <f>'SF Measure Development'!BN194</f>
        <v>0</v>
      </c>
      <c r="P104" s="754">
        <f>'SF Measure Development'!BO194</f>
        <v>0</v>
      </c>
      <c r="Q104" s="750">
        <f>'SF Measure Development'!BP194</f>
        <v>0</v>
      </c>
    </row>
    <row r="105" spans="1:17">
      <c r="A105" s="9" t="s">
        <v>54</v>
      </c>
      <c r="B105" s="755" t="str">
        <f>'SF Measure Development'!BA135</f>
        <v>CEE Tier 3 Clothes Washer - Gas DHW, Electric Dryer - 54% ENERGY STAR Baseline</v>
      </c>
      <c r="C105" s="755" t="str">
        <f>'SF Measure Development'!BB135</f>
        <v>Dryer Savings</v>
      </c>
      <c r="D105" s="751">
        <f ca="1">'SF Measure Development'!BC135</f>
        <v>73.465015812285287</v>
      </c>
      <c r="E105" s="755">
        <f>'SF Measure Development'!BD135</f>
        <v>14</v>
      </c>
      <c r="F105" s="752">
        <f>'SF Measure Development'!BE135</f>
        <v>0</v>
      </c>
      <c r="G105" s="758">
        <f>'SF Measure Development'!BF135</f>
        <v>0</v>
      </c>
      <c r="H105" s="750" t="str">
        <f>'SF Measure Development'!BG135</f>
        <v>ResDRY</v>
      </c>
      <c r="I105" s="753">
        <f>'SF Measure Development'!BH135</f>
        <v>0</v>
      </c>
      <c r="J105" s="750">
        <f>'SF Measure Development'!BI135</f>
        <v>0</v>
      </c>
      <c r="K105" s="750">
        <f>'SF Measure Development'!BJ135</f>
        <v>0</v>
      </c>
      <c r="L105" s="750">
        <f>'SF Measure Development'!BK195</f>
        <v>0</v>
      </c>
      <c r="M105" s="750">
        <f>'SF Measure Development'!BL195</f>
        <v>0</v>
      </c>
      <c r="N105" s="750">
        <f>'SF Measure Development'!BM195</f>
        <v>0</v>
      </c>
      <c r="O105" s="750">
        <f>'SF Measure Development'!BN195</f>
        <v>0</v>
      </c>
      <c r="P105" s="754">
        <f>'SF Measure Development'!BO195</f>
        <v>0</v>
      </c>
      <c r="Q105" s="750">
        <f>'SF Measure Development'!BP195</f>
        <v>0</v>
      </c>
    </row>
    <row r="106" spans="1:17">
      <c r="A106" s="9" t="s">
        <v>54</v>
      </c>
      <c r="B106" s="755" t="str">
        <f>'SF Measure Development'!BA136</f>
        <v>CEE Tier 3 Clothes Washer - Gas DHW, Gas Dryer - 54% ENERGY STAR Baseline</v>
      </c>
      <c r="C106" s="755" t="str">
        <f>'SF Measure Development'!BB136</f>
        <v>Dryer Savings</v>
      </c>
      <c r="D106" s="751">
        <f ca="1">'SF Measure Development'!BC136</f>
        <v>0</v>
      </c>
      <c r="E106" s="755">
        <f>'SF Measure Development'!BD136</f>
        <v>14</v>
      </c>
      <c r="F106" s="752">
        <f>'SF Measure Development'!BE136</f>
        <v>0</v>
      </c>
      <c r="G106" s="758">
        <f>'SF Measure Development'!BF136</f>
        <v>0</v>
      </c>
      <c r="H106" s="750" t="str">
        <f>'SF Measure Development'!BG136</f>
        <v>ResDRY</v>
      </c>
      <c r="I106" s="753">
        <f>'SF Measure Development'!BH136</f>
        <v>0</v>
      </c>
      <c r="J106" s="750">
        <f>'SF Measure Development'!BI136</f>
        <v>0</v>
      </c>
      <c r="K106" s="750">
        <f>'SF Measure Development'!BJ136</f>
        <v>0</v>
      </c>
      <c r="L106" s="750">
        <f>'SF Measure Development'!BK196</f>
        <v>0</v>
      </c>
      <c r="M106" s="750">
        <f>'SF Measure Development'!BL196</f>
        <v>0</v>
      </c>
      <c r="N106" s="750">
        <f>'SF Measure Development'!BM196</f>
        <v>0</v>
      </c>
      <c r="O106" s="750">
        <f>'SF Measure Development'!BN196</f>
        <v>0</v>
      </c>
      <c r="P106" s="754">
        <f>'SF Measure Development'!BO196</f>
        <v>0</v>
      </c>
      <c r="Q106" s="750">
        <f>'SF Measure Development'!BP196</f>
        <v>0</v>
      </c>
    </row>
    <row r="107" spans="1:17">
      <c r="A107" s="9" t="s">
        <v>54</v>
      </c>
      <c r="B107" s="755" t="str">
        <f>'SF Measure Development'!BA137</f>
        <v>CEE Tier 3 Clothes Washer - Any DHW, Any Dryer - 54% ENERGY STAR Baseline</v>
      </c>
      <c r="C107" s="755" t="str">
        <f>'SF Measure Development'!BB137</f>
        <v>Dryer Savings</v>
      </c>
      <c r="D107" s="751">
        <f ca="1">'SF Measure Development'!BC137</f>
        <v>69.791765021671026</v>
      </c>
      <c r="E107" s="755">
        <f>'SF Measure Development'!BD137</f>
        <v>14</v>
      </c>
      <c r="F107" s="752">
        <f>'SF Measure Development'!BE137</f>
        <v>0</v>
      </c>
      <c r="G107" s="758">
        <f>'SF Measure Development'!BF137</f>
        <v>0</v>
      </c>
      <c r="H107" s="750" t="str">
        <f>'SF Measure Development'!BG137</f>
        <v>ResDRY</v>
      </c>
      <c r="I107" s="753">
        <f>'SF Measure Development'!BH137</f>
        <v>0</v>
      </c>
      <c r="J107" s="750">
        <f>'SF Measure Development'!BI137</f>
        <v>0</v>
      </c>
      <c r="K107" s="750">
        <f>'SF Measure Development'!BJ137</f>
        <v>0</v>
      </c>
      <c r="L107" s="750">
        <f>'SF Measure Development'!BK197</f>
        <v>0</v>
      </c>
      <c r="M107" s="750">
        <f>'SF Measure Development'!BL197</f>
        <v>0</v>
      </c>
      <c r="N107" s="750">
        <f>'SF Measure Development'!BM197</f>
        <v>0</v>
      </c>
      <c r="O107" s="750">
        <f>'SF Measure Development'!BN197</f>
        <v>0</v>
      </c>
      <c r="P107" s="754">
        <f>'SF Measure Development'!BO197</f>
        <v>0</v>
      </c>
      <c r="Q107" s="750">
        <f>'SF Measure Development'!BP197</f>
        <v>0</v>
      </c>
    </row>
    <row r="108" spans="1:17" ht="25.5">
      <c r="A108" s="9" t="s">
        <v>54</v>
      </c>
      <c r="B108" s="755" t="str">
        <f>'SF Measure Development'!BA138</f>
        <v>ENERGY STAR - Top-Load Clothes Washer - Electric DHW, Electric Dryer - 31% ENERGY STAR Baseline</v>
      </c>
      <c r="C108" s="755" t="str">
        <f>'SF Measure Development'!BB138</f>
        <v>Waste Water Energy</v>
      </c>
      <c r="D108" s="751">
        <f ca="1">'SF Measure Development'!BC138</f>
        <v>0.29472284399684212</v>
      </c>
      <c r="E108" s="755">
        <f>'SF Measure Development'!BD138</f>
        <v>14</v>
      </c>
      <c r="F108" s="752">
        <f>'SF Measure Development'!BE138</f>
        <v>0</v>
      </c>
      <c r="G108" s="759">
        <f>'SF Measure Development'!BF138</f>
        <v>0</v>
      </c>
      <c r="H108" s="750" t="str">
        <f>'SF Measure Development'!BG138</f>
        <v>FLAT</v>
      </c>
      <c r="I108" s="753">
        <f ca="1">'SF Measure Development'!BH138</f>
        <v>1.1075262970731625</v>
      </c>
      <c r="J108" s="750">
        <f>'SF Measure Development'!BI138</f>
        <v>0</v>
      </c>
      <c r="K108" s="750">
        <f>'SF Measure Development'!BJ138</f>
        <v>0</v>
      </c>
      <c r="L108" s="750">
        <f>'SF Measure Development'!BK198</f>
        <v>0</v>
      </c>
      <c r="M108" s="750">
        <f>'SF Measure Development'!BL198</f>
        <v>0</v>
      </c>
      <c r="N108" s="750">
        <f>'SF Measure Development'!BM198</f>
        <v>0</v>
      </c>
      <c r="O108" s="750">
        <f>'SF Measure Development'!BN198</f>
        <v>0</v>
      </c>
      <c r="P108" s="754">
        <f>'SF Measure Development'!BO198</f>
        <v>0</v>
      </c>
      <c r="Q108" s="750">
        <f>'SF Measure Development'!BP198</f>
        <v>0</v>
      </c>
    </row>
    <row r="109" spans="1:17" ht="25.5">
      <c r="A109" s="9" t="s">
        <v>54</v>
      </c>
      <c r="B109" s="755" t="str">
        <f>'SF Measure Development'!BA139</f>
        <v>ENERGY STAR - Top-Load Clothes Washer - Electric DHW, Gas Dryer - 31% ENERGY STAR Baseline</v>
      </c>
      <c r="C109" s="755" t="str">
        <f>'SF Measure Development'!BB139</f>
        <v>Waste Water Energy</v>
      </c>
      <c r="D109" s="751">
        <f ca="1">'SF Measure Development'!BC139</f>
        <v>0.29472284399684212</v>
      </c>
      <c r="E109" s="755">
        <f>'SF Measure Development'!BD139</f>
        <v>14</v>
      </c>
      <c r="F109" s="752">
        <f>'SF Measure Development'!BE139</f>
        <v>0</v>
      </c>
      <c r="G109" s="759">
        <f>'SF Measure Development'!BF139</f>
        <v>0</v>
      </c>
      <c r="H109" s="750" t="str">
        <f>'SF Measure Development'!BG139</f>
        <v>FLAT</v>
      </c>
      <c r="I109" s="753">
        <f ca="1">'SF Measure Development'!BH139</f>
        <v>1.1075262970731625</v>
      </c>
      <c r="J109" s="750">
        <f>'SF Measure Development'!BI139</f>
        <v>0</v>
      </c>
      <c r="K109" s="750">
        <f>'SF Measure Development'!BJ139</f>
        <v>0</v>
      </c>
      <c r="L109" s="750">
        <f>'SF Measure Development'!BK199</f>
        <v>0</v>
      </c>
      <c r="M109" s="750">
        <f>'SF Measure Development'!BL199</f>
        <v>0</v>
      </c>
      <c r="N109" s="750">
        <f>'SF Measure Development'!BM199</f>
        <v>0</v>
      </c>
      <c r="O109" s="750">
        <f>'SF Measure Development'!BN199</f>
        <v>0</v>
      </c>
      <c r="P109" s="754">
        <f>'SF Measure Development'!BO199</f>
        <v>0</v>
      </c>
      <c r="Q109" s="750">
        <f>'SF Measure Development'!BP199</f>
        <v>0</v>
      </c>
    </row>
    <row r="110" spans="1:17" ht="25.5">
      <c r="A110" s="9" t="s">
        <v>54</v>
      </c>
      <c r="B110" s="755" t="str">
        <f>'SF Measure Development'!BA140</f>
        <v>ENERGY STAR - Top-Load Clothes Washer - Gas DHW, Electric Dryer - 31% ENERGY STAR Baseline</v>
      </c>
      <c r="C110" s="755" t="str">
        <f>'SF Measure Development'!BB140</f>
        <v>Waste Water Energy</v>
      </c>
      <c r="D110" s="751">
        <f ca="1">'SF Measure Development'!BC140</f>
        <v>0.29472284399684212</v>
      </c>
      <c r="E110" s="755">
        <f>'SF Measure Development'!BD140</f>
        <v>14</v>
      </c>
      <c r="F110" s="752">
        <f>'SF Measure Development'!BE140</f>
        <v>0</v>
      </c>
      <c r="G110" s="759">
        <f>'SF Measure Development'!BF140</f>
        <v>0</v>
      </c>
      <c r="H110" s="750" t="str">
        <f>'SF Measure Development'!BG140</f>
        <v>FLAT</v>
      </c>
      <c r="I110" s="753">
        <f ca="1">'SF Measure Development'!BH140</f>
        <v>1.1075262970731625</v>
      </c>
      <c r="J110" s="750">
        <f>'SF Measure Development'!BI140</f>
        <v>0</v>
      </c>
      <c r="K110" s="750">
        <f>'SF Measure Development'!BJ140</f>
        <v>0</v>
      </c>
      <c r="L110" s="750">
        <f>'SF Measure Development'!BK200</f>
        <v>0</v>
      </c>
      <c r="M110" s="750">
        <f>'SF Measure Development'!BL200</f>
        <v>0</v>
      </c>
      <c r="N110" s="750">
        <f>'SF Measure Development'!BM200</f>
        <v>0</v>
      </c>
      <c r="O110" s="750">
        <f>'SF Measure Development'!BN200</f>
        <v>0</v>
      </c>
      <c r="P110" s="754">
        <f>'SF Measure Development'!BO200</f>
        <v>0</v>
      </c>
      <c r="Q110" s="750">
        <f>'SF Measure Development'!BP200</f>
        <v>0</v>
      </c>
    </row>
    <row r="111" spans="1:17">
      <c r="A111" s="9" t="s">
        <v>54</v>
      </c>
      <c r="B111" s="755" t="str">
        <f>'SF Measure Development'!BA141</f>
        <v>ENERGY STAR - Top-Load Clothes Washer - Gas DHW, Gas Dryer - 31% ENERGY STAR Baseline</v>
      </c>
      <c r="C111" s="755" t="str">
        <f>'SF Measure Development'!BB141</f>
        <v>Waste Water Energy</v>
      </c>
      <c r="D111" s="751">
        <f ca="1">'SF Measure Development'!BC141</f>
        <v>0.29472284399684212</v>
      </c>
      <c r="E111" s="755">
        <f>'SF Measure Development'!BD141</f>
        <v>14</v>
      </c>
      <c r="F111" s="752">
        <f>'SF Measure Development'!BE141</f>
        <v>0</v>
      </c>
      <c r="G111" s="759">
        <f>'SF Measure Development'!BF141</f>
        <v>0</v>
      </c>
      <c r="H111" s="750" t="str">
        <f>'SF Measure Development'!BG141</f>
        <v>FLAT</v>
      </c>
      <c r="I111" s="753">
        <f ca="1">'SF Measure Development'!BH141</f>
        <v>1.1075262970731625</v>
      </c>
      <c r="J111" s="750">
        <f>'SF Measure Development'!BI141</f>
        <v>0</v>
      </c>
      <c r="K111" s="750">
        <f>'SF Measure Development'!BJ141</f>
        <v>0</v>
      </c>
      <c r="L111" s="750">
        <f>'SF Measure Development'!BK201</f>
        <v>0</v>
      </c>
      <c r="M111" s="750">
        <f>'SF Measure Development'!BL201</f>
        <v>0</v>
      </c>
      <c r="N111" s="750">
        <f>'SF Measure Development'!BM201</f>
        <v>0</v>
      </c>
      <c r="O111" s="750">
        <f>'SF Measure Development'!BN201</f>
        <v>0</v>
      </c>
      <c r="P111" s="754">
        <f>'SF Measure Development'!BO201</f>
        <v>0</v>
      </c>
      <c r="Q111" s="750">
        <f>'SF Measure Development'!BP201</f>
        <v>0</v>
      </c>
    </row>
    <row r="112" spans="1:17">
      <c r="A112" s="9" t="s">
        <v>54</v>
      </c>
      <c r="B112" s="755" t="str">
        <f>'SF Measure Development'!BA142</f>
        <v>ENERGY STAR - Top-Load Clothes Washer - Any DHW, Any Dryer - 31% ENERGY STAR Baseline</v>
      </c>
      <c r="C112" s="755" t="str">
        <f>'SF Measure Development'!BB142</f>
        <v>Waste Water Energy</v>
      </c>
      <c r="D112" s="751">
        <f ca="1">'SF Measure Development'!BC142</f>
        <v>0.29472284399684212</v>
      </c>
      <c r="E112" s="755">
        <f>'SF Measure Development'!BD142</f>
        <v>14</v>
      </c>
      <c r="F112" s="752">
        <f>'SF Measure Development'!BE142</f>
        <v>0</v>
      </c>
      <c r="G112" s="759">
        <f>'SF Measure Development'!BF142</f>
        <v>0</v>
      </c>
      <c r="H112" s="750" t="str">
        <f>'SF Measure Development'!BG142</f>
        <v>FLAT</v>
      </c>
      <c r="I112" s="753">
        <f ca="1">'SF Measure Development'!BH142</f>
        <v>1.1075262970731625</v>
      </c>
      <c r="J112" s="750">
        <f>'SF Measure Development'!BI142</f>
        <v>0</v>
      </c>
      <c r="K112" s="750">
        <f>'SF Measure Development'!BJ142</f>
        <v>0</v>
      </c>
      <c r="L112" s="750">
        <f>'SF Measure Development'!BK202</f>
        <v>0</v>
      </c>
      <c r="M112" s="750">
        <f>'SF Measure Development'!BL202</f>
        <v>0</v>
      </c>
      <c r="N112" s="750">
        <f>'SF Measure Development'!BM202</f>
        <v>0</v>
      </c>
      <c r="O112" s="750">
        <f>'SF Measure Development'!BN202</f>
        <v>0</v>
      </c>
      <c r="P112" s="754">
        <f>'SF Measure Development'!BO202</f>
        <v>0</v>
      </c>
      <c r="Q112" s="750">
        <f>'SF Measure Development'!BP202</f>
        <v>0</v>
      </c>
    </row>
    <row r="113" spans="1:17" ht="25.5">
      <c r="A113" s="9" t="s">
        <v>54</v>
      </c>
      <c r="B113" s="755" t="str">
        <f>'SF Measure Development'!BA143</f>
        <v>ENERGY STAR - Front-Load Clothes Washer - Electric DHW, Electric Dryer - 31% ENERGY STAR Baseline</v>
      </c>
      <c r="C113" s="755" t="str">
        <f>'SF Measure Development'!BB143</f>
        <v>Waste Water Energy</v>
      </c>
      <c r="D113" s="751">
        <f ca="1">'SF Measure Development'!BC143</f>
        <v>3.6144341128034556</v>
      </c>
      <c r="E113" s="755">
        <f>'SF Measure Development'!BD143</f>
        <v>14</v>
      </c>
      <c r="F113" s="752">
        <f>'SF Measure Development'!BE143</f>
        <v>0</v>
      </c>
      <c r="G113" s="759">
        <f>'SF Measure Development'!BF143</f>
        <v>0</v>
      </c>
      <c r="H113" s="750" t="str">
        <f>'SF Measure Development'!BG143</f>
        <v>FLAT</v>
      </c>
      <c r="I113" s="753">
        <f ca="1">'SF Measure Development'!BH143</f>
        <v>13.58252646683548</v>
      </c>
      <c r="J113" s="750">
        <f>'SF Measure Development'!BI143</f>
        <v>0</v>
      </c>
      <c r="K113" s="750">
        <f>'SF Measure Development'!BJ143</f>
        <v>0</v>
      </c>
      <c r="L113" s="750">
        <f>'SF Measure Development'!BK203</f>
        <v>0</v>
      </c>
      <c r="M113" s="750">
        <f>'SF Measure Development'!BL203</f>
        <v>0</v>
      </c>
      <c r="N113" s="750">
        <f>'SF Measure Development'!BM203</f>
        <v>0</v>
      </c>
      <c r="O113" s="750">
        <f>'SF Measure Development'!BN203</f>
        <v>0</v>
      </c>
      <c r="P113" s="754">
        <f>'SF Measure Development'!BO203</f>
        <v>0</v>
      </c>
      <c r="Q113" s="750">
        <f>'SF Measure Development'!BP203</f>
        <v>0</v>
      </c>
    </row>
    <row r="114" spans="1:17" ht="25.5">
      <c r="A114" s="9" t="s">
        <v>54</v>
      </c>
      <c r="B114" s="755" t="str">
        <f>'SF Measure Development'!BA144</f>
        <v>ENERGY STAR - Front-Load Clothes Washer - Electric DHW, Gas Dryer - 31% ENERGY STAR Baseline</v>
      </c>
      <c r="C114" s="755" t="str">
        <f>'SF Measure Development'!BB144</f>
        <v>Waste Water Energy</v>
      </c>
      <c r="D114" s="751">
        <f ca="1">'SF Measure Development'!BC144</f>
        <v>3.6144341128034556</v>
      </c>
      <c r="E114" s="755">
        <f>'SF Measure Development'!BD144</f>
        <v>14</v>
      </c>
      <c r="F114" s="752">
        <f>'SF Measure Development'!BE144</f>
        <v>0</v>
      </c>
      <c r="G114" s="759">
        <f>'SF Measure Development'!BF144</f>
        <v>0</v>
      </c>
      <c r="H114" s="750" t="str">
        <f>'SF Measure Development'!BG144</f>
        <v>FLAT</v>
      </c>
      <c r="I114" s="753">
        <f ca="1">'SF Measure Development'!BH144</f>
        <v>13.58252646683548</v>
      </c>
      <c r="J114" s="750">
        <f>'SF Measure Development'!BI144</f>
        <v>0</v>
      </c>
      <c r="K114" s="750">
        <f>'SF Measure Development'!BJ144</f>
        <v>0</v>
      </c>
      <c r="L114" s="750">
        <f>'SF Measure Development'!BK204</f>
        <v>0</v>
      </c>
      <c r="M114" s="750">
        <f>'SF Measure Development'!BL204</f>
        <v>0</v>
      </c>
      <c r="N114" s="750">
        <f>'SF Measure Development'!BM204</f>
        <v>0</v>
      </c>
      <c r="O114" s="750">
        <f>'SF Measure Development'!BN204</f>
        <v>0</v>
      </c>
      <c r="P114" s="754">
        <f>'SF Measure Development'!BO204</f>
        <v>0</v>
      </c>
      <c r="Q114" s="750">
        <f>'SF Measure Development'!BP204</f>
        <v>0</v>
      </c>
    </row>
    <row r="115" spans="1:17" ht="25.5">
      <c r="A115" s="9" t="s">
        <v>54</v>
      </c>
      <c r="B115" s="755" t="str">
        <f>'SF Measure Development'!BA145</f>
        <v>ENERGY STAR - Front-Load Clothes Washer - Gas DHW, Electric Dryer - 31% ENERGY STAR Baseline</v>
      </c>
      <c r="C115" s="755" t="str">
        <f>'SF Measure Development'!BB145</f>
        <v>Waste Water Energy</v>
      </c>
      <c r="D115" s="751">
        <f ca="1">'SF Measure Development'!BC145</f>
        <v>3.6144341128034556</v>
      </c>
      <c r="E115" s="755">
        <f>'SF Measure Development'!BD145</f>
        <v>14</v>
      </c>
      <c r="F115" s="752">
        <f>'SF Measure Development'!BE145</f>
        <v>0</v>
      </c>
      <c r="G115" s="759">
        <f>'SF Measure Development'!BF145</f>
        <v>0</v>
      </c>
      <c r="H115" s="750" t="str">
        <f>'SF Measure Development'!BG145</f>
        <v>FLAT</v>
      </c>
      <c r="I115" s="753">
        <f ca="1">'SF Measure Development'!BH145</f>
        <v>13.58252646683548</v>
      </c>
      <c r="J115" s="750">
        <f>'SF Measure Development'!BI145</f>
        <v>0</v>
      </c>
      <c r="K115" s="750">
        <f>'SF Measure Development'!BJ145</f>
        <v>0</v>
      </c>
      <c r="L115" s="750">
        <f>'SF Measure Development'!BK205</f>
        <v>0</v>
      </c>
      <c r="M115" s="750">
        <f>'SF Measure Development'!BL205</f>
        <v>0</v>
      </c>
      <c r="N115" s="750">
        <f>'SF Measure Development'!BM205</f>
        <v>0</v>
      </c>
      <c r="O115" s="750">
        <f>'SF Measure Development'!BN205</f>
        <v>0</v>
      </c>
      <c r="P115" s="754">
        <f>'SF Measure Development'!BO205</f>
        <v>0</v>
      </c>
      <c r="Q115" s="750">
        <f>'SF Measure Development'!BP205</f>
        <v>0</v>
      </c>
    </row>
    <row r="116" spans="1:17" ht="25.5">
      <c r="A116" s="9" t="s">
        <v>54</v>
      </c>
      <c r="B116" s="755" t="str">
        <f>'SF Measure Development'!BA146</f>
        <v>ENERGY STAR - Front-Load Clothes Washer - Gas DHW, Gas Dryer - 31% ENERGY STAR Baseline</v>
      </c>
      <c r="C116" s="755" t="str">
        <f>'SF Measure Development'!BB146</f>
        <v>Waste Water Energy</v>
      </c>
      <c r="D116" s="751">
        <f ca="1">'SF Measure Development'!BC146</f>
        <v>3.6144341128034556</v>
      </c>
      <c r="E116" s="755">
        <f>'SF Measure Development'!BD146</f>
        <v>14</v>
      </c>
      <c r="F116" s="752">
        <f>'SF Measure Development'!BE146</f>
        <v>0</v>
      </c>
      <c r="G116" s="759">
        <f>'SF Measure Development'!BF146</f>
        <v>0</v>
      </c>
      <c r="H116" s="750" t="str">
        <f>'SF Measure Development'!BG146</f>
        <v>FLAT</v>
      </c>
      <c r="I116" s="753">
        <f ca="1">'SF Measure Development'!BH146</f>
        <v>13.58252646683548</v>
      </c>
      <c r="J116" s="750">
        <f>'SF Measure Development'!BI146</f>
        <v>0</v>
      </c>
      <c r="K116" s="750">
        <f>'SF Measure Development'!BJ146</f>
        <v>0</v>
      </c>
      <c r="L116" s="750">
        <f>'SF Measure Development'!BK206</f>
        <v>0</v>
      </c>
      <c r="M116" s="750">
        <f>'SF Measure Development'!BL206</f>
        <v>0</v>
      </c>
      <c r="N116" s="750">
        <f>'SF Measure Development'!BM206</f>
        <v>0</v>
      </c>
      <c r="O116" s="750">
        <f>'SF Measure Development'!BN206</f>
        <v>0</v>
      </c>
      <c r="P116" s="754">
        <f>'SF Measure Development'!BO206</f>
        <v>0</v>
      </c>
      <c r="Q116" s="750">
        <f>'SF Measure Development'!BP206</f>
        <v>0</v>
      </c>
    </row>
    <row r="117" spans="1:17" ht="25.5">
      <c r="A117" s="9" t="s">
        <v>54</v>
      </c>
      <c r="B117" s="755" t="str">
        <f>'SF Measure Development'!BA147</f>
        <v>ENERGY STAR - Front-Load Clothes Washer - Any DHW, Any Dryer - 31% ENERGY STAR Baseline</v>
      </c>
      <c r="C117" s="755" t="str">
        <f>'SF Measure Development'!BB147</f>
        <v>Waste Water Energy</v>
      </c>
      <c r="D117" s="751">
        <f ca="1">'SF Measure Development'!BC147</f>
        <v>3.6144341128034556</v>
      </c>
      <c r="E117" s="755">
        <f>'SF Measure Development'!BD147</f>
        <v>14</v>
      </c>
      <c r="F117" s="752">
        <f>'SF Measure Development'!BE147</f>
        <v>0</v>
      </c>
      <c r="G117" s="759">
        <f>'SF Measure Development'!BF147</f>
        <v>0</v>
      </c>
      <c r="H117" s="750" t="str">
        <f>'SF Measure Development'!BG147</f>
        <v>FLAT</v>
      </c>
      <c r="I117" s="753">
        <f ca="1">'SF Measure Development'!BH147</f>
        <v>13.58252646683548</v>
      </c>
      <c r="J117" s="750">
        <f>'SF Measure Development'!BI147</f>
        <v>0</v>
      </c>
      <c r="K117" s="750">
        <f>'SF Measure Development'!BJ147</f>
        <v>0</v>
      </c>
      <c r="L117" s="750">
        <f>'SF Measure Development'!BK207</f>
        <v>0</v>
      </c>
      <c r="M117" s="750">
        <f>'SF Measure Development'!BL207</f>
        <v>0</v>
      </c>
      <c r="N117" s="750">
        <f>'SF Measure Development'!BM207</f>
        <v>0</v>
      </c>
      <c r="O117" s="750">
        <f>'SF Measure Development'!BN207</f>
        <v>0</v>
      </c>
      <c r="P117" s="754">
        <f>'SF Measure Development'!BO207</f>
        <v>0</v>
      </c>
      <c r="Q117" s="750">
        <f>'SF Measure Development'!BP207</f>
        <v>0</v>
      </c>
    </row>
    <row r="118" spans="1:17">
      <c r="A118" s="9" t="s">
        <v>54</v>
      </c>
      <c r="B118" s="755" t="str">
        <f>'SF Measure Development'!BA153</f>
        <v>CEE Tier 1 Clothes Washer - Electric DHW, Electric Dryer - 31% ENERGY STAR Baseline</v>
      </c>
      <c r="C118" s="755" t="str">
        <f>'SF Measure Development'!BB153</f>
        <v>Waste Water Energy</v>
      </c>
      <c r="D118" s="751">
        <f ca="1">'SF Measure Development'!BC153</f>
        <v>3.17293366135821</v>
      </c>
      <c r="E118" s="755">
        <f>'SF Measure Development'!BD153</f>
        <v>14</v>
      </c>
      <c r="F118" s="752">
        <f>'SF Measure Development'!BE153</f>
        <v>0</v>
      </c>
      <c r="G118" s="759">
        <f>'SF Measure Development'!BF153</f>
        <v>0</v>
      </c>
      <c r="H118" s="750" t="str">
        <f>'SF Measure Development'!BG153</f>
        <v>FLAT</v>
      </c>
      <c r="I118" s="753">
        <f ca="1">'SF Measure Development'!BH153</f>
        <v>11.923430912808721</v>
      </c>
      <c r="J118" s="750">
        <f>'SF Measure Development'!BI153</f>
        <v>0</v>
      </c>
      <c r="K118" s="750">
        <f>'SF Measure Development'!BJ153</f>
        <v>0</v>
      </c>
      <c r="L118" s="750">
        <f>'SF Measure Development'!BK213</f>
        <v>0</v>
      </c>
      <c r="M118" s="750">
        <f>'SF Measure Development'!BL213</f>
        <v>0</v>
      </c>
      <c r="N118" s="750">
        <f>'SF Measure Development'!BM213</f>
        <v>0</v>
      </c>
      <c r="O118" s="750">
        <f>'SF Measure Development'!BN213</f>
        <v>0</v>
      </c>
      <c r="P118" s="754">
        <f>'SF Measure Development'!BO213</f>
        <v>0</v>
      </c>
      <c r="Q118" s="750">
        <f>'SF Measure Development'!BP213</f>
        <v>0</v>
      </c>
    </row>
    <row r="119" spans="1:17">
      <c r="A119" s="9" t="s">
        <v>54</v>
      </c>
      <c r="B119" s="755" t="str">
        <f>'SF Measure Development'!BA154</f>
        <v>CEE Tier 1 Clothes Washer - Electric DHW, Gas Dryer - 31% ENERGY STAR Baseline</v>
      </c>
      <c r="C119" s="755" t="str">
        <f>'SF Measure Development'!BB154</f>
        <v>Waste Water Energy</v>
      </c>
      <c r="D119" s="751">
        <f ca="1">'SF Measure Development'!BC154</f>
        <v>3.17293366135821</v>
      </c>
      <c r="E119" s="755">
        <f>'SF Measure Development'!BD154</f>
        <v>14</v>
      </c>
      <c r="F119" s="752">
        <f>'SF Measure Development'!BE154</f>
        <v>0</v>
      </c>
      <c r="G119" s="759">
        <f>'SF Measure Development'!BF154</f>
        <v>0</v>
      </c>
      <c r="H119" s="750" t="str">
        <f>'SF Measure Development'!BG154</f>
        <v>FLAT</v>
      </c>
      <c r="I119" s="753">
        <f ca="1">'SF Measure Development'!BH154</f>
        <v>11.923430912808721</v>
      </c>
      <c r="J119" s="750">
        <f>'SF Measure Development'!BI154</f>
        <v>0</v>
      </c>
      <c r="K119" s="750">
        <f>'SF Measure Development'!BJ154</f>
        <v>0</v>
      </c>
      <c r="L119" s="750">
        <f>'SF Measure Development'!BK214</f>
        <v>0</v>
      </c>
      <c r="M119" s="750">
        <f>'SF Measure Development'!BL214</f>
        <v>0</v>
      </c>
      <c r="N119" s="750">
        <f>'SF Measure Development'!BM214</f>
        <v>0</v>
      </c>
      <c r="O119" s="750">
        <f>'SF Measure Development'!BN214</f>
        <v>0</v>
      </c>
      <c r="P119" s="754">
        <f>'SF Measure Development'!BO214</f>
        <v>0</v>
      </c>
      <c r="Q119" s="750">
        <f>'SF Measure Development'!BP214</f>
        <v>0</v>
      </c>
    </row>
    <row r="120" spans="1:17">
      <c r="A120" s="9" t="s">
        <v>54</v>
      </c>
      <c r="B120" s="755" t="str">
        <f>'SF Measure Development'!BA155</f>
        <v>CEE Tier 1 Clothes Washer - Gas DHW, Electric Dryer - 31% ENERGY STAR Baseline</v>
      </c>
      <c r="C120" s="755" t="str">
        <f>'SF Measure Development'!BB155</f>
        <v>Waste Water Energy</v>
      </c>
      <c r="D120" s="751">
        <f ca="1">'SF Measure Development'!BC155</f>
        <v>3.17293366135821</v>
      </c>
      <c r="E120" s="755">
        <f>'SF Measure Development'!BD155</f>
        <v>14</v>
      </c>
      <c r="F120" s="752">
        <f>'SF Measure Development'!BE155</f>
        <v>0</v>
      </c>
      <c r="G120" s="759">
        <f>'SF Measure Development'!BF155</f>
        <v>0</v>
      </c>
      <c r="H120" s="750" t="str">
        <f>'SF Measure Development'!BG155</f>
        <v>FLAT</v>
      </c>
      <c r="I120" s="753">
        <f ca="1">'SF Measure Development'!BH155</f>
        <v>11.923430912808721</v>
      </c>
      <c r="J120" s="750">
        <f>'SF Measure Development'!BI155</f>
        <v>0</v>
      </c>
      <c r="K120" s="750">
        <f>'SF Measure Development'!BJ155</f>
        <v>0</v>
      </c>
      <c r="L120" s="750">
        <f>'SF Measure Development'!BK215</f>
        <v>0</v>
      </c>
      <c r="M120" s="750">
        <f>'SF Measure Development'!BL215</f>
        <v>0</v>
      </c>
      <c r="N120" s="750">
        <f>'SF Measure Development'!BM215</f>
        <v>0</v>
      </c>
      <c r="O120" s="750">
        <f>'SF Measure Development'!BN215</f>
        <v>0</v>
      </c>
      <c r="P120" s="754">
        <f>'SF Measure Development'!BO215</f>
        <v>0</v>
      </c>
      <c r="Q120" s="750">
        <f>'SF Measure Development'!BP215</f>
        <v>0</v>
      </c>
    </row>
    <row r="121" spans="1:17">
      <c r="A121" s="9" t="s">
        <v>54</v>
      </c>
      <c r="B121" s="755" t="str">
        <f>'SF Measure Development'!BA156</f>
        <v>CEE Tier 1 Clothes Washer - Gas DHW, Gas Dryer - 31% ENERGY STAR Baseline</v>
      </c>
      <c r="C121" s="755" t="str">
        <f>'SF Measure Development'!BB156</f>
        <v>Waste Water Energy</v>
      </c>
      <c r="D121" s="751">
        <f ca="1">'SF Measure Development'!BC156</f>
        <v>3.17293366135821</v>
      </c>
      <c r="E121" s="755">
        <f>'SF Measure Development'!BD156</f>
        <v>14</v>
      </c>
      <c r="F121" s="752">
        <f>'SF Measure Development'!BE156</f>
        <v>0</v>
      </c>
      <c r="G121" s="759">
        <f>'SF Measure Development'!BF156</f>
        <v>0</v>
      </c>
      <c r="H121" s="750" t="str">
        <f>'SF Measure Development'!BG156</f>
        <v>FLAT</v>
      </c>
      <c r="I121" s="753">
        <f ca="1">'SF Measure Development'!BH156</f>
        <v>11.923430912808721</v>
      </c>
      <c r="J121" s="750">
        <f>'SF Measure Development'!BI156</f>
        <v>0</v>
      </c>
      <c r="K121" s="750">
        <f>'SF Measure Development'!BJ156</f>
        <v>0</v>
      </c>
      <c r="L121" s="750">
        <f>'SF Measure Development'!BK216</f>
        <v>0</v>
      </c>
      <c r="M121" s="750">
        <f>'SF Measure Development'!BL216</f>
        <v>0</v>
      </c>
      <c r="N121" s="750">
        <f>'SF Measure Development'!BM216</f>
        <v>0</v>
      </c>
      <c r="O121" s="750">
        <f>'SF Measure Development'!BN216</f>
        <v>0</v>
      </c>
      <c r="P121" s="754">
        <f>'SF Measure Development'!BO216</f>
        <v>0</v>
      </c>
      <c r="Q121" s="750">
        <f>'SF Measure Development'!BP216</f>
        <v>0</v>
      </c>
    </row>
    <row r="122" spans="1:17">
      <c r="A122" s="9" t="s">
        <v>54</v>
      </c>
      <c r="B122" s="755" t="str">
        <f>'SF Measure Development'!BA157</f>
        <v>CEE Tier 1 Clothes Washer - Any DHW, Any Dryer - 31% ENERGY STAR Baseline</v>
      </c>
      <c r="C122" s="755" t="str">
        <f>'SF Measure Development'!BB157</f>
        <v>Waste Water Energy</v>
      </c>
      <c r="D122" s="751">
        <f ca="1">'SF Measure Development'!BC157</f>
        <v>3.17293366135821</v>
      </c>
      <c r="E122" s="755">
        <f>'SF Measure Development'!BD157</f>
        <v>14</v>
      </c>
      <c r="F122" s="752">
        <f>'SF Measure Development'!BE157</f>
        <v>0</v>
      </c>
      <c r="G122" s="759">
        <f>'SF Measure Development'!BF157</f>
        <v>0</v>
      </c>
      <c r="H122" s="750" t="str">
        <f>'SF Measure Development'!BG157</f>
        <v>FLAT</v>
      </c>
      <c r="I122" s="753">
        <f ca="1">'SF Measure Development'!BH157</f>
        <v>11.923430912808721</v>
      </c>
      <c r="J122" s="750">
        <f>'SF Measure Development'!BI157</f>
        <v>0</v>
      </c>
      <c r="K122" s="750">
        <f>'SF Measure Development'!BJ157</f>
        <v>0</v>
      </c>
      <c r="L122" s="750">
        <f>'SF Measure Development'!BK217</f>
        <v>0</v>
      </c>
      <c r="M122" s="750">
        <f>'SF Measure Development'!BL217</f>
        <v>0</v>
      </c>
      <c r="N122" s="750">
        <f>'SF Measure Development'!BM217</f>
        <v>0</v>
      </c>
      <c r="O122" s="750">
        <f>'SF Measure Development'!BN217</f>
        <v>0</v>
      </c>
      <c r="P122" s="754">
        <f>'SF Measure Development'!BO217</f>
        <v>0</v>
      </c>
      <c r="Q122" s="750">
        <f>'SF Measure Development'!BP217</f>
        <v>0</v>
      </c>
    </row>
    <row r="123" spans="1:17">
      <c r="A123" s="9" t="s">
        <v>54</v>
      </c>
      <c r="B123" s="755" t="str">
        <f>'SF Measure Development'!BA158</f>
        <v>CEE Tier 2 Clothes Washer - Electric DHW, Electric Dryer - 31% ENERGY STAR Baseline</v>
      </c>
      <c r="C123" s="755" t="str">
        <f>'SF Measure Development'!BB158</f>
        <v>Waste Water Energy</v>
      </c>
      <c r="D123" s="751">
        <f ca="1">'SF Measure Development'!BC158</f>
        <v>4.2319016498398385</v>
      </c>
      <c r="E123" s="755">
        <f>'SF Measure Development'!BD158</f>
        <v>14</v>
      </c>
      <c r="F123" s="752">
        <f>'SF Measure Development'!BE158</f>
        <v>0</v>
      </c>
      <c r="G123" s="759">
        <f>'SF Measure Development'!BF158</f>
        <v>0</v>
      </c>
      <c r="H123" s="750" t="str">
        <f>'SF Measure Development'!BG158</f>
        <v>FLAT</v>
      </c>
      <c r="I123" s="753">
        <f ca="1">'SF Measure Development'!BH158</f>
        <v>15.902881162055911</v>
      </c>
      <c r="J123" s="750">
        <f>'SF Measure Development'!BI158</f>
        <v>0</v>
      </c>
      <c r="K123" s="750">
        <f>'SF Measure Development'!BJ158</f>
        <v>0</v>
      </c>
      <c r="L123" s="750">
        <f>'SF Measure Development'!BK218</f>
        <v>0</v>
      </c>
      <c r="M123" s="750">
        <f>'SF Measure Development'!BL218</f>
        <v>0</v>
      </c>
      <c r="N123" s="750">
        <f>'SF Measure Development'!BM218</f>
        <v>0</v>
      </c>
      <c r="O123" s="750">
        <f>'SF Measure Development'!BN218</f>
        <v>0</v>
      </c>
      <c r="P123" s="754">
        <f>'SF Measure Development'!BO218</f>
        <v>0</v>
      </c>
      <c r="Q123" s="750">
        <f>'SF Measure Development'!BP218</f>
        <v>0</v>
      </c>
    </row>
    <row r="124" spans="1:17">
      <c r="A124" s="9" t="s">
        <v>54</v>
      </c>
      <c r="B124" s="755" t="str">
        <f>'SF Measure Development'!BA159</f>
        <v>CEE Tier 2 Clothes Washer - Electric DHW, Gas Dryer - 31% ENERGY STAR Baseline</v>
      </c>
      <c r="C124" s="755" t="str">
        <f>'SF Measure Development'!BB159</f>
        <v>Waste Water Energy</v>
      </c>
      <c r="D124" s="751">
        <f ca="1">'SF Measure Development'!BC159</f>
        <v>4.2319016498398385</v>
      </c>
      <c r="E124" s="755">
        <f>'SF Measure Development'!BD159</f>
        <v>14</v>
      </c>
      <c r="F124" s="752">
        <f>'SF Measure Development'!BE159</f>
        <v>0</v>
      </c>
      <c r="G124" s="759">
        <f>'SF Measure Development'!BF159</f>
        <v>0</v>
      </c>
      <c r="H124" s="750" t="str">
        <f>'SF Measure Development'!BG159</f>
        <v>FLAT</v>
      </c>
      <c r="I124" s="753">
        <f ca="1">'SF Measure Development'!BH159</f>
        <v>15.902881162055911</v>
      </c>
      <c r="J124" s="750">
        <f>'SF Measure Development'!BI159</f>
        <v>0</v>
      </c>
      <c r="K124" s="750">
        <f>'SF Measure Development'!BJ159</f>
        <v>0</v>
      </c>
      <c r="L124" s="750">
        <f>'SF Measure Development'!BK219</f>
        <v>0</v>
      </c>
      <c r="M124" s="750">
        <f>'SF Measure Development'!BL219</f>
        <v>0</v>
      </c>
      <c r="N124" s="750">
        <f>'SF Measure Development'!BM219</f>
        <v>0</v>
      </c>
      <c r="O124" s="750">
        <f>'SF Measure Development'!BN219</f>
        <v>0</v>
      </c>
      <c r="P124" s="754">
        <f>'SF Measure Development'!BO219</f>
        <v>0</v>
      </c>
      <c r="Q124" s="750">
        <f>'SF Measure Development'!BP219</f>
        <v>0</v>
      </c>
    </row>
    <row r="125" spans="1:17">
      <c r="A125" s="9" t="s">
        <v>54</v>
      </c>
      <c r="B125" s="755" t="str">
        <f>'SF Measure Development'!BA160</f>
        <v>CEE Tier 2 Clothes Washer - Gas DHW, Electric Dryer - 31% ENERGY STAR Baseline</v>
      </c>
      <c r="C125" s="755" t="str">
        <f>'SF Measure Development'!BB160</f>
        <v>Waste Water Energy</v>
      </c>
      <c r="D125" s="751">
        <f ca="1">'SF Measure Development'!BC160</f>
        <v>4.2319016498398385</v>
      </c>
      <c r="E125" s="755">
        <f>'SF Measure Development'!BD160</f>
        <v>14</v>
      </c>
      <c r="F125" s="752">
        <f>'SF Measure Development'!BE160</f>
        <v>0</v>
      </c>
      <c r="G125" s="759">
        <f>'SF Measure Development'!BF160</f>
        <v>0</v>
      </c>
      <c r="H125" s="750" t="str">
        <f>'SF Measure Development'!BG160</f>
        <v>FLAT</v>
      </c>
      <c r="I125" s="753">
        <f ca="1">'SF Measure Development'!BH160</f>
        <v>15.902881162055911</v>
      </c>
      <c r="J125" s="750">
        <f>'SF Measure Development'!BI160</f>
        <v>0</v>
      </c>
      <c r="K125" s="750">
        <f>'SF Measure Development'!BJ160</f>
        <v>0</v>
      </c>
      <c r="L125" s="750">
        <f>'SF Measure Development'!BK220</f>
        <v>0</v>
      </c>
      <c r="M125" s="750">
        <f>'SF Measure Development'!BL220</f>
        <v>0</v>
      </c>
      <c r="N125" s="750">
        <f>'SF Measure Development'!BM220</f>
        <v>0</v>
      </c>
      <c r="O125" s="750">
        <f>'SF Measure Development'!BN220</f>
        <v>0</v>
      </c>
      <c r="P125" s="754">
        <f>'SF Measure Development'!BO220</f>
        <v>0</v>
      </c>
      <c r="Q125" s="750">
        <f>'SF Measure Development'!BP220</f>
        <v>0</v>
      </c>
    </row>
    <row r="126" spans="1:17">
      <c r="A126" s="9" t="s">
        <v>54</v>
      </c>
      <c r="B126" s="755" t="str">
        <f>'SF Measure Development'!BA161</f>
        <v>CEE Tier 2 Clothes Washer - Gas DHW, Gas Dryer - 31% ENERGY STAR Baseline</v>
      </c>
      <c r="C126" s="755" t="str">
        <f>'SF Measure Development'!BB161</f>
        <v>Waste Water Energy</v>
      </c>
      <c r="D126" s="751">
        <f ca="1">'SF Measure Development'!BC161</f>
        <v>4.2319016498398385</v>
      </c>
      <c r="E126" s="755">
        <f>'SF Measure Development'!BD161</f>
        <v>14</v>
      </c>
      <c r="F126" s="752">
        <f>'SF Measure Development'!BE161</f>
        <v>0</v>
      </c>
      <c r="G126" s="759">
        <f>'SF Measure Development'!BF161</f>
        <v>0</v>
      </c>
      <c r="H126" s="750" t="str">
        <f>'SF Measure Development'!BG161</f>
        <v>FLAT</v>
      </c>
      <c r="I126" s="753">
        <f ca="1">'SF Measure Development'!BH161</f>
        <v>15.902881162055911</v>
      </c>
      <c r="J126" s="750">
        <f>'SF Measure Development'!BI161</f>
        <v>0</v>
      </c>
      <c r="K126" s="750">
        <f>'SF Measure Development'!BJ161</f>
        <v>0</v>
      </c>
      <c r="L126" s="750">
        <f>'SF Measure Development'!BK221</f>
        <v>0</v>
      </c>
      <c r="M126" s="750">
        <f>'SF Measure Development'!BL221</f>
        <v>0</v>
      </c>
      <c r="N126" s="750">
        <f>'SF Measure Development'!BM221</f>
        <v>0</v>
      </c>
      <c r="O126" s="750">
        <f>'SF Measure Development'!BN221</f>
        <v>0</v>
      </c>
      <c r="P126" s="754">
        <f>'SF Measure Development'!BO221</f>
        <v>0</v>
      </c>
      <c r="Q126" s="750">
        <f>'SF Measure Development'!BP221</f>
        <v>0</v>
      </c>
    </row>
    <row r="127" spans="1:17">
      <c r="A127" s="9" t="s">
        <v>54</v>
      </c>
      <c r="B127" s="755" t="str">
        <f>'SF Measure Development'!BA162</f>
        <v>CEE Tier 2 Clothes Washer - Any DHW, Any Dryer - 31% ENERGY STAR Baseline</v>
      </c>
      <c r="C127" s="755" t="str">
        <f>'SF Measure Development'!BB162</f>
        <v>Waste Water Energy</v>
      </c>
      <c r="D127" s="751">
        <f ca="1">'SF Measure Development'!BC162</f>
        <v>4.2319016498398385</v>
      </c>
      <c r="E127" s="755">
        <f>'SF Measure Development'!BD162</f>
        <v>14</v>
      </c>
      <c r="F127" s="752">
        <f>'SF Measure Development'!BE162</f>
        <v>0</v>
      </c>
      <c r="G127" s="759">
        <f>'SF Measure Development'!BF162</f>
        <v>0</v>
      </c>
      <c r="H127" s="750" t="str">
        <f>'SF Measure Development'!BG162</f>
        <v>FLAT</v>
      </c>
      <c r="I127" s="753">
        <f ca="1">'SF Measure Development'!BH162</f>
        <v>15.902881162055911</v>
      </c>
      <c r="J127" s="750">
        <f>'SF Measure Development'!BI162</f>
        <v>0</v>
      </c>
      <c r="K127" s="750">
        <f>'SF Measure Development'!BJ162</f>
        <v>0</v>
      </c>
      <c r="L127" s="750">
        <f>'SF Measure Development'!BK222</f>
        <v>0</v>
      </c>
      <c r="M127" s="750">
        <f>'SF Measure Development'!BL222</f>
        <v>0</v>
      </c>
      <c r="N127" s="750">
        <f>'SF Measure Development'!BM222</f>
        <v>0</v>
      </c>
      <c r="O127" s="750">
        <f>'SF Measure Development'!BN222</f>
        <v>0</v>
      </c>
      <c r="P127" s="754">
        <f>'SF Measure Development'!BO222</f>
        <v>0</v>
      </c>
      <c r="Q127" s="750">
        <f>'SF Measure Development'!BP222</f>
        <v>0</v>
      </c>
    </row>
    <row r="128" spans="1:17">
      <c r="A128" s="9" t="s">
        <v>54</v>
      </c>
      <c r="B128" s="755" t="str">
        <f>'SF Measure Development'!BA163</f>
        <v>CEE Tier 3 Clothes Washer - Electric DHW, Electric Dryer - 31% ENERGY STAR Baseline</v>
      </c>
      <c r="C128" s="755" t="str">
        <f>'SF Measure Development'!BB163</f>
        <v>Waste Water Energy</v>
      </c>
      <c r="D128" s="751">
        <f ca="1">'SF Measure Development'!BC163</f>
        <v>4.3233672150637759</v>
      </c>
      <c r="E128" s="755">
        <f>'SF Measure Development'!BD163</f>
        <v>14</v>
      </c>
      <c r="F128" s="752">
        <f>'SF Measure Development'!BE163</f>
        <v>0</v>
      </c>
      <c r="G128" s="759">
        <f>'SF Measure Development'!BF163</f>
        <v>0</v>
      </c>
      <c r="H128" s="750" t="str">
        <f>'SF Measure Development'!BG163</f>
        <v>FLAT</v>
      </c>
      <c r="I128" s="753">
        <f ca="1">'SF Measure Development'!BH163</f>
        <v>16.246595674946729</v>
      </c>
      <c r="J128" s="750">
        <f>'SF Measure Development'!BI163</f>
        <v>0</v>
      </c>
      <c r="K128" s="750">
        <f>'SF Measure Development'!BJ163</f>
        <v>0</v>
      </c>
      <c r="L128" s="750">
        <f>'SF Measure Development'!BK223</f>
        <v>0</v>
      </c>
      <c r="M128" s="750">
        <f>'SF Measure Development'!BL223</f>
        <v>0</v>
      </c>
      <c r="N128" s="750">
        <f>'SF Measure Development'!BM223</f>
        <v>0</v>
      </c>
      <c r="O128" s="750">
        <f>'SF Measure Development'!BN223</f>
        <v>0</v>
      </c>
      <c r="P128" s="754">
        <f>'SF Measure Development'!BO223</f>
        <v>0</v>
      </c>
      <c r="Q128" s="750">
        <f>'SF Measure Development'!BP223</f>
        <v>0</v>
      </c>
    </row>
    <row r="129" spans="1:17">
      <c r="A129" s="9" t="s">
        <v>54</v>
      </c>
      <c r="B129" s="755" t="str">
        <f>'SF Measure Development'!BA164</f>
        <v>CEE Tier 3 Clothes Washer - Electric DHW, Gas Dryer - 31% ENERGY STAR Baseline</v>
      </c>
      <c r="C129" s="755" t="str">
        <f>'SF Measure Development'!BB164</f>
        <v>Waste Water Energy</v>
      </c>
      <c r="D129" s="751">
        <f ca="1">'SF Measure Development'!BC164</f>
        <v>4.3233672150637759</v>
      </c>
      <c r="E129" s="755">
        <f>'SF Measure Development'!BD164</f>
        <v>14</v>
      </c>
      <c r="F129" s="752">
        <f>'SF Measure Development'!BE164</f>
        <v>0</v>
      </c>
      <c r="G129" s="759">
        <f>'SF Measure Development'!BF164</f>
        <v>0</v>
      </c>
      <c r="H129" s="750" t="str">
        <f>'SF Measure Development'!BG164</f>
        <v>FLAT</v>
      </c>
      <c r="I129" s="753">
        <f ca="1">'SF Measure Development'!BH164</f>
        <v>16.246595674946729</v>
      </c>
      <c r="J129" s="750">
        <f>'SF Measure Development'!BI164</f>
        <v>0</v>
      </c>
      <c r="K129" s="750">
        <f>'SF Measure Development'!BJ164</f>
        <v>0</v>
      </c>
      <c r="L129" s="750">
        <f>'SF Measure Development'!BK224</f>
        <v>0</v>
      </c>
      <c r="M129" s="750">
        <f>'SF Measure Development'!BL224</f>
        <v>0</v>
      </c>
      <c r="N129" s="750">
        <f>'SF Measure Development'!BM224</f>
        <v>0</v>
      </c>
      <c r="O129" s="750">
        <f>'SF Measure Development'!BN224</f>
        <v>0</v>
      </c>
      <c r="P129" s="754">
        <f>'SF Measure Development'!BO224</f>
        <v>0</v>
      </c>
      <c r="Q129" s="750">
        <f>'SF Measure Development'!BP224</f>
        <v>0</v>
      </c>
    </row>
    <row r="130" spans="1:17">
      <c r="A130" s="9" t="s">
        <v>54</v>
      </c>
      <c r="B130" s="755" t="str">
        <f>'SF Measure Development'!BA165</f>
        <v>CEE Tier 3 Clothes Washer - Gas DHW, Electric Dryer - 31% ENERGY STAR Baseline</v>
      </c>
      <c r="C130" s="755" t="str">
        <f>'SF Measure Development'!BB165</f>
        <v>Waste Water Energy</v>
      </c>
      <c r="D130" s="751">
        <f ca="1">'SF Measure Development'!BC165</f>
        <v>4.3233672150637759</v>
      </c>
      <c r="E130" s="755">
        <f>'SF Measure Development'!BD165</f>
        <v>14</v>
      </c>
      <c r="F130" s="752">
        <f>'SF Measure Development'!BE165</f>
        <v>0</v>
      </c>
      <c r="G130" s="759">
        <f>'SF Measure Development'!BF165</f>
        <v>0</v>
      </c>
      <c r="H130" s="750" t="str">
        <f>'SF Measure Development'!BG165</f>
        <v>FLAT</v>
      </c>
      <c r="I130" s="753">
        <f ca="1">'SF Measure Development'!BH165</f>
        <v>16.246595674946729</v>
      </c>
      <c r="J130" s="750">
        <f>'SF Measure Development'!BI165</f>
        <v>0</v>
      </c>
      <c r="K130" s="750">
        <f>'SF Measure Development'!BJ165</f>
        <v>0</v>
      </c>
      <c r="L130" s="750">
        <f>'SF Measure Development'!BK225</f>
        <v>0</v>
      </c>
      <c r="M130" s="750">
        <f>'SF Measure Development'!BL225</f>
        <v>0</v>
      </c>
      <c r="N130" s="750">
        <f>'SF Measure Development'!BM225</f>
        <v>0</v>
      </c>
      <c r="O130" s="750">
        <f>'SF Measure Development'!BN225</f>
        <v>0</v>
      </c>
      <c r="P130" s="754">
        <f>'SF Measure Development'!BO225</f>
        <v>0</v>
      </c>
      <c r="Q130" s="750">
        <f>'SF Measure Development'!BP225</f>
        <v>0</v>
      </c>
    </row>
    <row r="131" spans="1:17">
      <c r="A131" s="9" t="s">
        <v>54</v>
      </c>
      <c r="B131" s="755" t="str">
        <f>'SF Measure Development'!BA166</f>
        <v>CEE Tier 3 Clothes Washer - Gas DHW, Gas Dryer - 31% ENERGY STAR Baseline</v>
      </c>
      <c r="C131" s="755" t="str">
        <f>'SF Measure Development'!BB166</f>
        <v>Waste Water Energy</v>
      </c>
      <c r="D131" s="751">
        <f ca="1">'SF Measure Development'!BC166</f>
        <v>4.3233672150637759</v>
      </c>
      <c r="E131" s="755">
        <f>'SF Measure Development'!BD166</f>
        <v>14</v>
      </c>
      <c r="F131" s="752">
        <f>'SF Measure Development'!BE166</f>
        <v>0</v>
      </c>
      <c r="G131" s="759">
        <f>'SF Measure Development'!BF166</f>
        <v>0</v>
      </c>
      <c r="H131" s="750" t="str">
        <f>'SF Measure Development'!BG166</f>
        <v>FLAT</v>
      </c>
      <c r="I131" s="753">
        <f ca="1">'SF Measure Development'!BH166</f>
        <v>16.246595674946729</v>
      </c>
      <c r="J131" s="750">
        <f>'SF Measure Development'!BI166</f>
        <v>0</v>
      </c>
      <c r="K131" s="750">
        <f>'SF Measure Development'!BJ166</f>
        <v>0</v>
      </c>
      <c r="L131" s="750">
        <f>'SF Measure Development'!BK226</f>
        <v>0</v>
      </c>
      <c r="M131" s="750">
        <f>'SF Measure Development'!BL226</f>
        <v>0</v>
      </c>
      <c r="N131" s="750">
        <f>'SF Measure Development'!BM226</f>
        <v>0</v>
      </c>
      <c r="O131" s="750">
        <f>'SF Measure Development'!BN226</f>
        <v>0</v>
      </c>
      <c r="P131" s="754">
        <f>'SF Measure Development'!BO226</f>
        <v>0</v>
      </c>
      <c r="Q131" s="750">
        <f>'SF Measure Development'!BP226</f>
        <v>0</v>
      </c>
    </row>
    <row r="132" spans="1:17">
      <c r="A132" s="9" t="s">
        <v>54</v>
      </c>
      <c r="B132" s="755" t="str">
        <f>'SF Measure Development'!BA167</f>
        <v>CEE Tier 3 Clothes Washer - Any DHW, Any Dryer - 31% ENERGY STAR Baseline</v>
      </c>
      <c r="C132" s="755" t="str">
        <f>'SF Measure Development'!BB167</f>
        <v>Waste Water Energy</v>
      </c>
      <c r="D132" s="751">
        <f ca="1">'SF Measure Development'!BC167</f>
        <v>4.3233672150637759</v>
      </c>
      <c r="E132" s="755">
        <f>'SF Measure Development'!BD167</f>
        <v>14</v>
      </c>
      <c r="F132" s="752">
        <f>'SF Measure Development'!BE167</f>
        <v>0</v>
      </c>
      <c r="G132" s="759">
        <f>'SF Measure Development'!BF167</f>
        <v>0</v>
      </c>
      <c r="H132" s="750" t="str">
        <f>'SF Measure Development'!BG167</f>
        <v>FLAT</v>
      </c>
      <c r="I132" s="753">
        <f ca="1">'SF Measure Development'!BH167</f>
        <v>16.246595674946729</v>
      </c>
      <c r="J132" s="750">
        <f>'SF Measure Development'!BI167</f>
        <v>0</v>
      </c>
      <c r="K132" s="750">
        <f>'SF Measure Development'!BJ167</f>
        <v>0</v>
      </c>
      <c r="L132" s="750">
        <f>'SF Measure Development'!BK227</f>
        <v>0</v>
      </c>
      <c r="M132" s="750">
        <f>'SF Measure Development'!BL227</f>
        <v>0</v>
      </c>
      <c r="N132" s="750">
        <f>'SF Measure Development'!BM227</f>
        <v>0</v>
      </c>
      <c r="O132" s="750">
        <f>'SF Measure Development'!BN227</f>
        <v>0</v>
      </c>
      <c r="P132" s="754">
        <f>'SF Measure Development'!BO227</f>
        <v>0</v>
      </c>
      <c r="Q132" s="750">
        <f>'SF Measure Development'!BP227</f>
        <v>0</v>
      </c>
    </row>
    <row r="133" spans="1:17" ht="25.5">
      <c r="A133" s="9" t="s">
        <v>54</v>
      </c>
      <c r="B133" s="755" t="str">
        <f>'SF Measure Development'!BA168</f>
        <v>ENERGY STAR - Top-Load Clothes Washer - Electric DHW, Electric Dryer - 54% ENERGY STAR Baseline</v>
      </c>
      <c r="C133" s="755" t="str">
        <f>'SF Measure Development'!BB168</f>
        <v>Waste Water Energy</v>
      </c>
      <c r="D133" s="751">
        <f ca="1">'SF Measure Development'!BC168</f>
        <v>-0.60922634974146261</v>
      </c>
      <c r="E133" s="755">
        <f>'SF Measure Development'!BD168</f>
        <v>14</v>
      </c>
      <c r="F133" s="752">
        <f>'SF Measure Development'!BE168</f>
        <v>0</v>
      </c>
      <c r="G133" s="759">
        <f>'SF Measure Development'!BF168</f>
        <v>0</v>
      </c>
      <c r="H133" s="750" t="str">
        <f>'SF Measure Development'!BG168</f>
        <v>FLAT</v>
      </c>
      <c r="I133" s="753">
        <f ca="1">'SF Measure Development'!BH168</f>
        <v>-2.2893854920041119</v>
      </c>
      <c r="J133" s="750">
        <f>'SF Measure Development'!BI168</f>
        <v>0</v>
      </c>
      <c r="K133" s="750">
        <f>'SF Measure Development'!BJ168</f>
        <v>0</v>
      </c>
      <c r="L133" s="750">
        <f>'SF Measure Development'!BK228</f>
        <v>0</v>
      </c>
      <c r="M133" s="750">
        <f>'SF Measure Development'!BL228</f>
        <v>0</v>
      </c>
      <c r="N133" s="750">
        <f>'SF Measure Development'!BM228</f>
        <v>0</v>
      </c>
      <c r="O133" s="750">
        <f>'SF Measure Development'!BN228</f>
        <v>0</v>
      </c>
      <c r="P133" s="754">
        <f>'SF Measure Development'!BO228</f>
        <v>0</v>
      </c>
      <c r="Q133" s="750">
        <f>'SF Measure Development'!BP228</f>
        <v>0</v>
      </c>
    </row>
    <row r="134" spans="1:17" ht="25.5">
      <c r="A134" s="9" t="s">
        <v>54</v>
      </c>
      <c r="B134" s="755" t="str">
        <f>'SF Measure Development'!BA169</f>
        <v>ENERGY STAR - Top-Load Clothes Washer - Electric DHW, Gas Dryer - 54% ENERGY STAR Baseline</v>
      </c>
      <c r="C134" s="755" t="str">
        <f>'SF Measure Development'!BB169</f>
        <v>Waste Water Energy</v>
      </c>
      <c r="D134" s="751">
        <f ca="1">'SF Measure Development'!BC169</f>
        <v>-0.60922634974146261</v>
      </c>
      <c r="E134" s="755">
        <f>'SF Measure Development'!BD169</f>
        <v>14</v>
      </c>
      <c r="F134" s="752">
        <f>'SF Measure Development'!BE169</f>
        <v>0</v>
      </c>
      <c r="G134" s="759">
        <f>'SF Measure Development'!BF169</f>
        <v>0</v>
      </c>
      <c r="H134" s="750" t="str">
        <f>'SF Measure Development'!BG169</f>
        <v>FLAT</v>
      </c>
      <c r="I134" s="753">
        <f ca="1">'SF Measure Development'!BH169</f>
        <v>-2.2893854920041119</v>
      </c>
      <c r="J134" s="750">
        <f>'SF Measure Development'!BI169</f>
        <v>0</v>
      </c>
      <c r="K134" s="750">
        <f>'SF Measure Development'!BJ169</f>
        <v>0</v>
      </c>
      <c r="L134" s="750">
        <f>'SF Measure Development'!BK229</f>
        <v>0</v>
      </c>
      <c r="M134" s="750">
        <f>'SF Measure Development'!BL229</f>
        <v>0</v>
      </c>
      <c r="N134" s="750">
        <f>'SF Measure Development'!BM229</f>
        <v>0</v>
      </c>
      <c r="O134" s="750">
        <f>'SF Measure Development'!BN229</f>
        <v>0</v>
      </c>
      <c r="P134" s="754">
        <f>'SF Measure Development'!BO229</f>
        <v>0</v>
      </c>
      <c r="Q134" s="750">
        <f>'SF Measure Development'!BP229</f>
        <v>0</v>
      </c>
    </row>
    <row r="135" spans="1:17" ht="25.5">
      <c r="A135" s="9" t="s">
        <v>54</v>
      </c>
      <c r="B135" s="755" t="str">
        <f>'SF Measure Development'!BA170</f>
        <v>ENERGY STAR - Top-Load Clothes Washer - Gas DHW, Electric Dryer - 54% ENERGY STAR Baseline</v>
      </c>
      <c r="C135" s="755" t="str">
        <f>'SF Measure Development'!BB170</f>
        <v>Waste Water Energy</v>
      </c>
      <c r="D135" s="751">
        <f ca="1">'SF Measure Development'!BC170</f>
        <v>-0.60922634974146261</v>
      </c>
      <c r="E135" s="755">
        <f>'SF Measure Development'!BD170</f>
        <v>14</v>
      </c>
      <c r="F135" s="752">
        <f>'SF Measure Development'!BE170</f>
        <v>0</v>
      </c>
      <c r="G135" s="759">
        <f>'SF Measure Development'!BF170</f>
        <v>0</v>
      </c>
      <c r="H135" s="750" t="str">
        <f>'SF Measure Development'!BG170</f>
        <v>FLAT</v>
      </c>
      <c r="I135" s="753">
        <f ca="1">'SF Measure Development'!BH170</f>
        <v>-2.2893854920041119</v>
      </c>
      <c r="J135" s="750">
        <f>'SF Measure Development'!BI170</f>
        <v>0</v>
      </c>
      <c r="K135" s="750">
        <f>'SF Measure Development'!BJ170</f>
        <v>0</v>
      </c>
      <c r="L135" s="750">
        <f>'SF Measure Development'!BK230</f>
        <v>0</v>
      </c>
      <c r="M135" s="750">
        <f>'SF Measure Development'!BL230</f>
        <v>0</v>
      </c>
      <c r="N135" s="750">
        <f>'SF Measure Development'!BM230</f>
        <v>0</v>
      </c>
      <c r="O135" s="750">
        <f>'SF Measure Development'!BN230</f>
        <v>0</v>
      </c>
      <c r="P135" s="754">
        <f>'SF Measure Development'!BO230</f>
        <v>0</v>
      </c>
      <c r="Q135" s="750">
        <f>'SF Measure Development'!BP230</f>
        <v>0</v>
      </c>
    </row>
    <row r="136" spans="1:17">
      <c r="A136" s="9" t="s">
        <v>54</v>
      </c>
      <c r="B136" s="755" t="str">
        <f>'SF Measure Development'!BA171</f>
        <v>ENERGY STAR - Top-Load Clothes Washer - Gas DHW, Gas Dryer - 54% ENERGY STAR Baseline</v>
      </c>
      <c r="C136" s="755" t="str">
        <f>'SF Measure Development'!BB171</f>
        <v>Waste Water Energy</v>
      </c>
      <c r="D136" s="751">
        <f ca="1">'SF Measure Development'!BC171</f>
        <v>-0.60922634974146261</v>
      </c>
      <c r="E136" s="755">
        <f>'SF Measure Development'!BD171</f>
        <v>14</v>
      </c>
      <c r="F136" s="752">
        <f>'SF Measure Development'!BE171</f>
        <v>0</v>
      </c>
      <c r="G136" s="759">
        <f>'SF Measure Development'!BF171</f>
        <v>0</v>
      </c>
      <c r="H136" s="750" t="str">
        <f>'SF Measure Development'!BG171</f>
        <v>FLAT</v>
      </c>
      <c r="I136" s="753">
        <f ca="1">'SF Measure Development'!BH171</f>
        <v>-2.2893854920041119</v>
      </c>
      <c r="J136" s="750">
        <f>'SF Measure Development'!BI171</f>
        <v>0</v>
      </c>
      <c r="K136" s="750">
        <f>'SF Measure Development'!BJ171</f>
        <v>0</v>
      </c>
      <c r="L136" s="750">
        <f>'SF Measure Development'!BK231</f>
        <v>0</v>
      </c>
      <c r="M136" s="750">
        <f>'SF Measure Development'!BL231</f>
        <v>0</v>
      </c>
      <c r="N136" s="750">
        <f>'SF Measure Development'!BM231</f>
        <v>0</v>
      </c>
      <c r="O136" s="750">
        <f>'SF Measure Development'!BN231</f>
        <v>0</v>
      </c>
      <c r="P136" s="754">
        <f>'SF Measure Development'!BO231</f>
        <v>0</v>
      </c>
      <c r="Q136" s="750">
        <f>'SF Measure Development'!BP231</f>
        <v>0</v>
      </c>
    </row>
    <row r="137" spans="1:17">
      <c r="A137" s="9" t="s">
        <v>54</v>
      </c>
      <c r="B137" s="755" t="str">
        <f>'SF Measure Development'!BA172</f>
        <v>ENERGY STAR - Top-Load Clothes Washer - Any DHW, Any Dryer - 54% ENERGY STAR Baseline</v>
      </c>
      <c r="C137" s="755" t="str">
        <f>'SF Measure Development'!BB172</f>
        <v>Waste Water Energy</v>
      </c>
      <c r="D137" s="751">
        <f ca="1">'SF Measure Development'!BC172</f>
        <v>-0.60922634974146261</v>
      </c>
      <c r="E137" s="755">
        <f>'SF Measure Development'!BD172</f>
        <v>14</v>
      </c>
      <c r="F137" s="752">
        <f>'SF Measure Development'!BE172</f>
        <v>0</v>
      </c>
      <c r="G137" s="759">
        <f>'SF Measure Development'!BF172</f>
        <v>0</v>
      </c>
      <c r="H137" s="750" t="str">
        <f>'SF Measure Development'!BG172</f>
        <v>FLAT</v>
      </c>
      <c r="I137" s="753">
        <f ca="1">'SF Measure Development'!BH172</f>
        <v>-2.2893854920041119</v>
      </c>
      <c r="J137" s="750">
        <f>'SF Measure Development'!BI172</f>
        <v>0</v>
      </c>
      <c r="K137" s="750">
        <f>'SF Measure Development'!BJ172</f>
        <v>0</v>
      </c>
      <c r="L137" s="750">
        <f>'SF Measure Development'!BK232</f>
        <v>0</v>
      </c>
      <c r="M137" s="750">
        <f>'SF Measure Development'!BL232</f>
        <v>0</v>
      </c>
      <c r="N137" s="750">
        <f>'SF Measure Development'!BM232</f>
        <v>0</v>
      </c>
      <c r="O137" s="750">
        <f>'SF Measure Development'!BN232</f>
        <v>0</v>
      </c>
      <c r="P137" s="754">
        <f>'SF Measure Development'!BO232</f>
        <v>0</v>
      </c>
      <c r="Q137" s="750">
        <f>'SF Measure Development'!BP232</f>
        <v>0</v>
      </c>
    </row>
    <row r="138" spans="1:17" ht="25.5">
      <c r="A138" s="9" t="s">
        <v>54</v>
      </c>
      <c r="B138" s="755" t="str">
        <f>'SF Measure Development'!BA173</f>
        <v>ENERGY STAR - Front-Load Clothes Washer - Electric DHW, Electric Dryer - 54% ENERGY STAR Baseline</v>
      </c>
      <c r="C138" s="755" t="str">
        <f>'SF Measure Development'!BB173</f>
        <v>Waste Water Energy</v>
      </c>
      <c r="D138" s="751">
        <f ca="1">'SF Measure Development'!BC173</f>
        <v>2.7104849190651508</v>
      </c>
      <c r="E138" s="755">
        <f>'SF Measure Development'!BD173</f>
        <v>14</v>
      </c>
      <c r="F138" s="752">
        <f>'SF Measure Development'!BE173</f>
        <v>0</v>
      </c>
      <c r="G138" s="759">
        <f>'SF Measure Development'!BF173</f>
        <v>0</v>
      </c>
      <c r="H138" s="750" t="str">
        <f>'SF Measure Development'!BG173</f>
        <v>FLAT</v>
      </c>
      <c r="I138" s="753">
        <f ca="1">'SF Measure Development'!BH173</f>
        <v>10.185614677758206</v>
      </c>
      <c r="J138" s="750">
        <f>'SF Measure Development'!BI173</f>
        <v>0</v>
      </c>
      <c r="K138" s="750">
        <f>'SF Measure Development'!BJ173</f>
        <v>0</v>
      </c>
      <c r="L138" s="750">
        <f>'SF Measure Development'!BK233</f>
        <v>0</v>
      </c>
      <c r="M138" s="750">
        <f>'SF Measure Development'!BL233</f>
        <v>0</v>
      </c>
      <c r="N138" s="750">
        <f>'SF Measure Development'!BM233</f>
        <v>0</v>
      </c>
      <c r="O138" s="750">
        <f>'SF Measure Development'!BN233</f>
        <v>0</v>
      </c>
      <c r="P138" s="754">
        <f>'SF Measure Development'!BO233</f>
        <v>0</v>
      </c>
      <c r="Q138" s="750">
        <f>'SF Measure Development'!BP233</f>
        <v>0</v>
      </c>
    </row>
    <row r="139" spans="1:17" ht="25.5">
      <c r="A139" s="9" t="s">
        <v>54</v>
      </c>
      <c r="B139" s="755" t="str">
        <f>'SF Measure Development'!BA174</f>
        <v>ENERGY STAR - Front-Load Clothes Washer - Electric DHW, Gas Dryer - 54% ENERGY STAR Baseline</v>
      </c>
      <c r="C139" s="755" t="str">
        <f>'SF Measure Development'!BB174</f>
        <v>Waste Water Energy</v>
      </c>
      <c r="D139" s="751">
        <f ca="1">'SF Measure Development'!BC174</f>
        <v>2.7104849190651508</v>
      </c>
      <c r="E139" s="755">
        <f>'SF Measure Development'!BD174</f>
        <v>14</v>
      </c>
      <c r="F139" s="752">
        <f>'SF Measure Development'!BE174</f>
        <v>0</v>
      </c>
      <c r="G139" s="759">
        <f>'SF Measure Development'!BF174</f>
        <v>0</v>
      </c>
      <c r="H139" s="750" t="str">
        <f>'SF Measure Development'!BG174</f>
        <v>FLAT</v>
      </c>
      <c r="I139" s="753">
        <f ca="1">'SF Measure Development'!BH174</f>
        <v>10.185614677758206</v>
      </c>
      <c r="J139" s="750">
        <f>'SF Measure Development'!BI174</f>
        <v>0</v>
      </c>
      <c r="K139" s="750">
        <f>'SF Measure Development'!BJ174</f>
        <v>0</v>
      </c>
      <c r="L139" s="750">
        <f>'SF Measure Development'!BK234</f>
        <v>0</v>
      </c>
      <c r="M139" s="750">
        <f>'SF Measure Development'!BL234</f>
        <v>0</v>
      </c>
      <c r="N139" s="750">
        <f>'SF Measure Development'!BM234</f>
        <v>0</v>
      </c>
      <c r="O139" s="750">
        <f>'SF Measure Development'!BN234</f>
        <v>0</v>
      </c>
      <c r="P139" s="754">
        <f>'SF Measure Development'!BO234</f>
        <v>0</v>
      </c>
      <c r="Q139" s="750">
        <f>'SF Measure Development'!BP234</f>
        <v>0</v>
      </c>
    </row>
    <row r="140" spans="1:17" ht="25.5">
      <c r="A140" s="9" t="s">
        <v>54</v>
      </c>
      <c r="B140" s="755" t="str">
        <f>'SF Measure Development'!BA175</f>
        <v>ENERGY STAR - Front-Load Clothes Washer - Gas DHW, Electric Dryer - 54% ENERGY STAR Baseline</v>
      </c>
      <c r="C140" s="755" t="str">
        <f>'SF Measure Development'!BB175</f>
        <v>Waste Water Energy</v>
      </c>
      <c r="D140" s="751">
        <f ca="1">'SF Measure Development'!BC175</f>
        <v>2.7104849190651508</v>
      </c>
      <c r="E140" s="755">
        <f>'SF Measure Development'!BD175</f>
        <v>14</v>
      </c>
      <c r="F140" s="752">
        <f>'SF Measure Development'!BE175</f>
        <v>0</v>
      </c>
      <c r="G140" s="759">
        <f>'SF Measure Development'!BF175</f>
        <v>0</v>
      </c>
      <c r="H140" s="750" t="str">
        <f>'SF Measure Development'!BG175</f>
        <v>FLAT</v>
      </c>
      <c r="I140" s="753">
        <f ca="1">'SF Measure Development'!BH175</f>
        <v>10.185614677758206</v>
      </c>
      <c r="J140" s="750">
        <f>'SF Measure Development'!BI175</f>
        <v>0</v>
      </c>
      <c r="K140" s="750">
        <f>'SF Measure Development'!BJ175</f>
        <v>0</v>
      </c>
      <c r="L140" s="750">
        <f>'SF Measure Development'!BK235</f>
        <v>0</v>
      </c>
      <c r="M140" s="750">
        <f>'SF Measure Development'!BL235</f>
        <v>0</v>
      </c>
      <c r="N140" s="750">
        <f>'SF Measure Development'!BM235</f>
        <v>0</v>
      </c>
      <c r="O140" s="750">
        <f>'SF Measure Development'!BN235</f>
        <v>0</v>
      </c>
      <c r="P140" s="754">
        <f>'SF Measure Development'!BO235</f>
        <v>0</v>
      </c>
      <c r="Q140" s="750">
        <f>'SF Measure Development'!BP235</f>
        <v>0</v>
      </c>
    </row>
    <row r="141" spans="1:17" ht="25.5">
      <c r="A141" s="9" t="s">
        <v>54</v>
      </c>
      <c r="B141" s="755" t="str">
        <f>'SF Measure Development'!BA176</f>
        <v>ENERGY STAR - Front-Load Clothes Washer - Gas DHW, Gas Dryer - 54% ENERGY STAR Baseline</v>
      </c>
      <c r="C141" s="755" t="str">
        <f>'SF Measure Development'!BB176</f>
        <v>Waste Water Energy</v>
      </c>
      <c r="D141" s="751">
        <f ca="1">'SF Measure Development'!BC176</f>
        <v>2.7104849190651508</v>
      </c>
      <c r="E141" s="755">
        <f>'SF Measure Development'!BD176</f>
        <v>14</v>
      </c>
      <c r="F141" s="752">
        <f>'SF Measure Development'!BE176</f>
        <v>0</v>
      </c>
      <c r="G141" s="759">
        <f>'SF Measure Development'!BF176</f>
        <v>0</v>
      </c>
      <c r="H141" s="750" t="str">
        <f>'SF Measure Development'!BG176</f>
        <v>FLAT</v>
      </c>
      <c r="I141" s="753">
        <f ca="1">'SF Measure Development'!BH176</f>
        <v>10.185614677758206</v>
      </c>
      <c r="J141" s="750">
        <f>'SF Measure Development'!BI176</f>
        <v>0</v>
      </c>
      <c r="K141" s="750">
        <f>'SF Measure Development'!BJ176</f>
        <v>0</v>
      </c>
      <c r="L141" s="750">
        <f>'SF Measure Development'!BK236</f>
        <v>0</v>
      </c>
      <c r="M141" s="750">
        <f>'SF Measure Development'!BL236</f>
        <v>0</v>
      </c>
      <c r="N141" s="750">
        <f>'SF Measure Development'!BM236</f>
        <v>0</v>
      </c>
      <c r="O141" s="750">
        <f>'SF Measure Development'!BN236</f>
        <v>0</v>
      </c>
      <c r="P141" s="754">
        <f>'SF Measure Development'!BO236</f>
        <v>0</v>
      </c>
      <c r="Q141" s="750">
        <f>'SF Measure Development'!BP236</f>
        <v>0</v>
      </c>
    </row>
    <row r="142" spans="1:17" ht="25.5">
      <c r="A142" s="9" t="s">
        <v>54</v>
      </c>
      <c r="B142" s="755" t="str">
        <f>'SF Measure Development'!BA177</f>
        <v>ENERGY STAR - Front-Load Clothes Washer - Any DHW, Any Dryer - 54% ENERGY STAR Baseline</v>
      </c>
      <c r="C142" s="755" t="str">
        <f>'SF Measure Development'!BB177</f>
        <v>Waste Water Energy</v>
      </c>
      <c r="D142" s="751">
        <f ca="1">'SF Measure Development'!BC177</f>
        <v>2.7104849190651508</v>
      </c>
      <c r="E142" s="755">
        <f>'SF Measure Development'!BD177</f>
        <v>14</v>
      </c>
      <c r="F142" s="752">
        <f>'SF Measure Development'!BE177</f>
        <v>0</v>
      </c>
      <c r="G142" s="759">
        <f>'SF Measure Development'!BF177</f>
        <v>0</v>
      </c>
      <c r="H142" s="750" t="str">
        <f>'SF Measure Development'!BG177</f>
        <v>FLAT</v>
      </c>
      <c r="I142" s="753">
        <f ca="1">'SF Measure Development'!BH177</f>
        <v>10.185614677758206</v>
      </c>
      <c r="J142" s="750">
        <f>'SF Measure Development'!BI177</f>
        <v>0</v>
      </c>
      <c r="K142" s="750">
        <f>'SF Measure Development'!BJ177</f>
        <v>0</v>
      </c>
      <c r="L142" s="750">
        <f>'SF Measure Development'!BK237</f>
        <v>0</v>
      </c>
      <c r="M142" s="750">
        <f>'SF Measure Development'!BL237</f>
        <v>0</v>
      </c>
      <c r="N142" s="750">
        <f>'SF Measure Development'!BM237</f>
        <v>0</v>
      </c>
      <c r="O142" s="750">
        <f>'SF Measure Development'!BN237</f>
        <v>0</v>
      </c>
      <c r="P142" s="754">
        <f>'SF Measure Development'!BO237</f>
        <v>0</v>
      </c>
      <c r="Q142" s="750">
        <f>'SF Measure Development'!BP237</f>
        <v>0</v>
      </c>
    </row>
    <row r="143" spans="1:17">
      <c r="A143" s="9" t="s">
        <v>54</v>
      </c>
      <c r="B143" s="755" t="str">
        <f>'SF Measure Development'!BA183</f>
        <v>CEE Tier 1 Clothes Washer - Electric DHW, Electric Dryer - 54% ENERGY STAR Baseline</v>
      </c>
      <c r="C143" s="755" t="str">
        <f>'SF Measure Development'!BB183</f>
        <v>Waste Water Energy</v>
      </c>
      <c r="D143" s="751">
        <f ca="1">'SF Measure Development'!BC183</f>
        <v>2.2689844676199051</v>
      </c>
      <c r="E143" s="755">
        <f>'SF Measure Development'!BD183</f>
        <v>14</v>
      </c>
      <c r="F143" s="752">
        <f>'SF Measure Development'!BE183</f>
        <v>0</v>
      </c>
      <c r="G143" s="759">
        <f>'SF Measure Development'!BF183</f>
        <v>0</v>
      </c>
      <c r="H143" s="750" t="str">
        <f>'SF Measure Development'!BG183</f>
        <v>FLAT</v>
      </c>
      <c r="I143" s="753">
        <f ca="1">'SF Measure Development'!BH183</f>
        <v>8.5265191237314468</v>
      </c>
      <c r="J143" s="750">
        <f>'SF Measure Development'!BI183</f>
        <v>0</v>
      </c>
      <c r="K143" s="750">
        <f>'SF Measure Development'!BJ183</f>
        <v>0</v>
      </c>
      <c r="L143" s="750">
        <f>'SF Measure Development'!BK243</f>
        <v>0</v>
      </c>
      <c r="M143" s="750">
        <f>'SF Measure Development'!BL243</f>
        <v>0</v>
      </c>
      <c r="N143" s="750">
        <f>'SF Measure Development'!BM243</f>
        <v>0</v>
      </c>
      <c r="O143" s="750">
        <f>'SF Measure Development'!BN243</f>
        <v>0</v>
      </c>
      <c r="P143" s="754">
        <f>'SF Measure Development'!BO243</f>
        <v>0</v>
      </c>
      <c r="Q143" s="750">
        <f>'SF Measure Development'!BP243</f>
        <v>0</v>
      </c>
    </row>
    <row r="144" spans="1:17">
      <c r="A144" s="9" t="s">
        <v>54</v>
      </c>
      <c r="B144" s="755" t="str">
        <f>'SF Measure Development'!BA184</f>
        <v>CEE Tier 1 Clothes Washer - Electric DHW, Gas Dryer - 54% ENERGY STAR Baseline</v>
      </c>
      <c r="C144" s="755" t="str">
        <f>'SF Measure Development'!BB184</f>
        <v>Waste Water Energy</v>
      </c>
      <c r="D144" s="751">
        <f ca="1">'SF Measure Development'!BC184</f>
        <v>2.2689844676199051</v>
      </c>
      <c r="E144" s="755">
        <f>'SF Measure Development'!BD184</f>
        <v>14</v>
      </c>
      <c r="F144" s="752">
        <f>'SF Measure Development'!BE184</f>
        <v>0</v>
      </c>
      <c r="G144" s="759">
        <f>'SF Measure Development'!BF184</f>
        <v>0</v>
      </c>
      <c r="H144" s="750" t="str">
        <f>'SF Measure Development'!BG184</f>
        <v>FLAT</v>
      </c>
      <c r="I144" s="753">
        <f ca="1">'SF Measure Development'!BH184</f>
        <v>8.5265191237314468</v>
      </c>
      <c r="J144" s="750">
        <f>'SF Measure Development'!BI184</f>
        <v>0</v>
      </c>
      <c r="K144" s="750">
        <f>'SF Measure Development'!BJ184</f>
        <v>0</v>
      </c>
      <c r="L144" s="750">
        <f>'SF Measure Development'!BK244</f>
        <v>0</v>
      </c>
      <c r="M144" s="750">
        <f>'SF Measure Development'!BL244</f>
        <v>0</v>
      </c>
      <c r="N144" s="750">
        <f>'SF Measure Development'!BM244</f>
        <v>0</v>
      </c>
      <c r="O144" s="750">
        <f>'SF Measure Development'!BN244</f>
        <v>0</v>
      </c>
      <c r="P144" s="754">
        <f>'SF Measure Development'!BO244</f>
        <v>0</v>
      </c>
      <c r="Q144" s="750">
        <f>'SF Measure Development'!BP244</f>
        <v>0</v>
      </c>
    </row>
    <row r="145" spans="1:17">
      <c r="A145" s="9" t="s">
        <v>54</v>
      </c>
      <c r="B145" s="755" t="str">
        <f>'SF Measure Development'!BA185</f>
        <v>CEE Tier 1 Clothes Washer - Gas DHW, Electric Dryer - 54% ENERGY STAR Baseline</v>
      </c>
      <c r="C145" s="755" t="str">
        <f>'SF Measure Development'!BB185</f>
        <v>Waste Water Energy</v>
      </c>
      <c r="D145" s="751">
        <f ca="1">'SF Measure Development'!BC185</f>
        <v>2.2689844676199051</v>
      </c>
      <c r="E145" s="755">
        <f>'SF Measure Development'!BD185</f>
        <v>14</v>
      </c>
      <c r="F145" s="752">
        <f>'SF Measure Development'!BE185</f>
        <v>0</v>
      </c>
      <c r="G145" s="759">
        <f>'SF Measure Development'!BF185</f>
        <v>0</v>
      </c>
      <c r="H145" s="750" t="str">
        <f>'SF Measure Development'!BG185</f>
        <v>FLAT</v>
      </c>
      <c r="I145" s="753">
        <f ca="1">'SF Measure Development'!BH185</f>
        <v>8.5265191237314468</v>
      </c>
      <c r="J145" s="750">
        <f>'SF Measure Development'!BI185</f>
        <v>0</v>
      </c>
      <c r="K145" s="750">
        <f>'SF Measure Development'!BJ185</f>
        <v>0</v>
      </c>
      <c r="L145" s="750">
        <f>'SF Measure Development'!BK245</f>
        <v>0</v>
      </c>
      <c r="M145" s="750">
        <f>'SF Measure Development'!BL245</f>
        <v>0</v>
      </c>
      <c r="N145" s="750">
        <f>'SF Measure Development'!BM245</f>
        <v>0</v>
      </c>
      <c r="O145" s="750">
        <f>'SF Measure Development'!BN245</f>
        <v>0</v>
      </c>
      <c r="P145" s="754">
        <f>'SF Measure Development'!BO245</f>
        <v>0</v>
      </c>
      <c r="Q145" s="750">
        <f>'SF Measure Development'!BP245</f>
        <v>0</v>
      </c>
    </row>
    <row r="146" spans="1:17">
      <c r="A146" s="9" t="s">
        <v>54</v>
      </c>
      <c r="B146" s="755" t="str">
        <f>'SF Measure Development'!BA186</f>
        <v>CEE Tier 1 Clothes Washer - Gas DHW, Gas Dryer - 54% ENERGY STAR Baseline</v>
      </c>
      <c r="C146" s="755" t="str">
        <f>'SF Measure Development'!BB186</f>
        <v>Waste Water Energy</v>
      </c>
      <c r="D146" s="751">
        <f ca="1">'SF Measure Development'!BC186</f>
        <v>2.2689844676199051</v>
      </c>
      <c r="E146" s="755">
        <f>'SF Measure Development'!BD186</f>
        <v>14</v>
      </c>
      <c r="F146" s="752">
        <f>'SF Measure Development'!BE186</f>
        <v>0</v>
      </c>
      <c r="G146" s="759">
        <f>'SF Measure Development'!BF186</f>
        <v>0</v>
      </c>
      <c r="H146" s="750" t="str">
        <f>'SF Measure Development'!BG186</f>
        <v>FLAT</v>
      </c>
      <c r="I146" s="753">
        <f ca="1">'SF Measure Development'!BH186</f>
        <v>8.5265191237314468</v>
      </c>
      <c r="J146" s="750">
        <f>'SF Measure Development'!BI186</f>
        <v>0</v>
      </c>
      <c r="K146" s="750">
        <f>'SF Measure Development'!BJ186</f>
        <v>0</v>
      </c>
      <c r="L146" s="750">
        <f>'SF Measure Development'!BK246</f>
        <v>0</v>
      </c>
      <c r="M146" s="750">
        <f>'SF Measure Development'!BL246</f>
        <v>0</v>
      </c>
      <c r="N146" s="750">
        <f>'SF Measure Development'!BM246</f>
        <v>0</v>
      </c>
      <c r="O146" s="750">
        <f>'SF Measure Development'!BN246</f>
        <v>0</v>
      </c>
      <c r="P146" s="754">
        <f>'SF Measure Development'!BO246</f>
        <v>0</v>
      </c>
      <c r="Q146" s="750">
        <f>'SF Measure Development'!BP246</f>
        <v>0</v>
      </c>
    </row>
    <row r="147" spans="1:17">
      <c r="A147" s="9" t="s">
        <v>54</v>
      </c>
      <c r="B147" s="755" t="str">
        <f>'SF Measure Development'!BA187</f>
        <v>CEE Tier 1 Clothes Washer - Any DHW, Any Dryer - 54% ENERGY STAR Baseline</v>
      </c>
      <c r="C147" s="755" t="str">
        <f>'SF Measure Development'!BB187</f>
        <v>Waste Water Energy</v>
      </c>
      <c r="D147" s="751">
        <f ca="1">'SF Measure Development'!BC187</f>
        <v>2.2689844676199051</v>
      </c>
      <c r="E147" s="755">
        <f>'SF Measure Development'!BD187</f>
        <v>14</v>
      </c>
      <c r="F147" s="752">
        <f>'SF Measure Development'!BE187</f>
        <v>0</v>
      </c>
      <c r="G147" s="759">
        <f>'SF Measure Development'!BF187</f>
        <v>0</v>
      </c>
      <c r="H147" s="750" t="str">
        <f>'SF Measure Development'!BG187</f>
        <v>FLAT</v>
      </c>
      <c r="I147" s="753">
        <f ca="1">'SF Measure Development'!BH187</f>
        <v>8.5265191237314468</v>
      </c>
      <c r="J147" s="750">
        <f>'SF Measure Development'!BI187</f>
        <v>0</v>
      </c>
      <c r="K147" s="750">
        <f>'SF Measure Development'!BJ187</f>
        <v>0</v>
      </c>
      <c r="L147" s="750">
        <f>'SF Measure Development'!BK247</f>
        <v>0</v>
      </c>
      <c r="M147" s="750">
        <f>'SF Measure Development'!BL247</f>
        <v>0</v>
      </c>
      <c r="N147" s="750">
        <f>'SF Measure Development'!BM247</f>
        <v>0</v>
      </c>
      <c r="O147" s="750">
        <f>'SF Measure Development'!BN247</f>
        <v>0</v>
      </c>
      <c r="P147" s="754">
        <f>'SF Measure Development'!BO247</f>
        <v>0</v>
      </c>
      <c r="Q147" s="750">
        <f>'SF Measure Development'!BP247</f>
        <v>0</v>
      </c>
    </row>
    <row r="148" spans="1:17">
      <c r="A148" s="9" t="s">
        <v>54</v>
      </c>
      <c r="B148" s="755" t="str">
        <f>'SF Measure Development'!BA188</f>
        <v>CEE Tier 2 Clothes Washer - Electric DHW, Electric Dryer - 54% ENERGY STAR Baseline</v>
      </c>
      <c r="C148" s="755" t="str">
        <f>'SF Measure Development'!BB188</f>
        <v>Waste Water Energy</v>
      </c>
      <c r="D148" s="751">
        <f ca="1">'SF Measure Development'!BC188</f>
        <v>3.3279524561015337</v>
      </c>
      <c r="E148" s="755">
        <f>'SF Measure Development'!BD188</f>
        <v>14</v>
      </c>
      <c r="F148" s="752">
        <f>'SF Measure Development'!BE188</f>
        <v>0</v>
      </c>
      <c r="G148" s="759">
        <f>'SF Measure Development'!BF188</f>
        <v>0</v>
      </c>
      <c r="H148" s="750" t="str">
        <f>'SF Measure Development'!BG188</f>
        <v>FLAT</v>
      </c>
      <c r="I148" s="753">
        <f ca="1">'SF Measure Development'!BH188</f>
        <v>12.505969372978637</v>
      </c>
      <c r="J148" s="750">
        <f>'SF Measure Development'!BI188</f>
        <v>0</v>
      </c>
      <c r="K148" s="750">
        <f>'SF Measure Development'!BJ188</f>
        <v>0</v>
      </c>
      <c r="L148" s="750">
        <f>'SF Measure Development'!BK248</f>
        <v>0</v>
      </c>
      <c r="M148" s="750">
        <f>'SF Measure Development'!BL248</f>
        <v>0</v>
      </c>
      <c r="N148" s="750">
        <f>'SF Measure Development'!BM248</f>
        <v>0</v>
      </c>
      <c r="O148" s="750">
        <f>'SF Measure Development'!BN248</f>
        <v>0</v>
      </c>
      <c r="P148" s="754">
        <f>'SF Measure Development'!BO248</f>
        <v>0</v>
      </c>
      <c r="Q148" s="750">
        <f>'SF Measure Development'!BP248</f>
        <v>0</v>
      </c>
    </row>
    <row r="149" spans="1:17">
      <c r="A149" s="9" t="s">
        <v>54</v>
      </c>
      <c r="B149" s="755" t="str">
        <f>'SF Measure Development'!BA189</f>
        <v>CEE Tier 2 Clothes Washer - Electric DHW, Gas Dryer - 54% ENERGY STAR Baseline</v>
      </c>
      <c r="C149" s="755" t="str">
        <f>'SF Measure Development'!BB189</f>
        <v>Waste Water Energy</v>
      </c>
      <c r="D149" s="751">
        <f ca="1">'SF Measure Development'!BC189</f>
        <v>3.3279524561015337</v>
      </c>
      <c r="E149" s="755">
        <f>'SF Measure Development'!BD189</f>
        <v>14</v>
      </c>
      <c r="F149" s="752">
        <f>'SF Measure Development'!BE189</f>
        <v>0</v>
      </c>
      <c r="G149" s="759">
        <f>'SF Measure Development'!BF189</f>
        <v>0</v>
      </c>
      <c r="H149" s="750" t="str">
        <f>'SF Measure Development'!BG189</f>
        <v>FLAT</v>
      </c>
      <c r="I149" s="753">
        <f ca="1">'SF Measure Development'!BH189</f>
        <v>12.505969372978637</v>
      </c>
      <c r="J149" s="750">
        <f>'SF Measure Development'!BI189</f>
        <v>0</v>
      </c>
      <c r="K149" s="750">
        <f>'SF Measure Development'!BJ189</f>
        <v>0</v>
      </c>
      <c r="L149" s="750">
        <f>'SF Measure Development'!BK249</f>
        <v>0</v>
      </c>
      <c r="M149" s="750">
        <f>'SF Measure Development'!BL249</f>
        <v>0</v>
      </c>
      <c r="N149" s="750">
        <f>'SF Measure Development'!BM249</f>
        <v>0</v>
      </c>
      <c r="O149" s="750">
        <f>'SF Measure Development'!BN249</f>
        <v>0</v>
      </c>
      <c r="P149" s="754">
        <f>'SF Measure Development'!BO249</f>
        <v>0</v>
      </c>
      <c r="Q149" s="750">
        <f>'SF Measure Development'!BP249</f>
        <v>0</v>
      </c>
    </row>
    <row r="150" spans="1:17">
      <c r="A150" s="9" t="s">
        <v>54</v>
      </c>
      <c r="B150" s="755" t="str">
        <f>'SF Measure Development'!BA190</f>
        <v>CEE Tier 2 Clothes Washer - Gas DHW, Electric Dryer - 54% ENERGY STAR Baseline</v>
      </c>
      <c r="C150" s="755" t="str">
        <f>'SF Measure Development'!BB190</f>
        <v>Waste Water Energy</v>
      </c>
      <c r="D150" s="751">
        <f ca="1">'SF Measure Development'!BC190</f>
        <v>3.3279524561015337</v>
      </c>
      <c r="E150" s="755">
        <f>'SF Measure Development'!BD190</f>
        <v>14</v>
      </c>
      <c r="F150" s="752">
        <f>'SF Measure Development'!BE190</f>
        <v>0</v>
      </c>
      <c r="G150" s="759">
        <f>'SF Measure Development'!BF190</f>
        <v>0</v>
      </c>
      <c r="H150" s="750" t="str">
        <f>'SF Measure Development'!BG190</f>
        <v>FLAT</v>
      </c>
      <c r="I150" s="753">
        <f ca="1">'SF Measure Development'!BH190</f>
        <v>12.505969372978637</v>
      </c>
      <c r="J150" s="750">
        <f>'SF Measure Development'!BI190</f>
        <v>0</v>
      </c>
      <c r="K150" s="750">
        <f>'SF Measure Development'!BJ190</f>
        <v>0</v>
      </c>
      <c r="L150" s="750">
        <f>'SF Measure Development'!BK250</f>
        <v>0</v>
      </c>
      <c r="M150" s="750">
        <f>'SF Measure Development'!BL250</f>
        <v>0</v>
      </c>
      <c r="N150" s="750">
        <f>'SF Measure Development'!BM250</f>
        <v>0</v>
      </c>
      <c r="O150" s="750">
        <f>'SF Measure Development'!BN250</f>
        <v>0</v>
      </c>
      <c r="P150" s="754">
        <f>'SF Measure Development'!BO250</f>
        <v>0</v>
      </c>
      <c r="Q150" s="750">
        <f>'SF Measure Development'!BP250</f>
        <v>0</v>
      </c>
    </row>
    <row r="151" spans="1:17">
      <c r="A151" s="9" t="s">
        <v>54</v>
      </c>
      <c r="B151" s="755" t="str">
        <f>'SF Measure Development'!BA191</f>
        <v>CEE Tier 2 Clothes Washer - Gas DHW, Gas Dryer - 54% ENERGY STAR Baseline</v>
      </c>
      <c r="C151" s="755" t="str">
        <f>'SF Measure Development'!BB191</f>
        <v>Waste Water Energy</v>
      </c>
      <c r="D151" s="751">
        <f ca="1">'SF Measure Development'!BC191</f>
        <v>3.3279524561015337</v>
      </c>
      <c r="E151" s="755">
        <f>'SF Measure Development'!BD191</f>
        <v>14</v>
      </c>
      <c r="F151" s="752">
        <f>'SF Measure Development'!BE191</f>
        <v>0</v>
      </c>
      <c r="G151" s="759">
        <f>'SF Measure Development'!BF191</f>
        <v>0</v>
      </c>
      <c r="H151" s="750" t="str">
        <f>'SF Measure Development'!BG191</f>
        <v>FLAT</v>
      </c>
      <c r="I151" s="753">
        <f ca="1">'SF Measure Development'!BH191</f>
        <v>12.505969372978637</v>
      </c>
      <c r="J151" s="750">
        <f>'SF Measure Development'!BI191</f>
        <v>0</v>
      </c>
      <c r="K151" s="750">
        <f>'SF Measure Development'!BJ191</f>
        <v>0</v>
      </c>
      <c r="L151" s="750">
        <f>'SF Measure Development'!BK251</f>
        <v>0</v>
      </c>
      <c r="M151" s="750">
        <f>'SF Measure Development'!BL251</f>
        <v>0</v>
      </c>
      <c r="N151" s="750">
        <f>'SF Measure Development'!BM251</f>
        <v>0</v>
      </c>
      <c r="O151" s="750">
        <f>'SF Measure Development'!BN251</f>
        <v>0</v>
      </c>
      <c r="P151" s="754">
        <f>'SF Measure Development'!BO251</f>
        <v>0</v>
      </c>
      <c r="Q151" s="750">
        <f>'SF Measure Development'!BP251</f>
        <v>0</v>
      </c>
    </row>
    <row r="152" spans="1:17">
      <c r="A152" s="9" t="s">
        <v>54</v>
      </c>
      <c r="B152" s="755" t="str">
        <f>'SF Measure Development'!BA192</f>
        <v>CEE Tier 2 Clothes Washer - Any DHW, Any Dryer - 54% ENERGY STAR Baseline</v>
      </c>
      <c r="C152" s="755" t="str">
        <f>'SF Measure Development'!BB192</f>
        <v>Waste Water Energy</v>
      </c>
      <c r="D152" s="751">
        <f ca="1">'SF Measure Development'!BC192</f>
        <v>3.3279524561015337</v>
      </c>
      <c r="E152" s="755">
        <f>'SF Measure Development'!BD192</f>
        <v>14</v>
      </c>
      <c r="F152" s="752">
        <f>'SF Measure Development'!BE192</f>
        <v>0</v>
      </c>
      <c r="G152" s="759">
        <f>'SF Measure Development'!BF192</f>
        <v>0</v>
      </c>
      <c r="H152" s="750" t="str">
        <f>'SF Measure Development'!BG192</f>
        <v>FLAT</v>
      </c>
      <c r="I152" s="753">
        <f ca="1">'SF Measure Development'!BH192</f>
        <v>12.505969372978637</v>
      </c>
      <c r="J152" s="750">
        <f>'SF Measure Development'!BI192</f>
        <v>0</v>
      </c>
      <c r="K152" s="750">
        <f>'SF Measure Development'!BJ192</f>
        <v>0</v>
      </c>
      <c r="L152" s="750">
        <f>'SF Measure Development'!BK252</f>
        <v>0</v>
      </c>
      <c r="M152" s="750">
        <f>'SF Measure Development'!BL252</f>
        <v>0</v>
      </c>
      <c r="N152" s="750">
        <f>'SF Measure Development'!BM252</f>
        <v>0</v>
      </c>
      <c r="O152" s="750">
        <f>'SF Measure Development'!BN252</f>
        <v>0</v>
      </c>
      <c r="P152" s="754">
        <f>'SF Measure Development'!BO252</f>
        <v>0</v>
      </c>
      <c r="Q152" s="750">
        <f>'SF Measure Development'!BP252</f>
        <v>0</v>
      </c>
    </row>
    <row r="153" spans="1:17">
      <c r="A153" s="9" t="s">
        <v>54</v>
      </c>
      <c r="B153" s="755" t="str">
        <f>'SF Measure Development'!BA193</f>
        <v>CEE Tier 3 Clothes Washer - Electric DHW, Electric Dryer - 54% ENERGY STAR Baseline</v>
      </c>
      <c r="C153" s="755" t="str">
        <f>'SF Measure Development'!BB193</f>
        <v>Waste Water Energy</v>
      </c>
      <c r="D153" s="751">
        <f ca="1">'SF Measure Development'!BC193</f>
        <v>3.4194180213254715</v>
      </c>
      <c r="E153" s="755">
        <f>'SF Measure Development'!BD193</f>
        <v>14</v>
      </c>
      <c r="F153" s="752">
        <f>'SF Measure Development'!BE193</f>
        <v>0</v>
      </c>
      <c r="G153" s="759">
        <f>'SF Measure Development'!BF193</f>
        <v>0</v>
      </c>
      <c r="H153" s="750" t="str">
        <f>'SF Measure Development'!BG193</f>
        <v>FLAT</v>
      </c>
      <c r="I153" s="753">
        <f ca="1">'SF Measure Development'!BH193</f>
        <v>12.849683885869453</v>
      </c>
      <c r="J153" s="750">
        <f>'SF Measure Development'!BI193</f>
        <v>0</v>
      </c>
      <c r="K153" s="750">
        <f>'SF Measure Development'!BJ193</f>
        <v>0</v>
      </c>
      <c r="L153" s="750">
        <f>'SF Measure Development'!BK253</f>
        <v>0</v>
      </c>
      <c r="M153" s="750">
        <f>'SF Measure Development'!BL253</f>
        <v>0</v>
      </c>
      <c r="N153" s="750">
        <f>'SF Measure Development'!BM253</f>
        <v>0</v>
      </c>
      <c r="O153" s="750">
        <f>'SF Measure Development'!BN253</f>
        <v>0</v>
      </c>
      <c r="P153" s="754">
        <f>'SF Measure Development'!BO253</f>
        <v>0</v>
      </c>
      <c r="Q153" s="750">
        <f>'SF Measure Development'!BP253</f>
        <v>0</v>
      </c>
    </row>
    <row r="154" spans="1:17">
      <c r="A154" s="9" t="s">
        <v>54</v>
      </c>
      <c r="B154" s="755" t="str">
        <f>'SF Measure Development'!BA194</f>
        <v>CEE Tier 3 Clothes Washer - Electric DHW, Gas Dryer - 54% ENERGY STAR Baseline</v>
      </c>
      <c r="C154" s="755" t="str">
        <f>'SF Measure Development'!BB194</f>
        <v>Waste Water Energy</v>
      </c>
      <c r="D154" s="751">
        <f ca="1">'SF Measure Development'!BC194</f>
        <v>3.4194180213254715</v>
      </c>
      <c r="E154" s="755">
        <f>'SF Measure Development'!BD194</f>
        <v>14</v>
      </c>
      <c r="F154" s="752">
        <f>'SF Measure Development'!BE194</f>
        <v>0</v>
      </c>
      <c r="G154" s="759">
        <f>'SF Measure Development'!BF194</f>
        <v>0</v>
      </c>
      <c r="H154" s="750" t="str">
        <f>'SF Measure Development'!BG194</f>
        <v>FLAT</v>
      </c>
      <c r="I154" s="753">
        <f ca="1">'SF Measure Development'!BH194</f>
        <v>12.849683885869453</v>
      </c>
      <c r="J154" s="750">
        <f>'SF Measure Development'!BI194</f>
        <v>0</v>
      </c>
      <c r="K154" s="750">
        <f>'SF Measure Development'!BJ194</f>
        <v>0</v>
      </c>
      <c r="L154" s="750">
        <f>'SF Measure Development'!BK254</f>
        <v>0</v>
      </c>
      <c r="M154" s="750">
        <f>'SF Measure Development'!BL254</f>
        <v>0</v>
      </c>
      <c r="N154" s="750">
        <f>'SF Measure Development'!BM254</f>
        <v>0</v>
      </c>
      <c r="O154" s="750">
        <f>'SF Measure Development'!BN254</f>
        <v>0</v>
      </c>
      <c r="P154" s="754">
        <f>'SF Measure Development'!BO254</f>
        <v>0</v>
      </c>
      <c r="Q154" s="750">
        <f>'SF Measure Development'!BP254</f>
        <v>0</v>
      </c>
    </row>
    <row r="155" spans="1:17">
      <c r="A155" s="9" t="s">
        <v>54</v>
      </c>
      <c r="B155" s="755" t="str">
        <f>'SF Measure Development'!BA195</f>
        <v>CEE Tier 3 Clothes Washer - Gas DHW, Electric Dryer - 54% ENERGY STAR Baseline</v>
      </c>
      <c r="C155" s="755" t="str">
        <f>'SF Measure Development'!BB195</f>
        <v>Waste Water Energy</v>
      </c>
      <c r="D155" s="751">
        <f ca="1">'SF Measure Development'!BC195</f>
        <v>3.4194180213254715</v>
      </c>
      <c r="E155" s="755">
        <f>'SF Measure Development'!BD195</f>
        <v>14</v>
      </c>
      <c r="F155" s="752">
        <f>'SF Measure Development'!BE195</f>
        <v>0</v>
      </c>
      <c r="G155" s="759">
        <f>'SF Measure Development'!BF195</f>
        <v>0</v>
      </c>
      <c r="H155" s="750" t="str">
        <f>'SF Measure Development'!BG195</f>
        <v>FLAT</v>
      </c>
      <c r="I155" s="753">
        <f ca="1">'SF Measure Development'!BH195</f>
        <v>12.849683885869453</v>
      </c>
      <c r="J155" s="750">
        <f>'SF Measure Development'!BI195</f>
        <v>0</v>
      </c>
      <c r="K155" s="750">
        <f>'SF Measure Development'!BJ195</f>
        <v>0</v>
      </c>
      <c r="L155" s="750">
        <f>'SF Measure Development'!BK255</f>
        <v>0</v>
      </c>
      <c r="M155" s="750">
        <f>'SF Measure Development'!BL255</f>
        <v>0</v>
      </c>
      <c r="N155" s="750">
        <f>'SF Measure Development'!BM255</f>
        <v>0</v>
      </c>
      <c r="O155" s="750">
        <f>'SF Measure Development'!BN255</f>
        <v>0</v>
      </c>
      <c r="P155" s="754">
        <f>'SF Measure Development'!BO255</f>
        <v>0</v>
      </c>
      <c r="Q155" s="750">
        <f>'SF Measure Development'!BP255</f>
        <v>0</v>
      </c>
    </row>
    <row r="156" spans="1:17">
      <c r="A156" s="9" t="s">
        <v>54</v>
      </c>
      <c r="B156" s="755" t="str">
        <f>'SF Measure Development'!BA196</f>
        <v>CEE Tier 3 Clothes Washer - Gas DHW, Gas Dryer - 54% ENERGY STAR Baseline</v>
      </c>
      <c r="C156" s="755" t="str">
        <f>'SF Measure Development'!BB196</f>
        <v>Waste Water Energy</v>
      </c>
      <c r="D156" s="751">
        <f ca="1">'SF Measure Development'!BC196</f>
        <v>3.4194180213254715</v>
      </c>
      <c r="E156" s="755">
        <f>'SF Measure Development'!BD196</f>
        <v>14</v>
      </c>
      <c r="F156" s="752">
        <f>'SF Measure Development'!BE196</f>
        <v>0</v>
      </c>
      <c r="G156" s="759">
        <f>'SF Measure Development'!BF196</f>
        <v>0</v>
      </c>
      <c r="H156" s="750" t="str">
        <f>'SF Measure Development'!BG196</f>
        <v>FLAT</v>
      </c>
      <c r="I156" s="753">
        <f ca="1">'SF Measure Development'!BH196</f>
        <v>12.849683885869453</v>
      </c>
      <c r="J156" s="750">
        <f>'SF Measure Development'!BI196</f>
        <v>0</v>
      </c>
      <c r="K156" s="750">
        <f>'SF Measure Development'!BJ196</f>
        <v>0</v>
      </c>
      <c r="L156" s="750">
        <f>'SF Measure Development'!BK256</f>
        <v>0</v>
      </c>
      <c r="M156" s="750">
        <f>'SF Measure Development'!BL256</f>
        <v>0</v>
      </c>
      <c r="N156" s="750">
        <f>'SF Measure Development'!BM256</f>
        <v>0</v>
      </c>
      <c r="O156" s="750">
        <f>'SF Measure Development'!BN256</f>
        <v>0</v>
      </c>
      <c r="P156" s="754">
        <f>'SF Measure Development'!BO256</f>
        <v>0</v>
      </c>
      <c r="Q156" s="750">
        <f>'SF Measure Development'!BP256</f>
        <v>0</v>
      </c>
    </row>
    <row r="157" spans="1:17">
      <c r="A157" s="9" t="s">
        <v>54</v>
      </c>
      <c r="B157" s="755" t="str">
        <f>'SF Measure Development'!BA197</f>
        <v>CEE Tier 3 Clothes Washer - Any DHW, Any Dryer - 54% ENERGY STAR Baseline</v>
      </c>
      <c r="C157" s="755" t="str">
        <f>'SF Measure Development'!BB197</f>
        <v>Waste Water Energy</v>
      </c>
      <c r="D157" s="751">
        <f ca="1">'SF Measure Development'!BC197</f>
        <v>3.4194180213254715</v>
      </c>
      <c r="E157" s="755">
        <f>'SF Measure Development'!BD197</f>
        <v>14</v>
      </c>
      <c r="F157" s="752">
        <f>'SF Measure Development'!BE197</f>
        <v>0</v>
      </c>
      <c r="G157" s="759">
        <f>'SF Measure Development'!BF197</f>
        <v>0</v>
      </c>
      <c r="H157" s="750" t="str">
        <f>'SF Measure Development'!BG197</f>
        <v>FLAT</v>
      </c>
      <c r="I157" s="753">
        <f ca="1">'SF Measure Development'!BH197</f>
        <v>12.849683885869453</v>
      </c>
      <c r="J157" s="750">
        <f>'SF Measure Development'!BI197</f>
        <v>0</v>
      </c>
      <c r="K157" s="750">
        <f>'SF Measure Development'!BJ197</f>
        <v>0</v>
      </c>
      <c r="L157" s="750">
        <f>'SF Measure Development'!BK257</f>
        <v>0</v>
      </c>
      <c r="M157" s="750">
        <f>'SF Measure Development'!BL257</f>
        <v>0</v>
      </c>
      <c r="N157" s="750">
        <f>'SF Measure Development'!BM257</f>
        <v>0</v>
      </c>
      <c r="O157" s="750">
        <f>'SF Measure Development'!BN257</f>
        <v>0</v>
      </c>
      <c r="P157" s="754">
        <f>'SF Measure Development'!BO257</f>
        <v>0</v>
      </c>
      <c r="Q157" s="750">
        <f>'SF Measure Development'!BP257</f>
        <v>0</v>
      </c>
    </row>
    <row r="158" spans="1:17">
      <c r="A158" s="9" t="s">
        <v>161</v>
      </c>
      <c r="B158" s="9" t="str">
        <f>'MF Measure Development'!BA18</f>
        <v>ENERGY STAR - Top-Load Clothes Washer - Electric DHW, Electric Dryer - 31% ENERGY STAR Baseline</v>
      </c>
      <c r="C158" s="9" t="str">
        <f>'MF Measure Development'!BB18</f>
        <v>Washer Savings</v>
      </c>
      <c r="D158" s="9">
        <f ca="1">'MF Measure Development'!BC18</f>
        <v>8.8399956558920678</v>
      </c>
      <c r="E158" s="9">
        <f>'MF Measure Development'!BD18</f>
        <v>14</v>
      </c>
      <c r="F158" s="9">
        <f ca="1">'MF Measure Development'!BE18</f>
        <v>-21.580021166835763</v>
      </c>
      <c r="G158" s="9">
        <f>'MF Measure Development'!BF18</f>
        <v>0</v>
      </c>
      <c r="H158" s="9" t="str">
        <f>'MF Measure Development'!BG18</f>
        <v>ResWASH</v>
      </c>
      <c r="I158" s="9">
        <f ca="1">'MF Measure Development'!BH18</f>
        <v>0.84627880074535966</v>
      </c>
      <c r="J158" s="9">
        <f>'MF Measure Development'!BI18</f>
        <v>0</v>
      </c>
      <c r="K158" s="9">
        <f>'MF Measure Development'!BJ18</f>
        <v>0</v>
      </c>
      <c r="L158" s="9">
        <f>'MF Measure Development'!BK18</f>
        <v>0</v>
      </c>
      <c r="M158" s="9">
        <f>'MF Measure Development'!BL18</f>
        <v>0</v>
      </c>
      <c r="N158" s="9">
        <f>'MF Measure Development'!BM18</f>
        <v>0</v>
      </c>
      <c r="O158" s="9">
        <f>'MF Measure Development'!BN18</f>
        <v>0</v>
      </c>
      <c r="P158" s="9">
        <f ca="1">'MF Measure Development'!BO18</f>
        <v>0</v>
      </c>
      <c r="Q158" s="9" t="str">
        <f>'MF Measure Development'!BP18</f>
        <v>ResDHW</v>
      </c>
    </row>
    <row r="159" spans="1:17">
      <c r="A159" s="9" t="s">
        <v>161</v>
      </c>
      <c r="B159" s="9" t="str">
        <f>'MF Measure Development'!BA19</f>
        <v>ENERGY STAR - Top-Load Clothes Washer - Electric DHW, Gas Dryer - 31% ENERGY STAR Baseline</v>
      </c>
      <c r="C159" s="9" t="str">
        <f>'MF Measure Development'!BB19</f>
        <v>Washer Savings</v>
      </c>
      <c r="D159" s="9">
        <f ca="1">'MF Measure Development'!BC19</f>
        <v>8.8399956558920678</v>
      </c>
      <c r="E159" s="9">
        <f>'MF Measure Development'!BD19</f>
        <v>14</v>
      </c>
      <c r="F159" s="9">
        <f ca="1">'MF Measure Development'!BE19</f>
        <v>-21.580021166835763</v>
      </c>
      <c r="G159" s="9">
        <f>'MF Measure Development'!BF19</f>
        <v>0</v>
      </c>
      <c r="H159" s="9" t="str">
        <f>'MF Measure Development'!BG19</f>
        <v>ResWASH</v>
      </c>
      <c r="I159" s="9">
        <f ca="1">'MF Measure Development'!BH19</f>
        <v>0.84627880074535966</v>
      </c>
      <c r="J159" s="9">
        <f>'MF Measure Development'!BI19</f>
        <v>0</v>
      </c>
      <c r="K159" s="9">
        <f>'MF Measure Development'!BJ19</f>
        <v>0</v>
      </c>
      <c r="L159" s="9">
        <f>'MF Measure Development'!BK19</f>
        <v>0</v>
      </c>
      <c r="M159" s="9">
        <f>'MF Measure Development'!BL19</f>
        <v>0</v>
      </c>
      <c r="N159" s="9">
        <f>'MF Measure Development'!BM19</f>
        <v>0</v>
      </c>
      <c r="O159" s="9">
        <f>'MF Measure Development'!BN19</f>
        <v>0</v>
      </c>
      <c r="P159" s="9">
        <f ca="1">'MF Measure Development'!BO19</f>
        <v>0</v>
      </c>
      <c r="Q159" s="9" t="str">
        <f>'MF Measure Development'!BP19</f>
        <v>ResDHW</v>
      </c>
    </row>
    <row r="160" spans="1:17">
      <c r="A160" s="9" t="s">
        <v>161</v>
      </c>
      <c r="B160" s="9" t="str">
        <f>'MF Measure Development'!BA20</f>
        <v>ENERGY STAR - Top-Load Clothes Washer - Gas DHW, Electric Dryer - 31% ENERGY STAR Baseline</v>
      </c>
      <c r="C160" s="9" t="str">
        <f>'MF Measure Development'!BB20</f>
        <v>Washer Savings</v>
      </c>
      <c r="D160" s="9">
        <f ca="1">'MF Measure Development'!BC20</f>
        <v>2.4550503239826185</v>
      </c>
      <c r="E160" s="9">
        <f>'MF Measure Development'!BD20</f>
        <v>14</v>
      </c>
      <c r="F160" s="9">
        <f ca="1">'MF Measure Development'!BE20</f>
        <v>-21.580021166835763</v>
      </c>
      <c r="G160" s="9">
        <f>'MF Measure Development'!BF20</f>
        <v>0</v>
      </c>
      <c r="H160" s="9" t="str">
        <f>'MF Measure Development'!BG20</f>
        <v>ResWASH</v>
      </c>
      <c r="I160" s="9">
        <f ca="1">'MF Measure Development'!BH20</f>
        <v>0.84627880074535966</v>
      </c>
      <c r="J160" s="9">
        <f>'MF Measure Development'!BI20</f>
        <v>0</v>
      </c>
      <c r="K160" s="9">
        <f>'MF Measure Development'!BJ20</f>
        <v>0</v>
      </c>
      <c r="L160" s="9">
        <f>'MF Measure Development'!BK20</f>
        <v>0</v>
      </c>
      <c r="M160" s="9">
        <f>'MF Measure Development'!BL20</f>
        <v>0</v>
      </c>
      <c r="N160" s="9">
        <f>'MF Measure Development'!BM20</f>
        <v>0</v>
      </c>
      <c r="O160" s="9">
        <f>'MF Measure Development'!BN20</f>
        <v>0</v>
      </c>
      <c r="P160" s="9">
        <f ca="1">'MF Measure Development'!BO20</f>
        <v>0.2905575789040924</v>
      </c>
      <c r="Q160" s="9" t="str">
        <f>'MF Measure Development'!BP20</f>
        <v>ResDHW</v>
      </c>
    </row>
    <row r="161" spans="1:17">
      <c r="A161" s="9" t="s">
        <v>161</v>
      </c>
      <c r="B161" s="9" t="str">
        <f>'MF Measure Development'!BA21</f>
        <v>ENERGY STAR - Top-Load Clothes Washer - Gas DHW, Gas Dryer - 31% ENERGY STAR Baseline</v>
      </c>
      <c r="C161" s="9" t="str">
        <f>'MF Measure Development'!BB21</f>
        <v>Washer Savings</v>
      </c>
      <c r="D161" s="9">
        <f ca="1">'MF Measure Development'!BC21</f>
        <v>2.4550503239826185</v>
      </c>
      <c r="E161" s="9">
        <f>'MF Measure Development'!BD21</f>
        <v>14</v>
      </c>
      <c r="F161" s="9">
        <f ca="1">'MF Measure Development'!BE21</f>
        <v>-21.580021166835763</v>
      </c>
      <c r="G161" s="9">
        <f>'MF Measure Development'!BF21</f>
        <v>0</v>
      </c>
      <c r="H161" s="9" t="str">
        <f>'MF Measure Development'!BG21</f>
        <v>ResWASH</v>
      </c>
      <c r="I161" s="9">
        <f ca="1">'MF Measure Development'!BH21</f>
        <v>0.84627880074535966</v>
      </c>
      <c r="J161" s="9">
        <f>'MF Measure Development'!BI21</f>
        <v>0</v>
      </c>
      <c r="K161" s="9">
        <f>'MF Measure Development'!BJ21</f>
        <v>0</v>
      </c>
      <c r="L161" s="9">
        <f>'MF Measure Development'!BK21</f>
        <v>0</v>
      </c>
      <c r="M161" s="9">
        <f>'MF Measure Development'!BL21</f>
        <v>0</v>
      </c>
      <c r="N161" s="9">
        <f>'MF Measure Development'!BM21</f>
        <v>0</v>
      </c>
      <c r="O161" s="9">
        <f>'MF Measure Development'!BN21</f>
        <v>0</v>
      </c>
      <c r="P161" s="9">
        <f ca="1">'MF Measure Development'!BO21</f>
        <v>0.2905575789040924</v>
      </c>
      <c r="Q161" s="9" t="str">
        <f>'MF Measure Development'!BP21</f>
        <v>ResDHW</v>
      </c>
    </row>
    <row r="162" spans="1:17">
      <c r="A162" s="9" t="s">
        <v>161</v>
      </c>
      <c r="B162" s="9" t="str">
        <f>'MF Measure Development'!BA22</f>
        <v>ENERGY STAR - Top-Load Clothes Washer - Any DHW, Any Dryer - 31% ENERGY STAR Baseline</v>
      </c>
      <c r="C162" s="9" t="str">
        <f>'MF Measure Development'!BB22</f>
        <v>Washer Savings</v>
      </c>
      <c r="D162" s="9">
        <f ca="1">'MF Measure Development'!BC22</f>
        <v>5.9795401471966354</v>
      </c>
      <c r="E162" s="9">
        <f>'MF Measure Development'!BD22</f>
        <v>14</v>
      </c>
      <c r="F162" s="9">
        <f ca="1">'MF Measure Development'!BE22</f>
        <v>-21.580021166835763</v>
      </c>
      <c r="G162" s="9">
        <f>'MF Measure Development'!BF22</f>
        <v>0</v>
      </c>
      <c r="H162" s="9" t="str">
        <f>'MF Measure Development'!BG22</f>
        <v>ResWASH</v>
      </c>
      <c r="I162" s="9">
        <f ca="1">'MF Measure Development'!BH22</f>
        <v>0.84627880074535966</v>
      </c>
      <c r="J162" s="9">
        <f>'MF Measure Development'!BI22</f>
        <v>0</v>
      </c>
      <c r="K162" s="9">
        <f>'MF Measure Development'!BJ22</f>
        <v>0</v>
      </c>
      <c r="L162" s="9">
        <f>'MF Measure Development'!BK22</f>
        <v>0</v>
      </c>
      <c r="M162" s="9">
        <f>'MF Measure Development'!BL22</f>
        <v>0</v>
      </c>
      <c r="N162" s="9">
        <f>'MF Measure Development'!BM22</f>
        <v>0</v>
      </c>
      <c r="O162" s="9">
        <f>'MF Measure Development'!BN22</f>
        <v>0</v>
      </c>
      <c r="P162" s="9">
        <f ca="1">'MF Measure Development'!BO22</f>
        <v>0.13016979534903339</v>
      </c>
      <c r="Q162" s="9" t="str">
        <f>'MF Measure Development'!BP22</f>
        <v>ResDHW</v>
      </c>
    </row>
    <row r="163" spans="1:17">
      <c r="A163" s="9" t="s">
        <v>161</v>
      </c>
      <c r="B163" s="9" t="str">
        <f>'MF Measure Development'!BA23</f>
        <v>ENERGY STAR - Front-Load Clothes Washer - Electric DHW, Electric Dryer - 31% ENERGY STAR Baseline</v>
      </c>
      <c r="C163" s="9" t="str">
        <f>'MF Measure Development'!BB23</f>
        <v>Washer Savings</v>
      </c>
      <c r="D163" s="9">
        <f ca="1">'MF Measure Development'!BC23</f>
        <v>36.634159176325255</v>
      </c>
      <c r="E163" s="9">
        <f>'MF Measure Development'!BD23</f>
        <v>14</v>
      </c>
      <c r="F163" s="9">
        <f ca="1">'MF Measure Development'!BE23</f>
        <v>193.50283895096402</v>
      </c>
      <c r="G163" s="9">
        <f>'MF Measure Development'!BF23</f>
        <v>0</v>
      </c>
      <c r="H163" s="9" t="str">
        <f>'MF Measure Development'!BG23</f>
        <v>ResWASH</v>
      </c>
      <c r="I163" s="9">
        <f ca="1">'MF Measure Development'!BH23</f>
        <v>10.378628696964256</v>
      </c>
      <c r="J163" s="9">
        <f>'MF Measure Development'!BI23</f>
        <v>0</v>
      </c>
      <c r="K163" s="9">
        <f>'MF Measure Development'!BJ23</f>
        <v>0</v>
      </c>
      <c r="L163" s="9">
        <f>'MF Measure Development'!BK23</f>
        <v>0</v>
      </c>
      <c r="M163" s="9">
        <f>'MF Measure Development'!BL23</f>
        <v>0</v>
      </c>
      <c r="N163" s="9">
        <f>'MF Measure Development'!BM23</f>
        <v>0</v>
      </c>
      <c r="O163" s="9">
        <f>'MF Measure Development'!BN23</f>
        <v>0</v>
      </c>
      <c r="P163" s="9">
        <f ca="1">'MF Measure Development'!BO23</f>
        <v>0</v>
      </c>
      <c r="Q163" s="9" t="str">
        <f>'MF Measure Development'!BP23</f>
        <v>ResDHW</v>
      </c>
    </row>
    <row r="164" spans="1:17">
      <c r="A164" s="9" t="s">
        <v>161</v>
      </c>
      <c r="B164" s="9" t="str">
        <f>'MF Measure Development'!BA24</f>
        <v>ENERGY STAR - Front-Load Clothes Washer - Electric DHW, Gas Dryer - 31% ENERGY STAR Baseline</v>
      </c>
      <c r="C164" s="9" t="str">
        <f>'MF Measure Development'!BB24</f>
        <v>Washer Savings</v>
      </c>
      <c r="D164" s="9">
        <f ca="1">'MF Measure Development'!BC24</f>
        <v>36.634159176325255</v>
      </c>
      <c r="E164" s="9">
        <f>'MF Measure Development'!BD24</f>
        <v>14</v>
      </c>
      <c r="F164" s="9">
        <f ca="1">'MF Measure Development'!BE24</f>
        <v>193.50283895096402</v>
      </c>
      <c r="G164" s="9">
        <f>'MF Measure Development'!BF24</f>
        <v>0</v>
      </c>
      <c r="H164" s="9" t="str">
        <f>'MF Measure Development'!BG24</f>
        <v>ResWASH</v>
      </c>
      <c r="I164" s="9">
        <f ca="1">'MF Measure Development'!BH24</f>
        <v>10.378628696964256</v>
      </c>
      <c r="J164" s="9">
        <f>'MF Measure Development'!BI24</f>
        <v>0</v>
      </c>
      <c r="K164" s="9">
        <f>'MF Measure Development'!BJ24</f>
        <v>0</v>
      </c>
      <c r="L164" s="9">
        <f>'MF Measure Development'!BK24</f>
        <v>0</v>
      </c>
      <c r="M164" s="9">
        <f>'MF Measure Development'!BL24</f>
        <v>0</v>
      </c>
      <c r="N164" s="9">
        <f>'MF Measure Development'!BM24</f>
        <v>0</v>
      </c>
      <c r="O164" s="9">
        <f>'MF Measure Development'!BN24</f>
        <v>0</v>
      </c>
      <c r="P164" s="9">
        <f ca="1">'MF Measure Development'!BO24</f>
        <v>0</v>
      </c>
      <c r="Q164" s="9" t="str">
        <f>'MF Measure Development'!BP24</f>
        <v>ResDHW</v>
      </c>
    </row>
    <row r="165" spans="1:17">
      <c r="A165" s="9" t="s">
        <v>161</v>
      </c>
      <c r="B165" s="9" t="str">
        <f>'MF Measure Development'!BA25</f>
        <v>ENERGY STAR - Front-Load Clothes Washer - Gas DHW, Electric Dryer - 31% ENERGY STAR Baseline</v>
      </c>
      <c r="C165" s="9" t="str">
        <f>'MF Measure Development'!BB25</f>
        <v>Washer Savings</v>
      </c>
      <c r="D165" s="9">
        <f ca="1">'MF Measure Development'!BC25</f>
        <v>5.3614472760074392</v>
      </c>
      <c r="E165" s="9">
        <f>'MF Measure Development'!BD25</f>
        <v>14</v>
      </c>
      <c r="F165" s="9">
        <f ca="1">'MF Measure Development'!BE25</f>
        <v>193.50283895096402</v>
      </c>
      <c r="G165" s="9">
        <f>'MF Measure Development'!BF25</f>
        <v>0</v>
      </c>
      <c r="H165" s="9" t="str">
        <f>'MF Measure Development'!BG25</f>
        <v>ResWASH</v>
      </c>
      <c r="I165" s="9">
        <f ca="1">'MF Measure Development'!BH25</f>
        <v>10.378628696964256</v>
      </c>
      <c r="J165" s="9">
        <f>'MF Measure Development'!BI25</f>
        <v>0</v>
      </c>
      <c r="K165" s="9">
        <f>'MF Measure Development'!BJ25</f>
        <v>0</v>
      </c>
      <c r="L165" s="9">
        <f>'MF Measure Development'!BK25</f>
        <v>0</v>
      </c>
      <c r="M165" s="9">
        <f>'MF Measure Development'!BL25</f>
        <v>0</v>
      </c>
      <c r="N165" s="9">
        <f>'MF Measure Development'!BM25</f>
        <v>0</v>
      </c>
      <c r="O165" s="9">
        <f>'MF Measure Development'!BN25</f>
        <v>0</v>
      </c>
      <c r="P165" s="9">
        <f ca="1">'MF Measure Development'!BO25</f>
        <v>1.4231168762104622</v>
      </c>
      <c r="Q165" s="9" t="str">
        <f>'MF Measure Development'!BP25</f>
        <v>ResDHW</v>
      </c>
    </row>
    <row r="166" spans="1:17">
      <c r="A166" s="9" t="s">
        <v>161</v>
      </c>
      <c r="B166" s="9" t="str">
        <f>'MF Measure Development'!BA26</f>
        <v>ENERGY STAR - Front-Load Clothes Washer - Gas DHW, Gas Dryer - 31% ENERGY STAR Baseline</v>
      </c>
      <c r="C166" s="9" t="str">
        <f>'MF Measure Development'!BB26</f>
        <v>Washer Savings</v>
      </c>
      <c r="D166" s="9">
        <f ca="1">'MF Measure Development'!BC26</f>
        <v>5.3614472760074392</v>
      </c>
      <c r="E166" s="9">
        <f>'MF Measure Development'!BD26</f>
        <v>14</v>
      </c>
      <c r="F166" s="9">
        <f ca="1">'MF Measure Development'!BE26</f>
        <v>193.50283895096402</v>
      </c>
      <c r="G166" s="9">
        <f>'MF Measure Development'!BF26</f>
        <v>0</v>
      </c>
      <c r="H166" s="9" t="str">
        <f>'MF Measure Development'!BG26</f>
        <v>ResWASH</v>
      </c>
      <c r="I166" s="9">
        <f ca="1">'MF Measure Development'!BH26</f>
        <v>10.378628696964256</v>
      </c>
      <c r="J166" s="9">
        <f>'MF Measure Development'!BI26</f>
        <v>0</v>
      </c>
      <c r="K166" s="9">
        <f>'MF Measure Development'!BJ26</f>
        <v>0</v>
      </c>
      <c r="L166" s="9">
        <f>'MF Measure Development'!BK26</f>
        <v>0</v>
      </c>
      <c r="M166" s="9">
        <f>'MF Measure Development'!BL26</f>
        <v>0</v>
      </c>
      <c r="N166" s="9">
        <f>'MF Measure Development'!BM26</f>
        <v>0</v>
      </c>
      <c r="O166" s="9">
        <f>'MF Measure Development'!BN26</f>
        <v>0</v>
      </c>
      <c r="P166" s="9">
        <f ca="1">'MF Measure Development'!BO26</f>
        <v>1.4231168762104622</v>
      </c>
      <c r="Q166" s="9" t="str">
        <f>'MF Measure Development'!BP26</f>
        <v>ResDHW</v>
      </c>
    </row>
    <row r="167" spans="1:17">
      <c r="A167" s="9" t="s">
        <v>161</v>
      </c>
      <c r="B167" s="9" t="str">
        <f>'MF Measure Development'!BA27</f>
        <v>ENERGY STAR - Front-Load Clothes Washer - Any DHW, Any Dryer - 31% ENERGY STAR Baseline</v>
      </c>
      <c r="C167" s="9" t="str">
        <f>'MF Measure Development'!BB27</f>
        <v>Washer Savings</v>
      </c>
      <c r="D167" s="9">
        <f ca="1">'MF Measure Development'!BC27</f>
        <v>22.623984244982875</v>
      </c>
      <c r="E167" s="9">
        <f>'MF Measure Development'!BD27</f>
        <v>14</v>
      </c>
      <c r="F167" s="9">
        <f ca="1">'MF Measure Development'!BE27</f>
        <v>193.50283895096402</v>
      </c>
      <c r="G167" s="9">
        <f>'MF Measure Development'!BF27</f>
        <v>0</v>
      </c>
      <c r="H167" s="9" t="str">
        <f>'MF Measure Development'!BG27</f>
        <v>ResWASH</v>
      </c>
      <c r="I167" s="9">
        <f ca="1">'MF Measure Development'!BH27</f>
        <v>10.378628696964256</v>
      </c>
      <c r="J167" s="9">
        <f>'MF Measure Development'!BI27</f>
        <v>0</v>
      </c>
      <c r="K167" s="9">
        <f>'MF Measure Development'!BJ27</f>
        <v>0</v>
      </c>
      <c r="L167" s="9">
        <f>'MF Measure Development'!BK27</f>
        <v>0</v>
      </c>
      <c r="M167" s="9">
        <f>'MF Measure Development'!BL27</f>
        <v>0</v>
      </c>
      <c r="N167" s="9">
        <f>'MF Measure Development'!BM27</f>
        <v>0</v>
      </c>
      <c r="O167" s="9">
        <f>'MF Measure Development'!BN27</f>
        <v>0</v>
      </c>
      <c r="P167" s="9">
        <f ca="1">'MF Measure Development'!BO27</f>
        <v>0.63755636054228704</v>
      </c>
      <c r="Q167" s="9" t="str">
        <f>'MF Measure Development'!BP27</f>
        <v>ResDHW</v>
      </c>
    </row>
    <row r="168" spans="1:17">
      <c r="A168" s="9" t="s">
        <v>161</v>
      </c>
      <c r="B168" s="9" t="str">
        <f>'MF Measure Development'!BA33</f>
        <v>CEE Tier 1 Clothes Washer - Electric DHW, Electric Dryer - 31% ENERGY STAR Baseline</v>
      </c>
      <c r="C168" s="9" t="str">
        <f>'MF Measure Development'!BB33</f>
        <v>Washer Savings</v>
      </c>
      <c r="D168" s="9">
        <f ca="1">'MF Measure Development'!BC33</f>
        <v>31.594251063683636</v>
      </c>
      <c r="E168" s="9">
        <f>'MF Measure Development'!BD33</f>
        <v>14</v>
      </c>
      <c r="F168" s="9">
        <f ca="1">'MF Measure Development'!BE33</f>
        <v>175.18308770271631</v>
      </c>
      <c r="G168" s="9">
        <f>'MF Measure Development'!BF33</f>
        <v>0</v>
      </c>
      <c r="H168" s="9" t="str">
        <f>'MF Measure Development'!BG33</f>
        <v>ResWASH</v>
      </c>
      <c r="I168" s="9">
        <f ca="1">'MF Measure Development'!BH33</f>
        <v>9.1108868839759154</v>
      </c>
      <c r="J168" s="9">
        <f>'MF Measure Development'!BI33</f>
        <v>0</v>
      </c>
      <c r="K168" s="9">
        <f>'MF Measure Development'!BJ33</f>
        <v>0</v>
      </c>
      <c r="L168" s="9">
        <f>'MF Measure Development'!BK33</f>
        <v>0</v>
      </c>
      <c r="M168" s="9">
        <f>'MF Measure Development'!BL33</f>
        <v>0</v>
      </c>
      <c r="N168" s="9">
        <f>'MF Measure Development'!BM33</f>
        <v>0</v>
      </c>
      <c r="O168" s="9">
        <f>'MF Measure Development'!BN33</f>
        <v>0</v>
      </c>
      <c r="P168" s="9">
        <f ca="1">'MF Measure Development'!BO33</f>
        <v>0</v>
      </c>
      <c r="Q168" s="9" t="str">
        <f>'MF Measure Development'!BP33</f>
        <v>ResDHW</v>
      </c>
    </row>
    <row r="169" spans="1:17">
      <c r="A169" s="9" t="s">
        <v>161</v>
      </c>
      <c r="B169" s="9" t="str">
        <f>'MF Measure Development'!BA34</f>
        <v>CEE Tier 1 Clothes Washer - Electric DHW, Gas Dryer - 31% ENERGY STAR Baseline</v>
      </c>
      <c r="C169" s="9" t="str">
        <f>'MF Measure Development'!BB34</f>
        <v>Washer Savings</v>
      </c>
      <c r="D169" s="9">
        <f ca="1">'MF Measure Development'!BC34</f>
        <v>31.594251063683636</v>
      </c>
      <c r="E169" s="9">
        <f>'MF Measure Development'!BD34</f>
        <v>14</v>
      </c>
      <c r="F169" s="9">
        <f ca="1">'MF Measure Development'!BE34</f>
        <v>175.18308770271631</v>
      </c>
      <c r="G169" s="9">
        <f>'MF Measure Development'!BF34</f>
        <v>0</v>
      </c>
      <c r="H169" s="9" t="str">
        <f>'MF Measure Development'!BG34</f>
        <v>ResWASH</v>
      </c>
      <c r="I169" s="9">
        <f ca="1">'MF Measure Development'!BH34</f>
        <v>9.1108868839759154</v>
      </c>
      <c r="J169" s="9">
        <f>'MF Measure Development'!BI34</f>
        <v>0</v>
      </c>
      <c r="K169" s="9">
        <f>'MF Measure Development'!BJ34</f>
        <v>0</v>
      </c>
      <c r="L169" s="9">
        <f>'MF Measure Development'!BK34</f>
        <v>0</v>
      </c>
      <c r="M169" s="9">
        <f>'MF Measure Development'!BL34</f>
        <v>0</v>
      </c>
      <c r="N169" s="9">
        <f>'MF Measure Development'!BM34</f>
        <v>0</v>
      </c>
      <c r="O169" s="9">
        <f>'MF Measure Development'!BN34</f>
        <v>0</v>
      </c>
      <c r="P169" s="9">
        <f ca="1">'MF Measure Development'!BO34</f>
        <v>0</v>
      </c>
      <c r="Q169" s="9" t="str">
        <f>'MF Measure Development'!BP34</f>
        <v>ResDHW</v>
      </c>
    </row>
    <row r="170" spans="1:17">
      <c r="A170" s="9" t="s">
        <v>161</v>
      </c>
      <c r="B170" s="9" t="str">
        <f>'MF Measure Development'!BA35</f>
        <v>CEE Tier 1 Clothes Washer - Gas DHW, Electric Dryer - 31% ENERGY STAR Baseline</v>
      </c>
      <c r="C170" s="9" t="str">
        <f>'MF Measure Development'!BB35</f>
        <v>Washer Savings</v>
      </c>
      <c r="D170" s="9">
        <f ca="1">'MF Measure Development'!BC35</f>
        <v>4.3714608847079504</v>
      </c>
      <c r="E170" s="9">
        <f>'MF Measure Development'!BD35</f>
        <v>14</v>
      </c>
      <c r="F170" s="9">
        <f ca="1">'MF Measure Development'!BE35</f>
        <v>175.18308770271631</v>
      </c>
      <c r="G170" s="9">
        <f>'MF Measure Development'!BF35</f>
        <v>0</v>
      </c>
      <c r="H170" s="9" t="str">
        <f>'MF Measure Development'!BG35</f>
        <v>ResWASH</v>
      </c>
      <c r="I170" s="9">
        <f ca="1">'MF Measure Development'!BH35</f>
        <v>9.1108868839759154</v>
      </c>
      <c r="J170" s="9">
        <f>'MF Measure Development'!BI35</f>
        <v>0</v>
      </c>
      <c r="K170" s="9">
        <f>'MF Measure Development'!BJ35</f>
        <v>0</v>
      </c>
      <c r="L170" s="9">
        <f>'MF Measure Development'!BK35</f>
        <v>0</v>
      </c>
      <c r="M170" s="9">
        <f>'MF Measure Development'!BL35</f>
        <v>0</v>
      </c>
      <c r="N170" s="9">
        <f>'MF Measure Development'!BM35</f>
        <v>0</v>
      </c>
      <c r="O170" s="9">
        <f>'MF Measure Development'!BN35</f>
        <v>0</v>
      </c>
      <c r="P170" s="9">
        <f ca="1">'MF Measure Development'!BO35</f>
        <v>1.2388184384112533</v>
      </c>
      <c r="Q170" s="9" t="str">
        <f>'MF Measure Development'!BP35</f>
        <v>ResDHW</v>
      </c>
    </row>
    <row r="171" spans="1:17">
      <c r="A171" s="9" t="s">
        <v>161</v>
      </c>
      <c r="B171" s="9" t="str">
        <f>'MF Measure Development'!BA36</f>
        <v>CEE Tier 1 Clothes Washer - Gas DHW, Gas Dryer - 31% ENERGY STAR Baseline</v>
      </c>
      <c r="C171" s="9" t="str">
        <f>'MF Measure Development'!BB36</f>
        <v>Washer Savings</v>
      </c>
      <c r="D171" s="9">
        <f ca="1">'MF Measure Development'!BC36</f>
        <v>4.3714608847079504</v>
      </c>
      <c r="E171" s="9">
        <f>'MF Measure Development'!BD36</f>
        <v>14</v>
      </c>
      <c r="F171" s="9">
        <f ca="1">'MF Measure Development'!BE36</f>
        <v>175.18308770271631</v>
      </c>
      <c r="G171" s="9">
        <f>'MF Measure Development'!BF36</f>
        <v>0</v>
      </c>
      <c r="H171" s="9" t="str">
        <f>'MF Measure Development'!BG36</f>
        <v>ResWASH</v>
      </c>
      <c r="I171" s="9">
        <f ca="1">'MF Measure Development'!BH36</f>
        <v>9.1108868839759154</v>
      </c>
      <c r="J171" s="9">
        <f>'MF Measure Development'!BI36</f>
        <v>0</v>
      </c>
      <c r="K171" s="9">
        <f>'MF Measure Development'!BJ36</f>
        <v>0</v>
      </c>
      <c r="L171" s="9">
        <f>'MF Measure Development'!BK36</f>
        <v>0</v>
      </c>
      <c r="M171" s="9">
        <f>'MF Measure Development'!BL36</f>
        <v>0</v>
      </c>
      <c r="N171" s="9">
        <f>'MF Measure Development'!BM36</f>
        <v>0</v>
      </c>
      <c r="O171" s="9">
        <f>'MF Measure Development'!BN36</f>
        <v>0</v>
      </c>
      <c r="P171" s="9">
        <f ca="1">'MF Measure Development'!BO36</f>
        <v>1.2388184384112533</v>
      </c>
      <c r="Q171" s="9" t="str">
        <f>'MF Measure Development'!BP36</f>
        <v>ResDHW</v>
      </c>
    </row>
    <row r="172" spans="1:17">
      <c r="A172" s="9" t="s">
        <v>161</v>
      </c>
      <c r="B172" s="9" t="str">
        <f>'MF Measure Development'!BA37</f>
        <v>CEE Tier 1 Clothes Washer - Any DHW, Any Dryer - 31% ENERGY STAR Baseline</v>
      </c>
      <c r="C172" s="9" t="str">
        <f>'MF Measure Development'!BB37</f>
        <v>Washer Savings</v>
      </c>
      <c r="D172" s="9">
        <f ca="1">'MF Measure Development'!BC37</f>
        <v>19.398441063502531</v>
      </c>
      <c r="E172" s="9">
        <f>'MF Measure Development'!BD37</f>
        <v>14</v>
      </c>
      <c r="F172" s="9">
        <f ca="1">'MF Measure Development'!BE37</f>
        <v>175.18308770271631</v>
      </c>
      <c r="G172" s="9">
        <f>'MF Measure Development'!BF37</f>
        <v>0</v>
      </c>
      <c r="H172" s="9" t="str">
        <f>'MF Measure Development'!BG37</f>
        <v>ResWASH</v>
      </c>
      <c r="I172" s="9">
        <f ca="1">'MF Measure Development'!BH37</f>
        <v>9.1108868839759154</v>
      </c>
      <c r="J172" s="9">
        <f>'MF Measure Development'!BI37</f>
        <v>0</v>
      </c>
      <c r="K172" s="9">
        <f>'MF Measure Development'!BJ37</f>
        <v>0</v>
      </c>
      <c r="L172" s="9">
        <f>'MF Measure Development'!BK37</f>
        <v>0</v>
      </c>
      <c r="M172" s="9">
        <f>'MF Measure Development'!BL37</f>
        <v>0</v>
      </c>
      <c r="N172" s="9">
        <f>'MF Measure Development'!BM37</f>
        <v>0</v>
      </c>
      <c r="O172" s="9">
        <f>'MF Measure Development'!BN37</f>
        <v>0</v>
      </c>
      <c r="P172" s="9">
        <f ca="1">'MF Measure Development'!BO37</f>
        <v>0.55499066040824141</v>
      </c>
      <c r="Q172" s="9" t="str">
        <f>'MF Measure Development'!BP37</f>
        <v>ResDHW</v>
      </c>
    </row>
    <row r="173" spans="1:17">
      <c r="A173" s="9" t="s">
        <v>161</v>
      </c>
      <c r="B173" s="9" t="str">
        <f>'MF Measure Development'!BA38</f>
        <v>CEE Tier 2 Clothes Washer - Electric DHW, Electric Dryer - 31% ENERGY STAR Baseline</v>
      </c>
      <c r="C173" s="9" t="str">
        <f>'MF Measure Development'!BB38</f>
        <v>Washer Savings</v>
      </c>
      <c r="D173" s="9">
        <f ca="1">'MF Measure Development'!BC38</f>
        <v>43.473916064226039</v>
      </c>
      <c r="E173" s="9">
        <f>'MF Measure Development'!BD38</f>
        <v>14</v>
      </c>
      <c r="F173" s="9">
        <f ca="1">'MF Measure Development'!BE38</f>
        <v>224.76652220844369</v>
      </c>
      <c r="G173" s="9">
        <f>'MF Measure Development'!BF38</f>
        <v>0</v>
      </c>
      <c r="H173" s="9" t="str">
        <f>'MF Measure Development'!BG38</f>
        <v>ResWASH</v>
      </c>
      <c r="I173" s="9">
        <f ca="1">'MF Measure Development'!BH38</f>
        <v>12.15164934122744</v>
      </c>
      <c r="J173" s="9">
        <f>'MF Measure Development'!BI38</f>
        <v>0</v>
      </c>
      <c r="K173" s="9">
        <f>'MF Measure Development'!BJ38</f>
        <v>0</v>
      </c>
      <c r="L173" s="9">
        <f>'MF Measure Development'!BK38</f>
        <v>0</v>
      </c>
      <c r="M173" s="9">
        <f>'MF Measure Development'!BL38</f>
        <v>0</v>
      </c>
      <c r="N173" s="9">
        <f>'MF Measure Development'!BM38</f>
        <v>0</v>
      </c>
      <c r="O173" s="9">
        <f>'MF Measure Development'!BN38</f>
        <v>0</v>
      </c>
      <c r="P173" s="9">
        <f ca="1">'MF Measure Development'!BO38</f>
        <v>0</v>
      </c>
      <c r="Q173" s="9" t="str">
        <f>'MF Measure Development'!BP38</f>
        <v>ResDHW</v>
      </c>
    </row>
    <row r="174" spans="1:17">
      <c r="A174" s="9" t="s">
        <v>161</v>
      </c>
      <c r="B174" s="9" t="str">
        <f>'MF Measure Development'!BA39</f>
        <v>CEE Tier 2 Clothes Washer - Electric DHW, Gas Dryer - 31% ENERGY STAR Baseline</v>
      </c>
      <c r="C174" s="9" t="str">
        <f>'MF Measure Development'!BB39</f>
        <v>Washer Savings</v>
      </c>
      <c r="D174" s="9">
        <f ca="1">'MF Measure Development'!BC39</f>
        <v>43.473916064226039</v>
      </c>
      <c r="E174" s="9">
        <f>'MF Measure Development'!BD39</f>
        <v>14</v>
      </c>
      <c r="F174" s="9">
        <f ca="1">'MF Measure Development'!BE39</f>
        <v>224.76652220844369</v>
      </c>
      <c r="G174" s="9">
        <f>'MF Measure Development'!BF39</f>
        <v>0</v>
      </c>
      <c r="H174" s="9" t="str">
        <f>'MF Measure Development'!BG39</f>
        <v>ResWASH</v>
      </c>
      <c r="I174" s="9">
        <f ca="1">'MF Measure Development'!BH39</f>
        <v>12.15164934122744</v>
      </c>
      <c r="J174" s="9">
        <f>'MF Measure Development'!BI39</f>
        <v>0</v>
      </c>
      <c r="K174" s="9">
        <f>'MF Measure Development'!BJ39</f>
        <v>0</v>
      </c>
      <c r="L174" s="9">
        <f>'MF Measure Development'!BK39</f>
        <v>0</v>
      </c>
      <c r="M174" s="9">
        <f>'MF Measure Development'!BL39</f>
        <v>0</v>
      </c>
      <c r="N174" s="9">
        <f>'MF Measure Development'!BM39</f>
        <v>0</v>
      </c>
      <c r="O174" s="9">
        <f>'MF Measure Development'!BN39</f>
        <v>0</v>
      </c>
      <c r="P174" s="9">
        <f ca="1">'MF Measure Development'!BO39</f>
        <v>0</v>
      </c>
      <c r="Q174" s="9" t="str">
        <f>'MF Measure Development'!BP39</f>
        <v>ResDHW</v>
      </c>
    </row>
    <row r="175" spans="1:17">
      <c r="A175" s="9" t="s">
        <v>161</v>
      </c>
      <c r="B175" s="9" t="str">
        <f>'MF Measure Development'!BA40</f>
        <v>CEE Tier 2 Clothes Washer - Gas DHW, Electric Dryer - 31% ENERGY STAR Baseline</v>
      </c>
      <c r="C175" s="9" t="str">
        <f>'MF Measure Development'!BB40</f>
        <v>Washer Savings</v>
      </c>
      <c r="D175" s="9">
        <f ca="1">'MF Measure Development'!BC40</f>
        <v>6.7342988426129082</v>
      </c>
      <c r="E175" s="9">
        <f>'MF Measure Development'!BD40</f>
        <v>14</v>
      </c>
      <c r="F175" s="9">
        <f ca="1">'MF Measure Development'!BE40</f>
        <v>224.76652220844369</v>
      </c>
      <c r="G175" s="9">
        <f>'MF Measure Development'!BF40</f>
        <v>0</v>
      </c>
      <c r="H175" s="9" t="str">
        <f>'MF Measure Development'!BG40</f>
        <v>ResWASH</v>
      </c>
      <c r="I175" s="9">
        <f ca="1">'MF Measure Development'!BH40</f>
        <v>12.15164934122744</v>
      </c>
      <c r="J175" s="9">
        <f>'MF Measure Development'!BI40</f>
        <v>0</v>
      </c>
      <c r="K175" s="9">
        <f>'MF Measure Development'!BJ40</f>
        <v>0</v>
      </c>
      <c r="L175" s="9">
        <f>'MF Measure Development'!BK40</f>
        <v>0</v>
      </c>
      <c r="M175" s="9">
        <f>'MF Measure Development'!BL40</f>
        <v>0</v>
      </c>
      <c r="N175" s="9">
        <f>'MF Measure Development'!BM40</f>
        <v>0</v>
      </c>
      <c r="O175" s="9">
        <f>'MF Measure Development'!BN40</f>
        <v>0</v>
      </c>
      <c r="P175" s="9">
        <f ca="1">'MF Measure Development'!BO40</f>
        <v>1.6718975143648747</v>
      </c>
      <c r="Q175" s="9" t="str">
        <f>'MF Measure Development'!BP40</f>
        <v>ResDHW</v>
      </c>
    </row>
    <row r="176" spans="1:17">
      <c r="A176" s="9" t="s">
        <v>161</v>
      </c>
      <c r="B176" s="9" t="str">
        <f>'MF Measure Development'!BA41</f>
        <v>CEE Tier 2 Clothes Washer - Gas DHW, Gas Dryer - 31% ENERGY STAR Baseline</v>
      </c>
      <c r="C176" s="9" t="str">
        <f>'MF Measure Development'!BB41</f>
        <v>Washer Savings</v>
      </c>
      <c r="D176" s="9">
        <f ca="1">'MF Measure Development'!BC41</f>
        <v>6.7342988426129082</v>
      </c>
      <c r="E176" s="9">
        <f>'MF Measure Development'!BD41</f>
        <v>14</v>
      </c>
      <c r="F176" s="9">
        <f ca="1">'MF Measure Development'!BE41</f>
        <v>224.76652220844369</v>
      </c>
      <c r="G176" s="9">
        <f>'MF Measure Development'!BF41</f>
        <v>0</v>
      </c>
      <c r="H176" s="9" t="str">
        <f>'MF Measure Development'!BG41</f>
        <v>ResWASH</v>
      </c>
      <c r="I176" s="9">
        <f ca="1">'MF Measure Development'!BH41</f>
        <v>12.15164934122744</v>
      </c>
      <c r="J176" s="9">
        <f>'MF Measure Development'!BI41</f>
        <v>0</v>
      </c>
      <c r="K176" s="9">
        <f>'MF Measure Development'!BJ41</f>
        <v>0</v>
      </c>
      <c r="L176" s="9">
        <f>'MF Measure Development'!BK41</f>
        <v>0</v>
      </c>
      <c r="M176" s="9">
        <f>'MF Measure Development'!BL41</f>
        <v>0</v>
      </c>
      <c r="N176" s="9">
        <f>'MF Measure Development'!BM41</f>
        <v>0</v>
      </c>
      <c r="O176" s="9">
        <f>'MF Measure Development'!BN41</f>
        <v>0</v>
      </c>
      <c r="P176" s="9">
        <f ca="1">'MF Measure Development'!BO41</f>
        <v>1.6718975143648747</v>
      </c>
      <c r="Q176" s="9" t="str">
        <f>'MF Measure Development'!BP41</f>
        <v>ResDHW</v>
      </c>
    </row>
    <row r="177" spans="1:17">
      <c r="A177" s="9" t="s">
        <v>161</v>
      </c>
      <c r="B177" s="9" t="str">
        <f>'MF Measure Development'!BA42</f>
        <v>CEE Tier 2 Clothes Washer - Any DHW, Any Dryer - 31% ENERGY STAR Baseline</v>
      </c>
      <c r="C177" s="9" t="str">
        <f>'MF Measure Development'!BB42</f>
        <v>Washer Savings</v>
      </c>
      <c r="D177" s="9">
        <f ca="1">'MF Measure Development'!BC42</f>
        <v>27.014567548943358</v>
      </c>
      <c r="E177" s="9">
        <f>'MF Measure Development'!BD42</f>
        <v>14</v>
      </c>
      <c r="F177" s="9">
        <f ca="1">'MF Measure Development'!BE42</f>
        <v>224.76652220844369</v>
      </c>
      <c r="G177" s="9">
        <f>'MF Measure Development'!BF42</f>
        <v>0</v>
      </c>
      <c r="H177" s="9" t="str">
        <f>'MF Measure Development'!BG42</f>
        <v>ResWASH</v>
      </c>
      <c r="I177" s="9">
        <f ca="1">'MF Measure Development'!BH42</f>
        <v>12.15164934122744</v>
      </c>
      <c r="J177" s="9">
        <f>'MF Measure Development'!BI42</f>
        <v>0</v>
      </c>
      <c r="K177" s="9">
        <f>'MF Measure Development'!BJ42</f>
        <v>0</v>
      </c>
      <c r="L177" s="9">
        <f>'MF Measure Development'!BK42</f>
        <v>0</v>
      </c>
      <c r="M177" s="9">
        <f>'MF Measure Development'!BL42</f>
        <v>0</v>
      </c>
      <c r="N177" s="9">
        <f>'MF Measure Development'!BM42</f>
        <v>0</v>
      </c>
      <c r="O177" s="9">
        <f>'MF Measure Development'!BN42</f>
        <v>0</v>
      </c>
      <c r="P177" s="9">
        <f ca="1">'MF Measure Development'!BO42</f>
        <v>0.74901008643546374</v>
      </c>
      <c r="Q177" s="9" t="str">
        <f>'MF Measure Development'!BP42</f>
        <v>ResDHW</v>
      </c>
    </row>
    <row r="178" spans="1:17">
      <c r="A178" s="9" t="s">
        <v>161</v>
      </c>
      <c r="B178" s="9" t="str">
        <f>'MF Measure Development'!BA43</f>
        <v>CEE Tier 3 Clothes Washer - Electric DHW, Electric Dryer - 31% ENERGY STAR Baseline</v>
      </c>
      <c r="C178" s="9" t="str">
        <f>'MF Measure Development'!BB43</f>
        <v>Washer Savings</v>
      </c>
      <c r="D178" s="9">
        <f ca="1">'MF Measure Development'!BC43</f>
        <v>45.505146765118631</v>
      </c>
      <c r="E178" s="9">
        <f>'MF Measure Development'!BD43</f>
        <v>14</v>
      </c>
      <c r="F178" s="9">
        <f ca="1">'MF Measure Development'!BE43</f>
        <v>219.7320756538362</v>
      </c>
      <c r="G178" s="9">
        <f>'MF Measure Development'!BF43</f>
        <v>0</v>
      </c>
      <c r="H178" s="9" t="str">
        <f>'MF Measure Development'!BG43</f>
        <v>ResWASH</v>
      </c>
      <c r="I178" s="9">
        <f ca="1">'MF Measure Development'!BH43</f>
        <v>12.414287173427663</v>
      </c>
      <c r="J178" s="9">
        <f>'MF Measure Development'!BI43</f>
        <v>0</v>
      </c>
      <c r="K178" s="9">
        <f>'MF Measure Development'!BJ43</f>
        <v>0</v>
      </c>
      <c r="L178" s="9">
        <f>'MF Measure Development'!BK43</f>
        <v>0</v>
      </c>
      <c r="M178" s="9">
        <f>'MF Measure Development'!BL43</f>
        <v>0</v>
      </c>
      <c r="N178" s="9">
        <f>'MF Measure Development'!BM43</f>
        <v>0</v>
      </c>
      <c r="O178" s="9">
        <f>'MF Measure Development'!BN43</f>
        <v>0</v>
      </c>
      <c r="P178" s="9">
        <f ca="1">'MF Measure Development'!BO43</f>
        <v>0</v>
      </c>
      <c r="Q178" s="9" t="str">
        <f>'MF Measure Development'!BP43</f>
        <v>ResDHW</v>
      </c>
    </row>
    <row r="179" spans="1:17">
      <c r="A179" s="9" t="s">
        <v>161</v>
      </c>
      <c r="B179" s="9" t="str">
        <f>'MF Measure Development'!BA44</f>
        <v>CEE Tier 3 Clothes Washer - Electric DHW, Gas Dryer - 31% ENERGY STAR Baseline</v>
      </c>
      <c r="C179" s="9" t="str">
        <f>'MF Measure Development'!BB44</f>
        <v>Washer Savings</v>
      </c>
      <c r="D179" s="9">
        <f ca="1">'MF Measure Development'!BC44</f>
        <v>45.505146765118631</v>
      </c>
      <c r="E179" s="9">
        <f>'MF Measure Development'!BD44</f>
        <v>14</v>
      </c>
      <c r="F179" s="9">
        <f ca="1">'MF Measure Development'!BE44</f>
        <v>219.7320756538362</v>
      </c>
      <c r="G179" s="9">
        <f>'MF Measure Development'!BF44</f>
        <v>0</v>
      </c>
      <c r="H179" s="9" t="str">
        <f>'MF Measure Development'!BG44</f>
        <v>ResWASH</v>
      </c>
      <c r="I179" s="9">
        <f ca="1">'MF Measure Development'!BH44</f>
        <v>12.414287173427663</v>
      </c>
      <c r="J179" s="9">
        <f>'MF Measure Development'!BI44</f>
        <v>0</v>
      </c>
      <c r="K179" s="9">
        <f>'MF Measure Development'!BJ44</f>
        <v>0</v>
      </c>
      <c r="L179" s="9">
        <f>'MF Measure Development'!BK44</f>
        <v>0</v>
      </c>
      <c r="M179" s="9">
        <f>'MF Measure Development'!BL44</f>
        <v>0</v>
      </c>
      <c r="N179" s="9">
        <f>'MF Measure Development'!BM44</f>
        <v>0</v>
      </c>
      <c r="O179" s="9">
        <f>'MF Measure Development'!BN44</f>
        <v>0</v>
      </c>
      <c r="P179" s="9">
        <f ca="1">'MF Measure Development'!BO44</f>
        <v>0</v>
      </c>
      <c r="Q179" s="9" t="str">
        <f>'MF Measure Development'!BP44</f>
        <v>ResDHW</v>
      </c>
    </row>
    <row r="180" spans="1:17">
      <c r="A180" s="9" t="s">
        <v>161</v>
      </c>
      <c r="B180" s="9" t="str">
        <f>'MF Measure Development'!BA45</f>
        <v>CEE Tier 3 Clothes Washer - Gas DHW, Electric Dryer - 31% ENERGY STAR Baseline</v>
      </c>
      <c r="C180" s="9" t="str">
        <f>'MF Measure Development'!BB45</f>
        <v>Washer Savings</v>
      </c>
      <c r="D180" s="9">
        <f ca="1">'MF Measure Development'!BC45</f>
        <v>7.3856880423423874</v>
      </c>
      <c r="E180" s="9">
        <f>'MF Measure Development'!BD45</f>
        <v>14</v>
      </c>
      <c r="F180" s="9">
        <f ca="1">'MF Measure Development'!BE45</f>
        <v>219.7320756538362</v>
      </c>
      <c r="G180" s="9">
        <f>'MF Measure Development'!BF45</f>
        <v>0</v>
      </c>
      <c r="H180" s="9" t="str">
        <f>'MF Measure Development'!BG45</f>
        <v>ResWASH</v>
      </c>
      <c r="I180" s="9">
        <f ca="1">'MF Measure Development'!BH45</f>
        <v>12.414287173427663</v>
      </c>
      <c r="J180" s="9">
        <f>'MF Measure Development'!BI45</f>
        <v>0</v>
      </c>
      <c r="K180" s="9">
        <f>'MF Measure Development'!BJ45</f>
        <v>0</v>
      </c>
      <c r="L180" s="9">
        <f>'MF Measure Development'!BK45</f>
        <v>0</v>
      </c>
      <c r="M180" s="9">
        <f>'MF Measure Development'!BL45</f>
        <v>0</v>
      </c>
      <c r="N180" s="9">
        <f>'MF Measure Development'!BM45</f>
        <v>0</v>
      </c>
      <c r="O180" s="9">
        <f>'MF Measure Development'!BN45</f>
        <v>0</v>
      </c>
      <c r="P180" s="9">
        <f ca="1">'MF Measure Development'!BO45</f>
        <v>1.734689501611137</v>
      </c>
      <c r="Q180" s="9" t="str">
        <f>'MF Measure Development'!BP45</f>
        <v>ResDHW</v>
      </c>
    </row>
    <row r="181" spans="1:17">
      <c r="A181" s="9" t="s">
        <v>161</v>
      </c>
      <c r="B181" s="9" t="str">
        <f>'MF Measure Development'!BA46</f>
        <v>CEE Tier 3 Clothes Washer - Gas DHW, Gas Dryer - 31% ENERGY STAR Baseline</v>
      </c>
      <c r="C181" s="9" t="str">
        <f>'MF Measure Development'!BB46</f>
        <v>Washer Savings</v>
      </c>
      <c r="D181" s="9">
        <f ca="1">'MF Measure Development'!BC46</f>
        <v>7.3856880423423874</v>
      </c>
      <c r="E181" s="9">
        <f>'MF Measure Development'!BD46</f>
        <v>14</v>
      </c>
      <c r="F181" s="9">
        <f ca="1">'MF Measure Development'!BE46</f>
        <v>219.7320756538362</v>
      </c>
      <c r="G181" s="9">
        <f>'MF Measure Development'!BF46</f>
        <v>0</v>
      </c>
      <c r="H181" s="9" t="str">
        <f>'MF Measure Development'!BG46</f>
        <v>ResWASH</v>
      </c>
      <c r="I181" s="9">
        <f ca="1">'MF Measure Development'!BH46</f>
        <v>12.414287173427663</v>
      </c>
      <c r="J181" s="9">
        <f>'MF Measure Development'!BI46</f>
        <v>0</v>
      </c>
      <c r="K181" s="9">
        <f>'MF Measure Development'!BJ46</f>
        <v>0</v>
      </c>
      <c r="L181" s="9">
        <f>'MF Measure Development'!BK46</f>
        <v>0</v>
      </c>
      <c r="M181" s="9">
        <f>'MF Measure Development'!BL46</f>
        <v>0</v>
      </c>
      <c r="N181" s="9">
        <f>'MF Measure Development'!BM46</f>
        <v>0</v>
      </c>
      <c r="O181" s="9">
        <f>'MF Measure Development'!BN46</f>
        <v>0</v>
      </c>
      <c r="P181" s="9">
        <f ca="1">'MF Measure Development'!BO46</f>
        <v>1.734689501611137</v>
      </c>
      <c r="Q181" s="9" t="str">
        <f>'MF Measure Development'!BP46</f>
        <v>ResDHW</v>
      </c>
    </row>
    <row r="182" spans="1:17">
      <c r="A182" s="9" t="s">
        <v>161</v>
      </c>
      <c r="B182" s="9" t="str">
        <f>'MF Measure Development'!BA47</f>
        <v>CEE Tier 3 Clothes Washer - Any DHW, Any Dryer - 31% ENERGY STAR Baseline</v>
      </c>
      <c r="C182" s="9" t="str">
        <f>'MF Measure Development'!BB47</f>
        <v>Washer Savings</v>
      </c>
      <c r="D182" s="9">
        <f ca="1">'MF Measure Development'!BC47</f>
        <v>28.427629257314877</v>
      </c>
      <c r="E182" s="9">
        <f>'MF Measure Development'!BD47</f>
        <v>14</v>
      </c>
      <c r="F182" s="9">
        <f ca="1">'MF Measure Development'!BE47</f>
        <v>219.7320756538362</v>
      </c>
      <c r="G182" s="9">
        <f>'MF Measure Development'!BF47</f>
        <v>0</v>
      </c>
      <c r="H182" s="9" t="str">
        <f>'MF Measure Development'!BG47</f>
        <v>ResWASH</v>
      </c>
      <c r="I182" s="9">
        <f ca="1">'MF Measure Development'!BH47</f>
        <v>12.414287173427663</v>
      </c>
      <c r="J182" s="9">
        <f>'MF Measure Development'!BI47</f>
        <v>0</v>
      </c>
      <c r="K182" s="9">
        <f>'MF Measure Development'!BJ47</f>
        <v>0</v>
      </c>
      <c r="L182" s="9">
        <f>'MF Measure Development'!BK47</f>
        <v>0</v>
      </c>
      <c r="M182" s="9">
        <f>'MF Measure Development'!BL47</f>
        <v>0</v>
      </c>
      <c r="N182" s="9">
        <f>'MF Measure Development'!BM47</f>
        <v>0</v>
      </c>
      <c r="O182" s="9">
        <f>'MF Measure Development'!BN47</f>
        <v>0</v>
      </c>
      <c r="P182" s="9">
        <f ca="1">'MF Measure Development'!BO47</f>
        <v>0.77714089672178932</v>
      </c>
      <c r="Q182" s="9" t="str">
        <f>'MF Measure Development'!BP47</f>
        <v>ResDHW</v>
      </c>
    </row>
    <row r="183" spans="1:17">
      <c r="A183" s="9" t="s">
        <v>161</v>
      </c>
      <c r="B183" s="9" t="str">
        <f>'MF Measure Development'!BA48</f>
        <v>ENERGY STAR - Top-Load Clothes Washer - Electric DHW, Electric Dryer - 54% ENERGY STAR Baseline</v>
      </c>
      <c r="C183" s="9" t="str">
        <f>'MF Measure Development'!BB48</f>
        <v>Washer Savings</v>
      </c>
      <c r="D183" s="9">
        <f ca="1">'MF Measure Development'!BC48</f>
        <v>-0.87182949493571726</v>
      </c>
      <c r="E183" s="9">
        <f>'MF Measure Development'!BD48</f>
        <v>14</v>
      </c>
      <c r="F183" s="9">
        <f ca="1">'MF Measure Development'!BE48</f>
        <v>-70.49856002409399</v>
      </c>
      <c r="G183" s="9">
        <f>'MF Measure Development'!BF48</f>
        <v>0</v>
      </c>
      <c r="H183" s="9" t="str">
        <f>'MF Measure Development'!BG48</f>
        <v>ResWASH</v>
      </c>
      <c r="I183" s="9">
        <f ca="1">'MF Measure Development'!BH48</f>
        <v>-1.7493565739587851</v>
      </c>
      <c r="J183" s="9">
        <f>'MF Measure Development'!BI48</f>
        <v>0</v>
      </c>
      <c r="K183" s="9">
        <f>'MF Measure Development'!BJ48</f>
        <v>0</v>
      </c>
      <c r="L183" s="9">
        <f>'MF Measure Development'!BK48</f>
        <v>0</v>
      </c>
      <c r="M183" s="9">
        <f>'MF Measure Development'!BL48</f>
        <v>0</v>
      </c>
      <c r="N183" s="9">
        <f>'MF Measure Development'!BM48</f>
        <v>0</v>
      </c>
      <c r="O183" s="9">
        <f>'MF Measure Development'!BN48</f>
        <v>0</v>
      </c>
      <c r="P183" s="9">
        <f ca="1">'MF Measure Development'!BO48</f>
        <v>0</v>
      </c>
      <c r="Q183" s="9" t="str">
        <f>'MF Measure Development'!BP48</f>
        <v>ResDHW</v>
      </c>
    </row>
    <row r="184" spans="1:17">
      <c r="A184" s="9" t="s">
        <v>161</v>
      </c>
      <c r="B184" s="9" t="str">
        <f>'MF Measure Development'!BA49</f>
        <v>ENERGY STAR - Top-Load Clothes Washer - Electric DHW, Gas Dryer - 54% ENERGY STAR Baseline</v>
      </c>
      <c r="C184" s="9" t="str">
        <f>'MF Measure Development'!BB49</f>
        <v>Washer Savings</v>
      </c>
      <c r="D184" s="9">
        <f ca="1">'MF Measure Development'!BC49</f>
        <v>-0.87182949493571726</v>
      </c>
      <c r="E184" s="9">
        <f>'MF Measure Development'!BD49</f>
        <v>14</v>
      </c>
      <c r="F184" s="9">
        <f ca="1">'MF Measure Development'!BE49</f>
        <v>-70.49856002409399</v>
      </c>
      <c r="G184" s="9">
        <f>'MF Measure Development'!BF49</f>
        <v>0</v>
      </c>
      <c r="H184" s="9" t="str">
        <f>'MF Measure Development'!BG49</f>
        <v>ResWASH</v>
      </c>
      <c r="I184" s="9">
        <f ca="1">'MF Measure Development'!BH49</f>
        <v>-1.7493565739587851</v>
      </c>
      <c r="J184" s="9">
        <f>'MF Measure Development'!BI49</f>
        <v>0</v>
      </c>
      <c r="K184" s="9">
        <f>'MF Measure Development'!BJ49</f>
        <v>0</v>
      </c>
      <c r="L184" s="9">
        <f>'MF Measure Development'!BK49</f>
        <v>0</v>
      </c>
      <c r="M184" s="9">
        <f>'MF Measure Development'!BL49</f>
        <v>0</v>
      </c>
      <c r="N184" s="9">
        <f>'MF Measure Development'!BM49</f>
        <v>0</v>
      </c>
      <c r="O184" s="9">
        <f>'MF Measure Development'!BN49</f>
        <v>0</v>
      </c>
      <c r="P184" s="9">
        <f ca="1">'MF Measure Development'!BO49</f>
        <v>0</v>
      </c>
      <c r="Q184" s="9" t="str">
        <f>'MF Measure Development'!BP49</f>
        <v>ResDHW</v>
      </c>
    </row>
    <row r="185" spans="1:17">
      <c r="A185" s="9" t="s">
        <v>161</v>
      </c>
      <c r="B185" s="9" t="str">
        <f>'MF Measure Development'!BA50</f>
        <v>ENERGY STAR - Top-Load Clothes Washer - Gas DHW, Electric Dryer - 54% ENERGY STAR Baseline</v>
      </c>
      <c r="C185" s="9" t="str">
        <f>'MF Measure Development'!BB50</f>
        <v>Washer Savings</v>
      </c>
      <c r="D185" s="9">
        <f ca="1">'MF Measure Development'!BC50</f>
        <v>1.0778186814047288</v>
      </c>
      <c r="E185" s="9">
        <f>'MF Measure Development'!BD50</f>
        <v>14</v>
      </c>
      <c r="F185" s="9">
        <f ca="1">'MF Measure Development'!BE50</f>
        <v>-70.49856002409399</v>
      </c>
      <c r="G185" s="9">
        <f>'MF Measure Development'!BF50</f>
        <v>0</v>
      </c>
      <c r="H185" s="9" t="str">
        <f>'MF Measure Development'!BG50</f>
        <v>ResWASH</v>
      </c>
      <c r="I185" s="9">
        <f ca="1">'MF Measure Development'!BH50</f>
        <v>-1.7493565739587851</v>
      </c>
      <c r="J185" s="9">
        <f>'MF Measure Development'!BI50</f>
        <v>0</v>
      </c>
      <c r="K185" s="9">
        <f>'MF Measure Development'!BJ50</f>
        <v>0</v>
      </c>
      <c r="L185" s="9">
        <f>'MF Measure Development'!BK50</f>
        <v>0</v>
      </c>
      <c r="M185" s="9">
        <f>'MF Measure Development'!BL50</f>
        <v>0</v>
      </c>
      <c r="N185" s="9">
        <f>'MF Measure Development'!BM50</f>
        <v>0</v>
      </c>
      <c r="O185" s="9">
        <f>'MF Measure Development'!BN50</f>
        <v>0</v>
      </c>
      <c r="P185" s="9">
        <f ca="1">'MF Measure Development'!BO50</f>
        <v>-8.8721989677999602E-2</v>
      </c>
      <c r="Q185" s="9" t="str">
        <f>'MF Measure Development'!BP50</f>
        <v>ResDHW</v>
      </c>
    </row>
    <row r="186" spans="1:17">
      <c r="A186" s="9" t="s">
        <v>161</v>
      </c>
      <c r="B186" s="9" t="str">
        <f>'MF Measure Development'!BA51</f>
        <v>ENERGY STAR - Top-Load Clothes Washer - Gas DHW, Gas Dryer - 54% ENERGY STAR Baseline</v>
      </c>
      <c r="C186" s="9" t="str">
        <f>'MF Measure Development'!BB51</f>
        <v>Washer Savings</v>
      </c>
      <c r="D186" s="9">
        <f ca="1">'MF Measure Development'!BC51</f>
        <v>1.0778186814047288</v>
      </c>
      <c r="E186" s="9">
        <f>'MF Measure Development'!BD51</f>
        <v>14</v>
      </c>
      <c r="F186" s="9">
        <f ca="1">'MF Measure Development'!BE51</f>
        <v>-70.49856002409399</v>
      </c>
      <c r="G186" s="9">
        <f>'MF Measure Development'!BF51</f>
        <v>0</v>
      </c>
      <c r="H186" s="9" t="str">
        <f>'MF Measure Development'!BG51</f>
        <v>ResWASH</v>
      </c>
      <c r="I186" s="9">
        <f ca="1">'MF Measure Development'!BH51</f>
        <v>-1.7493565739587851</v>
      </c>
      <c r="J186" s="9">
        <f>'MF Measure Development'!BI51</f>
        <v>0</v>
      </c>
      <c r="K186" s="9">
        <f>'MF Measure Development'!BJ51</f>
        <v>0</v>
      </c>
      <c r="L186" s="9">
        <f>'MF Measure Development'!BK51</f>
        <v>0</v>
      </c>
      <c r="M186" s="9">
        <f>'MF Measure Development'!BL51</f>
        <v>0</v>
      </c>
      <c r="N186" s="9">
        <f>'MF Measure Development'!BM51</f>
        <v>0</v>
      </c>
      <c r="O186" s="9">
        <f>'MF Measure Development'!BN51</f>
        <v>0</v>
      </c>
      <c r="P186" s="9">
        <f ca="1">'MF Measure Development'!BO51</f>
        <v>-8.8721989677999602E-2</v>
      </c>
      <c r="Q186" s="9" t="str">
        <f>'MF Measure Development'!BP51</f>
        <v>ResDHW</v>
      </c>
    </row>
    <row r="187" spans="1:17">
      <c r="A187" s="9" t="s">
        <v>161</v>
      </c>
      <c r="B187" s="9" t="str">
        <f>'MF Measure Development'!BA52</f>
        <v>ENERGY STAR - Top-Load Clothes Washer - Any DHW, Any Dryer - 54% ENERGY STAR Baseline</v>
      </c>
      <c r="C187" s="9" t="str">
        <f>'MF Measure Development'!BB52</f>
        <v>Washer Savings</v>
      </c>
      <c r="D187" s="9">
        <f ca="1">'MF Measure Development'!BC52</f>
        <v>1.6128880648025312E-3</v>
      </c>
      <c r="E187" s="9">
        <f>'MF Measure Development'!BD52</f>
        <v>14</v>
      </c>
      <c r="F187" s="9">
        <f ca="1">'MF Measure Development'!BE52</f>
        <v>-70.49856002409399</v>
      </c>
      <c r="G187" s="9">
        <f>'MF Measure Development'!BF52</f>
        <v>0</v>
      </c>
      <c r="H187" s="9" t="str">
        <f>'MF Measure Development'!BG52</f>
        <v>ResWASH</v>
      </c>
      <c r="I187" s="9">
        <f ca="1">'MF Measure Development'!BH52</f>
        <v>-1.7493565739587851</v>
      </c>
      <c r="J187" s="9">
        <f>'MF Measure Development'!BI52</f>
        <v>0</v>
      </c>
      <c r="K187" s="9">
        <f>'MF Measure Development'!BJ52</f>
        <v>0</v>
      </c>
      <c r="L187" s="9">
        <f>'MF Measure Development'!BK52</f>
        <v>0</v>
      </c>
      <c r="M187" s="9">
        <f>'MF Measure Development'!BL52</f>
        <v>0</v>
      </c>
      <c r="N187" s="9">
        <f>'MF Measure Development'!BM52</f>
        <v>0</v>
      </c>
      <c r="O187" s="9">
        <f>'MF Measure Development'!BN52</f>
        <v>0</v>
      </c>
      <c r="P187" s="9">
        <f ca="1">'MF Measure Development'!BO52</f>
        <v>-3.9747451375743814E-2</v>
      </c>
      <c r="Q187" s="9" t="str">
        <f>'MF Measure Development'!BP52</f>
        <v>ResDHW</v>
      </c>
    </row>
    <row r="188" spans="1:17">
      <c r="A188" s="9" t="s">
        <v>161</v>
      </c>
      <c r="B188" s="9" t="str">
        <f>'MF Measure Development'!BA53</f>
        <v>ENERGY STAR - Front-Load Clothes Washer - Electric DHW, Electric Dryer - 54% ENERGY STAR Baseline</v>
      </c>
      <c r="C188" s="9" t="str">
        <f>'MF Measure Development'!BB53</f>
        <v>Washer Savings</v>
      </c>
      <c r="D188" s="9">
        <f ca="1">'MF Measure Development'!BC53</f>
        <v>26.92233402549747</v>
      </c>
      <c r="E188" s="9">
        <f>'MF Measure Development'!BD53</f>
        <v>14</v>
      </c>
      <c r="F188" s="9">
        <f ca="1">'MF Measure Development'!BE53</f>
        <v>144.58430009370579</v>
      </c>
      <c r="G188" s="9">
        <f>'MF Measure Development'!BF53</f>
        <v>0</v>
      </c>
      <c r="H188" s="9" t="str">
        <f>'MF Measure Development'!BG53</f>
        <v>ResWASH</v>
      </c>
      <c r="I188" s="9">
        <f ca="1">'MF Measure Development'!BH53</f>
        <v>7.7829933222601113</v>
      </c>
      <c r="J188" s="9">
        <f>'MF Measure Development'!BI53</f>
        <v>0</v>
      </c>
      <c r="K188" s="9">
        <f>'MF Measure Development'!BJ53</f>
        <v>0</v>
      </c>
      <c r="L188" s="9">
        <f>'MF Measure Development'!BK53</f>
        <v>0</v>
      </c>
      <c r="M188" s="9">
        <f>'MF Measure Development'!BL53</f>
        <v>0</v>
      </c>
      <c r="N188" s="9">
        <f>'MF Measure Development'!BM53</f>
        <v>0</v>
      </c>
      <c r="O188" s="9">
        <f>'MF Measure Development'!BN53</f>
        <v>0</v>
      </c>
      <c r="P188" s="9">
        <f ca="1">'MF Measure Development'!BO53</f>
        <v>0</v>
      </c>
      <c r="Q188" s="9" t="str">
        <f>'MF Measure Development'!BP53</f>
        <v>ResDHW</v>
      </c>
    </row>
    <row r="189" spans="1:17">
      <c r="A189" s="9" t="s">
        <v>161</v>
      </c>
      <c r="B189" s="9" t="str">
        <f>'MF Measure Development'!BA54</f>
        <v>ENERGY STAR - Front-Load Clothes Washer - Electric DHW, Gas Dryer - 54% ENERGY STAR Baseline</v>
      </c>
      <c r="C189" s="9" t="str">
        <f>'MF Measure Development'!BB54</f>
        <v>Washer Savings</v>
      </c>
      <c r="D189" s="9">
        <f ca="1">'MF Measure Development'!BC54</f>
        <v>26.92233402549747</v>
      </c>
      <c r="E189" s="9">
        <f>'MF Measure Development'!BD54</f>
        <v>14</v>
      </c>
      <c r="F189" s="9">
        <f ca="1">'MF Measure Development'!BE54</f>
        <v>144.58430009370579</v>
      </c>
      <c r="G189" s="9">
        <f>'MF Measure Development'!BF54</f>
        <v>0</v>
      </c>
      <c r="H189" s="9" t="str">
        <f>'MF Measure Development'!BG54</f>
        <v>ResWASH</v>
      </c>
      <c r="I189" s="9">
        <f ca="1">'MF Measure Development'!BH54</f>
        <v>7.7829933222601113</v>
      </c>
      <c r="J189" s="9">
        <f>'MF Measure Development'!BI54</f>
        <v>0</v>
      </c>
      <c r="K189" s="9">
        <f>'MF Measure Development'!BJ54</f>
        <v>0</v>
      </c>
      <c r="L189" s="9">
        <f>'MF Measure Development'!BK54</f>
        <v>0</v>
      </c>
      <c r="M189" s="9">
        <f>'MF Measure Development'!BL54</f>
        <v>0</v>
      </c>
      <c r="N189" s="9">
        <f>'MF Measure Development'!BM54</f>
        <v>0</v>
      </c>
      <c r="O189" s="9">
        <f>'MF Measure Development'!BN54</f>
        <v>0</v>
      </c>
      <c r="P189" s="9">
        <f ca="1">'MF Measure Development'!BO54</f>
        <v>0</v>
      </c>
      <c r="Q189" s="9" t="str">
        <f>'MF Measure Development'!BP54</f>
        <v>ResDHW</v>
      </c>
    </row>
    <row r="190" spans="1:17">
      <c r="A190" s="9" t="s">
        <v>161</v>
      </c>
      <c r="B190" s="9" t="str">
        <f>'MF Measure Development'!BA55</f>
        <v>ENERGY STAR - Front-Load Clothes Washer - Gas DHW, Electric Dryer - 54% ENERGY STAR Baseline</v>
      </c>
      <c r="C190" s="9" t="str">
        <f>'MF Measure Development'!BB55</f>
        <v>Washer Savings</v>
      </c>
      <c r="D190" s="9">
        <f ca="1">'MF Measure Development'!BC55</f>
        <v>3.9842156334295495</v>
      </c>
      <c r="E190" s="9">
        <f>'MF Measure Development'!BD55</f>
        <v>14</v>
      </c>
      <c r="F190" s="9">
        <f ca="1">'MF Measure Development'!BE55</f>
        <v>144.58430009370579</v>
      </c>
      <c r="G190" s="9">
        <f>'MF Measure Development'!BF55</f>
        <v>0</v>
      </c>
      <c r="H190" s="9" t="str">
        <f>'MF Measure Development'!BG55</f>
        <v>ResWASH</v>
      </c>
      <c r="I190" s="9">
        <f ca="1">'MF Measure Development'!BH55</f>
        <v>7.7829933222601113</v>
      </c>
      <c r="J190" s="9">
        <f>'MF Measure Development'!BI55</f>
        <v>0</v>
      </c>
      <c r="K190" s="9">
        <f>'MF Measure Development'!BJ55</f>
        <v>0</v>
      </c>
      <c r="L190" s="9">
        <f>'MF Measure Development'!BK55</f>
        <v>0</v>
      </c>
      <c r="M190" s="9">
        <f>'MF Measure Development'!BL55</f>
        <v>0</v>
      </c>
      <c r="N190" s="9">
        <f>'MF Measure Development'!BM55</f>
        <v>0</v>
      </c>
      <c r="O190" s="9">
        <f>'MF Measure Development'!BN55</f>
        <v>0</v>
      </c>
      <c r="P190" s="9">
        <f ca="1">'MF Measure Development'!BO55</f>
        <v>1.0438373076283702</v>
      </c>
      <c r="Q190" s="9" t="str">
        <f>'MF Measure Development'!BP55</f>
        <v>ResDHW</v>
      </c>
    </row>
    <row r="191" spans="1:17">
      <c r="A191" s="9" t="s">
        <v>161</v>
      </c>
      <c r="B191" s="9" t="str">
        <f>'MF Measure Development'!BA56</f>
        <v>ENERGY STAR - Front-Load Clothes Washer - Gas DHW, Gas Dryer - 54% ENERGY STAR Baseline</v>
      </c>
      <c r="C191" s="9" t="str">
        <f>'MF Measure Development'!BB56</f>
        <v>Washer Savings</v>
      </c>
      <c r="D191" s="9">
        <f ca="1">'MF Measure Development'!BC56</f>
        <v>3.9842156334295495</v>
      </c>
      <c r="E191" s="9">
        <f>'MF Measure Development'!BD56</f>
        <v>14</v>
      </c>
      <c r="F191" s="9">
        <f ca="1">'MF Measure Development'!BE56</f>
        <v>144.58430009370579</v>
      </c>
      <c r="G191" s="9">
        <f>'MF Measure Development'!BF56</f>
        <v>0</v>
      </c>
      <c r="H191" s="9" t="str">
        <f>'MF Measure Development'!BG56</f>
        <v>ResWASH</v>
      </c>
      <c r="I191" s="9">
        <f ca="1">'MF Measure Development'!BH56</f>
        <v>7.7829933222601113</v>
      </c>
      <c r="J191" s="9">
        <f>'MF Measure Development'!BI56</f>
        <v>0</v>
      </c>
      <c r="K191" s="9">
        <f>'MF Measure Development'!BJ56</f>
        <v>0</v>
      </c>
      <c r="L191" s="9">
        <f>'MF Measure Development'!BK56</f>
        <v>0</v>
      </c>
      <c r="M191" s="9">
        <f>'MF Measure Development'!BL56</f>
        <v>0</v>
      </c>
      <c r="N191" s="9">
        <f>'MF Measure Development'!BM56</f>
        <v>0</v>
      </c>
      <c r="O191" s="9">
        <f>'MF Measure Development'!BN56</f>
        <v>0</v>
      </c>
      <c r="P191" s="9">
        <f ca="1">'MF Measure Development'!BO56</f>
        <v>1.0438373076283702</v>
      </c>
      <c r="Q191" s="9" t="str">
        <f>'MF Measure Development'!BP56</f>
        <v>ResDHW</v>
      </c>
    </row>
    <row r="192" spans="1:17">
      <c r="A192" s="9" t="s">
        <v>161</v>
      </c>
      <c r="B192" s="9" t="str">
        <f>'MF Measure Development'!BA57</f>
        <v>ENERGY STAR - Front-Load Clothes Washer - Any DHW, Any Dryer - 54% ENERGY STAR Baseline</v>
      </c>
      <c r="C192" s="9" t="str">
        <f>'MF Measure Development'!BB57</f>
        <v>Washer Savings</v>
      </c>
      <c r="D192" s="9">
        <f ca="1">'MF Measure Development'!BC57</f>
        <v>16.646056985851043</v>
      </c>
      <c r="E192" s="9">
        <f>'MF Measure Development'!BD57</f>
        <v>14</v>
      </c>
      <c r="F192" s="9">
        <f ca="1">'MF Measure Development'!BE57</f>
        <v>144.58430009370579</v>
      </c>
      <c r="G192" s="9">
        <f>'MF Measure Development'!BF57</f>
        <v>0</v>
      </c>
      <c r="H192" s="9" t="str">
        <f>'MF Measure Development'!BG57</f>
        <v>ResWASH</v>
      </c>
      <c r="I192" s="9">
        <f ca="1">'MF Measure Development'!BH57</f>
        <v>7.7829933222601113</v>
      </c>
      <c r="J192" s="9">
        <f>'MF Measure Development'!BI57</f>
        <v>0</v>
      </c>
      <c r="K192" s="9">
        <f>'MF Measure Development'!BJ57</f>
        <v>0</v>
      </c>
      <c r="L192" s="9">
        <f>'MF Measure Development'!BK57</f>
        <v>0</v>
      </c>
      <c r="M192" s="9">
        <f>'MF Measure Development'!BL57</f>
        <v>0</v>
      </c>
      <c r="N192" s="9">
        <f>'MF Measure Development'!BM57</f>
        <v>0</v>
      </c>
      <c r="O192" s="9">
        <f>'MF Measure Development'!BN57</f>
        <v>0</v>
      </c>
      <c r="P192" s="9">
        <f ca="1">'MF Measure Development'!BO57</f>
        <v>0.46763911381750983</v>
      </c>
      <c r="Q192" s="9" t="str">
        <f>'MF Measure Development'!BP57</f>
        <v>ResDHW</v>
      </c>
    </row>
    <row r="193" spans="1:17">
      <c r="A193" s="9" t="s">
        <v>161</v>
      </c>
      <c r="B193" s="9" t="str">
        <f>'MF Measure Development'!BA63</f>
        <v>CEE Tier 1 Clothes Washer - Electric DHW, Electric Dryer - 54% ENERGY STAR Baseline</v>
      </c>
      <c r="C193" s="9" t="str">
        <f>'MF Measure Development'!BB63</f>
        <v>Washer Savings</v>
      </c>
      <c r="D193" s="9">
        <f ca="1">'MF Measure Development'!BC63</f>
        <v>21.882425912855851</v>
      </c>
      <c r="E193" s="9">
        <f>'MF Measure Development'!BD63</f>
        <v>14</v>
      </c>
      <c r="F193" s="9">
        <f ca="1">'MF Measure Development'!BE63</f>
        <v>126.26454884545808</v>
      </c>
      <c r="G193" s="9">
        <f>'MF Measure Development'!BF63</f>
        <v>0</v>
      </c>
      <c r="H193" s="9" t="str">
        <f>'MF Measure Development'!BG63</f>
        <v>ResWASH</v>
      </c>
      <c r="I193" s="9">
        <f ca="1">'MF Measure Development'!BH63</f>
        <v>6.5152515092717707</v>
      </c>
      <c r="J193" s="9">
        <f>'MF Measure Development'!BI63</f>
        <v>0</v>
      </c>
      <c r="K193" s="9">
        <f>'MF Measure Development'!BJ63</f>
        <v>0</v>
      </c>
      <c r="L193" s="9">
        <f>'MF Measure Development'!BK63</f>
        <v>0</v>
      </c>
      <c r="M193" s="9">
        <f>'MF Measure Development'!BL63</f>
        <v>0</v>
      </c>
      <c r="N193" s="9">
        <f>'MF Measure Development'!BM63</f>
        <v>0</v>
      </c>
      <c r="O193" s="9">
        <f>'MF Measure Development'!BN63</f>
        <v>0</v>
      </c>
      <c r="P193" s="9">
        <f ca="1">'MF Measure Development'!BO63</f>
        <v>0</v>
      </c>
      <c r="Q193" s="9" t="str">
        <f>'MF Measure Development'!BP63</f>
        <v>ResDHW</v>
      </c>
    </row>
    <row r="194" spans="1:17">
      <c r="A194" s="9" t="s">
        <v>161</v>
      </c>
      <c r="B194" s="9" t="str">
        <f>'MF Measure Development'!BA64</f>
        <v>CEE Tier 1 Clothes Washer - Electric DHW, Gas Dryer - 54% ENERGY STAR Baseline</v>
      </c>
      <c r="C194" s="9" t="str">
        <f>'MF Measure Development'!BB64</f>
        <v>Washer Savings</v>
      </c>
      <c r="D194" s="9">
        <f ca="1">'MF Measure Development'!BC64</f>
        <v>21.882425912855851</v>
      </c>
      <c r="E194" s="9">
        <f>'MF Measure Development'!BD64</f>
        <v>14</v>
      </c>
      <c r="F194" s="9">
        <f ca="1">'MF Measure Development'!BE64</f>
        <v>126.26454884545808</v>
      </c>
      <c r="G194" s="9">
        <f>'MF Measure Development'!BF64</f>
        <v>0</v>
      </c>
      <c r="H194" s="9" t="str">
        <f>'MF Measure Development'!BG64</f>
        <v>ResWASH</v>
      </c>
      <c r="I194" s="9">
        <f ca="1">'MF Measure Development'!BH64</f>
        <v>6.5152515092717707</v>
      </c>
      <c r="J194" s="9">
        <f>'MF Measure Development'!BI64</f>
        <v>0</v>
      </c>
      <c r="K194" s="9">
        <f>'MF Measure Development'!BJ64</f>
        <v>0</v>
      </c>
      <c r="L194" s="9">
        <f>'MF Measure Development'!BK64</f>
        <v>0</v>
      </c>
      <c r="M194" s="9">
        <f>'MF Measure Development'!BL64</f>
        <v>0</v>
      </c>
      <c r="N194" s="9">
        <f>'MF Measure Development'!BM64</f>
        <v>0</v>
      </c>
      <c r="O194" s="9">
        <f>'MF Measure Development'!BN64</f>
        <v>0</v>
      </c>
      <c r="P194" s="9">
        <f ca="1">'MF Measure Development'!BO64</f>
        <v>0</v>
      </c>
      <c r="Q194" s="9" t="str">
        <f>'MF Measure Development'!BP64</f>
        <v>ResDHW</v>
      </c>
    </row>
    <row r="195" spans="1:17">
      <c r="A195" s="9" t="s">
        <v>161</v>
      </c>
      <c r="B195" s="9" t="str">
        <f>'MF Measure Development'!BA65</f>
        <v>CEE Tier 1 Clothes Washer - Gas DHW, Electric Dryer - 54% ENERGY STAR Baseline</v>
      </c>
      <c r="C195" s="9" t="str">
        <f>'MF Measure Development'!BB65</f>
        <v>Washer Savings</v>
      </c>
      <c r="D195" s="9">
        <f ca="1">'MF Measure Development'!BC65</f>
        <v>2.9942292421300607</v>
      </c>
      <c r="E195" s="9">
        <f>'MF Measure Development'!BD65</f>
        <v>14</v>
      </c>
      <c r="F195" s="9">
        <f ca="1">'MF Measure Development'!BE65</f>
        <v>126.26454884545808</v>
      </c>
      <c r="G195" s="9">
        <f>'MF Measure Development'!BF65</f>
        <v>0</v>
      </c>
      <c r="H195" s="9" t="str">
        <f>'MF Measure Development'!BG65</f>
        <v>ResWASH</v>
      </c>
      <c r="I195" s="9">
        <f ca="1">'MF Measure Development'!BH65</f>
        <v>6.5152515092717707</v>
      </c>
      <c r="J195" s="9">
        <f>'MF Measure Development'!BI65</f>
        <v>0</v>
      </c>
      <c r="K195" s="9">
        <f>'MF Measure Development'!BJ65</f>
        <v>0</v>
      </c>
      <c r="L195" s="9">
        <f>'MF Measure Development'!BK65</f>
        <v>0</v>
      </c>
      <c r="M195" s="9">
        <f>'MF Measure Development'!BL65</f>
        <v>0</v>
      </c>
      <c r="N195" s="9">
        <f>'MF Measure Development'!BM65</f>
        <v>0</v>
      </c>
      <c r="O195" s="9">
        <f>'MF Measure Development'!BN65</f>
        <v>0</v>
      </c>
      <c r="P195" s="9">
        <f ca="1">'MF Measure Development'!BO65</f>
        <v>0.85953886982916128</v>
      </c>
      <c r="Q195" s="9" t="str">
        <f>'MF Measure Development'!BP65</f>
        <v>ResDHW</v>
      </c>
    </row>
    <row r="196" spans="1:17">
      <c r="A196" s="9" t="s">
        <v>161</v>
      </c>
      <c r="B196" s="9" t="str">
        <f>'MF Measure Development'!BA66</f>
        <v>CEE Tier 1 Clothes Washer - Gas DHW, Gas Dryer - 54% ENERGY STAR Baseline</v>
      </c>
      <c r="C196" s="9" t="str">
        <f>'MF Measure Development'!BB66</f>
        <v>Washer Savings</v>
      </c>
      <c r="D196" s="9">
        <f ca="1">'MF Measure Development'!BC66</f>
        <v>2.9942292421300607</v>
      </c>
      <c r="E196" s="9">
        <f>'MF Measure Development'!BD66</f>
        <v>14</v>
      </c>
      <c r="F196" s="9">
        <f ca="1">'MF Measure Development'!BE66</f>
        <v>126.26454884545808</v>
      </c>
      <c r="G196" s="9">
        <f>'MF Measure Development'!BF66</f>
        <v>0</v>
      </c>
      <c r="H196" s="9" t="str">
        <f>'MF Measure Development'!BG66</f>
        <v>ResWASH</v>
      </c>
      <c r="I196" s="9">
        <f ca="1">'MF Measure Development'!BH66</f>
        <v>6.5152515092717707</v>
      </c>
      <c r="J196" s="9">
        <f>'MF Measure Development'!BI66</f>
        <v>0</v>
      </c>
      <c r="K196" s="9">
        <f>'MF Measure Development'!BJ66</f>
        <v>0</v>
      </c>
      <c r="L196" s="9">
        <f>'MF Measure Development'!BK66</f>
        <v>0</v>
      </c>
      <c r="M196" s="9">
        <f>'MF Measure Development'!BL66</f>
        <v>0</v>
      </c>
      <c r="N196" s="9">
        <f>'MF Measure Development'!BM66</f>
        <v>0</v>
      </c>
      <c r="O196" s="9">
        <f>'MF Measure Development'!BN66</f>
        <v>0</v>
      </c>
      <c r="P196" s="9">
        <f ca="1">'MF Measure Development'!BO66</f>
        <v>0.85953886982916128</v>
      </c>
      <c r="Q196" s="9" t="str">
        <f>'MF Measure Development'!BP66</f>
        <v>ResDHW</v>
      </c>
    </row>
    <row r="197" spans="1:17">
      <c r="A197" s="9" t="s">
        <v>161</v>
      </c>
      <c r="B197" s="9" t="str">
        <f>'MF Measure Development'!BA67</f>
        <v>CEE Tier 1 Clothes Washer - Any DHW, Any Dryer - 54% ENERGY STAR Baseline</v>
      </c>
      <c r="C197" s="9" t="str">
        <f>'MF Measure Development'!BB67</f>
        <v>Washer Savings</v>
      </c>
      <c r="D197" s="9">
        <f ca="1">'MF Measure Development'!BC67</f>
        <v>13.420513804370698</v>
      </c>
      <c r="E197" s="9">
        <f>'MF Measure Development'!BD67</f>
        <v>14</v>
      </c>
      <c r="F197" s="9">
        <f ca="1">'MF Measure Development'!BE67</f>
        <v>126.26454884545808</v>
      </c>
      <c r="G197" s="9">
        <f>'MF Measure Development'!BF67</f>
        <v>0</v>
      </c>
      <c r="H197" s="9" t="str">
        <f>'MF Measure Development'!BG67</f>
        <v>ResWASH</v>
      </c>
      <c r="I197" s="9">
        <f ca="1">'MF Measure Development'!BH67</f>
        <v>6.5152515092717707</v>
      </c>
      <c r="J197" s="9">
        <f>'MF Measure Development'!BI67</f>
        <v>0</v>
      </c>
      <c r="K197" s="9">
        <f>'MF Measure Development'!BJ67</f>
        <v>0</v>
      </c>
      <c r="L197" s="9">
        <f>'MF Measure Development'!BK67</f>
        <v>0</v>
      </c>
      <c r="M197" s="9">
        <f>'MF Measure Development'!BL67</f>
        <v>0</v>
      </c>
      <c r="N197" s="9">
        <f>'MF Measure Development'!BM67</f>
        <v>0</v>
      </c>
      <c r="O197" s="9">
        <f>'MF Measure Development'!BN67</f>
        <v>0</v>
      </c>
      <c r="P197" s="9">
        <f ca="1">'MF Measure Development'!BO67</f>
        <v>0.38507341368346421</v>
      </c>
      <c r="Q197" s="9" t="str">
        <f>'MF Measure Development'!BP67</f>
        <v>ResDHW</v>
      </c>
    </row>
    <row r="198" spans="1:17">
      <c r="A198" s="9" t="s">
        <v>161</v>
      </c>
      <c r="B198" s="9" t="str">
        <f>'MF Measure Development'!BA68</f>
        <v>CEE Tier 2 Clothes Washer - Electric DHW, Electric Dryer - 54% ENERGY STAR Baseline</v>
      </c>
      <c r="C198" s="9" t="str">
        <f>'MF Measure Development'!BB68</f>
        <v>Washer Savings</v>
      </c>
      <c r="D198" s="9">
        <f ca="1">'MF Measure Development'!BC68</f>
        <v>33.762090913398254</v>
      </c>
      <c r="E198" s="9">
        <f>'MF Measure Development'!BD68</f>
        <v>14</v>
      </c>
      <c r="F198" s="9">
        <f ca="1">'MF Measure Development'!BE68</f>
        <v>175.84798335118546</v>
      </c>
      <c r="G198" s="9">
        <f>'MF Measure Development'!BF68</f>
        <v>0</v>
      </c>
      <c r="H198" s="9" t="str">
        <f>'MF Measure Development'!BG68</f>
        <v>ResWASH</v>
      </c>
      <c r="I198" s="9">
        <f ca="1">'MF Measure Development'!BH68</f>
        <v>9.5560139665232953</v>
      </c>
      <c r="J198" s="9">
        <f>'MF Measure Development'!BI68</f>
        <v>0</v>
      </c>
      <c r="K198" s="9">
        <f>'MF Measure Development'!BJ68</f>
        <v>0</v>
      </c>
      <c r="L198" s="9">
        <f>'MF Measure Development'!BK68</f>
        <v>0</v>
      </c>
      <c r="M198" s="9">
        <f>'MF Measure Development'!BL68</f>
        <v>0</v>
      </c>
      <c r="N198" s="9">
        <f>'MF Measure Development'!BM68</f>
        <v>0</v>
      </c>
      <c r="O198" s="9">
        <f>'MF Measure Development'!BN68</f>
        <v>0</v>
      </c>
      <c r="P198" s="9">
        <f ca="1">'MF Measure Development'!BO68</f>
        <v>0</v>
      </c>
      <c r="Q198" s="9" t="str">
        <f>'MF Measure Development'!BP68</f>
        <v>ResDHW</v>
      </c>
    </row>
    <row r="199" spans="1:17">
      <c r="A199" s="9" t="s">
        <v>161</v>
      </c>
      <c r="B199" s="9" t="str">
        <f>'MF Measure Development'!BA69</f>
        <v>CEE Tier 2 Clothes Washer - Electric DHW, Gas Dryer - 54% ENERGY STAR Baseline</v>
      </c>
      <c r="C199" s="9" t="str">
        <f>'MF Measure Development'!BB69</f>
        <v>Washer Savings</v>
      </c>
      <c r="D199" s="9">
        <f ca="1">'MF Measure Development'!BC69</f>
        <v>33.762090913398254</v>
      </c>
      <c r="E199" s="9">
        <f>'MF Measure Development'!BD69</f>
        <v>14</v>
      </c>
      <c r="F199" s="9">
        <f ca="1">'MF Measure Development'!BE69</f>
        <v>175.84798335118546</v>
      </c>
      <c r="G199" s="9">
        <f>'MF Measure Development'!BF69</f>
        <v>0</v>
      </c>
      <c r="H199" s="9" t="str">
        <f>'MF Measure Development'!BG69</f>
        <v>ResWASH</v>
      </c>
      <c r="I199" s="9">
        <f ca="1">'MF Measure Development'!BH69</f>
        <v>9.5560139665232953</v>
      </c>
      <c r="J199" s="9">
        <f>'MF Measure Development'!BI69</f>
        <v>0</v>
      </c>
      <c r="K199" s="9">
        <f>'MF Measure Development'!BJ69</f>
        <v>0</v>
      </c>
      <c r="L199" s="9">
        <f>'MF Measure Development'!BK69</f>
        <v>0</v>
      </c>
      <c r="M199" s="9">
        <f>'MF Measure Development'!BL69</f>
        <v>0</v>
      </c>
      <c r="N199" s="9">
        <f>'MF Measure Development'!BM69</f>
        <v>0</v>
      </c>
      <c r="O199" s="9">
        <f>'MF Measure Development'!BN69</f>
        <v>0</v>
      </c>
      <c r="P199" s="9">
        <f ca="1">'MF Measure Development'!BO69</f>
        <v>0</v>
      </c>
      <c r="Q199" s="9" t="str">
        <f>'MF Measure Development'!BP69</f>
        <v>ResDHW</v>
      </c>
    </row>
    <row r="200" spans="1:17">
      <c r="A200" s="9" t="s">
        <v>161</v>
      </c>
      <c r="B200" s="9" t="str">
        <f>'MF Measure Development'!BA70</f>
        <v>CEE Tier 2 Clothes Washer - Gas DHW, Electric Dryer - 54% ENERGY STAR Baseline</v>
      </c>
      <c r="C200" s="9" t="str">
        <f>'MF Measure Development'!BB70</f>
        <v>Washer Savings</v>
      </c>
      <c r="D200" s="9">
        <f ca="1">'MF Measure Development'!BC70</f>
        <v>5.3570672000350186</v>
      </c>
      <c r="E200" s="9">
        <f>'MF Measure Development'!BD70</f>
        <v>14</v>
      </c>
      <c r="F200" s="9">
        <f ca="1">'MF Measure Development'!BE70</f>
        <v>175.84798335118546</v>
      </c>
      <c r="G200" s="9">
        <f>'MF Measure Development'!BF70</f>
        <v>0</v>
      </c>
      <c r="H200" s="9" t="str">
        <f>'MF Measure Development'!BG70</f>
        <v>ResWASH</v>
      </c>
      <c r="I200" s="9">
        <f ca="1">'MF Measure Development'!BH70</f>
        <v>9.5560139665232953</v>
      </c>
      <c r="J200" s="9">
        <f>'MF Measure Development'!BI70</f>
        <v>0</v>
      </c>
      <c r="K200" s="9">
        <f>'MF Measure Development'!BJ70</f>
        <v>0</v>
      </c>
      <c r="L200" s="9">
        <f>'MF Measure Development'!BK70</f>
        <v>0</v>
      </c>
      <c r="M200" s="9">
        <f>'MF Measure Development'!BL70</f>
        <v>0</v>
      </c>
      <c r="N200" s="9">
        <f>'MF Measure Development'!BM70</f>
        <v>0</v>
      </c>
      <c r="O200" s="9">
        <f>'MF Measure Development'!BN70</f>
        <v>0</v>
      </c>
      <c r="P200" s="9">
        <f ca="1">'MF Measure Development'!BO70</f>
        <v>1.2926179457827827</v>
      </c>
      <c r="Q200" s="9" t="str">
        <f>'MF Measure Development'!BP70</f>
        <v>ResDHW</v>
      </c>
    </row>
    <row r="201" spans="1:17">
      <c r="A201" s="9" t="s">
        <v>161</v>
      </c>
      <c r="B201" s="9" t="str">
        <f>'MF Measure Development'!BA71</f>
        <v>CEE Tier 2 Clothes Washer - Gas DHW, Gas Dryer - 54% ENERGY STAR Baseline</v>
      </c>
      <c r="C201" s="9" t="str">
        <f>'MF Measure Development'!BB71</f>
        <v>Washer Savings</v>
      </c>
      <c r="D201" s="9">
        <f ca="1">'MF Measure Development'!BC71</f>
        <v>5.3570672000350186</v>
      </c>
      <c r="E201" s="9">
        <f>'MF Measure Development'!BD71</f>
        <v>14</v>
      </c>
      <c r="F201" s="9">
        <f ca="1">'MF Measure Development'!BE71</f>
        <v>175.84798335118546</v>
      </c>
      <c r="G201" s="9">
        <f>'MF Measure Development'!BF71</f>
        <v>0</v>
      </c>
      <c r="H201" s="9" t="str">
        <f>'MF Measure Development'!BG71</f>
        <v>ResWASH</v>
      </c>
      <c r="I201" s="9">
        <f ca="1">'MF Measure Development'!BH71</f>
        <v>9.5560139665232953</v>
      </c>
      <c r="J201" s="9">
        <f>'MF Measure Development'!BI71</f>
        <v>0</v>
      </c>
      <c r="K201" s="9">
        <f>'MF Measure Development'!BJ71</f>
        <v>0</v>
      </c>
      <c r="L201" s="9">
        <f>'MF Measure Development'!BK71</f>
        <v>0</v>
      </c>
      <c r="M201" s="9">
        <f>'MF Measure Development'!BL71</f>
        <v>0</v>
      </c>
      <c r="N201" s="9">
        <f>'MF Measure Development'!BM71</f>
        <v>0</v>
      </c>
      <c r="O201" s="9">
        <f>'MF Measure Development'!BN71</f>
        <v>0</v>
      </c>
      <c r="P201" s="9">
        <f ca="1">'MF Measure Development'!BO71</f>
        <v>1.2926179457827827</v>
      </c>
      <c r="Q201" s="9" t="str">
        <f>'MF Measure Development'!BP71</f>
        <v>ResDHW</v>
      </c>
    </row>
    <row r="202" spans="1:17">
      <c r="A202" s="9" t="s">
        <v>161</v>
      </c>
      <c r="B202" s="9" t="str">
        <f>'MF Measure Development'!BA72</f>
        <v>CEE Tier 2 Clothes Washer - Any DHW, Any Dryer - 54% ENERGY STAR Baseline</v>
      </c>
      <c r="C202" s="9" t="str">
        <f>'MF Measure Development'!BB72</f>
        <v>Washer Savings</v>
      </c>
      <c r="D202" s="9">
        <f ca="1">'MF Measure Development'!BC72</f>
        <v>21.036640289811526</v>
      </c>
      <c r="E202" s="9">
        <f>'MF Measure Development'!BD72</f>
        <v>14</v>
      </c>
      <c r="F202" s="9">
        <f ca="1">'MF Measure Development'!BE72</f>
        <v>175.84798335118546</v>
      </c>
      <c r="G202" s="9">
        <f>'MF Measure Development'!BF72</f>
        <v>0</v>
      </c>
      <c r="H202" s="9" t="str">
        <f>'MF Measure Development'!BG72</f>
        <v>ResWASH</v>
      </c>
      <c r="I202" s="9">
        <f ca="1">'MF Measure Development'!BH72</f>
        <v>9.5560139665232953</v>
      </c>
      <c r="J202" s="9">
        <f>'MF Measure Development'!BI72</f>
        <v>0</v>
      </c>
      <c r="K202" s="9">
        <f>'MF Measure Development'!BJ72</f>
        <v>0</v>
      </c>
      <c r="L202" s="9">
        <f>'MF Measure Development'!BK72</f>
        <v>0</v>
      </c>
      <c r="M202" s="9">
        <f>'MF Measure Development'!BL72</f>
        <v>0</v>
      </c>
      <c r="N202" s="9">
        <f>'MF Measure Development'!BM72</f>
        <v>0</v>
      </c>
      <c r="O202" s="9">
        <f>'MF Measure Development'!BN72</f>
        <v>0</v>
      </c>
      <c r="P202" s="9">
        <f ca="1">'MF Measure Development'!BO72</f>
        <v>0.57909283971068659</v>
      </c>
      <c r="Q202" s="9" t="str">
        <f>'MF Measure Development'!BP72</f>
        <v>ResDHW</v>
      </c>
    </row>
    <row r="203" spans="1:17">
      <c r="A203" s="9" t="s">
        <v>161</v>
      </c>
      <c r="B203" s="9" t="str">
        <f>'MF Measure Development'!BA73</f>
        <v>CEE Tier 3 Clothes Washer - Electric DHW, Electric Dryer - 54% ENERGY STAR Baseline</v>
      </c>
      <c r="C203" s="9" t="str">
        <f>'MF Measure Development'!BB73</f>
        <v>Washer Savings</v>
      </c>
      <c r="D203" s="9">
        <f ca="1">'MF Measure Development'!BC73</f>
        <v>35.793321614290846</v>
      </c>
      <c r="E203" s="9">
        <f>'MF Measure Development'!BD73</f>
        <v>14</v>
      </c>
      <c r="F203" s="9">
        <f ca="1">'MF Measure Development'!BE73</f>
        <v>170.81353679657798</v>
      </c>
      <c r="G203" s="9">
        <f>'MF Measure Development'!BF73</f>
        <v>0</v>
      </c>
      <c r="H203" s="9" t="str">
        <f>'MF Measure Development'!BG73</f>
        <v>ResWASH</v>
      </c>
      <c r="I203" s="9">
        <f ca="1">'MF Measure Development'!BH73</f>
        <v>9.8186517987235185</v>
      </c>
      <c r="J203" s="9">
        <f>'MF Measure Development'!BI73</f>
        <v>0</v>
      </c>
      <c r="K203" s="9">
        <f>'MF Measure Development'!BJ73</f>
        <v>0</v>
      </c>
      <c r="L203" s="9">
        <f>'MF Measure Development'!BK73</f>
        <v>0</v>
      </c>
      <c r="M203" s="9">
        <f>'MF Measure Development'!BL73</f>
        <v>0</v>
      </c>
      <c r="N203" s="9">
        <f>'MF Measure Development'!BM73</f>
        <v>0</v>
      </c>
      <c r="O203" s="9">
        <f>'MF Measure Development'!BN73</f>
        <v>0</v>
      </c>
      <c r="P203" s="9">
        <f ca="1">'MF Measure Development'!BO73</f>
        <v>0</v>
      </c>
      <c r="Q203" s="9" t="str">
        <f>'MF Measure Development'!BP73</f>
        <v>ResDHW</v>
      </c>
    </row>
    <row r="204" spans="1:17">
      <c r="A204" s="9" t="s">
        <v>161</v>
      </c>
      <c r="B204" s="9" t="str">
        <f>'MF Measure Development'!BA74</f>
        <v>CEE Tier 3 Clothes Washer - Electric DHW, Gas Dryer - 54% ENERGY STAR Baseline</v>
      </c>
      <c r="C204" s="9" t="str">
        <f>'MF Measure Development'!BB74</f>
        <v>Washer Savings</v>
      </c>
      <c r="D204" s="9">
        <f ca="1">'MF Measure Development'!BC74</f>
        <v>35.793321614290846</v>
      </c>
      <c r="E204" s="9">
        <f>'MF Measure Development'!BD74</f>
        <v>14</v>
      </c>
      <c r="F204" s="9">
        <f ca="1">'MF Measure Development'!BE74</f>
        <v>170.81353679657798</v>
      </c>
      <c r="G204" s="9">
        <f>'MF Measure Development'!BF74</f>
        <v>0</v>
      </c>
      <c r="H204" s="9" t="str">
        <f>'MF Measure Development'!BG74</f>
        <v>ResWASH</v>
      </c>
      <c r="I204" s="9">
        <f ca="1">'MF Measure Development'!BH74</f>
        <v>9.8186517987235185</v>
      </c>
      <c r="J204" s="9">
        <f>'MF Measure Development'!BI74</f>
        <v>0</v>
      </c>
      <c r="K204" s="9">
        <f>'MF Measure Development'!BJ74</f>
        <v>0</v>
      </c>
      <c r="L204" s="9">
        <f>'MF Measure Development'!BK74</f>
        <v>0</v>
      </c>
      <c r="M204" s="9">
        <f>'MF Measure Development'!BL74</f>
        <v>0</v>
      </c>
      <c r="N204" s="9">
        <f>'MF Measure Development'!BM74</f>
        <v>0</v>
      </c>
      <c r="O204" s="9">
        <f>'MF Measure Development'!BN74</f>
        <v>0</v>
      </c>
      <c r="P204" s="9">
        <f ca="1">'MF Measure Development'!BO74</f>
        <v>0</v>
      </c>
      <c r="Q204" s="9" t="str">
        <f>'MF Measure Development'!BP74</f>
        <v>ResDHW</v>
      </c>
    </row>
    <row r="205" spans="1:17">
      <c r="A205" s="9" t="s">
        <v>161</v>
      </c>
      <c r="B205" s="9" t="str">
        <f>'MF Measure Development'!BA75</f>
        <v>CEE Tier 3 Clothes Washer - Gas DHW, Electric Dryer - 54% ENERGY STAR Baseline</v>
      </c>
      <c r="C205" s="9" t="str">
        <f>'MF Measure Development'!BB75</f>
        <v>Washer Savings</v>
      </c>
      <c r="D205" s="9">
        <f ca="1">'MF Measure Development'!BC75</f>
        <v>6.0084563997644977</v>
      </c>
      <c r="E205" s="9">
        <f>'MF Measure Development'!BD75</f>
        <v>14</v>
      </c>
      <c r="F205" s="9">
        <f ca="1">'MF Measure Development'!BE75</f>
        <v>170.81353679657798</v>
      </c>
      <c r="G205" s="9">
        <f>'MF Measure Development'!BF75</f>
        <v>0</v>
      </c>
      <c r="H205" s="9" t="str">
        <f>'MF Measure Development'!BG75</f>
        <v>ResWASH</v>
      </c>
      <c r="I205" s="9">
        <f ca="1">'MF Measure Development'!BH75</f>
        <v>9.8186517987235185</v>
      </c>
      <c r="J205" s="9">
        <f>'MF Measure Development'!BI75</f>
        <v>0</v>
      </c>
      <c r="K205" s="9">
        <f>'MF Measure Development'!BJ75</f>
        <v>0</v>
      </c>
      <c r="L205" s="9">
        <f>'MF Measure Development'!BK75</f>
        <v>0</v>
      </c>
      <c r="M205" s="9">
        <f>'MF Measure Development'!BL75</f>
        <v>0</v>
      </c>
      <c r="N205" s="9">
        <f>'MF Measure Development'!BM75</f>
        <v>0</v>
      </c>
      <c r="O205" s="9">
        <f>'MF Measure Development'!BN75</f>
        <v>0</v>
      </c>
      <c r="P205" s="9">
        <f ca="1">'MF Measure Development'!BO75</f>
        <v>1.355409933029045</v>
      </c>
      <c r="Q205" s="9" t="str">
        <f>'MF Measure Development'!BP75</f>
        <v>ResDHW</v>
      </c>
    </row>
    <row r="206" spans="1:17">
      <c r="A206" s="9" t="s">
        <v>161</v>
      </c>
      <c r="B206" s="9" t="str">
        <f>'MF Measure Development'!BA76</f>
        <v>CEE Tier 3 Clothes Washer - Gas DHW, Gas Dryer - 54% ENERGY STAR Baseline</v>
      </c>
      <c r="C206" s="9" t="str">
        <f>'MF Measure Development'!BB76</f>
        <v>Washer Savings</v>
      </c>
      <c r="D206" s="9">
        <f ca="1">'MF Measure Development'!BC76</f>
        <v>6.0084563997644977</v>
      </c>
      <c r="E206" s="9">
        <f>'MF Measure Development'!BD76</f>
        <v>14</v>
      </c>
      <c r="F206" s="9">
        <f ca="1">'MF Measure Development'!BE76</f>
        <v>170.81353679657798</v>
      </c>
      <c r="G206" s="9">
        <f>'MF Measure Development'!BF76</f>
        <v>0</v>
      </c>
      <c r="H206" s="9" t="str">
        <f>'MF Measure Development'!BG76</f>
        <v>ResWASH</v>
      </c>
      <c r="I206" s="9">
        <f ca="1">'MF Measure Development'!BH76</f>
        <v>9.8186517987235185</v>
      </c>
      <c r="J206" s="9">
        <f>'MF Measure Development'!BI76</f>
        <v>0</v>
      </c>
      <c r="K206" s="9">
        <f>'MF Measure Development'!BJ76</f>
        <v>0</v>
      </c>
      <c r="L206" s="9">
        <f>'MF Measure Development'!BK76</f>
        <v>0</v>
      </c>
      <c r="M206" s="9">
        <f>'MF Measure Development'!BL76</f>
        <v>0</v>
      </c>
      <c r="N206" s="9">
        <f>'MF Measure Development'!BM76</f>
        <v>0</v>
      </c>
      <c r="O206" s="9">
        <f>'MF Measure Development'!BN76</f>
        <v>0</v>
      </c>
      <c r="P206" s="9">
        <f ca="1">'MF Measure Development'!BO76</f>
        <v>1.355409933029045</v>
      </c>
      <c r="Q206" s="9" t="str">
        <f>'MF Measure Development'!BP76</f>
        <v>ResDHW</v>
      </c>
    </row>
    <row r="207" spans="1:17">
      <c r="A207" s="9" t="s">
        <v>161</v>
      </c>
      <c r="B207" s="9" t="str">
        <f>'MF Measure Development'!BA77</f>
        <v>CEE Tier 3 Clothes Washer - Any DHW, Any Dryer - 54% ENERGY STAR Baseline</v>
      </c>
      <c r="C207" s="9" t="str">
        <f>'MF Measure Development'!BB77</f>
        <v>Washer Savings</v>
      </c>
      <c r="D207" s="9">
        <f ca="1">'MF Measure Development'!BC77</f>
        <v>22.449701998183045</v>
      </c>
      <c r="E207" s="9">
        <f>'MF Measure Development'!BD77</f>
        <v>14</v>
      </c>
      <c r="F207" s="9">
        <f ca="1">'MF Measure Development'!BE77</f>
        <v>170.81353679657798</v>
      </c>
      <c r="G207" s="9">
        <f>'MF Measure Development'!BF77</f>
        <v>0</v>
      </c>
      <c r="H207" s="9" t="str">
        <f>'MF Measure Development'!BG77</f>
        <v>ResWASH</v>
      </c>
      <c r="I207" s="9">
        <f ca="1">'MF Measure Development'!BH77</f>
        <v>9.8186517987235185</v>
      </c>
      <c r="J207" s="9">
        <f>'MF Measure Development'!BI77</f>
        <v>0</v>
      </c>
      <c r="K207" s="9">
        <f>'MF Measure Development'!BJ77</f>
        <v>0</v>
      </c>
      <c r="L207" s="9">
        <f>'MF Measure Development'!BK77</f>
        <v>0</v>
      </c>
      <c r="M207" s="9">
        <f>'MF Measure Development'!BL77</f>
        <v>0</v>
      </c>
      <c r="N207" s="9">
        <f>'MF Measure Development'!BM77</f>
        <v>0</v>
      </c>
      <c r="O207" s="9">
        <f>'MF Measure Development'!BN77</f>
        <v>0</v>
      </c>
      <c r="P207" s="9">
        <f ca="1">'MF Measure Development'!BO77</f>
        <v>0.60722364999701206</v>
      </c>
      <c r="Q207" s="9" t="str">
        <f>'MF Measure Development'!BP77</f>
        <v>ResDHW</v>
      </c>
    </row>
    <row r="208" spans="1:17">
      <c r="A208" s="9" t="s">
        <v>161</v>
      </c>
      <c r="B208" s="9" t="str">
        <f>'MF Measure Development'!BA78</f>
        <v>ENERGY STAR - Top-Load Clothes Washer - Electric DHW, Electric Dryer - 31% ENERGY STAR Baseline</v>
      </c>
      <c r="C208" s="9" t="str">
        <f>'MF Measure Development'!BB78</f>
        <v>Dryer Savings</v>
      </c>
      <c r="D208" s="9">
        <f ca="1">'MF Measure Development'!BC78</f>
        <v>29.590663782428351</v>
      </c>
      <c r="E208" s="9">
        <f>'MF Measure Development'!BD78</f>
        <v>14</v>
      </c>
      <c r="F208" s="9">
        <f>'MF Measure Development'!BE78</f>
        <v>0</v>
      </c>
      <c r="G208" s="9">
        <f>'MF Measure Development'!BF78</f>
        <v>0</v>
      </c>
      <c r="H208" s="9" t="str">
        <f>'MF Measure Development'!BG78</f>
        <v>ResDRY</v>
      </c>
      <c r="I208" s="9">
        <f>'MF Measure Development'!BH78</f>
        <v>0</v>
      </c>
      <c r="J208" s="9">
        <f>'MF Measure Development'!BI78</f>
        <v>0</v>
      </c>
      <c r="K208" s="9">
        <f>'MF Measure Development'!BJ78</f>
        <v>0</v>
      </c>
      <c r="L208" s="9">
        <f>'MF Measure Development'!BK78</f>
        <v>0</v>
      </c>
      <c r="M208" s="9">
        <f>'MF Measure Development'!BL78</f>
        <v>0</v>
      </c>
      <c r="N208" s="9">
        <f>'MF Measure Development'!BM78</f>
        <v>0</v>
      </c>
      <c r="O208" s="9">
        <f>'MF Measure Development'!BN78</f>
        <v>0</v>
      </c>
      <c r="P208" s="9">
        <f ca="1">'MF Measure Development'!BO78</f>
        <v>0</v>
      </c>
      <c r="Q208" s="9" t="str">
        <f>'MF Measure Development'!BP78</f>
        <v>ResDRY</v>
      </c>
    </row>
    <row r="209" spans="1:17">
      <c r="A209" s="9" t="s">
        <v>161</v>
      </c>
      <c r="B209" s="9" t="str">
        <f>'MF Measure Development'!BA79</f>
        <v>ENERGY STAR - Top-Load Clothes Washer - Electric DHW, Gas Dryer - 31% ENERGY STAR Baseline</v>
      </c>
      <c r="C209" s="9" t="str">
        <f>'MF Measure Development'!BB79</f>
        <v>Dryer Savings</v>
      </c>
      <c r="D209" s="9">
        <f ca="1">'MF Measure Development'!BC79</f>
        <v>0</v>
      </c>
      <c r="E209" s="9">
        <f>'MF Measure Development'!BD79</f>
        <v>14</v>
      </c>
      <c r="F209" s="9">
        <f>'MF Measure Development'!BE79</f>
        <v>0</v>
      </c>
      <c r="G209" s="9">
        <f>'MF Measure Development'!BF79</f>
        <v>0</v>
      </c>
      <c r="H209" s="9" t="str">
        <f>'MF Measure Development'!BG79</f>
        <v>ResDRY</v>
      </c>
      <c r="I209" s="9">
        <f>'MF Measure Development'!BH79</f>
        <v>0</v>
      </c>
      <c r="J209" s="9">
        <f>'MF Measure Development'!BI79</f>
        <v>0</v>
      </c>
      <c r="K209" s="9">
        <f>'MF Measure Development'!BJ79</f>
        <v>0</v>
      </c>
      <c r="L209" s="9">
        <f>'MF Measure Development'!BK79</f>
        <v>0</v>
      </c>
      <c r="M209" s="9">
        <f>'MF Measure Development'!BL79</f>
        <v>0</v>
      </c>
      <c r="N209" s="9">
        <f>'MF Measure Development'!BM79</f>
        <v>0</v>
      </c>
      <c r="O209" s="9">
        <f>'MF Measure Development'!BN79</f>
        <v>0</v>
      </c>
      <c r="P209" s="9">
        <f ca="1">'MF Measure Development'!BO79</f>
        <v>1.1311208774815942</v>
      </c>
      <c r="Q209" s="9" t="str">
        <f>'MF Measure Development'!BP79</f>
        <v>ResDRY</v>
      </c>
    </row>
    <row r="210" spans="1:17">
      <c r="A210" s="9" t="s">
        <v>161</v>
      </c>
      <c r="B210" s="9" t="str">
        <f>'MF Measure Development'!BA80</f>
        <v>ENERGY STAR - Top-Load Clothes Washer - Gas DHW, Electric Dryer - 31% ENERGY STAR Baseline</v>
      </c>
      <c r="C210" s="9" t="str">
        <f>'MF Measure Development'!BB80</f>
        <v>Dryer Savings</v>
      </c>
      <c r="D210" s="9">
        <f ca="1">'MF Measure Development'!BC80</f>
        <v>29.590663782428351</v>
      </c>
      <c r="E210" s="9">
        <f>'MF Measure Development'!BD80</f>
        <v>14</v>
      </c>
      <c r="F210" s="9">
        <f>'MF Measure Development'!BE80</f>
        <v>0</v>
      </c>
      <c r="G210" s="9">
        <f>'MF Measure Development'!BF80</f>
        <v>0</v>
      </c>
      <c r="H210" s="9" t="str">
        <f>'MF Measure Development'!BG80</f>
        <v>ResDRY</v>
      </c>
      <c r="I210" s="9">
        <f>'MF Measure Development'!BH80</f>
        <v>0</v>
      </c>
      <c r="J210" s="9">
        <f>'MF Measure Development'!BI80</f>
        <v>0</v>
      </c>
      <c r="K210" s="9">
        <f>'MF Measure Development'!BJ80</f>
        <v>0</v>
      </c>
      <c r="L210" s="9">
        <f>'MF Measure Development'!BK80</f>
        <v>0</v>
      </c>
      <c r="M210" s="9">
        <f>'MF Measure Development'!BL80</f>
        <v>0</v>
      </c>
      <c r="N210" s="9">
        <f>'MF Measure Development'!BM80</f>
        <v>0</v>
      </c>
      <c r="O210" s="9">
        <f>'MF Measure Development'!BN80</f>
        <v>0</v>
      </c>
      <c r="P210" s="9">
        <f ca="1">'MF Measure Development'!BO80</f>
        <v>0</v>
      </c>
      <c r="Q210" s="9" t="str">
        <f>'MF Measure Development'!BP80</f>
        <v>ResDRY</v>
      </c>
    </row>
    <row r="211" spans="1:17">
      <c r="A211" s="9" t="s">
        <v>161</v>
      </c>
      <c r="B211" s="9" t="str">
        <f>'MF Measure Development'!BA81</f>
        <v>ENERGY STAR - Top-Load Clothes Washer - Gas DHW, Gas Dryer - 31% ENERGY STAR Baseline</v>
      </c>
      <c r="C211" s="9" t="str">
        <f>'MF Measure Development'!BB81</f>
        <v>Dryer Savings</v>
      </c>
      <c r="D211" s="9">
        <f ca="1">'MF Measure Development'!BC81</f>
        <v>0</v>
      </c>
      <c r="E211" s="9">
        <f>'MF Measure Development'!BD81</f>
        <v>14</v>
      </c>
      <c r="F211" s="9">
        <f>'MF Measure Development'!BE81</f>
        <v>0</v>
      </c>
      <c r="G211" s="9">
        <f>'MF Measure Development'!BF81</f>
        <v>0</v>
      </c>
      <c r="H211" s="9" t="str">
        <f>'MF Measure Development'!BG81</f>
        <v>ResDRY</v>
      </c>
      <c r="I211" s="9">
        <f>'MF Measure Development'!BH81</f>
        <v>0</v>
      </c>
      <c r="J211" s="9">
        <f>'MF Measure Development'!BI81</f>
        <v>0</v>
      </c>
      <c r="K211" s="9">
        <f>'MF Measure Development'!BJ81</f>
        <v>0</v>
      </c>
      <c r="L211" s="9">
        <f>'MF Measure Development'!BK81</f>
        <v>0</v>
      </c>
      <c r="M211" s="9">
        <f>'MF Measure Development'!BL81</f>
        <v>0</v>
      </c>
      <c r="N211" s="9">
        <f>'MF Measure Development'!BM81</f>
        <v>0</v>
      </c>
      <c r="O211" s="9">
        <f>'MF Measure Development'!BN81</f>
        <v>0</v>
      </c>
      <c r="P211" s="9">
        <f ca="1">'MF Measure Development'!BO81</f>
        <v>1.1311208774815942</v>
      </c>
      <c r="Q211" s="9" t="str">
        <f>'MF Measure Development'!BP81</f>
        <v>ResDRY</v>
      </c>
    </row>
    <row r="212" spans="1:17">
      <c r="A212" s="9" t="s">
        <v>161</v>
      </c>
      <c r="B212" s="9" t="str">
        <f>'MF Measure Development'!BA82</f>
        <v>ENERGY STAR - Top-Load Clothes Washer - Any DHW, Any Dryer - 31% ENERGY STAR Baseline</v>
      </c>
      <c r="C212" s="9" t="str">
        <f>'MF Measure Development'!BB82</f>
        <v>Dryer Savings</v>
      </c>
      <c r="D212" s="9">
        <f ca="1">'MF Measure Development'!BC82</f>
        <v>28.111130593306932</v>
      </c>
      <c r="E212" s="9">
        <f>'MF Measure Development'!BD82</f>
        <v>14</v>
      </c>
      <c r="F212" s="9">
        <f>'MF Measure Development'!BE82</f>
        <v>0</v>
      </c>
      <c r="G212" s="9">
        <f>'MF Measure Development'!BF82</f>
        <v>0</v>
      </c>
      <c r="H212" s="9" t="str">
        <f>'MF Measure Development'!BG82</f>
        <v>ResDRY</v>
      </c>
      <c r="I212" s="9">
        <f>'MF Measure Development'!BH82</f>
        <v>0</v>
      </c>
      <c r="J212" s="9">
        <f>'MF Measure Development'!BI82</f>
        <v>0</v>
      </c>
      <c r="K212" s="9">
        <f>'MF Measure Development'!BJ82</f>
        <v>0</v>
      </c>
      <c r="L212" s="9">
        <f>'MF Measure Development'!BK82</f>
        <v>0</v>
      </c>
      <c r="M212" s="9">
        <f>'MF Measure Development'!BL82</f>
        <v>0</v>
      </c>
      <c r="N212" s="9">
        <f>'MF Measure Development'!BM82</f>
        <v>0</v>
      </c>
      <c r="O212" s="9">
        <f>'MF Measure Development'!BN82</f>
        <v>0</v>
      </c>
      <c r="P212" s="9">
        <f ca="1">'MF Measure Development'!BO82</f>
        <v>5.655604387407976E-2</v>
      </c>
      <c r="Q212" s="9" t="str">
        <f>'MF Measure Development'!BP82</f>
        <v>ResDRY</v>
      </c>
    </row>
    <row r="213" spans="1:17">
      <c r="A213" s="9" t="s">
        <v>161</v>
      </c>
      <c r="B213" s="9" t="str">
        <f>'MF Measure Development'!BA83</f>
        <v>ENERGY STAR - Front-Load Clothes Washer - Electric DHW, Electric Dryer - 31% ENERGY STAR Baseline</v>
      </c>
      <c r="C213" s="9" t="str">
        <f>'MF Measure Development'!BB83</f>
        <v>Dryer Savings</v>
      </c>
      <c r="D213" s="9">
        <f ca="1">'MF Measure Development'!BC83</f>
        <v>63.686940627815829</v>
      </c>
      <c r="E213" s="9">
        <f>'MF Measure Development'!BD83</f>
        <v>14</v>
      </c>
      <c r="F213" s="9">
        <f>'MF Measure Development'!BE83</f>
        <v>0</v>
      </c>
      <c r="G213" s="9">
        <f>'MF Measure Development'!BF83</f>
        <v>0</v>
      </c>
      <c r="H213" s="9" t="str">
        <f>'MF Measure Development'!BG83</f>
        <v>ResDRY</v>
      </c>
      <c r="I213" s="9">
        <f>'MF Measure Development'!BH83</f>
        <v>0</v>
      </c>
      <c r="J213" s="9">
        <f>'MF Measure Development'!BI83</f>
        <v>0</v>
      </c>
      <c r="K213" s="9">
        <f>'MF Measure Development'!BJ83</f>
        <v>0</v>
      </c>
      <c r="L213" s="9">
        <f>'MF Measure Development'!BK83</f>
        <v>0</v>
      </c>
      <c r="M213" s="9">
        <f>'MF Measure Development'!BL83</f>
        <v>0</v>
      </c>
      <c r="N213" s="9">
        <f>'MF Measure Development'!BM83</f>
        <v>0</v>
      </c>
      <c r="O213" s="9">
        <f>'MF Measure Development'!BN83</f>
        <v>0</v>
      </c>
      <c r="P213" s="9">
        <f ca="1">'MF Measure Development'!BO83</f>
        <v>0</v>
      </c>
      <c r="Q213" s="9" t="str">
        <f>'MF Measure Development'!BP83</f>
        <v>ResDRY</v>
      </c>
    </row>
    <row r="214" spans="1:17">
      <c r="A214" s="9" t="s">
        <v>161</v>
      </c>
      <c r="B214" s="9" t="str">
        <f>'MF Measure Development'!BA84</f>
        <v>ENERGY STAR - Front-Load Clothes Washer - Electric DHW, Gas Dryer - 31% ENERGY STAR Baseline</v>
      </c>
      <c r="C214" s="9" t="str">
        <f>'MF Measure Development'!BB84</f>
        <v>Dryer Savings</v>
      </c>
      <c r="D214" s="9">
        <f ca="1">'MF Measure Development'!BC84</f>
        <v>0</v>
      </c>
      <c r="E214" s="9">
        <f>'MF Measure Development'!BD84</f>
        <v>14</v>
      </c>
      <c r="F214" s="9">
        <f>'MF Measure Development'!BE84</f>
        <v>0</v>
      </c>
      <c r="G214" s="9">
        <f>'MF Measure Development'!BF84</f>
        <v>0</v>
      </c>
      <c r="H214" s="9" t="str">
        <f>'MF Measure Development'!BG84</f>
        <v>ResDRY</v>
      </c>
      <c r="I214" s="9">
        <f>'MF Measure Development'!BH84</f>
        <v>0</v>
      </c>
      <c r="J214" s="9">
        <f>'MF Measure Development'!BI84</f>
        <v>0</v>
      </c>
      <c r="K214" s="9">
        <f>'MF Measure Development'!BJ84</f>
        <v>0</v>
      </c>
      <c r="L214" s="9">
        <f>'MF Measure Development'!BK84</f>
        <v>0</v>
      </c>
      <c r="M214" s="9">
        <f>'MF Measure Development'!BL84</f>
        <v>0</v>
      </c>
      <c r="N214" s="9">
        <f>'MF Measure Development'!BM84</f>
        <v>0</v>
      </c>
      <c r="O214" s="9">
        <f>'MF Measure Development'!BN84</f>
        <v>0</v>
      </c>
      <c r="P214" s="9">
        <f ca="1">'MF Measure Development'!BO84</f>
        <v>2.4344715176626366</v>
      </c>
      <c r="Q214" s="9" t="str">
        <f>'MF Measure Development'!BP84</f>
        <v>ResDRY</v>
      </c>
    </row>
    <row r="215" spans="1:17">
      <c r="A215" s="9" t="s">
        <v>161</v>
      </c>
      <c r="B215" s="9" t="str">
        <f>'MF Measure Development'!BA85</f>
        <v>ENERGY STAR - Front-Load Clothes Washer - Gas DHW, Electric Dryer - 31% ENERGY STAR Baseline</v>
      </c>
      <c r="C215" s="9" t="str">
        <f>'MF Measure Development'!BB85</f>
        <v>Dryer Savings</v>
      </c>
      <c r="D215" s="9">
        <f ca="1">'MF Measure Development'!BC85</f>
        <v>63.686940627815829</v>
      </c>
      <c r="E215" s="9">
        <f>'MF Measure Development'!BD85</f>
        <v>14</v>
      </c>
      <c r="F215" s="9">
        <f>'MF Measure Development'!BE85</f>
        <v>0</v>
      </c>
      <c r="G215" s="9">
        <f>'MF Measure Development'!BF85</f>
        <v>0</v>
      </c>
      <c r="H215" s="9" t="str">
        <f>'MF Measure Development'!BG85</f>
        <v>ResDRY</v>
      </c>
      <c r="I215" s="9">
        <f>'MF Measure Development'!BH85</f>
        <v>0</v>
      </c>
      <c r="J215" s="9">
        <f>'MF Measure Development'!BI85</f>
        <v>0</v>
      </c>
      <c r="K215" s="9">
        <f>'MF Measure Development'!BJ85</f>
        <v>0</v>
      </c>
      <c r="L215" s="9">
        <f>'MF Measure Development'!BK85</f>
        <v>0</v>
      </c>
      <c r="M215" s="9">
        <f>'MF Measure Development'!BL85</f>
        <v>0</v>
      </c>
      <c r="N215" s="9">
        <f>'MF Measure Development'!BM85</f>
        <v>0</v>
      </c>
      <c r="O215" s="9">
        <f>'MF Measure Development'!BN85</f>
        <v>0</v>
      </c>
      <c r="P215" s="9">
        <f ca="1">'MF Measure Development'!BO85</f>
        <v>0</v>
      </c>
      <c r="Q215" s="9" t="str">
        <f>'MF Measure Development'!BP85</f>
        <v>ResDRY</v>
      </c>
    </row>
    <row r="216" spans="1:17">
      <c r="A216" s="9" t="s">
        <v>161</v>
      </c>
      <c r="B216" s="9" t="str">
        <f>'MF Measure Development'!BA86</f>
        <v>ENERGY STAR - Front-Load Clothes Washer - Gas DHW, Gas Dryer - 31% ENERGY STAR Baseline</v>
      </c>
      <c r="C216" s="9" t="str">
        <f>'MF Measure Development'!BB86</f>
        <v>Dryer Savings</v>
      </c>
      <c r="D216" s="9">
        <f ca="1">'MF Measure Development'!BC86</f>
        <v>0</v>
      </c>
      <c r="E216" s="9">
        <f>'MF Measure Development'!BD86</f>
        <v>14</v>
      </c>
      <c r="F216" s="9">
        <f>'MF Measure Development'!BE86</f>
        <v>0</v>
      </c>
      <c r="G216" s="9">
        <f>'MF Measure Development'!BF86</f>
        <v>0</v>
      </c>
      <c r="H216" s="9" t="str">
        <f>'MF Measure Development'!BG86</f>
        <v>ResDRY</v>
      </c>
      <c r="I216" s="9">
        <f>'MF Measure Development'!BH86</f>
        <v>0</v>
      </c>
      <c r="J216" s="9">
        <f>'MF Measure Development'!BI86</f>
        <v>0</v>
      </c>
      <c r="K216" s="9">
        <f>'MF Measure Development'!BJ86</f>
        <v>0</v>
      </c>
      <c r="L216" s="9">
        <f>'MF Measure Development'!BK86</f>
        <v>0</v>
      </c>
      <c r="M216" s="9">
        <f>'MF Measure Development'!BL86</f>
        <v>0</v>
      </c>
      <c r="N216" s="9">
        <f>'MF Measure Development'!BM86</f>
        <v>0</v>
      </c>
      <c r="O216" s="9">
        <f>'MF Measure Development'!BN86</f>
        <v>0</v>
      </c>
      <c r="P216" s="9">
        <f ca="1">'MF Measure Development'!BO86</f>
        <v>2.4344715176626366</v>
      </c>
      <c r="Q216" s="9" t="str">
        <f>'MF Measure Development'!BP86</f>
        <v>ResDRY</v>
      </c>
    </row>
    <row r="217" spans="1:17">
      <c r="A217" s="9" t="s">
        <v>161</v>
      </c>
      <c r="B217" s="9" t="str">
        <f>'MF Measure Development'!BA87</f>
        <v>ENERGY STAR - Front-Load Clothes Washer - Any DHW, Any Dryer - 31% ENERGY STAR Baseline</v>
      </c>
      <c r="C217" s="9" t="str">
        <f>'MF Measure Development'!BB87</f>
        <v>Dryer Savings</v>
      </c>
      <c r="D217" s="9">
        <f ca="1">'MF Measure Development'!BC87</f>
        <v>60.502593596425037</v>
      </c>
      <c r="E217" s="9">
        <f>'MF Measure Development'!BD87</f>
        <v>14</v>
      </c>
      <c r="F217" s="9">
        <f>'MF Measure Development'!BE87</f>
        <v>0</v>
      </c>
      <c r="G217" s="9">
        <f>'MF Measure Development'!BF87</f>
        <v>0</v>
      </c>
      <c r="H217" s="9" t="str">
        <f>'MF Measure Development'!BG87</f>
        <v>ResDRY</v>
      </c>
      <c r="I217" s="9">
        <f>'MF Measure Development'!BH87</f>
        <v>0</v>
      </c>
      <c r="J217" s="9">
        <f>'MF Measure Development'!BI87</f>
        <v>0</v>
      </c>
      <c r="K217" s="9">
        <f>'MF Measure Development'!BJ87</f>
        <v>0</v>
      </c>
      <c r="L217" s="9">
        <f>'MF Measure Development'!BK87</f>
        <v>0</v>
      </c>
      <c r="M217" s="9">
        <f>'MF Measure Development'!BL87</f>
        <v>0</v>
      </c>
      <c r="N217" s="9">
        <f>'MF Measure Development'!BM87</f>
        <v>0</v>
      </c>
      <c r="O217" s="9">
        <f>'MF Measure Development'!BN87</f>
        <v>0</v>
      </c>
      <c r="P217" s="9">
        <f ca="1">'MF Measure Development'!BO87</f>
        <v>0.12172357588313194</v>
      </c>
      <c r="Q217" s="9" t="str">
        <f>'MF Measure Development'!BP87</f>
        <v>ResDRY</v>
      </c>
    </row>
    <row r="218" spans="1:17">
      <c r="A218" s="9" t="s">
        <v>161</v>
      </c>
      <c r="B218" s="9" t="str">
        <f>'MF Measure Development'!BA93</f>
        <v>CEE Tier 1 Clothes Washer - Electric DHW, Electric Dryer - 31% ENERGY STAR Baseline</v>
      </c>
      <c r="C218" s="9" t="str">
        <f>'MF Measure Development'!BB93</f>
        <v>Dryer Savings</v>
      </c>
      <c r="D218" s="9">
        <f ca="1">'MF Measure Development'!BC93</f>
        <v>53.646090662450774</v>
      </c>
      <c r="E218" s="9">
        <f>'MF Measure Development'!BD93</f>
        <v>14</v>
      </c>
      <c r="F218" s="9">
        <f>'MF Measure Development'!BE93</f>
        <v>0</v>
      </c>
      <c r="G218" s="9">
        <f>'MF Measure Development'!BF93</f>
        <v>0</v>
      </c>
      <c r="H218" s="9" t="str">
        <f>'MF Measure Development'!BG93</f>
        <v>ResDRY</v>
      </c>
      <c r="I218" s="9">
        <f>'MF Measure Development'!BH93</f>
        <v>0</v>
      </c>
      <c r="J218" s="9">
        <f>'MF Measure Development'!BI93</f>
        <v>0</v>
      </c>
      <c r="K218" s="9">
        <f>'MF Measure Development'!BJ93</f>
        <v>0</v>
      </c>
      <c r="L218" s="9">
        <f>'MF Measure Development'!BK93</f>
        <v>0</v>
      </c>
      <c r="M218" s="9">
        <f>'MF Measure Development'!BL93</f>
        <v>0</v>
      </c>
      <c r="N218" s="9">
        <f>'MF Measure Development'!BM93</f>
        <v>0</v>
      </c>
      <c r="O218" s="9">
        <f>'MF Measure Development'!BN93</f>
        <v>0</v>
      </c>
      <c r="P218" s="9">
        <f ca="1">'MF Measure Development'!BO93</f>
        <v>0</v>
      </c>
      <c r="Q218" s="9" t="str">
        <f>'MF Measure Development'!BP93</f>
        <v>ResDRY</v>
      </c>
    </row>
    <row r="219" spans="1:17">
      <c r="A219" s="9" t="s">
        <v>161</v>
      </c>
      <c r="B219" s="9" t="str">
        <f>'MF Measure Development'!BA94</f>
        <v>CEE Tier 1 Clothes Washer - Electric DHW, Gas Dryer - 31% ENERGY STAR Baseline</v>
      </c>
      <c r="C219" s="9" t="str">
        <f>'MF Measure Development'!BB94</f>
        <v>Dryer Savings</v>
      </c>
      <c r="D219" s="9">
        <f ca="1">'MF Measure Development'!BC94</f>
        <v>0</v>
      </c>
      <c r="E219" s="9">
        <f>'MF Measure Development'!BD94</f>
        <v>14</v>
      </c>
      <c r="F219" s="9">
        <f>'MF Measure Development'!BE94</f>
        <v>0</v>
      </c>
      <c r="G219" s="9">
        <f>'MF Measure Development'!BF94</f>
        <v>0</v>
      </c>
      <c r="H219" s="9" t="str">
        <f>'MF Measure Development'!BG94</f>
        <v>ResDRY</v>
      </c>
      <c r="I219" s="9">
        <f>'MF Measure Development'!BH94</f>
        <v>0</v>
      </c>
      <c r="J219" s="9">
        <f>'MF Measure Development'!BI94</f>
        <v>0</v>
      </c>
      <c r="K219" s="9">
        <f>'MF Measure Development'!BJ94</f>
        <v>0</v>
      </c>
      <c r="L219" s="9">
        <f>'MF Measure Development'!BK94</f>
        <v>0</v>
      </c>
      <c r="M219" s="9">
        <f>'MF Measure Development'!BL94</f>
        <v>0</v>
      </c>
      <c r="N219" s="9">
        <f>'MF Measure Development'!BM94</f>
        <v>0</v>
      </c>
      <c r="O219" s="9">
        <f>'MF Measure Development'!BN94</f>
        <v>0</v>
      </c>
      <c r="P219" s="9">
        <f ca="1">'MF Measure Development'!BO94</f>
        <v>2.0506540032265796</v>
      </c>
      <c r="Q219" s="9" t="str">
        <f>'MF Measure Development'!BP94</f>
        <v>ResDRY</v>
      </c>
    </row>
    <row r="220" spans="1:17">
      <c r="A220" s="9" t="s">
        <v>161</v>
      </c>
      <c r="B220" s="9" t="str">
        <f>'MF Measure Development'!BA95</f>
        <v>CEE Tier 1 Clothes Washer - Gas DHW, Electric Dryer - 31% ENERGY STAR Baseline</v>
      </c>
      <c r="C220" s="9" t="str">
        <f>'MF Measure Development'!BB95</f>
        <v>Dryer Savings</v>
      </c>
      <c r="D220" s="9">
        <f ca="1">'MF Measure Development'!BC95</f>
        <v>53.646090662450774</v>
      </c>
      <c r="E220" s="9">
        <f>'MF Measure Development'!BD95</f>
        <v>14</v>
      </c>
      <c r="F220" s="9">
        <f>'MF Measure Development'!BE95</f>
        <v>0</v>
      </c>
      <c r="G220" s="9">
        <f>'MF Measure Development'!BF95</f>
        <v>0</v>
      </c>
      <c r="H220" s="9" t="str">
        <f>'MF Measure Development'!BG95</f>
        <v>ResDRY</v>
      </c>
      <c r="I220" s="9">
        <f>'MF Measure Development'!BH95</f>
        <v>0</v>
      </c>
      <c r="J220" s="9">
        <f>'MF Measure Development'!BI95</f>
        <v>0</v>
      </c>
      <c r="K220" s="9">
        <f>'MF Measure Development'!BJ95</f>
        <v>0</v>
      </c>
      <c r="L220" s="9">
        <f>'MF Measure Development'!BK95</f>
        <v>0</v>
      </c>
      <c r="M220" s="9">
        <f>'MF Measure Development'!BL95</f>
        <v>0</v>
      </c>
      <c r="N220" s="9">
        <f>'MF Measure Development'!BM95</f>
        <v>0</v>
      </c>
      <c r="O220" s="9">
        <f>'MF Measure Development'!BN95</f>
        <v>0</v>
      </c>
      <c r="P220" s="9">
        <f ca="1">'MF Measure Development'!BO95</f>
        <v>0</v>
      </c>
      <c r="Q220" s="9" t="str">
        <f>'MF Measure Development'!BP95</f>
        <v>ResDRY</v>
      </c>
    </row>
    <row r="221" spans="1:17">
      <c r="A221" s="9" t="s">
        <v>161</v>
      </c>
      <c r="B221" s="9" t="str">
        <f>'MF Measure Development'!BA96</f>
        <v>CEE Tier 1 Clothes Washer - Gas DHW, Gas Dryer - 31% ENERGY STAR Baseline</v>
      </c>
      <c r="C221" s="9" t="str">
        <f>'MF Measure Development'!BB96</f>
        <v>Dryer Savings</v>
      </c>
      <c r="D221" s="9">
        <f ca="1">'MF Measure Development'!BC96</f>
        <v>0</v>
      </c>
      <c r="E221" s="9">
        <f>'MF Measure Development'!BD96</f>
        <v>14</v>
      </c>
      <c r="F221" s="9">
        <f>'MF Measure Development'!BE96</f>
        <v>0</v>
      </c>
      <c r="G221" s="9">
        <f>'MF Measure Development'!BF96</f>
        <v>0</v>
      </c>
      <c r="H221" s="9" t="str">
        <f>'MF Measure Development'!BG96</f>
        <v>ResDRY</v>
      </c>
      <c r="I221" s="9">
        <f>'MF Measure Development'!BH96</f>
        <v>0</v>
      </c>
      <c r="J221" s="9">
        <f>'MF Measure Development'!BI96</f>
        <v>0</v>
      </c>
      <c r="K221" s="9">
        <f>'MF Measure Development'!BJ96</f>
        <v>0</v>
      </c>
      <c r="L221" s="9">
        <f>'MF Measure Development'!BK96</f>
        <v>0</v>
      </c>
      <c r="M221" s="9">
        <f>'MF Measure Development'!BL96</f>
        <v>0</v>
      </c>
      <c r="N221" s="9">
        <f>'MF Measure Development'!BM96</f>
        <v>0</v>
      </c>
      <c r="O221" s="9">
        <f>'MF Measure Development'!BN96</f>
        <v>0</v>
      </c>
      <c r="P221" s="9">
        <f ca="1">'MF Measure Development'!BO96</f>
        <v>2.0506540032265796</v>
      </c>
      <c r="Q221" s="9" t="str">
        <f>'MF Measure Development'!BP96</f>
        <v>ResDRY</v>
      </c>
    </row>
    <row r="222" spans="1:17">
      <c r="A222" s="9" t="s">
        <v>161</v>
      </c>
      <c r="B222" s="9" t="str">
        <f>'MF Measure Development'!BA97</f>
        <v>CEE Tier 1 Clothes Washer - Any DHW, Any Dryer - 31% ENERGY STAR Baseline</v>
      </c>
      <c r="C222" s="9" t="str">
        <f>'MF Measure Development'!BB97</f>
        <v>Dryer Savings</v>
      </c>
      <c r="D222" s="9">
        <f ca="1">'MF Measure Development'!BC97</f>
        <v>50.963786129328234</v>
      </c>
      <c r="E222" s="9">
        <f>'MF Measure Development'!BD97</f>
        <v>14</v>
      </c>
      <c r="F222" s="9">
        <f>'MF Measure Development'!BE97</f>
        <v>0</v>
      </c>
      <c r="G222" s="9">
        <f>'MF Measure Development'!BF97</f>
        <v>0</v>
      </c>
      <c r="H222" s="9" t="str">
        <f>'MF Measure Development'!BG97</f>
        <v>ResDRY</v>
      </c>
      <c r="I222" s="9">
        <f>'MF Measure Development'!BH97</f>
        <v>0</v>
      </c>
      <c r="J222" s="9">
        <f>'MF Measure Development'!BI97</f>
        <v>0</v>
      </c>
      <c r="K222" s="9">
        <f>'MF Measure Development'!BJ97</f>
        <v>0</v>
      </c>
      <c r="L222" s="9">
        <f>'MF Measure Development'!BK97</f>
        <v>0</v>
      </c>
      <c r="M222" s="9">
        <f>'MF Measure Development'!BL97</f>
        <v>0</v>
      </c>
      <c r="N222" s="9">
        <f>'MF Measure Development'!BM97</f>
        <v>0</v>
      </c>
      <c r="O222" s="9">
        <f>'MF Measure Development'!BN97</f>
        <v>0</v>
      </c>
      <c r="P222" s="9">
        <f ca="1">'MF Measure Development'!BO97</f>
        <v>0.10253270016132908</v>
      </c>
      <c r="Q222" s="9" t="str">
        <f>'MF Measure Development'!BP97</f>
        <v>ResDRY</v>
      </c>
    </row>
    <row r="223" spans="1:17">
      <c r="A223" s="9" t="s">
        <v>161</v>
      </c>
      <c r="B223" s="9" t="str">
        <f>'MF Measure Development'!BA98</f>
        <v>CEE Tier 2 Clothes Washer - Electric DHW, Electric Dryer - 31% ENERGY STAR Baseline</v>
      </c>
      <c r="C223" s="9" t="str">
        <f>'MF Measure Development'!BB98</f>
        <v>Dryer Savings</v>
      </c>
      <c r="D223" s="9">
        <f ca="1">'MF Measure Development'!BC98</f>
        <v>75.273534337655349</v>
      </c>
      <c r="E223" s="9">
        <f>'MF Measure Development'!BD98</f>
        <v>14</v>
      </c>
      <c r="F223" s="9">
        <f>'MF Measure Development'!BE98</f>
        <v>0</v>
      </c>
      <c r="G223" s="9">
        <f>'MF Measure Development'!BF98</f>
        <v>0</v>
      </c>
      <c r="H223" s="9" t="str">
        <f>'MF Measure Development'!BG98</f>
        <v>ResDRY</v>
      </c>
      <c r="I223" s="9">
        <f>'MF Measure Development'!BH98</f>
        <v>0</v>
      </c>
      <c r="J223" s="9">
        <f>'MF Measure Development'!BI98</f>
        <v>0</v>
      </c>
      <c r="K223" s="9">
        <f>'MF Measure Development'!BJ98</f>
        <v>0</v>
      </c>
      <c r="L223" s="9">
        <f>'MF Measure Development'!BK98</f>
        <v>0</v>
      </c>
      <c r="M223" s="9">
        <f>'MF Measure Development'!BL98</f>
        <v>0</v>
      </c>
      <c r="N223" s="9">
        <f>'MF Measure Development'!BM98</f>
        <v>0</v>
      </c>
      <c r="O223" s="9">
        <f>'MF Measure Development'!BN98</f>
        <v>0</v>
      </c>
      <c r="P223" s="9">
        <f ca="1">'MF Measure Development'!BO98</f>
        <v>0</v>
      </c>
      <c r="Q223" s="9" t="str">
        <f>'MF Measure Development'!BP98</f>
        <v>ResDRY</v>
      </c>
    </row>
    <row r="224" spans="1:17">
      <c r="A224" s="9" t="s">
        <v>161</v>
      </c>
      <c r="B224" s="9" t="str">
        <f>'MF Measure Development'!BA99</f>
        <v>CEE Tier 2 Clothes Washer - Electric DHW, Gas Dryer - 31% ENERGY STAR Baseline</v>
      </c>
      <c r="C224" s="9" t="str">
        <f>'MF Measure Development'!BB99</f>
        <v>Dryer Savings</v>
      </c>
      <c r="D224" s="9">
        <f ca="1">'MF Measure Development'!BC99</f>
        <v>0</v>
      </c>
      <c r="E224" s="9">
        <f>'MF Measure Development'!BD99</f>
        <v>14</v>
      </c>
      <c r="F224" s="9">
        <f>'MF Measure Development'!BE99</f>
        <v>0</v>
      </c>
      <c r="G224" s="9">
        <f>'MF Measure Development'!BF99</f>
        <v>0</v>
      </c>
      <c r="H224" s="9" t="str">
        <f>'MF Measure Development'!BG99</f>
        <v>ResDRY</v>
      </c>
      <c r="I224" s="9">
        <f>'MF Measure Development'!BH99</f>
        <v>0</v>
      </c>
      <c r="J224" s="9">
        <f>'MF Measure Development'!BI99</f>
        <v>0</v>
      </c>
      <c r="K224" s="9">
        <f>'MF Measure Development'!BJ99</f>
        <v>0</v>
      </c>
      <c r="L224" s="9">
        <f>'MF Measure Development'!BK99</f>
        <v>0</v>
      </c>
      <c r="M224" s="9">
        <f>'MF Measure Development'!BL99</f>
        <v>0</v>
      </c>
      <c r="N224" s="9">
        <f>'MF Measure Development'!BM99</f>
        <v>0</v>
      </c>
      <c r="O224" s="9">
        <f>'MF Measure Development'!BN99</f>
        <v>0</v>
      </c>
      <c r="P224" s="9">
        <f ca="1">'MF Measure Development'!BO99</f>
        <v>2.8773760141774787</v>
      </c>
      <c r="Q224" s="9" t="str">
        <f>'MF Measure Development'!BP99</f>
        <v>ResDRY</v>
      </c>
    </row>
    <row r="225" spans="1:17">
      <c r="A225" s="9" t="s">
        <v>161</v>
      </c>
      <c r="B225" s="9" t="str">
        <f>'MF Measure Development'!BA100</f>
        <v>CEE Tier 2 Clothes Washer - Gas DHW, Electric Dryer - 31% ENERGY STAR Baseline</v>
      </c>
      <c r="C225" s="9" t="str">
        <f>'MF Measure Development'!BB100</f>
        <v>Dryer Savings</v>
      </c>
      <c r="D225" s="9">
        <f ca="1">'MF Measure Development'!BC100</f>
        <v>75.273534337655349</v>
      </c>
      <c r="E225" s="9">
        <f>'MF Measure Development'!BD100</f>
        <v>14</v>
      </c>
      <c r="F225" s="9">
        <f>'MF Measure Development'!BE100</f>
        <v>0</v>
      </c>
      <c r="G225" s="9">
        <f>'MF Measure Development'!BF100</f>
        <v>0</v>
      </c>
      <c r="H225" s="9" t="str">
        <f>'MF Measure Development'!BG100</f>
        <v>ResDRY</v>
      </c>
      <c r="I225" s="9">
        <f>'MF Measure Development'!BH100</f>
        <v>0</v>
      </c>
      <c r="J225" s="9">
        <f>'MF Measure Development'!BI100</f>
        <v>0</v>
      </c>
      <c r="K225" s="9">
        <f>'MF Measure Development'!BJ100</f>
        <v>0</v>
      </c>
      <c r="L225" s="9">
        <f>'MF Measure Development'!BK100</f>
        <v>0</v>
      </c>
      <c r="M225" s="9">
        <f>'MF Measure Development'!BL100</f>
        <v>0</v>
      </c>
      <c r="N225" s="9">
        <f>'MF Measure Development'!BM100</f>
        <v>0</v>
      </c>
      <c r="O225" s="9">
        <f>'MF Measure Development'!BN100</f>
        <v>0</v>
      </c>
      <c r="P225" s="9">
        <f ca="1">'MF Measure Development'!BO100</f>
        <v>0</v>
      </c>
      <c r="Q225" s="9" t="str">
        <f>'MF Measure Development'!BP100</f>
        <v>ResDRY</v>
      </c>
    </row>
    <row r="226" spans="1:17">
      <c r="A226" s="9" t="s">
        <v>161</v>
      </c>
      <c r="B226" s="9" t="str">
        <f>'MF Measure Development'!BA101</f>
        <v>CEE Tier 2 Clothes Washer - Gas DHW, Gas Dryer - 31% ENERGY STAR Baseline</v>
      </c>
      <c r="C226" s="9" t="str">
        <f>'MF Measure Development'!BB101</f>
        <v>Dryer Savings</v>
      </c>
      <c r="D226" s="9">
        <f ca="1">'MF Measure Development'!BC101</f>
        <v>0</v>
      </c>
      <c r="E226" s="9">
        <f>'MF Measure Development'!BD101</f>
        <v>14</v>
      </c>
      <c r="F226" s="9">
        <f>'MF Measure Development'!BE101</f>
        <v>0</v>
      </c>
      <c r="G226" s="9">
        <f>'MF Measure Development'!BF101</f>
        <v>0</v>
      </c>
      <c r="H226" s="9" t="str">
        <f>'MF Measure Development'!BG101</f>
        <v>ResDRY</v>
      </c>
      <c r="I226" s="9">
        <f>'MF Measure Development'!BH101</f>
        <v>0</v>
      </c>
      <c r="J226" s="9">
        <f>'MF Measure Development'!BI101</f>
        <v>0</v>
      </c>
      <c r="K226" s="9">
        <f>'MF Measure Development'!BJ101</f>
        <v>0</v>
      </c>
      <c r="L226" s="9">
        <f>'MF Measure Development'!BK101</f>
        <v>0</v>
      </c>
      <c r="M226" s="9">
        <f>'MF Measure Development'!BL101</f>
        <v>0</v>
      </c>
      <c r="N226" s="9">
        <f>'MF Measure Development'!BM101</f>
        <v>0</v>
      </c>
      <c r="O226" s="9">
        <f>'MF Measure Development'!BN101</f>
        <v>0</v>
      </c>
      <c r="P226" s="9">
        <f ca="1">'MF Measure Development'!BO101</f>
        <v>2.8773760141774787</v>
      </c>
      <c r="Q226" s="9" t="str">
        <f>'MF Measure Development'!BP101</f>
        <v>ResDRY</v>
      </c>
    </row>
    <row r="227" spans="1:17">
      <c r="A227" s="9" t="s">
        <v>161</v>
      </c>
      <c r="B227" s="9" t="str">
        <f>'MF Measure Development'!BA102</f>
        <v>CEE Tier 2 Clothes Washer - Any DHW, Any Dryer - 31% ENERGY STAR Baseline</v>
      </c>
      <c r="C227" s="9" t="str">
        <f>'MF Measure Development'!BB102</f>
        <v>Dryer Savings</v>
      </c>
      <c r="D227" s="9">
        <f ca="1">'MF Measure Development'!BC102</f>
        <v>71.509857620772578</v>
      </c>
      <c r="E227" s="9">
        <f>'MF Measure Development'!BD102</f>
        <v>14</v>
      </c>
      <c r="F227" s="9">
        <f>'MF Measure Development'!BE102</f>
        <v>0</v>
      </c>
      <c r="G227" s="9">
        <f>'MF Measure Development'!BF102</f>
        <v>0</v>
      </c>
      <c r="H227" s="9" t="str">
        <f>'MF Measure Development'!BG102</f>
        <v>ResDRY</v>
      </c>
      <c r="I227" s="9">
        <f>'MF Measure Development'!BH102</f>
        <v>0</v>
      </c>
      <c r="J227" s="9">
        <f>'MF Measure Development'!BI102</f>
        <v>0</v>
      </c>
      <c r="K227" s="9">
        <f>'MF Measure Development'!BJ102</f>
        <v>0</v>
      </c>
      <c r="L227" s="9">
        <f>'MF Measure Development'!BK102</f>
        <v>0</v>
      </c>
      <c r="M227" s="9">
        <f>'MF Measure Development'!BL102</f>
        <v>0</v>
      </c>
      <c r="N227" s="9">
        <f>'MF Measure Development'!BM102</f>
        <v>0</v>
      </c>
      <c r="O227" s="9">
        <f>'MF Measure Development'!BN102</f>
        <v>0</v>
      </c>
      <c r="P227" s="9">
        <f ca="1">'MF Measure Development'!BO102</f>
        <v>0.14386880070887406</v>
      </c>
      <c r="Q227" s="9" t="str">
        <f>'MF Measure Development'!BP102</f>
        <v>ResDRY</v>
      </c>
    </row>
    <row r="228" spans="1:17">
      <c r="A228" s="9" t="s">
        <v>161</v>
      </c>
      <c r="B228" s="9" t="str">
        <f>'MF Measure Development'!BA103</f>
        <v>CEE Tier 3 Clothes Washer - Electric DHW, Electric Dryer - 31% ENERGY STAR Baseline</v>
      </c>
      <c r="C228" s="9" t="str">
        <f>'MF Measure Development'!BB103</f>
        <v>Dryer Savings</v>
      </c>
      <c r="D228" s="9">
        <f ca="1">'MF Measure Development'!BC103</f>
        <v>89.692008809708824</v>
      </c>
      <c r="E228" s="9">
        <f>'MF Measure Development'!BD103</f>
        <v>14</v>
      </c>
      <c r="F228" s="9">
        <f>'MF Measure Development'!BE103</f>
        <v>0</v>
      </c>
      <c r="G228" s="9">
        <f>'MF Measure Development'!BF103</f>
        <v>0</v>
      </c>
      <c r="H228" s="9" t="str">
        <f>'MF Measure Development'!BG103</f>
        <v>ResDRY</v>
      </c>
      <c r="I228" s="9">
        <f>'MF Measure Development'!BH103</f>
        <v>0</v>
      </c>
      <c r="J228" s="9">
        <f>'MF Measure Development'!BI103</f>
        <v>0</v>
      </c>
      <c r="K228" s="9">
        <f>'MF Measure Development'!BJ103</f>
        <v>0</v>
      </c>
      <c r="L228" s="9">
        <f>'MF Measure Development'!BK103</f>
        <v>0</v>
      </c>
      <c r="M228" s="9">
        <f>'MF Measure Development'!BL103</f>
        <v>0</v>
      </c>
      <c r="N228" s="9">
        <f>'MF Measure Development'!BM103</f>
        <v>0</v>
      </c>
      <c r="O228" s="9">
        <f>'MF Measure Development'!BN103</f>
        <v>0</v>
      </c>
      <c r="P228" s="9">
        <f ca="1">'MF Measure Development'!BO103</f>
        <v>0</v>
      </c>
      <c r="Q228" s="9" t="str">
        <f>'MF Measure Development'!BP103</f>
        <v>ResDRY</v>
      </c>
    </row>
    <row r="229" spans="1:17">
      <c r="A229" s="9" t="s">
        <v>161</v>
      </c>
      <c r="B229" s="9" t="str">
        <f>'MF Measure Development'!BA104</f>
        <v>CEE Tier 3 Clothes Washer - Electric DHW, Gas Dryer - 31% ENERGY STAR Baseline</v>
      </c>
      <c r="C229" s="9" t="str">
        <f>'MF Measure Development'!BB104</f>
        <v>Dryer Savings</v>
      </c>
      <c r="D229" s="9">
        <f ca="1">'MF Measure Development'!BC104</f>
        <v>0</v>
      </c>
      <c r="E229" s="9">
        <f>'MF Measure Development'!BD104</f>
        <v>14</v>
      </c>
      <c r="F229" s="9">
        <f>'MF Measure Development'!BE104</f>
        <v>0</v>
      </c>
      <c r="G229" s="9">
        <f>'MF Measure Development'!BF104</f>
        <v>0</v>
      </c>
      <c r="H229" s="9" t="str">
        <f>'MF Measure Development'!BG104</f>
        <v>ResDRY</v>
      </c>
      <c r="I229" s="9">
        <f>'MF Measure Development'!BH104</f>
        <v>0</v>
      </c>
      <c r="J229" s="9">
        <f>'MF Measure Development'!BI104</f>
        <v>0</v>
      </c>
      <c r="K229" s="9">
        <f>'MF Measure Development'!BJ104</f>
        <v>0</v>
      </c>
      <c r="L229" s="9">
        <f>'MF Measure Development'!BK104</f>
        <v>0</v>
      </c>
      <c r="M229" s="9">
        <f>'MF Measure Development'!BL104</f>
        <v>0</v>
      </c>
      <c r="N229" s="9">
        <f>'MF Measure Development'!BM104</f>
        <v>0</v>
      </c>
      <c r="O229" s="9">
        <f>'MF Measure Development'!BN104</f>
        <v>0</v>
      </c>
      <c r="P229" s="9">
        <f ca="1">'MF Measure Development'!BO104</f>
        <v>3.4285308519564062</v>
      </c>
      <c r="Q229" s="9" t="str">
        <f>'MF Measure Development'!BP104</f>
        <v>ResDRY</v>
      </c>
    </row>
    <row r="230" spans="1:17">
      <c r="A230" s="9" t="s">
        <v>161</v>
      </c>
      <c r="B230" s="9" t="str">
        <f>'MF Measure Development'!BA105</f>
        <v>CEE Tier 3 Clothes Washer - Gas DHW, Electric Dryer - 31% ENERGY STAR Baseline</v>
      </c>
      <c r="C230" s="9" t="str">
        <f>'MF Measure Development'!BB105</f>
        <v>Dryer Savings</v>
      </c>
      <c r="D230" s="9">
        <f ca="1">'MF Measure Development'!BC105</f>
        <v>89.692008809708824</v>
      </c>
      <c r="E230" s="9">
        <f>'MF Measure Development'!BD105</f>
        <v>14</v>
      </c>
      <c r="F230" s="9">
        <f>'MF Measure Development'!BE105</f>
        <v>0</v>
      </c>
      <c r="G230" s="9">
        <f>'MF Measure Development'!BF105</f>
        <v>0</v>
      </c>
      <c r="H230" s="9" t="str">
        <f>'MF Measure Development'!BG105</f>
        <v>ResDRY</v>
      </c>
      <c r="I230" s="9">
        <f>'MF Measure Development'!BH105</f>
        <v>0</v>
      </c>
      <c r="J230" s="9">
        <f>'MF Measure Development'!BI105</f>
        <v>0</v>
      </c>
      <c r="K230" s="9">
        <f>'MF Measure Development'!BJ105</f>
        <v>0</v>
      </c>
      <c r="L230" s="9">
        <f>'MF Measure Development'!BK105</f>
        <v>0</v>
      </c>
      <c r="M230" s="9">
        <f>'MF Measure Development'!BL105</f>
        <v>0</v>
      </c>
      <c r="N230" s="9">
        <f>'MF Measure Development'!BM105</f>
        <v>0</v>
      </c>
      <c r="O230" s="9">
        <f>'MF Measure Development'!BN105</f>
        <v>0</v>
      </c>
      <c r="P230" s="9">
        <f ca="1">'MF Measure Development'!BO105</f>
        <v>0</v>
      </c>
      <c r="Q230" s="9" t="str">
        <f>'MF Measure Development'!BP105</f>
        <v>ResDRY</v>
      </c>
    </row>
    <row r="231" spans="1:17">
      <c r="A231" s="9" t="s">
        <v>161</v>
      </c>
      <c r="B231" s="9" t="str">
        <f>'MF Measure Development'!BA106</f>
        <v>CEE Tier 3 Clothes Washer - Gas DHW, Gas Dryer - 31% ENERGY STAR Baseline</v>
      </c>
      <c r="C231" s="9" t="str">
        <f>'MF Measure Development'!BB106</f>
        <v>Dryer Savings</v>
      </c>
      <c r="D231" s="9">
        <f ca="1">'MF Measure Development'!BC106</f>
        <v>0</v>
      </c>
      <c r="E231" s="9">
        <f>'MF Measure Development'!BD106</f>
        <v>14</v>
      </c>
      <c r="F231" s="9">
        <f>'MF Measure Development'!BE106</f>
        <v>0</v>
      </c>
      <c r="G231" s="9">
        <f>'MF Measure Development'!BF106</f>
        <v>0</v>
      </c>
      <c r="H231" s="9" t="str">
        <f>'MF Measure Development'!BG106</f>
        <v>ResDRY</v>
      </c>
      <c r="I231" s="9">
        <f>'MF Measure Development'!BH106</f>
        <v>0</v>
      </c>
      <c r="J231" s="9">
        <f>'MF Measure Development'!BI106</f>
        <v>0</v>
      </c>
      <c r="K231" s="9">
        <f>'MF Measure Development'!BJ106</f>
        <v>0</v>
      </c>
      <c r="L231" s="9">
        <f>'MF Measure Development'!BK106</f>
        <v>0</v>
      </c>
      <c r="M231" s="9">
        <f>'MF Measure Development'!BL106</f>
        <v>0</v>
      </c>
      <c r="N231" s="9">
        <f>'MF Measure Development'!BM106</f>
        <v>0</v>
      </c>
      <c r="O231" s="9">
        <f>'MF Measure Development'!BN106</f>
        <v>0</v>
      </c>
      <c r="P231" s="9">
        <f ca="1">'MF Measure Development'!BO106</f>
        <v>3.4285308519564062</v>
      </c>
      <c r="Q231" s="9" t="str">
        <f>'MF Measure Development'!BP106</f>
        <v>ResDRY</v>
      </c>
    </row>
    <row r="232" spans="1:17">
      <c r="A232" s="9" t="s">
        <v>161</v>
      </c>
      <c r="B232" s="9" t="str">
        <f>'MF Measure Development'!BA107</f>
        <v>CEE Tier 3 Clothes Washer - Any DHW, Any Dryer - 31% ENERGY STAR Baseline</v>
      </c>
      <c r="C232" s="9" t="str">
        <f>'MF Measure Development'!BB107</f>
        <v>Dryer Savings</v>
      </c>
      <c r="D232" s="9">
        <f ca="1">'MF Measure Development'!BC107</f>
        <v>85.207408369223373</v>
      </c>
      <c r="E232" s="9">
        <f>'MF Measure Development'!BD107</f>
        <v>14</v>
      </c>
      <c r="F232" s="9">
        <f>'MF Measure Development'!BE107</f>
        <v>0</v>
      </c>
      <c r="G232" s="9">
        <f>'MF Measure Development'!BF107</f>
        <v>0</v>
      </c>
      <c r="H232" s="9" t="str">
        <f>'MF Measure Development'!BG107</f>
        <v>ResDRY</v>
      </c>
      <c r="I232" s="9">
        <f>'MF Measure Development'!BH107</f>
        <v>0</v>
      </c>
      <c r="J232" s="9">
        <f>'MF Measure Development'!BI107</f>
        <v>0</v>
      </c>
      <c r="K232" s="9">
        <f>'MF Measure Development'!BJ107</f>
        <v>0</v>
      </c>
      <c r="L232" s="9">
        <f>'MF Measure Development'!BK107</f>
        <v>0</v>
      </c>
      <c r="M232" s="9">
        <f>'MF Measure Development'!BL107</f>
        <v>0</v>
      </c>
      <c r="N232" s="9">
        <f>'MF Measure Development'!BM107</f>
        <v>0</v>
      </c>
      <c r="O232" s="9">
        <f>'MF Measure Development'!BN107</f>
        <v>0</v>
      </c>
      <c r="P232" s="9">
        <f ca="1">'MF Measure Development'!BO107</f>
        <v>0.17142654259782045</v>
      </c>
      <c r="Q232" s="9" t="str">
        <f>'MF Measure Development'!BP107</f>
        <v>ResDRY</v>
      </c>
    </row>
    <row r="233" spans="1:17">
      <c r="A233" s="9" t="s">
        <v>161</v>
      </c>
      <c r="B233" s="9" t="str">
        <f>'MF Measure Development'!BA108</f>
        <v>ENERGY STAR - Top-Load Clothes Washer - Electric DHW, Electric Dryer - 54% ENERGY STAR Baseline</v>
      </c>
      <c r="C233" s="9" t="str">
        <f>'MF Measure Development'!BB108</f>
        <v>Dryer Savings</v>
      </c>
      <c r="D233" s="9">
        <f ca="1">'MF Measure Development'!BC108</f>
        <v>11.328709871228909</v>
      </c>
      <c r="E233" s="9">
        <f>'MF Measure Development'!BD108</f>
        <v>14</v>
      </c>
      <c r="F233" s="9">
        <f>'MF Measure Development'!BE108</f>
        <v>0</v>
      </c>
      <c r="G233" s="9">
        <f>'MF Measure Development'!BF108</f>
        <v>0</v>
      </c>
      <c r="H233" s="9" t="str">
        <f>'MF Measure Development'!BG108</f>
        <v>ResDRY</v>
      </c>
      <c r="I233" s="9">
        <f>'MF Measure Development'!BH108</f>
        <v>0</v>
      </c>
      <c r="J233" s="9">
        <f>'MF Measure Development'!BI108</f>
        <v>0</v>
      </c>
      <c r="K233" s="9">
        <f>'MF Measure Development'!BJ108</f>
        <v>0</v>
      </c>
      <c r="L233" s="9">
        <f>'MF Measure Development'!BK108</f>
        <v>0</v>
      </c>
      <c r="M233" s="9">
        <f>'MF Measure Development'!BL108</f>
        <v>0</v>
      </c>
      <c r="N233" s="9">
        <f>'MF Measure Development'!BM108</f>
        <v>0</v>
      </c>
      <c r="O233" s="9">
        <f>'MF Measure Development'!BN108</f>
        <v>0</v>
      </c>
      <c r="P233" s="9">
        <f ca="1">'MF Measure Development'!BO108</f>
        <v>0</v>
      </c>
      <c r="Q233" s="9" t="str">
        <f>'MF Measure Development'!BP108</f>
        <v>ResDRY</v>
      </c>
    </row>
    <row r="234" spans="1:17">
      <c r="A234" s="9" t="s">
        <v>161</v>
      </c>
      <c r="B234" s="9" t="str">
        <f>'MF Measure Development'!BA109</f>
        <v>ENERGY STAR - Top-Load Clothes Washer - Electric DHW, Gas Dryer - 54% ENERGY STAR Baseline</v>
      </c>
      <c r="C234" s="9" t="str">
        <f>'MF Measure Development'!BB109</f>
        <v>Dryer Savings</v>
      </c>
      <c r="D234" s="9">
        <f ca="1">'MF Measure Development'!BC109</f>
        <v>0</v>
      </c>
      <c r="E234" s="9">
        <f>'MF Measure Development'!BD109</f>
        <v>14</v>
      </c>
      <c r="F234" s="9">
        <f>'MF Measure Development'!BE109</f>
        <v>0</v>
      </c>
      <c r="G234" s="9">
        <f>'MF Measure Development'!BF109</f>
        <v>0</v>
      </c>
      <c r="H234" s="9" t="str">
        <f>'MF Measure Development'!BG109</f>
        <v>ResDRY</v>
      </c>
      <c r="I234" s="9">
        <f>'MF Measure Development'!BH109</f>
        <v>0</v>
      </c>
      <c r="J234" s="9">
        <f>'MF Measure Development'!BI109</f>
        <v>0</v>
      </c>
      <c r="K234" s="9">
        <f>'MF Measure Development'!BJ109</f>
        <v>0</v>
      </c>
      <c r="L234" s="9">
        <f>'MF Measure Development'!BK109</f>
        <v>0</v>
      </c>
      <c r="M234" s="9">
        <f>'MF Measure Development'!BL109</f>
        <v>0</v>
      </c>
      <c r="N234" s="9">
        <f>'MF Measure Development'!BM109</f>
        <v>0</v>
      </c>
      <c r="O234" s="9">
        <f>'MF Measure Development'!BN109</f>
        <v>0</v>
      </c>
      <c r="P234" s="9">
        <f ca="1">'MF Measure Development'!BO109</f>
        <v>0.43304673205364885</v>
      </c>
      <c r="Q234" s="9" t="str">
        <f>'MF Measure Development'!BP109</f>
        <v>ResDRY</v>
      </c>
    </row>
    <row r="235" spans="1:17">
      <c r="A235" s="9" t="s">
        <v>161</v>
      </c>
      <c r="B235" s="9" t="str">
        <f>'MF Measure Development'!BA110</f>
        <v>ENERGY STAR - Top-Load Clothes Washer - Gas DHW, Electric Dryer - 54% ENERGY STAR Baseline</v>
      </c>
      <c r="C235" s="9" t="str">
        <f>'MF Measure Development'!BB110</f>
        <v>Dryer Savings</v>
      </c>
      <c r="D235" s="9">
        <f ca="1">'MF Measure Development'!BC110</f>
        <v>11.328709871228909</v>
      </c>
      <c r="E235" s="9">
        <f>'MF Measure Development'!BD110</f>
        <v>14</v>
      </c>
      <c r="F235" s="9">
        <f>'MF Measure Development'!BE110</f>
        <v>0</v>
      </c>
      <c r="G235" s="9">
        <f>'MF Measure Development'!BF110</f>
        <v>0</v>
      </c>
      <c r="H235" s="9" t="str">
        <f>'MF Measure Development'!BG110</f>
        <v>ResDRY</v>
      </c>
      <c r="I235" s="9">
        <f>'MF Measure Development'!BH110</f>
        <v>0</v>
      </c>
      <c r="J235" s="9">
        <f>'MF Measure Development'!BI110</f>
        <v>0</v>
      </c>
      <c r="K235" s="9">
        <f>'MF Measure Development'!BJ110</f>
        <v>0</v>
      </c>
      <c r="L235" s="9">
        <f>'MF Measure Development'!BK110</f>
        <v>0</v>
      </c>
      <c r="M235" s="9">
        <f>'MF Measure Development'!BL110</f>
        <v>0</v>
      </c>
      <c r="N235" s="9">
        <f>'MF Measure Development'!BM110</f>
        <v>0</v>
      </c>
      <c r="O235" s="9">
        <f>'MF Measure Development'!BN110</f>
        <v>0</v>
      </c>
      <c r="P235" s="9">
        <f ca="1">'MF Measure Development'!BO110</f>
        <v>0</v>
      </c>
      <c r="Q235" s="9" t="str">
        <f>'MF Measure Development'!BP110</f>
        <v>ResDRY</v>
      </c>
    </row>
    <row r="236" spans="1:17">
      <c r="A236" s="9" t="s">
        <v>161</v>
      </c>
      <c r="B236" s="9" t="str">
        <f>'MF Measure Development'!BA111</f>
        <v>ENERGY STAR - Top-Load Clothes Washer - Gas DHW, Gas Dryer - 54% ENERGY STAR Baseline</v>
      </c>
      <c r="C236" s="9" t="str">
        <f>'MF Measure Development'!BB111</f>
        <v>Dryer Savings</v>
      </c>
      <c r="D236" s="9">
        <f ca="1">'MF Measure Development'!BC111</f>
        <v>0</v>
      </c>
      <c r="E236" s="9">
        <f>'MF Measure Development'!BD111</f>
        <v>14</v>
      </c>
      <c r="F236" s="9">
        <f>'MF Measure Development'!BE111</f>
        <v>0</v>
      </c>
      <c r="G236" s="9">
        <f>'MF Measure Development'!BF111</f>
        <v>0</v>
      </c>
      <c r="H236" s="9" t="str">
        <f>'MF Measure Development'!BG111</f>
        <v>ResDRY</v>
      </c>
      <c r="I236" s="9">
        <f>'MF Measure Development'!BH111</f>
        <v>0</v>
      </c>
      <c r="J236" s="9">
        <f>'MF Measure Development'!BI111</f>
        <v>0</v>
      </c>
      <c r="K236" s="9">
        <f>'MF Measure Development'!BJ111</f>
        <v>0</v>
      </c>
      <c r="L236" s="9">
        <f>'MF Measure Development'!BK111</f>
        <v>0</v>
      </c>
      <c r="M236" s="9">
        <f>'MF Measure Development'!BL111</f>
        <v>0</v>
      </c>
      <c r="N236" s="9">
        <f>'MF Measure Development'!BM111</f>
        <v>0</v>
      </c>
      <c r="O236" s="9">
        <f>'MF Measure Development'!BN111</f>
        <v>0</v>
      </c>
      <c r="P236" s="9">
        <f ca="1">'MF Measure Development'!BO111</f>
        <v>0.43304673205364885</v>
      </c>
      <c r="Q236" s="9" t="str">
        <f>'MF Measure Development'!BP111</f>
        <v>ResDRY</v>
      </c>
    </row>
    <row r="237" spans="1:17">
      <c r="A237" s="9" t="s">
        <v>161</v>
      </c>
      <c r="B237" s="9" t="str">
        <f>'MF Measure Development'!BA112</f>
        <v>ENERGY STAR - Top-Load Clothes Washer - Any DHW, Any Dryer - 54% ENERGY STAR Baseline</v>
      </c>
      <c r="C237" s="9" t="str">
        <f>'MF Measure Development'!BB112</f>
        <v>Dryer Savings</v>
      </c>
      <c r="D237" s="9">
        <f ca="1">'MF Measure Development'!BC112</f>
        <v>10.762274377667463</v>
      </c>
      <c r="E237" s="9">
        <f>'MF Measure Development'!BD112</f>
        <v>14</v>
      </c>
      <c r="F237" s="9">
        <f>'MF Measure Development'!BE112</f>
        <v>0</v>
      </c>
      <c r="G237" s="9">
        <f>'MF Measure Development'!BF112</f>
        <v>0</v>
      </c>
      <c r="H237" s="9" t="str">
        <f>'MF Measure Development'!BG112</f>
        <v>ResDRY</v>
      </c>
      <c r="I237" s="9">
        <f>'MF Measure Development'!BH112</f>
        <v>0</v>
      </c>
      <c r="J237" s="9">
        <f>'MF Measure Development'!BI112</f>
        <v>0</v>
      </c>
      <c r="K237" s="9">
        <f>'MF Measure Development'!BJ112</f>
        <v>0</v>
      </c>
      <c r="L237" s="9">
        <f>'MF Measure Development'!BK112</f>
        <v>0</v>
      </c>
      <c r="M237" s="9">
        <f>'MF Measure Development'!BL112</f>
        <v>0</v>
      </c>
      <c r="N237" s="9">
        <f>'MF Measure Development'!BM112</f>
        <v>0</v>
      </c>
      <c r="O237" s="9">
        <f>'MF Measure Development'!BN112</f>
        <v>0</v>
      </c>
      <c r="P237" s="9">
        <f ca="1">'MF Measure Development'!BO112</f>
        <v>2.1652336602682461E-2</v>
      </c>
      <c r="Q237" s="9" t="str">
        <f>'MF Measure Development'!BP112</f>
        <v>ResDRY</v>
      </c>
    </row>
    <row r="238" spans="1:17">
      <c r="A238" s="9" t="s">
        <v>161</v>
      </c>
      <c r="B238" s="9" t="str">
        <f>'MF Measure Development'!BA113</f>
        <v>ENERGY STAR - Front-Load Clothes Washer - Electric DHW, Electric Dryer - 54% ENERGY STAR Baseline</v>
      </c>
      <c r="C238" s="9" t="str">
        <f>'MF Measure Development'!BB113</f>
        <v>Dryer Savings</v>
      </c>
      <c r="D238" s="9">
        <f ca="1">'MF Measure Development'!BC113</f>
        <v>45.424986716616388</v>
      </c>
      <c r="E238" s="9">
        <f>'MF Measure Development'!BD113</f>
        <v>14</v>
      </c>
      <c r="F238" s="9">
        <f>'MF Measure Development'!BE113</f>
        <v>0</v>
      </c>
      <c r="G238" s="9">
        <f>'MF Measure Development'!BF113</f>
        <v>0</v>
      </c>
      <c r="H238" s="9" t="str">
        <f>'MF Measure Development'!BG113</f>
        <v>ResDRY</v>
      </c>
      <c r="I238" s="9">
        <f>'MF Measure Development'!BH113</f>
        <v>0</v>
      </c>
      <c r="J238" s="9">
        <f>'MF Measure Development'!BI113</f>
        <v>0</v>
      </c>
      <c r="K238" s="9">
        <f>'MF Measure Development'!BJ113</f>
        <v>0</v>
      </c>
      <c r="L238" s="9">
        <f>'MF Measure Development'!BK113</f>
        <v>0</v>
      </c>
      <c r="M238" s="9">
        <f>'MF Measure Development'!BL113</f>
        <v>0</v>
      </c>
      <c r="N238" s="9">
        <f>'MF Measure Development'!BM113</f>
        <v>0</v>
      </c>
      <c r="O238" s="9">
        <f>'MF Measure Development'!BN113</f>
        <v>0</v>
      </c>
      <c r="P238" s="9">
        <f ca="1">'MF Measure Development'!BO113</f>
        <v>0</v>
      </c>
      <c r="Q238" s="9" t="str">
        <f>'MF Measure Development'!BP113</f>
        <v>ResDRY</v>
      </c>
    </row>
    <row r="239" spans="1:17">
      <c r="A239" s="9" t="s">
        <v>161</v>
      </c>
      <c r="B239" s="9" t="str">
        <f>'MF Measure Development'!BA114</f>
        <v>ENERGY STAR - Front-Load Clothes Washer - Electric DHW, Gas Dryer - 54% ENERGY STAR Baseline</v>
      </c>
      <c r="C239" s="9" t="str">
        <f>'MF Measure Development'!BB114</f>
        <v>Dryer Savings</v>
      </c>
      <c r="D239" s="9">
        <f ca="1">'MF Measure Development'!BC114</f>
        <v>0</v>
      </c>
      <c r="E239" s="9">
        <f>'MF Measure Development'!BD114</f>
        <v>14</v>
      </c>
      <c r="F239" s="9">
        <f>'MF Measure Development'!BE114</f>
        <v>0</v>
      </c>
      <c r="G239" s="9">
        <f>'MF Measure Development'!BF114</f>
        <v>0</v>
      </c>
      <c r="H239" s="9" t="str">
        <f>'MF Measure Development'!BG114</f>
        <v>ResDRY</v>
      </c>
      <c r="I239" s="9">
        <f>'MF Measure Development'!BH114</f>
        <v>0</v>
      </c>
      <c r="J239" s="9">
        <f>'MF Measure Development'!BI114</f>
        <v>0</v>
      </c>
      <c r="K239" s="9">
        <f>'MF Measure Development'!BJ114</f>
        <v>0</v>
      </c>
      <c r="L239" s="9">
        <f>'MF Measure Development'!BK114</f>
        <v>0</v>
      </c>
      <c r="M239" s="9">
        <f>'MF Measure Development'!BL114</f>
        <v>0</v>
      </c>
      <c r="N239" s="9">
        <f>'MF Measure Development'!BM114</f>
        <v>0</v>
      </c>
      <c r="O239" s="9">
        <f>'MF Measure Development'!BN114</f>
        <v>0</v>
      </c>
      <c r="P239" s="9">
        <f ca="1">'MF Measure Development'!BO114</f>
        <v>1.7363973722346913</v>
      </c>
      <c r="Q239" s="9" t="str">
        <f>'MF Measure Development'!BP114</f>
        <v>ResDRY</v>
      </c>
    </row>
    <row r="240" spans="1:17">
      <c r="A240" s="9" t="s">
        <v>161</v>
      </c>
      <c r="B240" s="9" t="str">
        <f>'MF Measure Development'!BA115</f>
        <v>ENERGY STAR - Front-Load Clothes Washer - Gas DHW, Electric Dryer - 54% ENERGY STAR Baseline</v>
      </c>
      <c r="C240" s="9" t="str">
        <f>'MF Measure Development'!BB115</f>
        <v>Dryer Savings</v>
      </c>
      <c r="D240" s="9">
        <f ca="1">'MF Measure Development'!BC115</f>
        <v>45.424986716616388</v>
      </c>
      <c r="E240" s="9">
        <f>'MF Measure Development'!BD115</f>
        <v>14</v>
      </c>
      <c r="F240" s="9">
        <f>'MF Measure Development'!BE115</f>
        <v>0</v>
      </c>
      <c r="G240" s="9">
        <f>'MF Measure Development'!BF115</f>
        <v>0</v>
      </c>
      <c r="H240" s="9" t="str">
        <f>'MF Measure Development'!BG115</f>
        <v>ResDRY</v>
      </c>
      <c r="I240" s="9">
        <f>'MF Measure Development'!BH115</f>
        <v>0</v>
      </c>
      <c r="J240" s="9">
        <f>'MF Measure Development'!BI115</f>
        <v>0</v>
      </c>
      <c r="K240" s="9">
        <f>'MF Measure Development'!BJ115</f>
        <v>0</v>
      </c>
      <c r="L240" s="9">
        <f>'MF Measure Development'!BK115</f>
        <v>0</v>
      </c>
      <c r="M240" s="9">
        <f>'MF Measure Development'!BL115</f>
        <v>0</v>
      </c>
      <c r="N240" s="9">
        <f>'MF Measure Development'!BM115</f>
        <v>0</v>
      </c>
      <c r="O240" s="9">
        <f>'MF Measure Development'!BN115</f>
        <v>0</v>
      </c>
      <c r="P240" s="9">
        <f ca="1">'MF Measure Development'!BO115</f>
        <v>0</v>
      </c>
      <c r="Q240" s="9" t="str">
        <f>'MF Measure Development'!BP115</f>
        <v>ResDRY</v>
      </c>
    </row>
    <row r="241" spans="1:17">
      <c r="A241" s="9" t="s">
        <v>161</v>
      </c>
      <c r="B241" s="9" t="str">
        <f>'MF Measure Development'!BA116</f>
        <v>ENERGY STAR - Front-Load Clothes Washer - Gas DHW, Gas Dryer - 54% ENERGY STAR Baseline</v>
      </c>
      <c r="C241" s="9" t="str">
        <f>'MF Measure Development'!BB116</f>
        <v>Dryer Savings</v>
      </c>
      <c r="D241" s="9">
        <f ca="1">'MF Measure Development'!BC116</f>
        <v>0</v>
      </c>
      <c r="E241" s="9">
        <f>'MF Measure Development'!BD116</f>
        <v>14</v>
      </c>
      <c r="F241" s="9">
        <f>'MF Measure Development'!BE116</f>
        <v>0</v>
      </c>
      <c r="G241" s="9">
        <f>'MF Measure Development'!BF116</f>
        <v>0</v>
      </c>
      <c r="H241" s="9" t="str">
        <f>'MF Measure Development'!BG116</f>
        <v>ResDRY</v>
      </c>
      <c r="I241" s="9">
        <f>'MF Measure Development'!BH116</f>
        <v>0</v>
      </c>
      <c r="J241" s="9">
        <f>'MF Measure Development'!BI116</f>
        <v>0</v>
      </c>
      <c r="K241" s="9">
        <f>'MF Measure Development'!BJ116</f>
        <v>0</v>
      </c>
      <c r="L241" s="9">
        <f>'MF Measure Development'!BK116</f>
        <v>0</v>
      </c>
      <c r="M241" s="9">
        <f>'MF Measure Development'!BL116</f>
        <v>0</v>
      </c>
      <c r="N241" s="9">
        <f>'MF Measure Development'!BM116</f>
        <v>0</v>
      </c>
      <c r="O241" s="9">
        <f>'MF Measure Development'!BN116</f>
        <v>0</v>
      </c>
      <c r="P241" s="9">
        <f ca="1">'MF Measure Development'!BO116</f>
        <v>1.7363973722346913</v>
      </c>
      <c r="Q241" s="9" t="str">
        <f>'MF Measure Development'!BP116</f>
        <v>ResDRY</v>
      </c>
    </row>
    <row r="242" spans="1:17">
      <c r="A242" s="9" t="s">
        <v>161</v>
      </c>
      <c r="B242" s="9" t="str">
        <f>'MF Measure Development'!BA117</f>
        <v>ENERGY STAR - Front-Load Clothes Washer - Any DHW, Any Dryer - 54% ENERGY STAR Baseline</v>
      </c>
      <c r="C242" s="9" t="str">
        <f>'MF Measure Development'!BB117</f>
        <v>Dryer Savings</v>
      </c>
      <c r="D242" s="9">
        <f ca="1">'MF Measure Development'!BC117</f>
        <v>43.153737380785564</v>
      </c>
      <c r="E242" s="9">
        <f>'MF Measure Development'!BD117</f>
        <v>14</v>
      </c>
      <c r="F242" s="9">
        <f>'MF Measure Development'!BE117</f>
        <v>0</v>
      </c>
      <c r="G242" s="9">
        <f>'MF Measure Development'!BF117</f>
        <v>0</v>
      </c>
      <c r="H242" s="9" t="str">
        <f>'MF Measure Development'!BG117</f>
        <v>ResDRY</v>
      </c>
      <c r="I242" s="9">
        <f>'MF Measure Development'!BH117</f>
        <v>0</v>
      </c>
      <c r="J242" s="9">
        <f>'MF Measure Development'!BI117</f>
        <v>0</v>
      </c>
      <c r="K242" s="9">
        <f>'MF Measure Development'!BJ117</f>
        <v>0</v>
      </c>
      <c r="L242" s="9">
        <f>'MF Measure Development'!BK117</f>
        <v>0</v>
      </c>
      <c r="M242" s="9">
        <f>'MF Measure Development'!BL117</f>
        <v>0</v>
      </c>
      <c r="N242" s="9">
        <f>'MF Measure Development'!BM117</f>
        <v>0</v>
      </c>
      <c r="O242" s="9">
        <f>'MF Measure Development'!BN117</f>
        <v>0</v>
      </c>
      <c r="P242" s="9">
        <f ca="1">'MF Measure Development'!BO117</f>
        <v>8.6819868611734644E-2</v>
      </c>
      <c r="Q242" s="9" t="str">
        <f>'MF Measure Development'!BP117</f>
        <v>ResDRY</v>
      </c>
    </row>
    <row r="243" spans="1:17">
      <c r="A243" s="9" t="s">
        <v>161</v>
      </c>
      <c r="B243" s="9" t="str">
        <f>'MF Measure Development'!BA123</f>
        <v>CEE Tier 1 Clothes Washer - Electric DHW, Electric Dryer - 54% ENERGY STAR Baseline</v>
      </c>
      <c r="C243" s="9" t="str">
        <f>'MF Measure Development'!BB123</f>
        <v>Dryer Savings</v>
      </c>
      <c r="D243" s="9">
        <f ca="1">'MF Measure Development'!BC123</f>
        <v>35.384136751251333</v>
      </c>
      <c r="E243" s="9">
        <f>'MF Measure Development'!BD123</f>
        <v>14</v>
      </c>
      <c r="F243" s="9">
        <f>'MF Measure Development'!BE123</f>
        <v>0</v>
      </c>
      <c r="G243" s="9">
        <f>'MF Measure Development'!BF123</f>
        <v>0</v>
      </c>
      <c r="H243" s="9" t="str">
        <f>'MF Measure Development'!BG123</f>
        <v>ResDRY</v>
      </c>
      <c r="I243" s="9">
        <f>'MF Measure Development'!BH123</f>
        <v>0</v>
      </c>
      <c r="J243" s="9">
        <f>'MF Measure Development'!BI123</f>
        <v>0</v>
      </c>
      <c r="K243" s="9">
        <f>'MF Measure Development'!BJ123</f>
        <v>0</v>
      </c>
      <c r="L243" s="9">
        <f>'MF Measure Development'!BK123</f>
        <v>0</v>
      </c>
      <c r="M243" s="9">
        <f>'MF Measure Development'!BL123</f>
        <v>0</v>
      </c>
      <c r="N243" s="9">
        <f>'MF Measure Development'!BM123</f>
        <v>0</v>
      </c>
      <c r="O243" s="9">
        <f>'MF Measure Development'!BN123</f>
        <v>0</v>
      </c>
      <c r="P243" s="9">
        <f ca="1">'MF Measure Development'!BO123</f>
        <v>0</v>
      </c>
      <c r="Q243" s="9" t="str">
        <f>'MF Measure Development'!BP123</f>
        <v>ResDRY</v>
      </c>
    </row>
    <row r="244" spans="1:17">
      <c r="A244" s="9" t="s">
        <v>161</v>
      </c>
      <c r="B244" s="9" t="str">
        <f>'MF Measure Development'!BA124</f>
        <v>CEE Tier 1 Clothes Washer - Electric DHW, Gas Dryer - 54% ENERGY STAR Baseline</v>
      </c>
      <c r="C244" s="9" t="str">
        <f>'MF Measure Development'!BB124</f>
        <v>Dryer Savings</v>
      </c>
      <c r="D244" s="9">
        <f ca="1">'MF Measure Development'!BC124</f>
        <v>0</v>
      </c>
      <c r="E244" s="9">
        <f>'MF Measure Development'!BD124</f>
        <v>14</v>
      </c>
      <c r="F244" s="9">
        <f>'MF Measure Development'!BE124</f>
        <v>0</v>
      </c>
      <c r="G244" s="9">
        <f>'MF Measure Development'!BF124</f>
        <v>0</v>
      </c>
      <c r="H244" s="9" t="str">
        <f>'MF Measure Development'!BG124</f>
        <v>ResDRY</v>
      </c>
      <c r="I244" s="9">
        <f>'MF Measure Development'!BH124</f>
        <v>0</v>
      </c>
      <c r="J244" s="9">
        <f>'MF Measure Development'!BI124</f>
        <v>0</v>
      </c>
      <c r="K244" s="9">
        <f>'MF Measure Development'!BJ124</f>
        <v>0</v>
      </c>
      <c r="L244" s="9">
        <f>'MF Measure Development'!BK124</f>
        <v>0</v>
      </c>
      <c r="M244" s="9">
        <f>'MF Measure Development'!BL124</f>
        <v>0</v>
      </c>
      <c r="N244" s="9">
        <f>'MF Measure Development'!BM124</f>
        <v>0</v>
      </c>
      <c r="O244" s="9">
        <f>'MF Measure Development'!BN124</f>
        <v>0</v>
      </c>
      <c r="P244" s="9">
        <f ca="1">'MF Measure Development'!BO124</f>
        <v>1.3525798577986343</v>
      </c>
      <c r="Q244" s="9" t="str">
        <f>'MF Measure Development'!BP124</f>
        <v>ResDRY</v>
      </c>
    </row>
    <row r="245" spans="1:17">
      <c r="A245" s="9" t="s">
        <v>161</v>
      </c>
      <c r="B245" s="9" t="str">
        <f>'MF Measure Development'!BA125</f>
        <v>CEE Tier 1 Clothes Washer - Gas DHW, Electric Dryer - 54% ENERGY STAR Baseline</v>
      </c>
      <c r="C245" s="9" t="str">
        <f>'MF Measure Development'!BB125</f>
        <v>Dryer Savings</v>
      </c>
      <c r="D245" s="9">
        <f ca="1">'MF Measure Development'!BC125</f>
        <v>35.384136751251333</v>
      </c>
      <c r="E245" s="9">
        <f>'MF Measure Development'!BD125</f>
        <v>14</v>
      </c>
      <c r="F245" s="9">
        <f>'MF Measure Development'!BE125</f>
        <v>0</v>
      </c>
      <c r="G245" s="9">
        <f>'MF Measure Development'!BF125</f>
        <v>0</v>
      </c>
      <c r="H245" s="9" t="str">
        <f>'MF Measure Development'!BG125</f>
        <v>ResDRY</v>
      </c>
      <c r="I245" s="9">
        <f>'MF Measure Development'!BH125</f>
        <v>0</v>
      </c>
      <c r="J245" s="9">
        <f>'MF Measure Development'!BI125</f>
        <v>0</v>
      </c>
      <c r="K245" s="9">
        <f>'MF Measure Development'!BJ125</f>
        <v>0</v>
      </c>
      <c r="L245" s="9">
        <f>'MF Measure Development'!BK125</f>
        <v>0</v>
      </c>
      <c r="M245" s="9">
        <f>'MF Measure Development'!BL125</f>
        <v>0</v>
      </c>
      <c r="N245" s="9">
        <f>'MF Measure Development'!BM125</f>
        <v>0</v>
      </c>
      <c r="O245" s="9">
        <f>'MF Measure Development'!BN125</f>
        <v>0</v>
      </c>
      <c r="P245" s="9">
        <f ca="1">'MF Measure Development'!BO125</f>
        <v>0</v>
      </c>
      <c r="Q245" s="9" t="str">
        <f>'MF Measure Development'!BP125</f>
        <v>ResDRY</v>
      </c>
    </row>
    <row r="246" spans="1:17">
      <c r="A246" s="9" t="s">
        <v>161</v>
      </c>
      <c r="B246" s="9" t="str">
        <f>'MF Measure Development'!BA126</f>
        <v>CEE Tier 1 Clothes Washer - Gas DHW, Gas Dryer - 54% ENERGY STAR Baseline</v>
      </c>
      <c r="C246" s="9" t="str">
        <f>'MF Measure Development'!BB126</f>
        <v>Dryer Savings</v>
      </c>
      <c r="D246" s="9">
        <f ca="1">'MF Measure Development'!BC126</f>
        <v>0</v>
      </c>
      <c r="E246" s="9">
        <f>'MF Measure Development'!BD126</f>
        <v>14</v>
      </c>
      <c r="F246" s="9">
        <f>'MF Measure Development'!BE126</f>
        <v>0</v>
      </c>
      <c r="G246" s="9">
        <f>'MF Measure Development'!BF126</f>
        <v>0</v>
      </c>
      <c r="H246" s="9" t="str">
        <f>'MF Measure Development'!BG126</f>
        <v>ResDRY</v>
      </c>
      <c r="I246" s="9">
        <f>'MF Measure Development'!BH126</f>
        <v>0</v>
      </c>
      <c r="J246" s="9">
        <f>'MF Measure Development'!BI126</f>
        <v>0</v>
      </c>
      <c r="K246" s="9">
        <f>'MF Measure Development'!BJ126</f>
        <v>0</v>
      </c>
      <c r="L246" s="9">
        <f>'MF Measure Development'!BK126</f>
        <v>0</v>
      </c>
      <c r="M246" s="9">
        <f>'MF Measure Development'!BL126</f>
        <v>0</v>
      </c>
      <c r="N246" s="9">
        <f>'MF Measure Development'!BM126</f>
        <v>0</v>
      </c>
      <c r="O246" s="9">
        <f>'MF Measure Development'!BN126</f>
        <v>0</v>
      </c>
      <c r="P246" s="9">
        <f ca="1">'MF Measure Development'!BO126</f>
        <v>1.3525798577986343</v>
      </c>
      <c r="Q246" s="9" t="str">
        <f>'MF Measure Development'!BP126</f>
        <v>ResDRY</v>
      </c>
    </row>
    <row r="247" spans="1:17">
      <c r="A247" s="9" t="s">
        <v>161</v>
      </c>
      <c r="B247" s="9" t="str">
        <f>'MF Measure Development'!BA127</f>
        <v>CEE Tier 1 Clothes Washer - Any DHW, Any Dryer - 54% ENERGY STAR Baseline</v>
      </c>
      <c r="C247" s="9" t="str">
        <f>'MF Measure Development'!BB127</f>
        <v>Dryer Savings</v>
      </c>
      <c r="D247" s="9">
        <f ca="1">'MF Measure Development'!BC127</f>
        <v>33.614929913688762</v>
      </c>
      <c r="E247" s="9">
        <f>'MF Measure Development'!BD127</f>
        <v>14</v>
      </c>
      <c r="F247" s="9">
        <f>'MF Measure Development'!BE127</f>
        <v>0</v>
      </c>
      <c r="G247" s="9">
        <f>'MF Measure Development'!BF127</f>
        <v>0</v>
      </c>
      <c r="H247" s="9" t="str">
        <f>'MF Measure Development'!BG127</f>
        <v>ResDRY</v>
      </c>
      <c r="I247" s="9">
        <f>'MF Measure Development'!BH127</f>
        <v>0</v>
      </c>
      <c r="J247" s="9">
        <f>'MF Measure Development'!BI127</f>
        <v>0</v>
      </c>
      <c r="K247" s="9">
        <f>'MF Measure Development'!BJ127</f>
        <v>0</v>
      </c>
      <c r="L247" s="9">
        <f>'MF Measure Development'!BK127</f>
        <v>0</v>
      </c>
      <c r="M247" s="9">
        <f>'MF Measure Development'!BL127</f>
        <v>0</v>
      </c>
      <c r="N247" s="9">
        <f>'MF Measure Development'!BM127</f>
        <v>0</v>
      </c>
      <c r="O247" s="9">
        <f>'MF Measure Development'!BN127</f>
        <v>0</v>
      </c>
      <c r="P247" s="9">
        <f ca="1">'MF Measure Development'!BO127</f>
        <v>6.762899288993178E-2</v>
      </c>
      <c r="Q247" s="9" t="str">
        <f>'MF Measure Development'!BP127</f>
        <v>ResDRY</v>
      </c>
    </row>
    <row r="248" spans="1:17">
      <c r="A248" s="9" t="s">
        <v>161</v>
      </c>
      <c r="B248" s="9" t="str">
        <f>'MF Measure Development'!BA128</f>
        <v>CEE Tier 2 Clothes Washer - Electric DHW, Electric Dryer - 54% ENERGY STAR Baseline</v>
      </c>
      <c r="C248" s="9" t="str">
        <f>'MF Measure Development'!BB128</f>
        <v>Dryer Savings</v>
      </c>
      <c r="D248" s="9">
        <f ca="1">'MF Measure Development'!BC128</f>
        <v>57.011580426455907</v>
      </c>
      <c r="E248" s="9">
        <f>'MF Measure Development'!BD128</f>
        <v>14</v>
      </c>
      <c r="F248" s="9">
        <f>'MF Measure Development'!BE128</f>
        <v>0</v>
      </c>
      <c r="G248" s="9">
        <f>'MF Measure Development'!BF128</f>
        <v>0</v>
      </c>
      <c r="H248" s="9" t="str">
        <f>'MF Measure Development'!BG128</f>
        <v>ResDRY</v>
      </c>
      <c r="I248" s="9">
        <f>'MF Measure Development'!BH128</f>
        <v>0</v>
      </c>
      <c r="J248" s="9">
        <f>'MF Measure Development'!BI128</f>
        <v>0</v>
      </c>
      <c r="K248" s="9">
        <f>'MF Measure Development'!BJ128</f>
        <v>0</v>
      </c>
      <c r="L248" s="9">
        <f>'MF Measure Development'!BK128</f>
        <v>0</v>
      </c>
      <c r="M248" s="9">
        <f>'MF Measure Development'!BL128</f>
        <v>0</v>
      </c>
      <c r="N248" s="9">
        <f>'MF Measure Development'!BM128</f>
        <v>0</v>
      </c>
      <c r="O248" s="9">
        <f>'MF Measure Development'!BN128</f>
        <v>0</v>
      </c>
      <c r="P248" s="9">
        <f ca="1">'MF Measure Development'!BO128</f>
        <v>0</v>
      </c>
      <c r="Q248" s="9" t="str">
        <f>'MF Measure Development'!BP128</f>
        <v>ResDRY</v>
      </c>
    </row>
    <row r="249" spans="1:17">
      <c r="A249" s="9" t="s">
        <v>161</v>
      </c>
      <c r="B249" s="9" t="str">
        <f>'MF Measure Development'!BA129</f>
        <v>CEE Tier 2 Clothes Washer - Electric DHW, Gas Dryer - 54% ENERGY STAR Baseline</v>
      </c>
      <c r="C249" s="9" t="str">
        <f>'MF Measure Development'!BB129</f>
        <v>Dryer Savings</v>
      </c>
      <c r="D249" s="9">
        <f ca="1">'MF Measure Development'!BC129</f>
        <v>0</v>
      </c>
      <c r="E249" s="9">
        <f>'MF Measure Development'!BD129</f>
        <v>14</v>
      </c>
      <c r="F249" s="9">
        <f>'MF Measure Development'!BE129</f>
        <v>0</v>
      </c>
      <c r="G249" s="9">
        <f>'MF Measure Development'!BF129</f>
        <v>0</v>
      </c>
      <c r="H249" s="9" t="str">
        <f>'MF Measure Development'!BG129</f>
        <v>ResDRY</v>
      </c>
      <c r="I249" s="9">
        <f>'MF Measure Development'!BH129</f>
        <v>0</v>
      </c>
      <c r="J249" s="9">
        <f>'MF Measure Development'!BI129</f>
        <v>0</v>
      </c>
      <c r="K249" s="9">
        <f>'MF Measure Development'!BJ129</f>
        <v>0</v>
      </c>
      <c r="L249" s="9">
        <f>'MF Measure Development'!BK129</f>
        <v>0</v>
      </c>
      <c r="M249" s="9">
        <f>'MF Measure Development'!BL129</f>
        <v>0</v>
      </c>
      <c r="N249" s="9">
        <f>'MF Measure Development'!BM129</f>
        <v>0</v>
      </c>
      <c r="O249" s="9">
        <f>'MF Measure Development'!BN129</f>
        <v>0</v>
      </c>
      <c r="P249" s="9">
        <f ca="1">'MF Measure Development'!BO129</f>
        <v>2.1793018687495334</v>
      </c>
      <c r="Q249" s="9" t="str">
        <f>'MF Measure Development'!BP129</f>
        <v>ResDRY</v>
      </c>
    </row>
    <row r="250" spans="1:17">
      <c r="A250" s="9" t="s">
        <v>161</v>
      </c>
      <c r="B250" s="9" t="str">
        <f>'MF Measure Development'!BA130</f>
        <v>CEE Tier 2 Clothes Washer - Gas DHW, Electric Dryer - 54% ENERGY STAR Baseline</v>
      </c>
      <c r="C250" s="9" t="str">
        <f>'MF Measure Development'!BB130</f>
        <v>Dryer Savings</v>
      </c>
      <c r="D250" s="9">
        <f ca="1">'MF Measure Development'!BC130</f>
        <v>57.011580426455907</v>
      </c>
      <c r="E250" s="9">
        <f>'MF Measure Development'!BD130</f>
        <v>14</v>
      </c>
      <c r="F250" s="9">
        <f>'MF Measure Development'!BE130</f>
        <v>0</v>
      </c>
      <c r="G250" s="9">
        <f>'MF Measure Development'!BF130</f>
        <v>0</v>
      </c>
      <c r="H250" s="9" t="str">
        <f>'MF Measure Development'!BG130</f>
        <v>ResDRY</v>
      </c>
      <c r="I250" s="9">
        <f>'MF Measure Development'!BH130</f>
        <v>0</v>
      </c>
      <c r="J250" s="9">
        <f>'MF Measure Development'!BI130</f>
        <v>0</v>
      </c>
      <c r="K250" s="9">
        <f>'MF Measure Development'!BJ130</f>
        <v>0</v>
      </c>
      <c r="L250" s="9">
        <f>'MF Measure Development'!BK130</f>
        <v>0</v>
      </c>
      <c r="M250" s="9">
        <f>'MF Measure Development'!BL130</f>
        <v>0</v>
      </c>
      <c r="N250" s="9">
        <f>'MF Measure Development'!BM130</f>
        <v>0</v>
      </c>
      <c r="O250" s="9">
        <f>'MF Measure Development'!BN130</f>
        <v>0</v>
      </c>
      <c r="P250" s="9">
        <f ca="1">'MF Measure Development'!BO130</f>
        <v>0</v>
      </c>
      <c r="Q250" s="9" t="str">
        <f>'MF Measure Development'!BP130</f>
        <v>ResDRY</v>
      </c>
    </row>
    <row r="251" spans="1:17">
      <c r="A251" s="9" t="s">
        <v>161</v>
      </c>
      <c r="B251" s="9" t="str">
        <f>'MF Measure Development'!BA131</f>
        <v>CEE Tier 2 Clothes Washer - Gas DHW, Gas Dryer - 54% ENERGY STAR Baseline</v>
      </c>
      <c r="C251" s="9" t="str">
        <f>'MF Measure Development'!BB131</f>
        <v>Dryer Savings</v>
      </c>
      <c r="D251" s="9">
        <f ca="1">'MF Measure Development'!BC131</f>
        <v>0</v>
      </c>
      <c r="E251" s="9">
        <f>'MF Measure Development'!BD131</f>
        <v>14</v>
      </c>
      <c r="F251" s="9">
        <f>'MF Measure Development'!BE131</f>
        <v>0</v>
      </c>
      <c r="G251" s="9">
        <f>'MF Measure Development'!BF131</f>
        <v>0</v>
      </c>
      <c r="H251" s="9" t="str">
        <f>'MF Measure Development'!BG131</f>
        <v>ResDRY</v>
      </c>
      <c r="I251" s="9">
        <f>'MF Measure Development'!BH131</f>
        <v>0</v>
      </c>
      <c r="J251" s="9">
        <f>'MF Measure Development'!BI131</f>
        <v>0</v>
      </c>
      <c r="K251" s="9">
        <f>'MF Measure Development'!BJ131</f>
        <v>0</v>
      </c>
      <c r="L251" s="9">
        <f>'MF Measure Development'!BK131</f>
        <v>0</v>
      </c>
      <c r="M251" s="9">
        <f>'MF Measure Development'!BL131</f>
        <v>0</v>
      </c>
      <c r="N251" s="9">
        <f>'MF Measure Development'!BM131</f>
        <v>0</v>
      </c>
      <c r="O251" s="9">
        <f>'MF Measure Development'!BN131</f>
        <v>0</v>
      </c>
      <c r="P251" s="9">
        <f ca="1">'MF Measure Development'!BO131</f>
        <v>2.1793018687495334</v>
      </c>
      <c r="Q251" s="9" t="str">
        <f>'MF Measure Development'!BP131</f>
        <v>ResDRY</v>
      </c>
    </row>
    <row r="252" spans="1:17">
      <c r="A252" s="9" t="s">
        <v>161</v>
      </c>
      <c r="B252" s="9" t="str">
        <f>'MF Measure Development'!BA132</f>
        <v>CEE Tier 2 Clothes Washer - Any DHW, Any Dryer - 54% ENERGY STAR Baseline</v>
      </c>
      <c r="C252" s="9" t="str">
        <f>'MF Measure Development'!BB132</f>
        <v>Dryer Savings</v>
      </c>
      <c r="D252" s="9">
        <f ca="1">'MF Measure Development'!BC132</f>
        <v>54.161001405133106</v>
      </c>
      <c r="E252" s="9">
        <f>'MF Measure Development'!BD132</f>
        <v>14</v>
      </c>
      <c r="F252" s="9">
        <f>'MF Measure Development'!BE132</f>
        <v>0</v>
      </c>
      <c r="G252" s="9">
        <f>'MF Measure Development'!BF132</f>
        <v>0</v>
      </c>
      <c r="H252" s="9" t="str">
        <f>'MF Measure Development'!BG132</f>
        <v>ResDRY</v>
      </c>
      <c r="I252" s="9">
        <f>'MF Measure Development'!BH132</f>
        <v>0</v>
      </c>
      <c r="J252" s="9">
        <f>'MF Measure Development'!BI132</f>
        <v>0</v>
      </c>
      <c r="K252" s="9">
        <f>'MF Measure Development'!BJ132</f>
        <v>0</v>
      </c>
      <c r="L252" s="9">
        <f>'MF Measure Development'!BK132</f>
        <v>0</v>
      </c>
      <c r="M252" s="9">
        <f>'MF Measure Development'!BL132</f>
        <v>0</v>
      </c>
      <c r="N252" s="9">
        <f>'MF Measure Development'!BM132</f>
        <v>0</v>
      </c>
      <c r="O252" s="9">
        <f>'MF Measure Development'!BN132</f>
        <v>0</v>
      </c>
      <c r="P252" s="9">
        <f ca="1">'MF Measure Development'!BO132</f>
        <v>0.10896509343747676</v>
      </c>
      <c r="Q252" s="9" t="str">
        <f>'MF Measure Development'!BP132</f>
        <v>ResDRY</v>
      </c>
    </row>
    <row r="253" spans="1:17">
      <c r="A253" s="9" t="s">
        <v>161</v>
      </c>
      <c r="B253" s="9" t="str">
        <f>'MF Measure Development'!BA133</f>
        <v>CEE Tier 3 Clothes Washer - Electric DHW, Electric Dryer - 54% ENERGY STAR Baseline</v>
      </c>
      <c r="C253" s="9" t="str">
        <f>'MF Measure Development'!BB133</f>
        <v>Dryer Savings</v>
      </c>
      <c r="D253" s="9">
        <f ca="1">'MF Measure Development'!BC133</f>
        <v>71.430054898509383</v>
      </c>
      <c r="E253" s="9">
        <f>'MF Measure Development'!BD133</f>
        <v>14</v>
      </c>
      <c r="F253" s="9">
        <f>'MF Measure Development'!BE133</f>
        <v>0</v>
      </c>
      <c r="G253" s="9">
        <f>'MF Measure Development'!BF133</f>
        <v>0</v>
      </c>
      <c r="H253" s="9" t="str">
        <f>'MF Measure Development'!BG133</f>
        <v>ResDRY</v>
      </c>
      <c r="I253" s="9">
        <f>'MF Measure Development'!BH133</f>
        <v>0</v>
      </c>
      <c r="J253" s="9">
        <f>'MF Measure Development'!BI133</f>
        <v>0</v>
      </c>
      <c r="K253" s="9">
        <f>'MF Measure Development'!BJ133</f>
        <v>0</v>
      </c>
      <c r="L253" s="9">
        <f>'MF Measure Development'!BK133</f>
        <v>0</v>
      </c>
      <c r="M253" s="9">
        <f>'MF Measure Development'!BL133</f>
        <v>0</v>
      </c>
      <c r="N253" s="9">
        <f>'MF Measure Development'!BM133</f>
        <v>0</v>
      </c>
      <c r="O253" s="9">
        <f>'MF Measure Development'!BN133</f>
        <v>0</v>
      </c>
      <c r="P253" s="9">
        <f ca="1">'MF Measure Development'!BO133</f>
        <v>0</v>
      </c>
      <c r="Q253" s="9" t="str">
        <f>'MF Measure Development'!BP133</f>
        <v>ResDRY</v>
      </c>
    </row>
    <row r="254" spans="1:17">
      <c r="A254" s="9" t="s">
        <v>161</v>
      </c>
      <c r="B254" s="9" t="str">
        <f>'MF Measure Development'!BA134</f>
        <v>CEE Tier 3 Clothes Washer - Electric DHW, Gas Dryer - 54% ENERGY STAR Baseline</v>
      </c>
      <c r="C254" s="9" t="str">
        <f>'MF Measure Development'!BB134</f>
        <v>Dryer Savings</v>
      </c>
      <c r="D254" s="9">
        <f ca="1">'MF Measure Development'!BC134</f>
        <v>0</v>
      </c>
      <c r="E254" s="9">
        <f>'MF Measure Development'!BD134</f>
        <v>14</v>
      </c>
      <c r="F254" s="9">
        <f>'MF Measure Development'!BE134</f>
        <v>0</v>
      </c>
      <c r="G254" s="9">
        <f>'MF Measure Development'!BF134</f>
        <v>0</v>
      </c>
      <c r="H254" s="9" t="str">
        <f>'MF Measure Development'!BG134</f>
        <v>ResDRY</v>
      </c>
      <c r="I254" s="9">
        <f>'MF Measure Development'!BH134</f>
        <v>0</v>
      </c>
      <c r="J254" s="9">
        <f>'MF Measure Development'!BI134</f>
        <v>0</v>
      </c>
      <c r="K254" s="9">
        <f>'MF Measure Development'!BJ134</f>
        <v>0</v>
      </c>
      <c r="L254" s="9">
        <f>'MF Measure Development'!BK134</f>
        <v>0</v>
      </c>
      <c r="M254" s="9">
        <f>'MF Measure Development'!BL134</f>
        <v>0</v>
      </c>
      <c r="N254" s="9">
        <f>'MF Measure Development'!BM134</f>
        <v>0</v>
      </c>
      <c r="O254" s="9">
        <f>'MF Measure Development'!BN134</f>
        <v>0</v>
      </c>
      <c r="P254" s="9">
        <f ca="1">'MF Measure Development'!BO134</f>
        <v>2.7304567065284608</v>
      </c>
      <c r="Q254" s="9" t="str">
        <f>'MF Measure Development'!BP134</f>
        <v>ResDRY</v>
      </c>
    </row>
    <row r="255" spans="1:17">
      <c r="A255" s="9" t="s">
        <v>161</v>
      </c>
      <c r="B255" s="9" t="str">
        <f>'MF Measure Development'!BA135</f>
        <v>CEE Tier 3 Clothes Washer - Gas DHW, Electric Dryer - 54% ENERGY STAR Baseline</v>
      </c>
      <c r="C255" s="9" t="str">
        <f>'MF Measure Development'!BB135</f>
        <v>Dryer Savings</v>
      </c>
      <c r="D255" s="9">
        <f ca="1">'MF Measure Development'!BC135</f>
        <v>71.430054898509383</v>
      </c>
      <c r="E255" s="9">
        <f>'MF Measure Development'!BD135</f>
        <v>14</v>
      </c>
      <c r="F255" s="9">
        <f>'MF Measure Development'!BE135</f>
        <v>0</v>
      </c>
      <c r="G255" s="9">
        <f>'MF Measure Development'!BF135</f>
        <v>0</v>
      </c>
      <c r="H255" s="9" t="str">
        <f>'MF Measure Development'!BG135</f>
        <v>ResDRY</v>
      </c>
      <c r="I255" s="9">
        <f>'MF Measure Development'!BH135</f>
        <v>0</v>
      </c>
      <c r="J255" s="9">
        <f>'MF Measure Development'!BI135</f>
        <v>0</v>
      </c>
      <c r="K255" s="9">
        <f>'MF Measure Development'!BJ135</f>
        <v>0</v>
      </c>
      <c r="L255" s="9">
        <f>'MF Measure Development'!BK135</f>
        <v>0</v>
      </c>
      <c r="M255" s="9">
        <f>'MF Measure Development'!BL135</f>
        <v>0</v>
      </c>
      <c r="N255" s="9">
        <f>'MF Measure Development'!BM135</f>
        <v>0</v>
      </c>
      <c r="O255" s="9">
        <f>'MF Measure Development'!BN135</f>
        <v>0</v>
      </c>
      <c r="P255" s="9">
        <f ca="1">'MF Measure Development'!BO135</f>
        <v>0</v>
      </c>
      <c r="Q255" s="9" t="str">
        <f>'MF Measure Development'!BP135</f>
        <v>ResDRY</v>
      </c>
    </row>
    <row r="256" spans="1:17">
      <c r="A256" s="9" t="s">
        <v>161</v>
      </c>
      <c r="B256" s="9" t="str">
        <f>'MF Measure Development'!BA136</f>
        <v>CEE Tier 3 Clothes Washer - Gas DHW, Gas Dryer - 54% ENERGY STAR Baseline</v>
      </c>
      <c r="C256" s="9" t="str">
        <f>'MF Measure Development'!BB136</f>
        <v>Dryer Savings</v>
      </c>
      <c r="D256" s="9">
        <f ca="1">'MF Measure Development'!BC136</f>
        <v>0</v>
      </c>
      <c r="E256" s="9">
        <f>'MF Measure Development'!BD136</f>
        <v>14</v>
      </c>
      <c r="F256" s="9">
        <f>'MF Measure Development'!BE136</f>
        <v>0</v>
      </c>
      <c r="G256" s="9">
        <f>'MF Measure Development'!BF136</f>
        <v>0</v>
      </c>
      <c r="H256" s="9" t="str">
        <f>'MF Measure Development'!BG136</f>
        <v>ResDRY</v>
      </c>
      <c r="I256" s="9">
        <f>'MF Measure Development'!BH136</f>
        <v>0</v>
      </c>
      <c r="J256" s="9">
        <f>'MF Measure Development'!BI136</f>
        <v>0</v>
      </c>
      <c r="K256" s="9">
        <f>'MF Measure Development'!BJ136</f>
        <v>0</v>
      </c>
      <c r="L256" s="9">
        <f>'MF Measure Development'!BK136</f>
        <v>0</v>
      </c>
      <c r="M256" s="9">
        <f>'MF Measure Development'!BL136</f>
        <v>0</v>
      </c>
      <c r="N256" s="9">
        <f>'MF Measure Development'!BM136</f>
        <v>0</v>
      </c>
      <c r="O256" s="9">
        <f>'MF Measure Development'!BN136</f>
        <v>0</v>
      </c>
      <c r="P256" s="9">
        <f ca="1">'MF Measure Development'!BO136</f>
        <v>2.7304567065284608</v>
      </c>
      <c r="Q256" s="9" t="str">
        <f>'MF Measure Development'!BP136</f>
        <v>ResDRY</v>
      </c>
    </row>
    <row r="257" spans="1:17">
      <c r="A257" s="9" t="s">
        <v>161</v>
      </c>
      <c r="B257" s="9" t="str">
        <f>'MF Measure Development'!BA137</f>
        <v>CEE Tier 3 Clothes Washer - Any DHW, Any Dryer - 54% ENERGY STAR Baseline</v>
      </c>
      <c r="C257" s="9" t="str">
        <f>'MF Measure Development'!BB137</f>
        <v>Dryer Savings</v>
      </c>
      <c r="D257" s="9">
        <f ca="1">'MF Measure Development'!BC137</f>
        <v>67.858552153583915</v>
      </c>
      <c r="E257" s="9">
        <f>'MF Measure Development'!BD137</f>
        <v>14</v>
      </c>
      <c r="F257" s="9">
        <f>'MF Measure Development'!BE137</f>
        <v>0</v>
      </c>
      <c r="G257" s="9">
        <f>'MF Measure Development'!BF137</f>
        <v>0</v>
      </c>
      <c r="H257" s="9" t="str">
        <f>'MF Measure Development'!BG137</f>
        <v>ResDRY</v>
      </c>
      <c r="I257" s="9">
        <f>'MF Measure Development'!BH137</f>
        <v>0</v>
      </c>
      <c r="J257" s="9">
        <f>'MF Measure Development'!BI137</f>
        <v>0</v>
      </c>
      <c r="K257" s="9">
        <f>'MF Measure Development'!BJ137</f>
        <v>0</v>
      </c>
      <c r="L257" s="9">
        <f>'MF Measure Development'!BK137</f>
        <v>0</v>
      </c>
      <c r="M257" s="9">
        <f>'MF Measure Development'!BL137</f>
        <v>0</v>
      </c>
      <c r="N257" s="9">
        <f>'MF Measure Development'!BM137</f>
        <v>0</v>
      </c>
      <c r="O257" s="9">
        <f>'MF Measure Development'!BN137</f>
        <v>0</v>
      </c>
      <c r="P257" s="9">
        <f ca="1">'MF Measure Development'!BO137</f>
        <v>0.13652283532642318</v>
      </c>
      <c r="Q257" s="9" t="str">
        <f>'MF Measure Development'!BP137</f>
        <v>ResDRY</v>
      </c>
    </row>
    <row r="258" spans="1:17">
      <c r="A258" s="9" t="s">
        <v>161</v>
      </c>
      <c r="B258" s="9" t="str">
        <f>'MF Measure Development'!BA138</f>
        <v>ENERGY STAR - Top-Load Clothes Washer - Electric DHW, Electric Dryer - 31% ENERGY STAR Baseline</v>
      </c>
      <c r="C258" s="9" t="str">
        <f>'MF Measure Development'!BB138</f>
        <v>Waste Water Energy</v>
      </c>
      <c r="D258" s="9">
        <f ca="1">'MF Measure Development'!BC138</f>
        <v>0.29472284399684212</v>
      </c>
      <c r="E258" s="9">
        <f>'MF Measure Development'!BD138</f>
        <v>14</v>
      </c>
      <c r="F258" s="9">
        <f>'MF Measure Development'!BE138</f>
        <v>0</v>
      </c>
      <c r="G258" s="9">
        <f>'MF Measure Development'!BF138</f>
        <v>0</v>
      </c>
      <c r="H258" s="9" t="str">
        <f>'MF Measure Development'!BG138</f>
        <v>FLAT</v>
      </c>
      <c r="I258" s="9">
        <f ca="1">'MF Measure Development'!BH138</f>
        <v>1.1075262970731625</v>
      </c>
      <c r="J258" s="9">
        <f>'MF Measure Development'!BI138</f>
        <v>0</v>
      </c>
      <c r="K258" s="9">
        <f>'MF Measure Development'!BJ138</f>
        <v>0</v>
      </c>
      <c r="L258" s="9">
        <f>'MF Measure Development'!BK138</f>
        <v>0</v>
      </c>
      <c r="M258" s="9">
        <f>'MF Measure Development'!BL138</f>
        <v>0</v>
      </c>
      <c r="N258" s="9">
        <f>'MF Measure Development'!BM138</f>
        <v>0</v>
      </c>
      <c r="O258" s="9">
        <f>'MF Measure Development'!BN138</f>
        <v>0</v>
      </c>
      <c r="P258" s="9">
        <f>'MF Measure Development'!BO138</f>
        <v>0</v>
      </c>
      <c r="Q258" s="9">
        <f>'MF Measure Development'!BP138</f>
        <v>0</v>
      </c>
    </row>
    <row r="259" spans="1:17">
      <c r="A259" s="9" t="s">
        <v>161</v>
      </c>
      <c r="B259" s="9" t="str">
        <f>'MF Measure Development'!BA139</f>
        <v>ENERGY STAR - Top-Load Clothes Washer - Electric DHW, Gas Dryer - 31% ENERGY STAR Baseline</v>
      </c>
      <c r="C259" s="9" t="str">
        <f>'MF Measure Development'!BB139</f>
        <v>Waste Water Energy</v>
      </c>
      <c r="D259" s="9">
        <f ca="1">'MF Measure Development'!BC139</f>
        <v>0.29472284399684212</v>
      </c>
      <c r="E259" s="9">
        <f>'MF Measure Development'!BD139</f>
        <v>14</v>
      </c>
      <c r="F259" s="9">
        <f>'MF Measure Development'!BE139</f>
        <v>0</v>
      </c>
      <c r="G259" s="9">
        <f>'MF Measure Development'!BF139</f>
        <v>0</v>
      </c>
      <c r="H259" s="9" t="str">
        <f>'MF Measure Development'!BG139</f>
        <v>FLAT</v>
      </c>
      <c r="I259" s="9">
        <f ca="1">'MF Measure Development'!BH139</f>
        <v>1.1075262970731625</v>
      </c>
      <c r="J259" s="9">
        <f>'MF Measure Development'!BI139</f>
        <v>0</v>
      </c>
      <c r="K259" s="9">
        <f>'MF Measure Development'!BJ139</f>
        <v>0</v>
      </c>
      <c r="L259" s="9">
        <f>'MF Measure Development'!BK139</f>
        <v>0</v>
      </c>
      <c r="M259" s="9">
        <f>'MF Measure Development'!BL139</f>
        <v>0</v>
      </c>
      <c r="N259" s="9">
        <f>'MF Measure Development'!BM139</f>
        <v>0</v>
      </c>
      <c r="O259" s="9">
        <f>'MF Measure Development'!BN139</f>
        <v>0</v>
      </c>
      <c r="P259" s="9">
        <f>'MF Measure Development'!BO139</f>
        <v>0</v>
      </c>
      <c r="Q259" s="9">
        <f>'MF Measure Development'!BP139</f>
        <v>0</v>
      </c>
    </row>
    <row r="260" spans="1:17">
      <c r="A260" s="9" t="s">
        <v>161</v>
      </c>
      <c r="B260" s="9" t="str">
        <f>'MF Measure Development'!BA140</f>
        <v>ENERGY STAR - Top-Load Clothes Washer - Gas DHW, Electric Dryer - 31% ENERGY STAR Baseline</v>
      </c>
      <c r="C260" s="9" t="str">
        <f>'MF Measure Development'!BB140</f>
        <v>Waste Water Energy</v>
      </c>
      <c r="D260" s="9">
        <f ca="1">'MF Measure Development'!BC140</f>
        <v>0.29472284399684212</v>
      </c>
      <c r="E260" s="9">
        <f>'MF Measure Development'!BD140</f>
        <v>14</v>
      </c>
      <c r="F260" s="9">
        <f>'MF Measure Development'!BE140</f>
        <v>0</v>
      </c>
      <c r="G260" s="9">
        <f>'MF Measure Development'!BF140</f>
        <v>0</v>
      </c>
      <c r="H260" s="9" t="str">
        <f>'MF Measure Development'!BG140</f>
        <v>FLAT</v>
      </c>
      <c r="I260" s="9">
        <f ca="1">'MF Measure Development'!BH140</f>
        <v>1.1075262970731625</v>
      </c>
      <c r="J260" s="9">
        <f>'MF Measure Development'!BI140</f>
        <v>0</v>
      </c>
      <c r="K260" s="9">
        <f>'MF Measure Development'!BJ140</f>
        <v>0</v>
      </c>
      <c r="L260" s="9">
        <f>'MF Measure Development'!BK140</f>
        <v>0</v>
      </c>
      <c r="M260" s="9">
        <f>'MF Measure Development'!BL140</f>
        <v>0</v>
      </c>
      <c r="N260" s="9">
        <f>'MF Measure Development'!BM140</f>
        <v>0</v>
      </c>
      <c r="O260" s="9">
        <f>'MF Measure Development'!BN140</f>
        <v>0</v>
      </c>
      <c r="P260" s="9">
        <f>'MF Measure Development'!BO140</f>
        <v>0</v>
      </c>
      <c r="Q260" s="9">
        <f>'MF Measure Development'!BP140</f>
        <v>0</v>
      </c>
    </row>
    <row r="261" spans="1:17">
      <c r="A261" s="9" t="s">
        <v>161</v>
      </c>
      <c r="B261" s="9" t="str">
        <f>'MF Measure Development'!BA141</f>
        <v>ENERGY STAR - Top-Load Clothes Washer - Gas DHW, Gas Dryer - 31% ENERGY STAR Baseline</v>
      </c>
      <c r="C261" s="9" t="str">
        <f>'MF Measure Development'!BB141</f>
        <v>Waste Water Energy</v>
      </c>
      <c r="D261" s="9">
        <f ca="1">'MF Measure Development'!BC141</f>
        <v>0.29472284399684212</v>
      </c>
      <c r="E261" s="9">
        <f>'MF Measure Development'!BD141</f>
        <v>14</v>
      </c>
      <c r="F261" s="9">
        <f>'MF Measure Development'!BE141</f>
        <v>0</v>
      </c>
      <c r="G261" s="9">
        <f>'MF Measure Development'!BF141</f>
        <v>0</v>
      </c>
      <c r="H261" s="9" t="str">
        <f>'MF Measure Development'!BG141</f>
        <v>FLAT</v>
      </c>
      <c r="I261" s="9">
        <f ca="1">'MF Measure Development'!BH141</f>
        <v>1.1075262970731625</v>
      </c>
      <c r="J261" s="9">
        <f>'MF Measure Development'!BI141</f>
        <v>0</v>
      </c>
      <c r="K261" s="9">
        <f>'MF Measure Development'!BJ141</f>
        <v>0</v>
      </c>
      <c r="L261" s="9">
        <f>'MF Measure Development'!BK141</f>
        <v>0</v>
      </c>
      <c r="M261" s="9">
        <f>'MF Measure Development'!BL141</f>
        <v>0</v>
      </c>
      <c r="N261" s="9">
        <f>'MF Measure Development'!BM141</f>
        <v>0</v>
      </c>
      <c r="O261" s="9">
        <f>'MF Measure Development'!BN141</f>
        <v>0</v>
      </c>
      <c r="P261" s="9">
        <f>'MF Measure Development'!BO141</f>
        <v>0</v>
      </c>
      <c r="Q261" s="9">
        <f>'MF Measure Development'!BP141</f>
        <v>0</v>
      </c>
    </row>
    <row r="262" spans="1:17">
      <c r="A262" s="9" t="s">
        <v>161</v>
      </c>
      <c r="B262" s="9" t="str">
        <f>'MF Measure Development'!BA142</f>
        <v>ENERGY STAR - Top-Load Clothes Washer - Any DHW, Any Dryer - 31% ENERGY STAR Baseline</v>
      </c>
      <c r="C262" s="9" t="str">
        <f>'MF Measure Development'!BB142</f>
        <v>Waste Water Energy</v>
      </c>
      <c r="D262" s="9">
        <f ca="1">'MF Measure Development'!BC142</f>
        <v>0.29472284399684212</v>
      </c>
      <c r="E262" s="9">
        <f>'MF Measure Development'!BD142</f>
        <v>14</v>
      </c>
      <c r="F262" s="9">
        <f>'MF Measure Development'!BE142</f>
        <v>0</v>
      </c>
      <c r="G262" s="9">
        <f>'MF Measure Development'!BF142</f>
        <v>0</v>
      </c>
      <c r="H262" s="9" t="str">
        <f>'MF Measure Development'!BG142</f>
        <v>FLAT</v>
      </c>
      <c r="I262" s="9">
        <f ca="1">'MF Measure Development'!BH142</f>
        <v>1.1075262970731625</v>
      </c>
      <c r="J262" s="9">
        <f>'MF Measure Development'!BI142</f>
        <v>0</v>
      </c>
      <c r="K262" s="9">
        <f>'MF Measure Development'!BJ142</f>
        <v>0</v>
      </c>
      <c r="L262" s="9">
        <f>'MF Measure Development'!BK142</f>
        <v>0</v>
      </c>
      <c r="M262" s="9">
        <f>'MF Measure Development'!BL142</f>
        <v>0</v>
      </c>
      <c r="N262" s="9">
        <f>'MF Measure Development'!BM142</f>
        <v>0</v>
      </c>
      <c r="O262" s="9">
        <f>'MF Measure Development'!BN142</f>
        <v>0</v>
      </c>
      <c r="P262" s="9">
        <f>'MF Measure Development'!BO142</f>
        <v>0</v>
      </c>
      <c r="Q262" s="9">
        <f>'MF Measure Development'!BP142</f>
        <v>0</v>
      </c>
    </row>
    <row r="263" spans="1:17">
      <c r="A263" s="9" t="s">
        <v>161</v>
      </c>
      <c r="B263" s="9" t="str">
        <f>'MF Measure Development'!BA143</f>
        <v>ENERGY STAR - Front-Load Clothes Washer - Electric DHW, Electric Dryer - 31% ENERGY STAR Baseline</v>
      </c>
      <c r="C263" s="9" t="str">
        <f>'MF Measure Development'!BB143</f>
        <v>Waste Water Energy</v>
      </c>
      <c r="D263" s="9">
        <f ca="1">'MF Measure Development'!BC143</f>
        <v>3.6144341128034556</v>
      </c>
      <c r="E263" s="9">
        <f>'MF Measure Development'!BD143</f>
        <v>14</v>
      </c>
      <c r="F263" s="9">
        <f>'MF Measure Development'!BE143</f>
        <v>0</v>
      </c>
      <c r="G263" s="9">
        <f>'MF Measure Development'!BF143</f>
        <v>0</v>
      </c>
      <c r="H263" s="9" t="str">
        <f>'MF Measure Development'!BG143</f>
        <v>FLAT</v>
      </c>
      <c r="I263" s="9">
        <f ca="1">'MF Measure Development'!BH143</f>
        <v>13.58252646683548</v>
      </c>
      <c r="J263" s="9">
        <f>'MF Measure Development'!BI143</f>
        <v>0</v>
      </c>
      <c r="K263" s="9">
        <f>'MF Measure Development'!BJ143</f>
        <v>0</v>
      </c>
      <c r="L263" s="9">
        <f>'MF Measure Development'!BK143</f>
        <v>0</v>
      </c>
      <c r="M263" s="9">
        <f>'MF Measure Development'!BL143</f>
        <v>0</v>
      </c>
      <c r="N263" s="9">
        <f>'MF Measure Development'!BM143</f>
        <v>0</v>
      </c>
      <c r="O263" s="9">
        <f>'MF Measure Development'!BN143</f>
        <v>0</v>
      </c>
      <c r="P263" s="9">
        <f>'MF Measure Development'!BO143</f>
        <v>0</v>
      </c>
      <c r="Q263" s="9">
        <f>'MF Measure Development'!BP143</f>
        <v>0</v>
      </c>
    </row>
    <row r="264" spans="1:17">
      <c r="A264" s="9" t="s">
        <v>161</v>
      </c>
      <c r="B264" s="9" t="str">
        <f>'MF Measure Development'!BA144</f>
        <v>ENERGY STAR - Front-Load Clothes Washer - Electric DHW, Gas Dryer - 31% ENERGY STAR Baseline</v>
      </c>
      <c r="C264" s="9" t="str">
        <f>'MF Measure Development'!BB144</f>
        <v>Waste Water Energy</v>
      </c>
      <c r="D264" s="9">
        <f ca="1">'MF Measure Development'!BC144</f>
        <v>3.6144341128034556</v>
      </c>
      <c r="E264" s="9">
        <f>'MF Measure Development'!BD144</f>
        <v>14</v>
      </c>
      <c r="F264" s="9">
        <f>'MF Measure Development'!BE144</f>
        <v>0</v>
      </c>
      <c r="G264" s="9">
        <f>'MF Measure Development'!BF144</f>
        <v>0</v>
      </c>
      <c r="H264" s="9" t="str">
        <f>'MF Measure Development'!BG144</f>
        <v>FLAT</v>
      </c>
      <c r="I264" s="9">
        <f ca="1">'MF Measure Development'!BH144</f>
        <v>13.58252646683548</v>
      </c>
      <c r="J264" s="9">
        <f>'MF Measure Development'!BI144</f>
        <v>0</v>
      </c>
      <c r="K264" s="9">
        <f>'MF Measure Development'!BJ144</f>
        <v>0</v>
      </c>
      <c r="L264" s="9">
        <f>'MF Measure Development'!BK144</f>
        <v>0</v>
      </c>
      <c r="M264" s="9">
        <f>'MF Measure Development'!BL144</f>
        <v>0</v>
      </c>
      <c r="N264" s="9">
        <f>'MF Measure Development'!BM144</f>
        <v>0</v>
      </c>
      <c r="O264" s="9">
        <f>'MF Measure Development'!BN144</f>
        <v>0</v>
      </c>
      <c r="P264" s="9">
        <f>'MF Measure Development'!BO144</f>
        <v>0</v>
      </c>
      <c r="Q264" s="9">
        <f>'MF Measure Development'!BP144</f>
        <v>0</v>
      </c>
    </row>
    <row r="265" spans="1:17">
      <c r="A265" s="9" t="s">
        <v>161</v>
      </c>
      <c r="B265" s="9" t="str">
        <f>'MF Measure Development'!BA145</f>
        <v>ENERGY STAR - Front-Load Clothes Washer - Gas DHW, Electric Dryer - 31% ENERGY STAR Baseline</v>
      </c>
      <c r="C265" s="9" t="str">
        <f>'MF Measure Development'!BB145</f>
        <v>Waste Water Energy</v>
      </c>
      <c r="D265" s="9">
        <f ca="1">'MF Measure Development'!BC145</f>
        <v>3.6144341128034556</v>
      </c>
      <c r="E265" s="9">
        <f>'MF Measure Development'!BD145</f>
        <v>14</v>
      </c>
      <c r="F265" s="9">
        <f>'MF Measure Development'!BE145</f>
        <v>0</v>
      </c>
      <c r="G265" s="9">
        <f>'MF Measure Development'!BF145</f>
        <v>0</v>
      </c>
      <c r="H265" s="9" t="str">
        <f>'MF Measure Development'!BG145</f>
        <v>FLAT</v>
      </c>
      <c r="I265" s="9">
        <f ca="1">'MF Measure Development'!BH145</f>
        <v>13.58252646683548</v>
      </c>
      <c r="J265" s="9">
        <f>'MF Measure Development'!BI145</f>
        <v>0</v>
      </c>
      <c r="K265" s="9">
        <f>'MF Measure Development'!BJ145</f>
        <v>0</v>
      </c>
      <c r="L265" s="9">
        <f>'MF Measure Development'!BK145</f>
        <v>0</v>
      </c>
      <c r="M265" s="9">
        <f>'MF Measure Development'!BL145</f>
        <v>0</v>
      </c>
      <c r="N265" s="9">
        <f>'MF Measure Development'!BM145</f>
        <v>0</v>
      </c>
      <c r="O265" s="9">
        <f>'MF Measure Development'!BN145</f>
        <v>0</v>
      </c>
      <c r="P265" s="9">
        <f>'MF Measure Development'!BO145</f>
        <v>0</v>
      </c>
      <c r="Q265" s="9">
        <f>'MF Measure Development'!BP145</f>
        <v>0</v>
      </c>
    </row>
    <row r="266" spans="1:17">
      <c r="A266" s="9" t="s">
        <v>161</v>
      </c>
      <c r="B266" s="9" t="str">
        <f>'MF Measure Development'!BA146</f>
        <v>ENERGY STAR - Front-Load Clothes Washer - Gas DHW, Gas Dryer - 31% ENERGY STAR Baseline</v>
      </c>
      <c r="C266" s="9" t="str">
        <f>'MF Measure Development'!BB146</f>
        <v>Waste Water Energy</v>
      </c>
      <c r="D266" s="9">
        <f ca="1">'MF Measure Development'!BC146</f>
        <v>3.6144341128034556</v>
      </c>
      <c r="E266" s="9">
        <f>'MF Measure Development'!BD146</f>
        <v>14</v>
      </c>
      <c r="F266" s="9">
        <f>'MF Measure Development'!BE146</f>
        <v>0</v>
      </c>
      <c r="G266" s="9">
        <f>'MF Measure Development'!BF146</f>
        <v>0</v>
      </c>
      <c r="H266" s="9" t="str">
        <f>'MF Measure Development'!BG146</f>
        <v>FLAT</v>
      </c>
      <c r="I266" s="9">
        <f ca="1">'MF Measure Development'!BH146</f>
        <v>13.58252646683548</v>
      </c>
      <c r="J266" s="9">
        <f>'MF Measure Development'!BI146</f>
        <v>0</v>
      </c>
      <c r="K266" s="9">
        <f>'MF Measure Development'!BJ146</f>
        <v>0</v>
      </c>
      <c r="L266" s="9">
        <f>'MF Measure Development'!BK146</f>
        <v>0</v>
      </c>
      <c r="M266" s="9">
        <f>'MF Measure Development'!BL146</f>
        <v>0</v>
      </c>
      <c r="N266" s="9">
        <f>'MF Measure Development'!BM146</f>
        <v>0</v>
      </c>
      <c r="O266" s="9">
        <f>'MF Measure Development'!BN146</f>
        <v>0</v>
      </c>
      <c r="P266" s="9">
        <f>'MF Measure Development'!BO146</f>
        <v>0</v>
      </c>
      <c r="Q266" s="9">
        <f>'MF Measure Development'!BP146</f>
        <v>0</v>
      </c>
    </row>
    <row r="267" spans="1:17">
      <c r="A267" s="9" t="s">
        <v>161</v>
      </c>
      <c r="B267" s="9" t="str">
        <f>'MF Measure Development'!BA147</f>
        <v>ENERGY STAR - Front-Load Clothes Washer - Any DHW, Any Dryer - 31% ENERGY STAR Baseline</v>
      </c>
      <c r="C267" s="9" t="str">
        <f>'MF Measure Development'!BB147</f>
        <v>Waste Water Energy</v>
      </c>
      <c r="D267" s="9">
        <f ca="1">'MF Measure Development'!BC147</f>
        <v>3.6144341128034556</v>
      </c>
      <c r="E267" s="9">
        <f>'MF Measure Development'!BD147</f>
        <v>14</v>
      </c>
      <c r="F267" s="9">
        <f>'MF Measure Development'!BE147</f>
        <v>0</v>
      </c>
      <c r="G267" s="9">
        <f>'MF Measure Development'!BF147</f>
        <v>0</v>
      </c>
      <c r="H267" s="9" t="str">
        <f>'MF Measure Development'!BG147</f>
        <v>FLAT</v>
      </c>
      <c r="I267" s="9">
        <f ca="1">'MF Measure Development'!BH147</f>
        <v>13.58252646683548</v>
      </c>
      <c r="J267" s="9">
        <f>'MF Measure Development'!BI147</f>
        <v>0</v>
      </c>
      <c r="K267" s="9">
        <f>'MF Measure Development'!BJ147</f>
        <v>0</v>
      </c>
      <c r="L267" s="9">
        <f>'MF Measure Development'!BK147</f>
        <v>0</v>
      </c>
      <c r="M267" s="9">
        <f>'MF Measure Development'!BL147</f>
        <v>0</v>
      </c>
      <c r="N267" s="9">
        <f>'MF Measure Development'!BM147</f>
        <v>0</v>
      </c>
      <c r="O267" s="9">
        <f>'MF Measure Development'!BN147</f>
        <v>0</v>
      </c>
      <c r="P267" s="9">
        <f>'MF Measure Development'!BO147</f>
        <v>0</v>
      </c>
      <c r="Q267" s="9">
        <f>'MF Measure Development'!BP147</f>
        <v>0</v>
      </c>
    </row>
    <row r="268" spans="1:17">
      <c r="A268" s="9" t="s">
        <v>161</v>
      </c>
      <c r="B268" s="9" t="str">
        <f>'MF Measure Development'!BA153</f>
        <v>CEE Tier 1 Clothes Washer - Electric DHW, Electric Dryer - 31% ENERGY STAR Baseline</v>
      </c>
      <c r="C268" s="9" t="str">
        <f>'MF Measure Development'!BB153</f>
        <v>Waste Water Energy</v>
      </c>
      <c r="D268" s="9">
        <f ca="1">'MF Measure Development'!BC153</f>
        <v>3.17293366135821</v>
      </c>
      <c r="E268" s="9">
        <f>'MF Measure Development'!BD153</f>
        <v>14</v>
      </c>
      <c r="F268" s="9">
        <f>'MF Measure Development'!BE153</f>
        <v>0</v>
      </c>
      <c r="G268" s="9">
        <f>'MF Measure Development'!BF153</f>
        <v>0</v>
      </c>
      <c r="H268" s="9" t="str">
        <f>'MF Measure Development'!BG153</f>
        <v>FLAT</v>
      </c>
      <c r="I268" s="9">
        <f ca="1">'MF Measure Development'!BH153</f>
        <v>11.923430912808721</v>
      </c>
      <c r="J268" s="9">
        <f>'MF Measure Development'!BI153</f>
        <v>0</v>
      </c>
      <c r="K268" s="9">
        <f>'MF Measure Development'!BJ153</f>
        <v>0</v>
      </c>
      <c r="L268" s="9">
        <f>'MF Measure Development'!BK153</f>
        <v>0</v>
      </c>
      <c r="M268" s="9">
        <f>'MF Measure Development'!BL153</f>
        <v>0</v>
      </c>
      <c r="N268" s="9">
        <f>'MF Measure Development'!BM153</f>
        <v>0</v>
      </c>
      <c r="O268" s="9">
        <f>'MF Measure Development'!BN153</f>
        <v>0</v>
      </c>
      <c r="P268" s="9">
        <f>'MF Measure Development'!BO153</f>
        <v>0</v>
      </c>
      <c r="Q268" s="9">
        <f>'MF Measure Development'!BP153</f>
        <v>0</v>
      </c>
    </row>
    <row r="269" spans="1:17">
      <c r="A269" s="9" t="s">
        <v>161</v>
      </c>
      <c r="B269" s="9" t="str">
        <f>'MF Measure Development'!BA154</f>
        <v>CEE Tier 1 Clothes Washer - Electric DHW, Gas Dryer - 31% ENERGY STAR Baseline</v>
      </c>
      <c r="C269" s="9" t="str">
        <f>'MF Measure Development'!BB154</f>
        <v>Waste Water Energy</v>
      </c>
      <c r="D269" s="9">
        <f ca="1">'MF Measure Development'!BC154</f>
        <v>3.17293366135821</v>
      </c>
      <c r="E269" s="9">
        <f>'MF Measure Development'!BD154</f>
        <v>14</v>
      </c>
      <c r="F269" s="9">
        <f>'MF Measure Development'!BE154</f>
        <v>0</v>
      </c>
      <c r="G269" s="9">
        <f>'MF Measure Development'!BF154</f>
        <v>0</v>
      </c>
      <c r="H269" s="9" t="str">
        <f>'MF Measure Development'!BG154</f>
        <v>FLAT</v>
      </c>
      <c r="I269" s="9">
        <f ca="1">'MF Measure Development'!BH154</f>
        <v>11.923430912808721</v>
      </c>
      <c r="J269" s="9">
        <f>'MF Measure Development'!BI154</f>
        <v>0</v>
      </c>
      <c r="K269" s="9">
        <f>'MF Measure Development'!BJ154</f>
        <v>0</v>
      </c>
      <c r="L269" s="9">
        <f>'MF Measure Development'!BK154</f>
        <v>0</v>
      </c>
      <c r="M269" s="9">
        <f>'MF Measure Development'!BL154</f>
        <v>0</v>
      </c>
      <c r="N269" s="9">
        <f>'MF Measure Development'!BM154</f>
        <v>0</v>
      </c>
      <c r="O269" s="9">
        <f>'MF Measure Development'!BN154</f>
        <v>0</v>
      </c>
      <c r="P269" s="9">
        <f>'MF Measure Development'!BO154</f>
        <v>0</v>
      </c>
      <c r="Q269" s="9">
        <f>'MF Measure Development'!BP154</f>
        <v>0</v>
      </c>
    </row>
    <row r="270" spans="1:17">
      <c r="A270" s="9" t="s">
        <v>161</v>
      </c>
      <c r="B270" s="9" t="str">
        <f>'MF Measure Development'!BA155</f>
        <v>CEE Tier 1 Clothes Washer - Gas DHW, Electric Dryer - 31% ENERGY STAR Baseline</v>
      </c>
      <c r="C270" s="9" t="str">
        <f>'MF Measure Development'!BB155</f>
        <v>Waste Water Energy</v>
      </c>
      <c r="D270" s="9">
        <f ca="1">'MF Measure Development'!BC155</f>
        <v>3.17293366135821</v>
      </c>
      <c r="E270" s="9">
        <f>'MF Measure Development'!BD155</f>
        <v>14</v>
      </c>
      <c r="F270" s="9">
        <f>'MF Measure Development'!BE155</f>
        <v>0</v>
      </c>
      <c r="G270" s="9">
        <f>'MF Measure Development'!BF155</f>
        <v>0</v>
      </c>
      <c r="H270" s="9" t="str">
        <f>'MF Measure Development'!BG155</f>
        <v>FLAT</v>
      </c>
      <c r="I270" s="9">
        <f ca="1">'MF Measure Development'!BH155</f>
        <v>11.923430912808721</v>
      </c>
      <c r="J270" s="9">
        <f>'MF Measure Development'!BI155</f>
        <v>0</v>
      </c>
      <c r="K270" s="9">
        <f>'MF Measure Development'!BJ155</f>
        <v>0</v>
      </c>
      <c r="L270" s="9">
        <f>'MF Measure Development'!BK155</f>
        <v>0</v>
      </c>
      <c r="M270" s="9">
        <f>'MF Measure Development'!BL155</f>
        <v>0</v>
      </c>
      <c r="N270" s="9">
        <f>'MF Measure Development'!BM155</f>
        <v>0</v>
      </c>
      <c r="O270" s="9">
        <f>'MF Measure Development'!BN155</f>
        <v>0</v>
      </c>
      <c r="P270" s="9">
        <f>'MF Measure Development'!BO155</f>
        <v>0</v>
      </c>
      <c r="Q270" s="9">
        <f>'MF Measure Development'!BP155</f>
        <v>0</v>
      </c>
    </row>
    <row r="271" spans="1:17">
      <c r="A271" s="9" t="s">
        <v>161</v>
      </c>
      <c r="B271" s="9" t="str">
        <f>'MF Measure Development'!BA156</f>
        <v>CEE Tier 1 Clothes Washer - Gas DHW, Gas Dryer - 31% ENERGY STAR Baseline</v>
      </c>
      <c r="C271" s="9" t="str">
        <f>'MF Measure Development'!BB156</f>
        <v>Waste Water Energy</v>
      </c>
      <c r="D271" s="9">
        <f ca="1">'MF Measure Development'!BC156</f>
        <v>3.17293366135821</v>
      </c>
      <c r="E271" s="9">
        <f>'MF Measure Development'!BD156</f>
        <v>14</v>
      </c>
      <c r="F271" s="9">
        <f>'MF Measure Development'!BE156</f>
        <v>0</v>
      </c>
      <c r="G271" s="9">
        <f>'MF Measure Development'!BF156</f>
        <v>0</v>
      </c>
      <c r="H271" s="9" t="str">
        <f>'MF Measure Development'!BG156</f>
        <v>FLAT</v>
      </c>
      <c r="I271" s="9">
        <f ca="1">'MF Measure Development'!BH156</f>
        <v>11.923430912808721</v>
      </c>
      <c r="J271" s="9">
        <f>'MF Measure Development'!BI156</f>
        <v>0</v>
      </c>
      <c r="K271" s="9">
        <f>'MF Measure Development'!BJ156</f>
        <v>0</v>
      </c>
      <c r="L271" s="9">
        <f>'MF Measure Development'!BK156</f>
        <v>0</v>
      </c>
      <c r="M271" s="9">
        <f>'MF Measure Development'!BL156</f>
        <v>0</v>
      </c>
      <c r="N271" s="9">
        <f>'MF Measure Development'!BM156</f>
        <v>0</v>
      </c>
      <c r="O271" s="9">
        <f>'MF Measure Development'!BN156</f>
        <v>0</v>
      </c>
      <c r="P271" s="9">
        <f>'MF Measure Development'!BO156</f>
        <v>0</v>
      </c>
      <c r="Q271" s="9">
        <f>'MF Measure Development'!BP156</f>
        <v>0</v>
      </c>
    </row>
    <row r="272" spans="1:17">
      <c r="A272" s="9" t="s">
        <v>161</v>
      </c>
      <c r="B272" s="9" t="str">
        <f>'MF Measure Development'!BA157</f>
        <v>CEE Tier 1 Clothes Washer - Any DHW, Any Dryer - 31% ENERGY STAR Baseline</v>
      </c>
      <c r="C272" s="9" t="str">
        <f>'MF Measure Development'!BB157</f>
        <v>Waste Water Energy</v>
      </c>
      <c r="D272" s="9">
        <f ca="1">'MF Measure Development'!BC157</f>
        <v>3.17293366135821</v>
      </c>
      <c r="E272" s="9">
        <f>'MF Measure Development'!BD157</f>
        <v>14</v>
      </c>
      <c r="F272" s="9">
        <f>'MF Measure Development'!BE157</f>
        <v>0</v>
      </c>
      <c r="G272" s="9">
        <f>'MF Measure Development'!BF157</f>
        <v>0</v>
      </c>
      <c r="H272" s="9" t="str">
        <f>'MF Measure Development'!BG157</f>
        <v>FLAT</v>
      </c>
      <c r="I272" s="9">
        <f ca="1">'MF Measure Development'!BH157</f>
        <v>11.923430912808721</v>
      </c>
      <c r="J272" s="9">
        <f>'MF Measure Development'!BI157</f>
        <v>0</v>
      </c>
      <c r="K272" s="9">
        <f>'MF Measure Development'!BJ157</f>
        <v>0</v>
      </c>
      <c r="L272" s="9">
        <f>'MF Measure Development'!BK157</f>
        <v>0</v>
      </c>
      <c r="M272" s="9">
        <f>'MF Measure Development'!BL157</f>
        <v>0</v>
      </c>
      <c r="N272" s="9">
        <f>'MF Measure Development'!BM157</f>
        <v>0</v>
      </c>
      <c r="O272" s="9">
        <f>'MF Measure Development'!BN157</f>
        <v>0</v>
      </c>
      <c r="P272" s="9">
        <f>'MF Measure Development'!BO157</f>
        <v>0</v>
      </c>
      <c r="Q272" s="9">
        <f>'MF Measure Development'!BP157</f>
        <v>0</v>
      </c>
    </row>
    <row r="273" spans="1:17">
      <c r="A273" s="9" t="s">
        <v>161</v>
      </c>
      <c r="B273" s="9" t="str">
        <f>'MF Measure Development'!BA158</f>
        <v>CEE Tier 2 Clothes Washer - Electric DHW, Electric Dryer - 31% ENERGY STAR Baseline</v>
      </c>
      <c r="C273" s="9" t="str">
        <f>'MF Measure Development'!BB158</f>
        <v>Waste Water Energy</v>
      </c>
      <c r="D273" s="9">
        <f ca="1">'MF Measure Development'!BC158</f>
        <v>4.2319016498398385</v>
      </c>
      <c r="E273" s="9">
        <f>'MF Measure Development'!BD158</f>
        <v>14</v>
      </c>
      <c r="F273" s="9">
        <f>'MF Measure Development'!BE158</f>
        <v>0</v>
      </c>
      <c r="G273" s="9">
        <f>'MF Measure Development'!BF158</f>
        <v>0</v>
      </c>
      <c r="H273" s="9" t="str">
        <f>'MF Measure Development'!BG158</f>
        <v>FLAT</v>
      </c>
      <c r="I273" s="9">
        <f ca="1">'MF Measure Development'!BH158</f>
        <v>15.902881162055911</v>
      </c>
      <c r="J273" s="9">
        <f>'MF Measure Development'!BI158</f>
        <v>0</v>
      </c>
      <c r="K273" s="9">
        <f>'MF Measure Development'!BJ158</f>
        <v>0</v>
      </c>
      <c r="L273" s="9">
        <f>'MF Measure Development'!BK158</f>
        <v>0</v>
      </c>
      <c r="M273" s="9">
        <f>'MF Measure Development'!BL158</f>
        <v>0</v>
      </c>
      <c r="N273" s="9">
        <f>'MF Measure Development'!BM158</f>
        <v>0</v>
      </c>
      <c r="O273" s="9">
        <f>'MF Measure Development'!BN158</f>
        <v>0</v>
      </c>
      <c r="P273" s="9">
        <f>'MF Measure Development'!BO158</f>
        <v>0</v>
      </c>
      <c r="Q273" s="9">
        <f>'MF Measure Development'!BP158</f>
        <v>0</v>
      </c>
    </row>
    <row r="274" spans="1:17">
      <c r="A274" s="9" t="s">
        <v>161</v>
      </c>
      <c r="B274" s="9" t="str">
        <f>'MF Measure Development'!BA159</f>
        <v>CEE Tier 2 Clothes Washer - Electric DHW, Gas Dryer - 31% ENERGY STAR Baseline</v>
      </c>
      <c r="C274" s="9" t="str">
        <f>'MF Measure Development'!BB159</f>
        <v>Waste Water Energy</v>
      </c>
      <c r="D274" s="9">
        <f ca="1">'MF Measure Development'!BC159</f>
        <v>4.2319016498398385</v>
      </c>
      <c r="E274" s="9">
        <f>'MF Measure Development'!BD159</f>
        <v>14</v>
      </c>
      <c r="F274" s="9">
        <f>'MF Measure Development'!BE159</f>
        <v>0</v>
      </c>
      <c r="G274" s="9">
        <f>'MF Measure Development'!BF159</f>
        <v>0</v>
      </c>
      <c r="H274" s="9" t="str">
        <f>'MF Measure Development'!BG159</f>
        <v>FLAT</v>
      </c>
      <c r="I274" s="9">
        <f ca="1">'MF Measure Development'!BH159</f>
        <v>15.902881162055911</v>
      </c>
      <c r="J274" s="9">
        <f>'MF Measure Development'!BI159</f>
        <v>0</v>
      </c>
      <c r="K274" s="9">
        <f>'MF Measure Development'!BJ159</f>
        <v>0</v>
      </c>
      <c r="L274" s="9">
        <f>'MF Measure Development'!BK159</f>
        <v>0</v>
      </c>
      <c r="M274" s="9">
        <f>'MF Measure Development'!BL159</f>
        <v>0</v>
      </c>
      <c r="N274" s="9">
        <f>'MF Measure Development'!BM159</f>
        <v>0</v>
      </c>
      <c r="O274" s="9">
        <f>'MF Measure Development'!BN159</f>
        <v>0</v>
      </c>
      <c r="P274" s="9">
        <f>'MF Measure Development'!BO159</f>
        <v>0</v>
      </c>
      <c r="Q274" s="9">
        <f>'MF Measure Development'!BP159</f>
        <v>0</v>
      </c>
    </row>
    <row r="275" spans="1:17">
      <c r="A275" s="9" t="s">
        <v>161</v>
      </c>
      <c r="B275" s="9" t="str">
        <f>'MF Measure Development'!BA160</f>
        <v>CEE Tier 2 Clothes Washer - Gas DHW, Electric Dryer - 31% ENERGY STAR Baseline</v>
      </c>
      <c r="C275" s="9" t="str">
        <f>'MF Measure Development'!BB160</f>
        <v>Waste Water Energy</v>
      </c>
      <c r="D275" s="9">
        <f ca="1">'MF Measure Development'!BC160</f>
        <v>4.2319016498398385</v>
      </c>
      <c r="E275" s="9">
        <f>'MF Measure Development'!BD160</f>
        <v>14</v>
      </c>
      <c r="F275" s="9">
        <f>'MF Measure Development'!BE160</f>
        <v>0</v>
      </c>
      <c r="G275" s="9">
        <f>'MF Measure Development'!BF160</f>
        <v>0</v>
      </c>
      <c r="H275" s="9" t="str">
        <f>'MF Measure Development'!BG160</f>
        <v>FLAT</v>
      </c>
      <c r="I275" s="9">
        <f ca="1">'MF Measure Development'!BH160</f>
        <v>15.902881162055911</v>
      </c>
      <c r="J275" s="9">
        <f>'MF Measure Development'!BI160</f>
        <v>0</v>
      </c>
      <c r="K275" s="9">
        <f>'MF Measure Development'!BJ160</f>
        <v>0</v>
      </c>
      <c r="L275" s="9">
        <f>'MF Measure Development'!BK160</f>
        <v>0</v>
      </c>
      <c r="M275" s="9">
        <f>'MF Measure Development'!BL160</f>
        <v>0</v>
      </c>
      <c r="N275" s="9">
        <f>'MF Measure Development'!BM160</f>
        <v>0</v>
      </c>
      <c r="O275" s="9">
        <f>'MF Measure Development'!BN160</f>
        <v>0</v>
      </c>
      <c r="P275" s="9">
        <f>'MF Measure Development'!BO160</f>
        <v>0</v>
      </c>
      <c r="Q275" s="9">
        <f>'MF Measure Development'!BP160</f>
        <v>0</v>
      </c>
    </row>
    <row r="276" spans="1:17">
      <c r="A276" s="9" t="s">
        <v>161</v>
      </c>
      <c r="B276" s="9" t="str">
        <f>'MF Measure Development'!BA161</f>
        <v>CEE Tier 2 Clothes Washer - Gas DHW, Gas Dryer - 31% ENERGY STAR Baseline</v>
      </c>
      <c r="C276" s="9" t="str">
        <f>'MF Measure Development'!BB161</f>
        <v>Waste Water Energy</v>
      </c>
      <c r="D276" s="9">
        <f ca="1">'MF Measure Development'!BC161</f>
        <v>4.2319016498398385</v>
      </c>
      <c r="E276" s="9">
        <f>'MF Measure Development'!BD161</f>
        <v>14</v>
      </c>
      <c r="F276" s="9">
        <f>'MF Measure Development'!BE161</f>
        <v>0</v>
      </c>
      <c r="G276" s="9">
        <f>'MF Measure Development'!BF161</f>
        <v>0</v>
      </c>
      <c r="H276" s="9" t="str">
        <f>'MF Measure Development'!BG161</f>
        <v>FLAT</v>
      </c>
      <c r="I276" s="9">
        <f ca="1">'MF Measure Development'!BH161</f>
        <v>15.902881162055911</v>
      </c>
      <c r="J276" s="9">
        <f>'MF Measure Development'!BI161</f>
        <v>0</v>
      </c>
      <c r="K276" s="9">
        <f>'MF Measure Development'!BJ161</f>
        <v>0</v>
      </c>
      <c r="L276" s="9">
        <f>'MF Measure Development'!BK161</f>
        <v>0</v>
      </c>
      <c r="M276" s="9">
        <f>'MF Measure Development'!BL161</f>
        <v>0</v>
      </c>
      <c r="N276" s="9">
        <f>'MF Measure Development'!BM161</f>
        <v>0</v>
      </c>
      <c r="O276" s="9">
        <f>'MF Measure Development'!BN161</f>
        <v>0</v>
      </c>
      <c r="P276" s="9">
        <f>'MF Measure Development'!BO161</f>
        <v>0</v>
      </c>
      <c r="Q276" s="9">
        <f>'MF Measure Development'!BP161</f>
        <v>0</v>
      </c>
    </row>
    <row r="277" spans="1:17">
      <c r="A277" s="9" t="s">
        <v>161</v>
      </c>
      <c r="B277" s="9" t="str">
        <f>'MF Measure Development'!BA162</f>
        <v>CEE Tier 2 Clothes Washer - Any DHW, Any Dryer - 31% ENERGY STAR Baseline</v>
      </c>
      <c r="C277" s="9" t="str">
        <f>'MF Measure Development'!BB162</f>
        <v>Waste Water Energy</v>
      </c>
      <c r="D277" s="9">
        <f ca="1">'MF Measure Development'!BC162</f>
        <v>4.2319016498398385</v>
      </c>
      <c r="E277" s="9">
        <f>'MF Measure Development'!BD162</f>
        <v>14</v>
      </c>
      <c r="F277" s="9">
        <f>'MF Measure Development'!BE162</f>
        <v>0</v>
      </c>
      <c r="G277" s="9">
        <f>'MF Measure Development'!BF162</f>
        <v>0</v>
      </c>
      <c r="H277" s="9" t="str">
        <f>'MF Measure Development'!BG162</f>
        <v>FLAT</v>
      </c>
      <c r="I277" s="9">
        <f ca="1">'MF Measure Development'!BH162</f>
        <v>15.902881162055911</v>
      </c>
      <c r="J277" s="9">
        <f>'MF Measure Development'!BI162</f>
        <v>0</v>
      </c>
      <c r="K277" s="9">
        <f>'MF Measure Development'!BJ162</f>
        <v>0</v>
      </c>
      <c r="L277" s="9">
        <f>'MF Measure Development'!BK162</f>
        <v>0</v>
      </c>
      <c r="M277" s="9">
        <f>'MF Measure Development'!BL162</f>
        <v>0</v>
      </c>
      <c r="N277" s="9">
        <f>'MF Measure Development'!BM162</f>
        <v>0</v>
      </c>
      <c r="O277" s="9">
        <f>'MF Measure Development'!BN162</f>
        <v>0</v>
      </c>
      <c r="P277" s="9">
        <f>'MF Measure Development'!BO162</f>
        <v>0</v>
      </c>
      <c r="Q277" s="9">
        <f>'MF Measure Development'!BP162</f>
        <v>0</v>
      </c>
    </row>
    <row r="278" spans="1:17">
      <c r="A278" s="9" t="s">
        <v>161</v>
      </c>
      <c r="B278" s="9" t="str">
        <f>'MF Measure Development'!BA163</f>
        <v>CEE Tier 3 Clothes Washer - Electric DHW, Electric Dryer - 31% ENERGY STAR Baseline</v>
      </c>
      <c r="C278" s="9" t="str">
        <f>'MF Measure Development'!BB163</f>
        <v>Waste Water Energy</v>
      </c>
      <c r="D278" s="9">
        <f ca="1">'MF Measure Development'!BC163</f>
        <v>4.3233672150637759</v>
      </c>
      <c r="E278" s="9">
        <f>'MF Measure Development'!BD163</f>
        <v>14</v>
      </c>
      <c r="F278" s="9">
        <f>'MF Measure Development'!BE163</f>
        <v>0</v>
      </c>
      <c r="G278" s="9">
        <f>'MF Measure Development'!BF163</f>
        <v>0</v>
      </c>
      <c r="H278" s="9" t="str">
        <f>'MF Measure Development'!BG163</f>
        <v>FLAT</v>
      </c>
      <c r="I278" s="9">
        <f ca="1">'MF Measure Development'!BH163</f>
        <v>16.246595674946729</v>
      </c>
      <c r="J278" s="9">
        <f>'MF Measure Development'!BI163</f>
        <v>0</v>
      </c>
      <c r="K278" s="9">
        <f>'MF Measure Development'!BJ163</f>
        <v>0</v>
      </c>
      <c r="L278" s="9">
        <f>'MF Measure Development'!BK163</f>
        <v>0</v>
      </c>
      <c r="M278" s="9">
        <f>'MF Measure Development'!BL163</f>
        <v>0</v>
      </c>
      <c r="N278" s="9">
        <f>'MF Measure Development'!BM163</f>
        <v>0</v>
      </c>
      <c r="O278" s="9">
        <f>'MF Measure Development'!BN163</f>
        <v>0</v>
      </c>
      <c r="P278" s="9">
        <f>'MF Measure Development'!BO163</f>
        <v>0</v>
      </c>
      <c r="Q278" s="9">
        <f>'MF Measure Development'!BP163</f>
        <v>0</v>
      </c>
    </row>
    <row r="279" spans="1:17">
      <c r="A279" s="9" t="s">
        <v>161</v>
      </c>
      <c r="B279" s="9" t="str">
        <f>'MF Measure Development'!BA164</f>
        <v>CEE Tier 3 Clothes Washer - Electric DHW, Gas Dryer - 31% ENERGY STAR Baseline</v>
      </c>
      <c r="C279" s="9" t="str">
        <f>'MF Measure Development'!BB164</f>
        <v>Waste Water Energy</v>
      </c>
      <c r="D279" s="9">
        <f ca="1">'MF Measure Development'!BC164</f>
        <v>4.3233672150637759</v>
      </c>
      <c r="E279" s="9">
        <f>'MF Measure Development'!BD164</f>
        <v>14</v>
      </c>
      <c r="F279" s="9">
        <f>'MF Measure Development'!BE164</f>
        <v>0</v>
      </c>
      <c r="G279" s="9">
        <f>'MF Measure Development'!BF164</f>
        <v>0</v>
      </c>
      <c r="H279" s="9" t="str">
        <f>'MF Measure Development'!BG164</f>
        <v>FLAT</v>
      </c>
      <c r="I279" s="9">
        <f ca="1">'MF Measure Development'!BH164</f>
        <v>16.246595674946729</v>
      </c>
      <c r="J279" s="9">
        <f>'MF Measure Development'!BI164</f>
        <v>0</v>
      </c>
      <c r="K279" s="9">
        <f>'MF Measure Development'!BJ164</f>
        <v>0</v>
      </c>
      <c r="L279" s="9">
        <f>'MF Measure Development'!BK164</f>
        <v>0</v>
      </c>
      <c r="M279" s="9">
        <f>'MF Measure Development'!BL164</f>
        <v>0</v>
      </c>
      <c r="N279" s="9">
        <f>'MF Measure Development'!BM164</f>
        <v>0</v>
      </c>
      <c r="O279" s="9">
        <f>'MF Measure Development'!BN164</f>
        <v>0</v>
      </c>
      <c r="P279" s="9">
        <f>'MF Measure Development'!BO164</f>
        <v>0</v>
      </c>
      <c r="Q279" s="9">
        <f>'MF Measure Development'!BP164</f>
        <v>0</v>
      </c>
    </row>
    <row r="280" spans="1:17">
      <c r="A280" s="9" t="s">
        <v>161</v>
      </c>
      <c r="B280" s="9" t="str">
        <f>'MF Measure Development'!BA165</f>
        <v>CEE Tier 3 Clothes Washer - Gas DHW, Electric Dryer - 31% ENERGY STAR Baseline</v>
      </c>
      <c r="C280" s="9" t="str">
        <f>'MF Measure Development'!BB165</f>
        <v>Waste Water Energy</v>
      </c>
      <c r="D280" s="9">
        <f ca="1">'MF Measure Development'!BC165</f>
        <v>4.3233672150637759</v>
      </c>
      <c r="E280" s="9">
        <f>'MF Measure Development'!BD165</f>
        <v>14</v>
      </c>
      <c r="F280" s="9">
        <f>'MF Measure Development'!BE165</f>
        <v>0</v>
      </c>
      <c r="G280" s="9">
        <f>'MF Measure Development'!BF165</f>
        <v>0</v>
      </c>
      <c r="H280" s="9" t="str">
        <f>'MF Measure Development'!BG165</f>
        <v>FLAT</v>
      </c>
      <c r="I280" s="9">
        <f ca="1">'MF Measure Development'!BH165</f>
        <v>16.246595674946729</v>
      </c>
      <c r="J280" s="9">
        <f>'MF Measure Development'!BI165</f>
        <v>0</v>
      </c>
      <c r="K280" s="9">
        <f>'MF Measure Development'!BJ165</f>
        <v>0</v>
      </c>
      <c r="L280" s="9">
        <f>'MF Measure Development'!BK165</f>
        <v>0</v>
      </c>
      <c r="M280" s="9">
        <f>'MF Measure Development'!BL165</f>
        <v>0</v>
      </c>
      <c r="N280" s="9">
        <f>'MF Measure Development'!BM165</f>
        <v>0</v>
      </c>
      <c r="O280" s="9">
        <f>'MF Measure Development'!BN165</f>
        <v>0</v>
      </c>
      <c r="P280" s="9">
        <f>'MF Measure Development'!BO165</f>
        <v>0</v>
      </c>
      <c r="Q280" s="9">
        <f>'MF Measure Development'!BP165</f>
        <v>0</v>
      </c>
    </row>
    <row r="281" spans="1:17">
      <c r="A281" s="9" t="s">
        <v>161</v>
      </c>
      <c r="B281" s="9" t="str">
        <f>'MF Measure Development'!BA166</f>
        <v>CEE Tier 3 Clothes Washer - Gas DHW, Gas Dryer - 31% ENERGY STAR Baseline</v>
      </c>
      <c r="C281" s="9" t="str">
        <f>'MF Measure Development'!BB166</f>
        <v>Waste Water Energy</v>
      </c>
      <c r="D281" s="9">
        <f ca="1">'MF Measure Development'!BC166</f>
        <v>4.3233672150637759</v>
      </c>
      <c r="E281" s="9">
        <f>'MF Measure Development'!BD166</f>
        <v>14</v>
      </c>
      <c r="F281" s="9">
        <f>'MF Measure Development'!BE166</f>
        <v>0</v>
      </c>
      <c r="G281" s="9">
        <f>'MF Measure Development'!BF166</f>
        <v>0</v>
      </c>
      <c r="H281" s="9" t="str">
        <f>'MF Measure Development'!BG166</f>
        <v>FLAT</v>
      </c>
      <c r="I281" s="9">
        <f ca="1">'MF Measure Development'!BH166</f>
        <v>16.246595674946729</v>
      </c>
      <c r="J281" s="9">
        <f>'MF Measure Development'!BI166</f>
        <v>0</v>
      </c>
      <c r="K281" s="9">
        <f>'MF Measure Development'!BJ166</f>
        <v>0</v>
      </c>
      <c r="L281" s="9">
        <f>'MF Measure Development'!BK166</f>
        <v>0</v>
      </c>
      <c r="M281" s="9">
        <f>'MF Measure Development'!BL166</f>
        <v>0</v>
      </c>
      <c r="N281" s="9">
        <f>'MF Measure Development'!BM166</f>
        <v>0</v>
      </c>
      <c r="O281" s="9">
        <f>'MF Measure Development'!BN166</f>
        <v>0</v>
      </c>
      <c r="P281" s="9">
        <f>'MF Measure Development'!BO166</f>
        <v>0</v>
      </c>
      <c r="Q281" s="9">
        <f>'MF Measure Development'!BP166</f>
        <v>0</v>
      </c>
    </row>
    <row r="282" spans="1:17">
      <c r="A282" s="9" t="s">
        <v>161</v>
      </c>
      <c r="B282" s="9" t="str">
        <f>'MF Measure Development'!BA167</f>
        <v>CEE Tier 3 Clothes Washer - Any DHW, Any Dryer - 31% ENERGY STAR Baseline</v>
      </c>
      <c r="C282" s="9" t="str">
        <f>'MF Measure Development'!BB167</f>
        <v>Waste Water Energy</v>
      </c>
      <c r="D282" s="9">
        <f ca="1">'MF Measure Development'!BC167</f>
        <v>4.3233672150637759</v>
      </c>
      <c r="E282" s="9">
        <f>'MF Measure Development'!BD167</f>
        <v>14</v>
      </c>
      <c r="F282" s="9">
        <f>'MF Measure Development'!BE167</f>
        <v>0</v>
      </c>
      <c r="G282" s="9">
        <f>'MF Measure Development'!BF167</f>
        <v>0</v>
      </c>
      <c r="H282" s="9" t="str">
        <f>'MF Measure Development'!BG167</f>
        <v>FLAT</v>
      </c>
      <c r="I282" s="9">
        <f ca="1">'MF Measure Development'!BH167</f>
        <v>16.246595674946729</v>
      </c>
      <c r="J282" s="9">
        <f>'MF Measure Development'!BI167</f>
        <v>0</v>
      </c>
      <c r="K282" s="9">
        <f>'MF Measure Development'!BJ167</f>
        <v>0</v>
      </c>
      <c r="L282" s="9">
        <f>'MF Measure Development'!BK167</f>
        <v>0</v>
      </c>
      <c r="M282" s="9">
        <f>'MF Measure Development'!BL167</f>
        <v>0</v>
      </c>
      <c r="N282" s="9">
        <f>'MF Measure Development'!BM167</f>
        <v>0</v>
      </c>
      <c r="O282" s="9">
        <f>'MF Measure Development'!BN167</f>
        <v>0</v>
      </c>
      <c r="P282" s="9">
        <f>'MF Measure Development'!BO167</f>
        <v>0</v>
      </c>
      <c r="Q282" s="9">
        <f>'MF Measure Development'!BP167</f>
        <v>0</v>
      </c>
    </row>
    <row r="283" spans="1:17">
      <c r="A283" s="9" t="s">
        <v>161</v>
      </c>
      <c r="B283" s="9" t="str">
        <f>'MF Measure Development'!BA168</f>
        <v>ENERGY STAR - Top-Load Clothes Washer - Electric DHW, Electric Dryer - 54% ENERGY STAR Baseline</v>
      </c>
      <c r="C283" s="9" t="str">
        <f>'MF Measure Development'!BB168</f>
        <v>Waste Water Energy</v>
      </c>
      <c r="D283" s="9">
        <f ca="1">'MF Measure Development'!BC168</f>
        <v>-0.60922634974146261</v>
      </c>
      <c r="E283" s="9">
        <f>'MF Measure Development'!BD168</f>
        <v>14</v>
      </c>
      <c r="F283" s="9">
        <f>'MF Measure Development'!BE168</f>
        <v>0</v>
      </c>
      <c r="G283" s="9">
        <f>'MF Measure Development'!BF168</f>
        <v>0</v>
      </c>
      <c r="H283" s="9" t="str">
        <f>'MF Measure Development'!BG168</f>
        <v>FLAT</v>
      </c>
      <c r="I283" s="9">
        <f ca="1">'MF Measure Development'!BH168</f>
        <v>-2.2893854920041119</v>
      </c>
      <c r="J283" s="9">
        <f>'MF Measure Development'!BI168</f>
        <v>0</v>
      </c>
      <c r="K283" s="9">
        <f>'MF Measure Development'!BJ168</f>
        <v>0</v>
      </c>
      <c r="L283" s="9">
        <f>'MF Measure Development'!BK168</f>
        <v>0</v>
      </c>
      <c r="M283" s="9">
        <f>'MF Measure Development'!BL168</f>
        <v>0</v>
      </c>
      <c r="N283" s="9">
        <f>'MF Measure Development'!BM168</f>
        <v>0</v>
      </c>
      <c r="O283" s="9">
        <f>'MF Measure Development'!BN168</f>
        <v>0</v>
      </c>
      <c r="P283" s="9">
        <f>'MF Measure Development'!BO168</f>
        <v>0</v>
      </c>
      <c r="Q283" s="9">
        <f>'MF Measure Development'!BP168</f>
        <v>0</v>
      </c>
    </row>
    <row r="284" spans="1:17">
      <c r="A284" s="9" t="s">
        <v>161</v>
      </c>
      <c r="B284" s="9" t="str">
        <f>'MF Measure Development'!BA169</f>
        <v>ENERGY STAR - Top-Load Clothes Washer - Electric DHW, Gas Dryer - 54% ENERGY STAR Baseline</v>
      </c>
      <c r="C284" s="9" t="str">
        <f>'MF Measure Development'!BB169</f>
        <v>Waste Water Energy</v>
      </c>
      <c r="D284" s="9">
        <f ca="1">'MF Measure Development'!BC169</f>
        <v>-0.60922634974146261</v>
      </c>
      <c r="E284" s="9">
        <f>'MF Measure Development'!BD169</f>
        <v>14</v>
      </c>
      <c r="F284" s="9">
        <f>'MF Measure Development'!BE169</f>
        <v>0</v>
      </c>
      <c r="G284" s="9">
        <f>'MF Measure Development'!BF169</f>
        <v>0</v>
      </c>
      <c r="H284" s="9" t="str">
        <f>'MF Measure Development'!BG169</f>
        <v>FLAT</v>
      </c>
      <c r="I284" s="9">
        <f ca="1">'MF Measure Development'!BH169</f>
        <v>-2.2893854920041119</v>
      </c>
      <c r="J284" s="9">
        <f>'MF Measure Development'!BI169</f>
        <v>0</v>
      </c>
      <c r="K284" s="9">
        <f>'MF Measure Development'!BJ169</f>
        <v>0</v>
      </c>
      <c r="L284" s="9">
        <f>'MF Measure Development'!BK169</f>
        <v>0</v>
      </c>
      <c r="M284" s="9">
        <f>'MF Measure Development'!BL169</f>
        <v>0</v>
      </c>
      <c r="N284" s="9">
        <f>'MF Measure Development'!BM169</f>
        <v>0</v>
      </c>
      <c r="O284" s="9">
        <f>'MF Measure Development'!BN169</f>
        <v>0</v>
      </c>
      <c r="P284" s="9">
        <f>'MF Measure Development'!BO169</f>
        <v>0</v>
      </c>
      <c r="Q284" s="9">
        <f>'MF Measure Development'!BP169</f>
        <v>0</v>
      </c>
    </row>
    <row r="285" spans="1:17">
      <c r="A285" s="9" t="s">
        <v>161</v>
      </c>
      <c r="B285" s="9" t="str">
        <f>'MF Measure Development'!BA170</f>
        <v>ENERGY STAR - Top-Load Clothes Washer - Gas DHW, Electric Dryer - 54% ENERGY STAR Baseline</v>
      </c>
      <c r="C285" s="9" t="str">
        <f>'MF Measure Development'!BB170</f>
        <v>Waste Water Energy</v>
      </c>
      <c r="D285" s="9">
        <f ca="1">'MF Measure Development'!BC170</f>
        <v>-0.60922634974146261</v>
      </c>
      <c r="E285" s="9">
        <f>'MF Measure Development'!BD170</f>
        <v>14</v>
      </c>
      <c r="F285" s="9">
        <f>'MF Measure Development'!BE170</f>
        <v>0</v>
      </c>
      <c r="G285" s="9">
        <f>'MF Measure Development'!BF170</f>
        <v>0</v>
      </c>
      <c r="H285" s="9" t="str">
        <f>'MF Measure Development'!BG170</f>
        <v>FLAT</v>
      </c>
      <c r="I285" s="9">
        <f ca="1">'MF Measure Development'!BH170</f>
        <v>-2.2893854920041119</v>
      </c>
      <c r="J285" s="9">
        <f>'MF Measure Development'!BI170</f>
        <v>0</v>
      </c>
      <c r="K285" s="9">
        <f>'MF Measure Development'!BJ170</f>
        <v>0</v>
      </c>
      <c r="L285" s="9">
        <f>'MF Measure Development'!BK170</f>
        <v>0</v>
      </c>
      <c r="M285" s="9">
        <f>'MF Measure Development'!BL170</f>
        <v>0</v>
      </c>
      <c r="N285" s="9">
        <f>'MF Measure Development'!BM170</f>
        <v>0</v>
      </c>
      <c r="O285" s="9">
        <f>'MF Measure Development'!BN170</f>
        <v>0</v>
      </c>
      <c r="P285" s="9">
        <f>'MF Measure Development'!BO170</f>
        <v>0</v>
      </c>
      <c r="Q285" s="9">
        <f>'MF Measure Development'!BP170</f>
        <v>0</v>
      </c>
    </row>
    <row r="286" spans="1:17">
      <c r="A286" s="9" t="s">
        <v>161</v>
      </c>
      <c r="B286" s="9" t="str">
        <f>'MF Measure Development'!BA171</f>
        <v>ENERGY STAR - Top-Load Clothes Washer - Gas DHW, Gas Dryer - 54% ENERGY STAR Baseline</v>
      </c>
      <c r="C286" s="9" t="str">
        <f>'MF Measure Development'!BB171</f>
        <v>Waste Water Energy</v>
      </c>
      <c r="D286" s="9">
        <f ca="1">'MF Measure Development'!BC171</f>
        <v>-0.60922634974146261</v>
      </c>
      <c r="E286" s="9">
        <f>'MF Measure Development'!BD171</f>
        <v>14</v>
      </c>
      <c r="F286" s="9">
        <f>'MF Measure Development'!BE171</f>
        <v>0</v>
      </c>
      <c r="G286" s="9">
        <f>'MF Measure Development'!BF171</f>
        <v>0</v>
      </c>
      <c r="H286" s="9" t="str">
        <f>'MF Measure Development'!BG171</f>
        <v>FLAT</v>
      </c>
      <c r="I286" s="9">
        <f ca="1">'MF Measure Development'!BH171</f>
        <v>-2.2893854920041119</v>
      </c>
      <c r="J286" s="9">
        <f>'MF Measure Development'!BI171</f>
        <v>0</v>
      </c>
      <c r="K286" s="9">
        <f>'MF Measure Development'!BJ171</f>
        <v>0</v>
      </c>
      <c r="L286" s="9">
        <f>'MF Measure Development'!BK171</f>
        <v>0</v>
      </c>
      <c r="M286" s="9">
        <f>'MF Measure Development'!BL171</f>
        <v>0</v>
      </c>
      <c r="N286" s="9">
        <f>'MF Measure Development'!BM171</f>
        <v>0</v>
      </c>
      <c r="O286" s="9">
        <f>'MF Measure Development'!BN171</f>
        <v>0</v>
      </c>
      <c r="P286" s="9">
        <f>'MF Measure Development'!BO171</f>
        <v>0</v>
      </c>
      <c r="Q286" s="9">
        <f>'MF Measure Development'!BP171</f>
        <v>0</v>
      </c>
    </row>
    <row r="287" spans="1:17">
      <c r="A287" s="9" t="s">
        <v>161</v>
      </c>
      <c r="B287" s="9" t="str">
        <f>'MF Measure Development'!BA172</f>
        <v>ENERGY STAR - Top-Load Clothes Washer - Any DHW, Any Dryer - 54% ENERGY STAR Baseline</v>
      </c>
      <c r="C287" s="9" t="str">
        <f>'MF Measure Development'!BB172</f>
        <v>Waste Water Energy</v>
      </c>
      <c r="D287" s="9">
        <f ca="1">'MF Measure Development'!BC172</f>
        <v>-0.60922634974146261</v>
      </c>
      <c r="E287" s="9">
        <f>'MF Measure Development'!BD172</f>
        <v>14</v>
      </c>
      <c r="F287" s="9">
        <f>'MF Measure Development'!BE172</f>
        <v>0</v>
      </c>
      <c r="G287" s="9">
        <f>'MF Measure Development'!BF172</f>
        <v>0</v>
      </c>
      <c r="H287" s="9" t="str">
        <f>'MF Measure Development'!BG172</f>
        <v>FLAT</v>
      </c>
      <c r="I287" s="9">
        <f ca="1">'MF Measure Development'!BH172</f>
        <v>-2.2893854920041119</v>
      </c>
      <c r="J287" s="9">
        <f>'MF Measure Development'!BI172</f>
        <v>0</v>
      </c>
      <c r="K287" s="9">
        <f>'MF Measure Development'!BJ172</f>
        <v>0</v>
      </c>
      <c r="L287" s="9">
        <f>'MF Measure Development'!BK172</f>
        <v>0</v>
      </c>
      <c r="M287" s="9">
        <f>'MF Measure Development'!BL172</f>
        <v>0</v>
      </c>
      <c r="N287" s="9">
        <f>'MF Measure Development'!BM172</f>
        <v>0</v>
      </c>
      <c r="O287" s="9">
        <f>'MF Measure Development'!BN172</f>
        <v>0</v>
      </c>
      <c r="P287" s="9">
        <f>'MF Measure Development'!BO172</f>
        <v>0</v>
      </c>
      <c r="Q287" s="9">
        <f>'MF Measure Development'!BP172</f>
        <v>0</v>
      </c>
    </row>
    <row r="288" spans="1:17">
      <c r="A288" s="9" t="s">
        <v>161</v>
      </c>
      <c r="B288" s="9" t="str">
        <f>'MF Measure Development'!BA173</f>
        <v>ENERGY STAR - Front-Load Clothes Washer - Electric DHW, Electric Dryer - 54% ENERGY STAR Baseline</v>
      </c>
      <c r="C288" s="9" t="str">
        <f>'MF Measure Development'!BB173</f>
        <v>Waste Water Energy</v>
      </c>
      <c r="D288" s="9">
        <f ca="1">'MF Measure Development'!BC173</f>
        <v>2.7104849190651508</v>
      </c>
      <c r="E288" s="9">
        <f>'MF Measure Development'!BD173</f>
        <v>14</v>
      </c>
      <c r="F288" s="9">
        <f>'MF Measure Development'!BE173</f>
        <v>0</v>
      </c>
      <c r="G288" s="9">
        <f>'MF Measure Development'!BF173</f>
        <v>0</v>
      </c>
      <c r="H288" s="9" t="str">
        <f>'MF Measure Development'!BG173</f>
        <v>FLAT</v>
      </c>
      <c r="I288" s="9">
        <f ca="1">'MF Measure Development'!BH173</f>
        <v>10.185614677758206</v>
      </c>
      <c r="J288" s="9">
        <f>'MF Measure Development'!BI173</f>
        <v>0</v>
      </c>
      <c r="K288" s="9">
        <f>'MF Measure Development'!BJ173</f>
        <v>0</v>
      </c>
      <c r="L288" s="9">
        <f>'MF Measure Development'!BK173</f>
        <v>0</v>
      </c>
      <c r="M288" s="9">
        <f>'MF Measure Development'!BL173</f>
        <v>0</v>
      </c>
      <c r="N288" s="9">
        <f>'MF Measure Development'!BM173</f>
        <v>0</v>
      </c>
      <c r="O288" s="9">
        <f>'MF Measure Development'!BN173</f>
        <v>0</v>
      </c>
      <c r="P288" s="9">
        <f>'MF Measure Development'!BO173</f>
        <v>0</v>
      </c>
      <c r="Q288" s="9">
        <f>'MF Measure Development'!BP173</f>
        <v>0</v>
      </c>
    </row>
    <row r="289" spans="1:17">
      <c r="A289" s="9" t="s">
        <v>161</v>
      </c>
      <c r="B289" s="9" t="str">
        <f>'MF Measure Development'!BA174</f>
        <v>ENERGY STAR - Front-Load Clothes Washer - Electric DHW, Gas Dryer - 54% ENERGY STAR Baseline</v>
      </c>
      <c r="C289" s="9" t="str">
        <f>'MF Measure Development'!BB174</f>
        <v>Waste Water Energy</v>
      </c>
      <c r="D289" s="9">
        <f ca="1">'MF Measure Development'!BC174</f>
        <v>2.7104849190651508</v>
      </c>
      <c r="E289" s="9">
        <f>'MF Measure Development'!BD174</f>
        <v>14</v>
      </c>
      <c r="F289" s="9">
        <f>'MF Measure Development'!BE174</f>
        <v>0</v>
      </c>
      <c r="G289" s="9">
        <f>'MF Measure Development'!BF174</f>
        <v>0</v>
      </c>
      <c r="H289" s="9" t="str">
        <f>'MF Measure Development'!BG174</f>
        <v>FLAT</v>
      </c>
      <c r="I289" s="9">
        <f ca="1">'MF Measure Development'!BH174</f>
        <v>10.185614677758206</v>
      </c>
      <c r="J289" s="9">
        <f>'MF Measure Development'!BI174</f>
        <v>0</v>
      </c>
      <c r="K289" s="9">
        <f>'MF Measure Development'!BJ174</f>
        <v>0</v>
      </c>
      <c r="L289" s="9">
        <f>'MF Measure Development'!BK174</f>
        <v>0</v>
      </c>
      <c r="M289" s="9">
        <f>'MF Measure Development'!BL174</f>
        <v>0</v>
      </c>
      <c r="N289" s="9">
        <f>'MF Measure Development'!BM174</f>
        <v>0</v>
      </c>
      <c r="O289" s="9">
        <f>'MF Measure Development'!BN174</f>
        <v>0</v>
      </c>
      <c r="P289" s="9">
        <f>'MF Measure Development'!BO174</f>
        <v>0</v>
      </c>
      <c r="Q289" s="9">
        <f>'MF Measure Development'!BP174</f>
        <v>0</v>
      </c>
    </row>
    <row r="290" spans="1:17">
      <c r="A290" s="9" t="s">
        <v>161</v>
      </c>
      <c r="B290" s="9" t="str">
        <f>'MF Measure Development'!BA175</f>
        <v>ENERGY STAR - Front-Load Clothes Washer - Gas DHW, Electric Dryer - 54% ENERGY STAR Baseline</v>
      </c>
      <c r="C290" s="9" t="str">
        <f>'MF Measure Development'!BB175</f>
        <v>Waste Water Energy</v>
      </c>
      <c r="D290" s="9">
        <f ca="1">'MF Measure Development'!BC175</f>
        <v>2.7104849190651508</v>
      </c>
      <c r="E290" s="9">
        <f>'MF Measure Development'!BD175</f>
        <v>14</v>
      </c>
      <c r="F290" s="9">
        <f>'MF Measure Development'!BE175</f>
        <v>0</v>
      </c>
      <c r="G290" s="9">
        <f>'MF Measure Development'!BF175</f>
        <v>0</v>
      </c>
      <c r="H290" s="9" t="str">
        <f>'MF Measure Development'!BG175</f>
        <v>FLAT</v>
      </c>
      <c r="I290" s="9">
        <f ca="1">'MF Measure Development'!BH175</f>
        <v>10.185614677758206</v>
      </c>
      <c r="J290" s="9">
        <f>'MF Measure Development'!BI175</f>
        <v>0</v>
      </c>
      <c r="K290" s="9">
        <f>'MF Measure Development'!BJ175</f>
        <v>0</v>
      </c>
      <c r="L290" s="9">
        <f>'MF Measure Development'!BK175</f>
        <v>0</v>
      </c>
      <c r="M290" s="9">
        <f>'MF Measure Development'!BL175</f>
        <v>0</v>
      </c>
      <c r="N290" s="9">
        <f>'MF Measure Development'!BM175</f>
        <v>0</v>
      </c>
      <c r="O290" s="9">
        <f>'MF Measure Development'!BN175</f>
        <v>0</v>
      </c>
      <c r="P290" s="9">
        <f>'MF Measure Development'!BO175</f>
        <v>0</v>
      </c>
      <c r="Q290" s="9">
        <f>'MF Measure Development'!BP175</f>
        <v>0</v>
      </c>
    </row>
    <row r="291" spans="1:17">
      <c r="A291" s="9" t="s">
        <v>161</v>
      </c>
      <c r="B291" s="9" t="str">
        <f>'MF Measure Development'!BA176</f>
        <v>ENERGY STAR - Front-Load Clothes Washer - Gas DHW, Gas Dryer - 54% ENERGY STAR Baseline</v>
      </c>
      <c r="C291" s="9" t="str">
        <f>'MF Measure Development'!BB176</f>
        <v>Waste Water Energy</v>
      </c>
      <c r="D291" s="9">
        <f ca="1">'MF Measure Development'!BC176</f>
        <v>2.7104849190651508</v>
      </c>
      <c r="E291" s="9">
        <f>'MF Measure Development'!BD176</f>
        <v>14</v>
      </c>
      <c r="F291" s="9">
        <f>'MF Measure Development'!BE176</f>
        <v>0</v>
      </c>
      <c r="G291" s="9">
        <f>'MF Measure Development'!BF176</f>
        <v>0</v>
      </c>
      <c r="H291" s="9" t="str">
        <f>'MF Measure Development'!BG176</f>
        <v>FLAT</v>
      </c>
      <c r="I291" s="9">
        <f ca="1">'MF Measure Development'!BH176</f>
        <v>10.185614677758206</v>
      </c>
      <c r="J291" s="9">
        <f>'MF Measure Development'!BI176</f>
        <v>0</v>
      </c>
      <c r="K291" s="9">
        <f>'MF Measure Development'!BJ176</f>
        <v>0</v>
      </c>
      <c r="L291" s="9">
        <f>'MF Measure Development'!BK176</f>
        <v>0</v>
      </c>
      <c r="M291" s="9">
        <f>'MF Measure Development'!BL176</f>
        <v>0</v>
      </c>
      <c r="N291" s="9">
        <f>'MF Measure Development'!BM176</f>
        <v>0</v>
      </c>
      <c r="O291" s="9">
        <f>'MF Measure Development'!BN176</f>
        <v>0</v>
      </c>
      <c r="P291" s="9">
        <f>'MF Measure Development'!BO176</f>
        <v>0</v>
      </c>
      <c r="Q291" s="9">
        <f>'MF Measure Development'!BP176</f>
        <v>0</v>
      </c>
    </row>
    <row r="292" spans="1:17">
      <c r="A292" s="9" t="s">
        <v>161</v>
      </c>
      <c r="B292" s="9" t="str">
        <f>'MF Measure Development'!BA177</f>
        <v>ENERGY STAR - Front-Load Clothes Washer - Any DHW, Any Dryer - 54% ENERGY STAR Baseline</v>
      </c>
      <c r="C292" s="9" t="str">
        <f>'MF Measure Development'!BB177</f>
        <v>Waste Water Energy</v>
      </c>
      <c r="D292" s="9">
        <f ca="1">'MF Measure Development'!BC177</f>
        <v>2.7104849190651508</v>
      </c>
      <c r="E292" s="9">
        <f>'MF Measure Development'!BD177</f>
        <v>14</v>
      </c>
      <c r="F292" s="9">
        <f>'MF Measure Development'!BE177</f>
        <v>0</v>
      </c>
      <c r="G292" s="9">
        <f>'MF Measure Development'!BF177</f>
        <v>0</v>
      </c>
      <c r="H292" s="9" t="str">
        <f>'MF Measure Development'!BG177</f>
        <v>FLAT</v>
      </c>
      <c r="I292" s="9">
        <f ca="1">'MF Measure Development'!BH177</f>
        <v>10.185614677758206</v>
      </c>
      <c r="J292" s="9">
        <f>'MF Measure Development'!BI177</f>
        <v>0</v>
      </c>
      <c r="K292" s="9">
        <f>'MF Measure Development'!BJ177</f>
        <v>0</v>
      </c>
      <c r="L292" s="9">
        <f>'MF Measure Development'!BK177</f>
        <v>0</v>
      </c>
      <c r="M292" s="9">
        <f>'MF Measure Development'!BL177</f>
        <v>0</v>
      </c>
      <c r="N292" s="9">
        <f>'MF Measure Development'!BM177</f>
        <v>0</v>
      </c>
      <c r="O292" s="9">
        <f>'MF Measure Development'!BN177</f>
        <v>0</v>
      </c>
      <c r="P292" s="9">
        <f>'MF Measure Development'!BO177</f>
        <v>0</v>
      </c>
      <c r="Q292" s="9">
        <f>'MF Measure Development'!BP177</f>
        <v>0</v>
      </c>
    </row>
    <row r="293" spans="1:17">
      <c r="A293" s="9" t="s">
        <v>161</v>
      </c>
      <c r="B293" s="9" t="str">
        <f>'MF Measure Development'!BA183</f>
        <v>CEE Tier 1 Clothes Washer - Electric DHW, Electric Dryer - 54% ENERGY STAR Baseline</v>
      </c>
      <c r="C293" s="9" t="str">
        <f>'MF Measure Development'!BB183</f>
        <v>Waste Water Energy</v>
      </c>
      <c r="D293" s="9">
        <f ca="1">'MF Measure Development'!BC183</f>
        <v>2.2689844676199051</v>
      </c>
      <c r="E293" s="9">
        <f>'MF Measure Development'!BD183</f>
        <v>14</v>
      </c>
      <c r="F293" s="9">
        <f>'MF Measure Development'!BE183</f>
        <v>0</v>
      </c>
      <c r="G293" s="9">
        <f>'MF Measure Development'!BF183</f>
        <v>0</v>
      </c>
      <c r="H293" s="9" t="str">
        <f>'MF Measure Development'!BG183</f>
        <v>FLAT</v>
      </c>
      <c r="I293" s="9">
        <f ca="1">'MF Measure Development'!BH183</f>
        <v>8.5265191237314468</v>
      </c>
      <c r="J293" s="9">
        <f>'MF Measure Development'!BI183</f>
        <v>0</v>
      </c>
      <c r="K293" s="9">
        <f>'MF Measure Development'!BJ183</f>
        <v>0</v>
      </c>
      <c r="L293" s="9">
        <f>'MF Measure Development'!BK183</f>
        <v>0</v>
      </c>
      <c r="M293" s="9">
        <f>'MF Measure Development'!BL183</f>
        <v>0</v>
      </c>
      <c r="N293" s="9">
        <f>'MF Measure Development'!BM183</f>
        <v>0</v>
      </c>
      <c r="O293" s="9">
        <f>'MF Measure Development'!BN183</f>
        <v>0</v>
      </c>
      <c r="P293" s="9">
        <f>'MF Measure Development'!BO183</f>
        <v>0</v>
      </c>
      <c r="Q293" s="9">
        <f>'MF Measure Development'!BP183</f>
        <v>0</v>
      </c>
    </row>
    <row r="294" spans="1:17">
      <c r="A294" s="9" t="s">
        <v>161</v>
      </c>
      <c r="B294" s="9" t="str">
        <f>'MF Measure Development'!BA184</f>
        <v>CEE Tier 1 Clothes Washer - Electric DHW, Gas Dryer - 54% ENERGY STAR Baseline</v>
      </c>
      <c r="C294" s="9" t="str">
        <f>'MF Measure Development'!BB184</f>
        <v>Waste Water Energy</v>
      </c>
      <c r="D294" s="9">
        <f ca="1">'MF Measure Development'!BC184</f>
        <v>2.2689844676199051</v>
      </c>
      <c r="E294" s="9">
        <f>'MF Measure Development'!BD184</f>
        <v>14</v>
      </c>
      <c r="F294" s="9">
        <f>'MF Measure Development'!BE184</f>
        <v>0</v>
      </c>
      <c r="G294" s="9">
        <f>'MF Measure Development'!BF184</f>
        <v>0</v>
      </c>
      <c r="H294" s="9" t="str">
        <f>'MF Measure Development'!BG184</f>
        <v>FLAT</v>
      </c>
      <c r="I294" s="9">
        <f ca="1">'MF Measure Development'!BH184</f>
        <v>8.5265191237314468</v>
      </c>
      <c r="J294" s="9">
        <f>'MF Measure Development'!BI184</f>
        <v>0</v>
      </c>
      <c r="K294" s="9">
        <f>'MF Measure Development'!BJ184</f>
        <v>0</v>
      </c>
      <c r="L294" s="9">
        <f>'MF Measure Development'!BK184</f>
        <v>0</v>
      </c>
      <c r="M294" s="9">
        <f>'MF Measure Development'!BL184</f>
        <v>0</v>
      </c>
      <c r="N294" s="9">
        <f>'MF Measure Development'!BM184</f>
        <v>0</v>
      </c>
      <c r="O294" s="9">
        <f>'MF Measure Development'!BN184</f>
        <v>0</v>
      </c>
      <c r="P294" s="9">
        <f>'MF Measure Development'!BO184</f>
        <v>0</v>
      </c>
      <c r="Q294" s="9">
        <f>'MF Measure Development'!BP184</f>
        <v>0</v>
      </c>
    </row>
    <row r="295" spans="1:17">
      <c r="A295" s="9" t="s">
        <v>161</v>
      </c>
      <c r="B295" s="9" t="str">
        <f>'MF Measure Development'!BA185</f>
        <v>CEE Tier 1 Clothes Washer - Gas DHW, Electric Dryer - 54% ENERGY STAR Baseline</v>
      </c>
      <c r="C295" s="9" t="str">
        <f>'MF Measure Development'!BB185</f>
        <v>Waste Water Energy</v>
      </c>
      <c r="D295" s="9">
        <f ca="1">'MF Measure Development'!BC185</f>
        <v>2.2689844676199051</v>
      </c>
      <c r="E295" s="9">
        <f>'MF Measure Development'!BD185</f>
        <v>14</v>
      </c>
      <c r="F295" s="9">
        <f>'MF Measure Development'!BE185</f>
        <v>0</v>
      </c>
      <c r="G295" s="9">
        <f>'MF Measure Development'!BF185</f>
        <v>0</v>
      </c>
      <c r="H295" s="9" t="str">
        <f>'MF Measure Development'!BG185</f>
        <v>FLAT</v>
      </c>
      <c r="I295" s="9">
        <f ca="1">'MF Measure Development'!BH185</f>
        <v>8.5265191237314468</v>
      </c>
      <c r="J295" s="9">
        <f>'MF Measure Development'!BI185</f>
        <v>0</v>
      </c>
      <c r="K295" s="9">
        <f>'MF Measure Development'!BJ185</f>
        <v>0</v>
      </c>
      <c r="L295" s="9">
        <f>'MF Measure Development'!BK185</f>
        <v>0</v>
      </c>
      <c r="M295" s="9">
        <f>'MF Measure Development'!BL185</f>
        <v>0</v>
      </c>
      <c r="N295" s="9">
        <f>'MF Measure Development'!BM185</f>
        <v>0</v>
      </c>
      <c r="O295" s="9">
        <f>'MF Measure Development'!BN185</f>
        <v>0</v>
      </c>
      <c r="P295" s="9">
        <f>'MF Measure Development'!BO185</f>
        <v>0</v>
      </c>
      <c r="Q295" s="9">
        <f>'MF Measure Development'!BP185</f>
        <v>0</v>
      </c>
    </row>
    <row r="296" spans="1:17">
      <c r="A296" s="9" t="s">
        <v>161</v>
      </c>
      <c r="B296" s="9" t="str">
        <f>'MF Measure Development'!BA186</f>
        <v>CEE Tier 1 Clothes Washer - Gas DHW, Gas Dryer - 54% ENERGY STAR Baseline</v>
      </c>
      <c r="C296" s="9" t="str">
        <f>'MF Measure Development'!BB186</f>
        <v>Waste Water Energy</v>
      </c>
      <c r="D296" s="9">
        <f ca="1">'MF Measure Development'!BC186</f>
        <v>2.2689844676199051</v>
      </c>
      <c r="E296" s="9">
        <f>'MF Measure Development'!BD186</f>
        <v>14</v>
      </c>
      <c r="F296" s="9">
        <f>'MF Measure Development'!BE186</f>
        <v>0</v>
      </c>
      <c r="G296" s="9">
        <f>'MF Measure Development'!BF186</f>
        <v>0</v>
      </c>
      <c r="H296" s="9" t="str">
        <f>'MF Measure Development'!BG186</f>
        <v>FLAT</v>
      </c>
      <c r="I296" s="9">
        <f ca="1">'MF Measure Development'!BH186</f>
        <v>8.5265191237314468</v>
      </c>
      <c r="J296" s="9">
        <f>'MF Measure Development'!BI186</f>
        <v>0</v>
      </c>
      <c r="K296" s="9">
        <f>'MF Measure Development'!BJ186</f>
        <v>0</v>
      </c>
      <c r="L296" s="9">
        <f>'MF Measure Development'!BK186</f>
        <v>0</v>
      </c>
      <c r="M296" s="9">
        <f>'MF Measure Development'!BL186</f>
        <v>0</v>
      </c>
      <c r="N296" s="9">
        <f>'MF Measure Development'!BM186</f>
        <v>0</v>
      </c>
      <c r="O296" s="9">
        <f>'MF Measure Development'!BN186</f>
        <v>0</v>
      </c>
      <c r="P296" s="9">
        <f>'MF Measure Development'!BO186</f>
        <v>0</v>
      </c>
      <c r="Q296" s="9">
        <f>'MF Measure Development'!BP186</f>
        <v>0</v>
      </c>
    </row>
    <row r="297" spans="1:17">
      <c r="A297" s="9" t="s">
        <v>161</v>
      </c>
      <c r="B297" s="9" t="str">
        <f>'MF Measure Development'!BA187</f>
        <v>CEE Tier 1 Clothes Washer - Any DHW, Any Dryer - 54% ENERGY STAR Baseline</v>
      </c>
      <c r="C297" s="9" t="str">
        <f>'MF Measure Development'!BB187</f>
        <v>Waste Water Energy</v>
      </c>
      <c r="D297" s="9">
        <f ca="1">'MF Measure Development'!BC187</f>
        <v>2.2689844676199051</v>
      </c>
      <c r="E297" s="9">
        <f>'MF Measure Development'!BD187</f>
        <v>14</v>
      </c>
      <c r="F297" s="9">
        <f>'MF Measure Development'!BE187</f>
        <v>0</v>
      </c>
      <c r="G297" s="9">
        <f>'MF Measure Development'!BF187</f>
        <v>0</v>
      </c>
      <c r="H297" s="9" t="str">
        <f>'MF Measure Development'!BG187</f>
        <v>FLAT</v>
      </c>
      <c r="I297" s="9">
        <f ca="1">'MF Measure Development'!BH187</f>
        <v>8.5265191237314468</v>
      </c>
      <c r="J297" s="9">
        <f>'MF Measure Development'!BI187</f>
        <v>0</v>
      </c>
      <c r="K297" s="9">
        <f>'MF Measure Development'!BJ187</f>
        <v>0</v>
      </c>
      <c r="L297" s="9">
        <f>'MF Measure Development'!BK187</f>
        <v>0</v>
      </c>
      <c r="M297" s="9">
        <f>'MF Measure Development'!BL187</f>
        <v>0</v>
      </c>
      <c r="N297" s="9">
        <f>'MF Measure Development'!BM187</f>
        <v>0</v>
      </c>
      <c r="O297" s="9">
        <f>'MF Measure Development'!BN187</f>
        <v>0</v>
      </c>
      <c r="P297" s="9">
        <f>'MF Measure Development'!BO187</f>
        <v>0</v>
      </c>
      <c r="Q297" s="9">
        <f>'MF Measure Development'!BP187</f>
        <v>0</v>
      </c>
    </row>
    <row r="298" spans="1:17">
      <c r="A298" s="9" t="s">
        <v>161</v>
      </c>
      <c r="B298" s="9" t="str">
        <f>'MF Measure Development'!BA188</f>
        <v>CEE Tier 2 Clothes Washer - Electric DHW, Electric Dryer - 54% ENERGY STAR Baseline</v>
      </c>
      <c r="C298" s="9" t="str">
        <f>'MF Measure Development'!BB188</f>
        <v>Waste Water Energy</v>
      </c>
      <c r="D298" s="9">
        <f ca="1">'MF Measure Development'!BC188</f>
        <v>3.3279524561015337</v>
      </c>
      <c r="E298" s="9">
        <f>'MF Measure Development'!BD188</f>
        <v>14</v>
      </c>
      <c r="F298" s="9">
        <f>'MF Measure Development'!BE188</f>
        <v>0</v>
      </c>
      <c r="G298" s="9">
        <f>'MF Measure Development'!BF188</f>
        <v>0</v>
      </c>
      <c r="H298" s="9" t="str">
        <f>'MF Measure Development'!BG188</f>
        <v>FLAT</v>
      </c>
      <c r="I298" s="9">
        <f ca="1">'MF Measure Development'!BH188</f>
        <v>12.505969372978637</v>
      </c>
      <c r="J298" s="9">
        <f>'MF Measure Development'!BI188</f>
        <v>0</v>
      </c>
      <c r="K298" s="9">
        <f>'MF Measure Development'!BJ188</f>
        <v>0</v>
      </c>
      <c r="L298" s="9">
        <f>'MF Measure Development'!BK188</f>
        <v>0</v>
      </c>
      <c r="M298" s="9">
        <f>'MF Measure Development'!BL188</f>
        <v>0</v>
      </c>
      <c r="N298" s="9">
        <f>'MF Measure Development'!BM188</f>
        <v>0</v>
      </c>
      <c r="O298" s="9">
        <f>'MF Measure Development'!BN188</f>
        <v>0</v>
      </c>
      <c r="P298" s="9">
        <f>'MF Measure Development'!BO188</f>
        <v>0</v>
      </c>
      <c r="Q298" s="9">
        <f>'MF Measure Development'!BP188</f>
        <v>0</v>
      </c>
    </row>
    <row r="299" spans="1:17">
      <c r="A299" s="9" t="s">
        <v>161</v>
      </c>
      <c r="B299" s="9" t="str">
        <f>'MF Measure Development'!BA189</f>
        <v>CEE Tier 2 Clothes Washer - Electric DHW, Gas Dryer - 54% ENERGY STAR Baseline</v>
      </c>
      <c r="C299" s="9" t="str">
        <f>'MF Measure Development'!BB189</f>
        <v>Waste Water Energy</v>
      </c>
      <c r="D299" s="9">
        <f ca="1">'MF Measure Development'!BC189</f>
        <v>3.3279524561015337</v>
      </c>
      <c r="E299" s="9">
        <f>'MF Measure Development'!BD189</f>
        <v>14</v>
      </c>
      <c r="F299" s="9">
        <f>'MF Measure Development'!BE189</f>
        <v>0</v>
      </c>
      <c r="G299" s="9">
        <f>'MF Measure Development'!BF189</f>
        <v>0</v>
      </c>
      <c r="H299" s="9" t="str">
        <f>'MF Measure Development'!BG189</f>
        <v>FLAT</v>
      </c>
      <c r="I299" s="9">
        <f ca="1">'MF Measure Development'!BH189</f>
        <v>12.505969372978637</v>
      </c>
      <c r="J299" s="9">
        <f>'MF Measure Development'!BI189</f>
        <v>0</v>
      </c>
      <c r="K299" s="9">
        <f>'MF Measure Development'!BJ189</f>
        <v>0</v>
      </c>
      <c r="L299" s="9">
        <f>'MF Measure Development'!BK189</f>
        <v>0</v>
      </c>
      <c r="M299" s="9">
        <f>'MF Measure Development'!BL189</f>
        <v>0</v>
      </c>
      <c r="N299" s="9">
        <f>'MF Measure Development'!BM189</f>
        <v>0</v>
      </c>
      <c r="O299" s="9">
        <f>'MF Measure Development'!BN189</f>
        <v>0</v>
      </c>
      <c r="P299" s="9">
        <f>'MF Measure Development'!BO189</f>
        <v>0</v>
      </c>
      <c r="Q299" s="9">
        <f>'MF Measure Development'!BP189</f>
        <v>0</v>
      </c>
    </row>
    <row r="300" spans="1:17">
      <c r="A300" s="9" t="s">
        <v>161</v>
      </c>
      <c r="B300" s="9" t="str">
        <f>'MF Measure Development'!BA190</f>
        <v>CEE Tier 2 Clothes Washer - Gas DHW, Electric Dryer - 54% ENERGY STAR Baseline</v>
      </c>
      <c r="C300" s="9" t="str">
        <f>'MF Measure Development'!BB190</f>
        <v>Waste Water Energy</v>
      </c>
      <c r="D300" s="9">
        <f ca="1">'MF Measure Development'!BC190</f>
        <v>3.3279524561015337</v>
      </c>
      <c r="E300" s="9">
        <f>'MF Measure Development'!BD190</f>
        <v>14</v>
      </c>
      <c r="F300" s="9">
        <f>'MF Measure Development'!BE190</f>
        <v>0</v>
      </c>
      <c r="G300" s="9">
        <f>'MF Measure Development'!BF190</f>
        <v>0</v>
      </c>
      <c r="H300" s="9" t="str">
        <f>'MF Measure Development'!BG190</f>
        <v>FLAT</v>
      </c>
      <c r="I300" s="9">
        <f ca="1">'MF Measure Development'!BH190</f>
        <v>12.505969372978637</v>
      </c>
      <c r="J300" s="9">
        <f>'MF Measure Development'!BI190</f>
        <v>0</v>
      </c>
      <c r="K300" s="9">
        <f>'MF Measure Development'!BJ190</f>
        <v>0</v>
      </c>
      <c r="L300" s="9">
        <f>'MF Measure Development'!BK190</f>
        <v>0</v>
      </c>
      <c r="M300" s="9">
        <f>'MF Measure Development'!BL190</f>
        <v>0</v>
      </c>
      <c r="N300" s="9">
        <f>'MF Measure Development'!BM190</f>
        <v>0</v>
      </c>
      <c r="O300" s="9">
        <f>'MF Measure Development'!BN190</f>
        <v>0</v>
      </c>
      <c r="P300" s="9">
        <f>'MF Measure Development'!BO190</f>
        <v>0</v>
      </c>
      <c r="Q300" s="9">
        <f>'MF Measure Development'!BP190</f>
        <v>0</v>
      </c>
    </row>
    <row r="301" spans="1:17">
      <c r="A301" s="9" t="s">
        <v>161</v>
      </c>
      <c r="B301" s="9" t="str">
        <f>'MF Measure Development'!BA191</f>
        <v>CEE Tier 2 Clothes Washer - Gas DHW, Gas Dryer - 54% ENERGY STAR Baseline</v>
      </c>
      <c r="C301" s="9" t="str">
        <f>'MF Measure Development'!BB191</f>
        <v>Waste Water Energy</v>
      </c>
      <c r="D301" s="9">
        <f ca="1">'MF Measure Development'!BC191</f>
        <v>3.3279524561015337</v>
      </c>
      <c r="E301" s="9">
        <f>'MF Measure Development'!BD191</f>
        <v>14</v>
      </c>
      <c r="F301" s="9">
        <f>'MF Measure Development'!BE191</f>
        <v>0</v>
      </c>
      <c r="G301" s="9">
        <f>'MF Measure Development'!BF191</f>
        <v>0</v>
      </c>
      <c r="H301" s="9" t="str">
        <f>'MF Measure Development'!BG191</f>
        <v>FLAT</v>
      </c>
      <c r="I301" s="9">
        <f ca="1">'MF Measure Development'!BH191</f>
        <v>12.505969372978637</v>
      </c>
      <c r="J301" s="9">
        <f>'MF Measure Development'!BI191</f>
        <v>0</v>
      </c>
      <c r="K301" s="9">
        <f>'MF Measure Development'!BJ191</f>
        <v>0</v>
      </c>
      <c r="L301" s="9">
        <f>'MF Measure Development'!BK191</f>
        <v>0</v>
      </c>
      <c r="M301" s="9">
        <f>'MF Measure Development'!BL191</f>
        <v>0</v>
      </c>
      <c r="N301" s="9">
        <f>'MF Measure Development'!BM191</f>
        <v>0</v>
      </c>
      <c r="O301" s="9">
        <f>'MF Measure Development'!BN191</f>
        <v>0</v>
      </c>
      <c r="P301" s="9">
        <f>'MF Measure Development'!BO191</f>
        <v>0</v>
      </c>
      <c r="Q301" s="9">
        <f>'MF Measure Development'!BP191</f>
        <v>0</v>
      </c>
    </row>
    <row r="302" spans="1:17">
      <c r="A302" s="9" t="s">
        <v>161</v>
      </c>
      <c r="B302" s="9" t="str">
        <f>'MF Measure Development'!BA192</f>
        <v>CEE Tier 2 Clothes Washer - Any DHW, Any Dryer - 54% ENERGY STAR Baseline</v>
      </c>
      <c r="C302" s="9" t="str">
        <f>'MF Measure Development'!BB192</f>
        <v>Waste Water Energy</v>
      </c>
      <c r="D302" s="9">
        <f ca="1">'MF Measure Development'!BC192</f>
        <v>3.3279524561015337</v>
      </c>
      <c r="E302" s="9">
        <f>'MF Measure Development'!BD192</f>
        <v>14</v>
      </c>
      <c r="F302" s="9">
        <f>'MF Measure Development'!BE192</f>
        <v>0</v>
      </c>
      <c r="G302" s="9">
        <f>'MF Measure Development'!BF192</f>
        <v>0</v>
      </c>
      <c r="H302" s="9" t="str">
        <f>'MF Measure Development'!BG192</f>
        <v>FLAT</v>
      </c>
      <c r="I302" s="9">
        <f ca="1">'MF Measure Development'!BH192</f>
        <v>12.505969372978637</v>
      </c>
      <c r="J302" s="9">
        <f>'MF Measure Development'!BI192</f>
        <v>0</v>
      </c>
      <c r="K302" s="9">
        <f>'MF Measure Development'!BJ192</f>
        <v>0</v>
      </c>
      <c r="L302" s="9">
        <f>'MF Measure Development'!BK192</f>
        <v>0</v>
      </c>
      <c r="M302" s="9">
        <f>'MF Measure Development'!BL192</f>
        <v>0</v>
      </c>
      <c r="N302" s="9">
        <f>'MF Measure Development'!BM192</f>
        <v>0</v>
      </c>
      <c r="O302" s="9">
        <f>'MF Measure Development'!BN192</f>
        <v>0</v>
      </c>
      <c r="P302" s="9">
        <f>'MF Measure Development'!BO192</f>
        <v>0</v>
      </c>
      <c r="Q302" s="9">
        <f>'MF Measure Development'!BP192</f>
        <v>0</v>
      </c>
    </row>
    <row r="303" spans="1:17">
      <c r="A303" s="9" t="s">
        <v>161</v>
      </c>
      <c r="B303" s="9" t="str">
        <f>'MF Measure Development'!BA193</f>
        <v>CEE Tier 3 Clothes Washer - Electric DHW, Electric Dryer - 54% ENERGY STAR Baseline</v>
      </c>
      <c r="C303" s="9" t="str">
        <f>'MF Measure Development'!BB193</f>
        <v>Waste Water Energy</v>
      </c>
      <c r="D303" s="9">
        <f ca="1">'MF Measure Development'!BC193</f>
        <v>3.4194180213254715</v>
      </c>
      <c r="E303" s="9">
        <f>'MF Measure Development'!BD193</f>
        <v>14</v>
      </c>
      <c r="F303" s="9">
        <f>'MF Measure Development'!BE193</f>
        <v>0</v>
      </c>
      <c r="G303" s="9">
        <f>'MF Measure Development'!BF193</f>
        <v>0</v>
      </c>
      <c r="H303" s="9" t="str">
        <f>'MF Measure Development'!BG193</f>
        <v>FLAT</v>
      </c>
      <c r="I303" s="9">
        <f ca="1">'MF Measure Development'!BH193</f>
        <v>12.849683885869453</v>
      </c>
      <c r="J303" s="9">
        <f>'MF Measure Development'!BI193</f>
        <v>0</v>
      </c>
      <c r="K303" s="9">
        <f>'MF Measure Development'!BJ193</f>
        <v>0</v>
      </c>
      <c r="L303" s="9">
        <f>'MF Measure Development'!BK193</f>
        <v>0</v>
      </c>
      <c r="M303" s="9">
        <f>'MF Measure Development'!BL193</f>
        <v>0</v>
      </c>
      <c r="N303" s="9">
        <f>'MF Measure Development'!BM193</f>
        <v>0</v>
      </c>
      <c r="O303" s="9">
        <f>'MF Measure Development'!BN193</f>
        <v>0</v>
      </c>
      <c r="P303" s="9">
        <f>'MF Measure Development'!BO193</f>
        <v>0</v>
      </c>
      <c r="Q303" s="9">
        <f>'MF Measure Development'!BP193</f>
        <v>0</v>
      </c>
    </row>
    <row r="304" spans="1:17">
      <c r="A304" s="9" t="s">
        <v>161</v>
      </c>
      <c r="B304" s="9" t="str">
        <f>'MF Measure Development'!BA194</f>
        <v>CEE Tier 3 Clothes Washer - Electric DHW, Gas Dryer - 54% ENERGY STAR Baseline</v>
      </c>
      <c r="C304" s="9" t="str">
        <f>'MF Measure Development'!BB194</f>
        <v>Waste Water Energy</v>
      </c>
      <c r="D304" s="9">
        <f ca="1">'MF Measure Development'!BC194</f>
        <v>3.4194180213254715</v>
      </c>
      <c r="E304" s="9">
        <f>'MF Measure Development'!BD194</f>
        <v>14</v>
      </c>
      <c r="F304" s="9">
        <f>'MF Measure Development'!BE194</f>
        <v>0</v>
      </c>
      <c r="G304" s="9">
        <f>'MF Measure Development'!BF194</f>
        <v>0</v>
      </c>
      <c r="H304" s="9" t="str">
        <f>'MF Measure Development'!BG194</f>
        <v>FLAT</v>
      </c>
      <c r="I304" s="9">
        <f ca="1">'MF Measure Development'!BH194</f>
        <v>12.849683885869453</v>
      </c>
      <c r="J304" s="9">
        <f>'MF Measure Development'!BI194</f>
        <v>0</v>
      </c>
      <c r="K304" s="9">
        <f>'MF Measure Development'!BJ194</f>
        <v>0</v>
      </c>
      <c r="L304" s="9">
        <f>'MF Measure Development'!BK194</f>
        <v>0</v>
      </c>
      <c r="M304" s="9">
        <f>'MF Measure Development'!BL194</f>
        <v>0</v>
      </c>
      <c r="N304" s="9">
        <f>'MF Measure Development'!BM194</f>
        <v>0</v>
      </c>
      <c r="O304" s="9">
        <f>'MF Measure Development'!BN194</f>
        <v>0</v>
      </c>
      <c r="P304" s="9">
        <f>'MF Measure Development'!BO194</f>
        <v>0</v>
      </c>
      <c r="Q304" s="9">
        <f>'MF Measure Development'!BP194</f>
        <v>0</v>
      </c>
    </row>
    <row r="305" spans="1:17">
      <c r="A305" s="9" t="s">
        <v>161</v>
      </c>
      <c r="B305" s="9" t="str">
        <f>'MF Measure Development'!BA195</f>
        <v>CEE Tier 3 Clothes Washer - Gas DHW, Electric Dryer - 54% ENERGY STAR Baseline</v>
      </c>
      <c r="C305" s="9" t="str">
        <f>'MF Measure Development'!BB195</f>
        <v>Waste Water Energy</v>
      </c>
      <c r="D305" s="9">
        <f ca="1">'MF Measure Development'!BC195</f>
        <v>3.4194180213254715</v>
      </c>
      <c r="E305" s="9">
        <f>'MF Measure Development'!BD195</f>
        <v>14</v>
      </c>
      <c r="F305" s="9">
        <f>'MF Measure Development'!BE195</f>
        <v>0</v>
      </c>
      <c r="G305" s="9">
        <f>'MF Measure Development'!BF195</f>
        <v>0</v>
      </c>
      <c r="H305" s="9" t="str">
        <f>'MF Measure Development'!BG195</f>
        <v>FLAT</v>
      </c>
      <c r="I305" s="9">
        <f ca="1">'MF Measure Development'!BH195</f>
        <v>12.849683885869453</v>
      </c>
      <c r="J305" s="9">
        <f>'MF Measure Development'!BI195</f>
        <v>0</v>
      </c>
      <c r="K305" s="9">
        <f>'MF Measure Development'!BJ195</f>
        <v>0</v>
      </c>
      <c r="L305" s="9">
        <f>'MF Measure Development'!BK195</f>
        <v>0</v>
      </c>
      <c r="M305" s="9">
        <f>'MF Measure Development'!BL195</f>
        <v>0</v>
      </c>
      <c r="N305" s="9">
        <f>'MF Measure Development'!BM195</f>
        <v>0</v>
      </c>
      <c r="O305" s="9">
        <f>'MF Measure Development'!BN195</f>
        <v>0</v>
      </c>
      <c r="P305" s="9">
        <f>'MF Measure Development'!BO195</f>
        <v>0</v>
      </c>
      <c r="Q305" s="9">
        <f>'MF Measure Development'!BP195</f>
        <v>0</v>
      </c>
    </row>
    <row r="306" spans="1:17">
      <c r="A306" s="9" t="s">
        <v>161</v>
      </c>
      <c r="B306" s="9" t="str">
        <f>'MF Measure Development'!BA196</f>
        <v>CEE Tier 3 Clothes Washer - Gas DHW, Gas Dryer - 54% ENERGY STAR Baseline</v>
      </c>
      <c r="C306" s="9" t="str">
        <f>'MF Measure Development'!BB196</f>
        <v>Waste Water Energy</v>
      </c>
      <c r="D306" s="9">
        <f ca="1">'MF Measure Development'!BC196</f>
        <v>3.4194180213254715</v>
      </c>
      <c r="E306" s="9">
        <f>'MF Measure Development'!BD196</f>
        <v>14</v>
      </c>
      <c r="F306" s="9">
        <f>'MF Measure Development'!BE196</f>
        <v>0</v>
      </c>
      <c r="G306" s="9">
        <f>'MF Measure Development'!BF196</f>
        <v>0</v>
      </c>
      <c r="H306" s="9" t="str">
        <f>'MF Measure Development'!BG196</f>
        <v>FLAT</v>
      </c>
      <c r="I306" s="9">
        <f ca="1">'MF Measure Development'!BH196</f>
        <v>12.849683885869453</v>
      </c>
      <c r="J306" s="9">
        <f>'MF Measure Development'!BI196</f>
        <v>0</v>
      </c>
      <c r="K306" s="9">
        <f>'MF Measure Development'!BJ196</f>
        <v>0</v>
      </c>
      <c r="L306" s="9">
        <f>'MF Measure Development'!BK196</f>
        <v>0</v>
      </c>
      <c r="M306" s="9">
        <f>'MF Measure Development'!BL196</f>
        <v>0</v>
      </c>
      <c r="N306" s="9">
        <f>'MF Measure Development'!BM196</f>
        <v>0</v>
      </c>
      <c r="O306" s="9">
        <f>'MF Measure Development'!BN196</f>
        <v>0</v>
      </c>
      <c r="P306" s="9">
        <f>'MF Measure Development'!BO196</f>
        <v>0</v>
      </c>
      <c r="Q306" s="9">
        <f>'MF Measure Development'!BP196</f>
        <v>0</v>
      </c>
    </row>
    <row r="307" spans="1:17">
      <c r="A307" s="9" t="s">
        <v>161</v>
      </c>
      <c r="B307" s="9" t="str">
        <f>'MF Measure Development'!BA197</f>
        <v>CEE Tier 3 Clothes Washer - Any DHW, Any Dryer - 54% ENERGY STAR Baseline</v>
      </c>
      <c r="C307" s="9" t="str">
        <f>'MF Measure Development'!BB197</f>
        <v>Waste Water Energy</v>
      </c>
      <c r="D307" s="9">
        <f ca="1">'MF Measure Development'!BC197</f>
        <v>3.4194180213254715</v>
      </c>
      <c r="E307" s="9">
        <f>'MF Measure Development'!BD197</f>
        <v>14</v>
      </c>
      <c r="F307" s="9">
        <f>'MF Measure Development'!BE197</f>
        <v>0</v>
      </c>
      <c r="G307" s="9">
        <f>'MF Measure Development'!BF197</f>
        <v>0</v>
      </c>
      <c r="H307" s="9" t="str">
        <f>'MF Measure Development'!BG197</f>
        <v>FLAT</v>
      </c>
      <c r="I307" s="9">
        <f ca="1">'MF Measure Development'!BH197</f>
        <v>12.849683885869453</v>
      </c>
      <c r="J307" s="9">
        <f>'MF Measure Development'!BI197</f>
        <v>0</v>
      </c>
      <c r="K307" s="9">
        <f>'MF Measure Development'!BJ197</f>
        <v>0</v>
      </c>
      <c r="L307" s="9">
        <f>'MF Measure Development'!BK197</f>
        <v>0</v>
      </c>
      <c r="M307" s="9">
        <f>'MF Measure Development'!BL197</f>
        <v>0</v>
      </c>
      <c r="N307" s="9">
        <f>'MF Measure Development'!BM197</f>
        <v>0</v>
      </c>
      <c r="O307" s="9">
        <f>'MF Measure Development'!BN197</f>
        <v>0</v>
      </c>
      <c r="P307" s="9">
        <f>'MF Measure Development'!BO197</f>
        <v>0</v>
      </c>
      <c r="Q307" s="9">
        <f>'MF Measure Development'!BP197</f>
        <v>0</v>
      </c>
    </row>
    <row r="308" spans="1:17">
      <c r="A308" s="9" t="s">
        <v>57</v>
      </c>
      <c r="B308" s="545" t="str">
        <f>'MH Measure Development'!BA18</f>
        <v>ENERGY STAR - Top-Load Clothes Washer - Electric DHW, Electric Dryer - 31% ENERGY STAR Baseline</v>
      </c>
      <c r="C308" s="545" t="str">
        <f>'MH Measure Development'!BB18</f>
        <v>Washer Savings</v>
      </c>
      <c r="D308" s="9">
        <f ca="1">'MH Measure Development'!BC18</f>
        <v>8.7942294669889094</v>
      </c>
      <c r="E308" s="9">
        <f>'MH Measure Development'!BD18</f>
        <v>14</v>
      </c>
      <c r="F308" s="9">
        <f ca="1">'MH Measure Development'!BE18</f>
        <v>-21.580021166835763</v>
      </c>
      <c r="G308" s="9">
        <f>'MH Measure Development'!BF18</f>
        <v>0</v>
      </c>
      <c r="H308" s="9" t="str">
        <f>'MH Measure Development'!BG18</f>
        <v>ResWASH</v>
      </c>
      <c r="I308" s="9">
        <f ca="1">'MH Measure Development'!BH18</f>
        <v>0.85392014431867835</v>
      </c>
      <c r="J308" s="9">
        <f>'MH Measure Development'!BI18</f>
        <v>0</v>
      </c>
      <c r="K308" s="9">
        <f>'MH Measure Development'!BJ18</f>
        <v>0</v>
      </c>
      <c r="L308" s="9">
        <f>'MH Measure Development'!BK18</f>
        <v>0</v>
      </c>
      <c r="M308" s="9">
        <f>'MH Measure Development'!BL18</f>
        <v>0</v>
      </c>
      <c r="N308" s="9">
        <f>'MH Measure Development'!BM18</f>
        <v>0</v>
      </c>
      <c r="O308" s="9">
        <f>'MH Measure Development'!BN18</f>
        <v>0</v>
      </c>
      <c r="P308" s="9">
        <f ca="1">'MH Measure Development'!BO18</f>
        <v>0</v>
      </c>
      <c r="Q308" s="9" t="str">
        <f>'MH Measure Development'!BP18</f>
        <v>ResDHW</v>
      </c>
    </row>
    <row r="309" spans="1:17">
      <c r="A309" s="9" t="s">
        <v>57</v>
      </c>
      <c r="B309" s="545" t="str">
        <f>'MH Measure Development'!BA19</f>
        <v>ENERGY STAR - Top-Load Clothes Washer - Electric DHW, Gas Dryer - 31% ENERGY STAR Baseline</v>
      </c>
      <c r="C309" s="545" t="str">
        <f>'MH Measure Development'!BB19</f>
        <v>Washer Savings</v>
      </c>
      <c r="D309" s="9">
        <f ca="1">'MH Measure Development'!BC19</f>
        <v>8.7942294669889094</v>
      </c>
      <c r="E309" s="9">
        <f>'MH Measure Development'!BD19</f>
        <v>14</v>
      </c>
      <c r="F309" s="9">
        <f ca="1">'MH Measure Development'!BE19</f>
        <v>-21.580021166835763</v>
      </c>
      <c r="G309" s="9">
        <f>'MH Measure Development'!BF19</f>
        <v>0</v>
      </c>
      <c r="H309" s="9" t="str">
        <f>'MH Measure Development'!BG19</f>
        <v>ResWASH</v>
      </c>
      <c r="I309" s="9">
        <f ca="1">'MH Measure Development'!BH19</f>
        <v>0.85392014431867835</v>
      </c>
      <c r="J309" s="9">
        <f>'MH Measure Development'!BI19</f>
        <v>0</v>
      </c>
      <c r="K309" s="9">
        <f>'MH Measure Development'!BJ19</f>
        <v>0</v>
      </c>
      <c r="L309" s="9">
        <f>'MH Measure Development'!BK19</f>
        <v>0</v>
      </c>
      <c r="M309" s="9">
        <f>'MH Measure Development'!BL19</f>
        <v>0</v>
      </c>
      <c r="N309" s="9">
        <f>'MH Measure Development'!BM19</f>
        <v>0</v>
      </c>
      <c r="O309" s="9">
        <f>'MH Measure Development'!BN19</f>
        <v>0</v>
      </c>
      <c r="P309" s="9">
        <f ca="1">'MH Measure Development'!BO19</f>
        <v>0</v>
      </c>
      <c r="Q309" s="9" t="str">
        <f>'MH Measure Development'!BP19</f>
        <v>ResDHW</v>
      </c>
    </row>
    <row r="310" spans="1:17">
      <c r="A310" s="9" t="s">
        <v>57</v>
      </c>
      <c r="B310" s="545" t="str">
        <f>'MH Measure Development'!BA20</f>
        <v>ENERGY STAR - Top-Load Clothes Washer - Gas DHW, Electric Dryer - 31% ENERGY STAR Baseline</v>
      </c>
      <c r="C310" s="545" t="str">
        <f>'MH Measure Development'!BB20</f>
        <v>Washer Savings</v>
      </c>
      <c r="D310" s="9">
        <f ca="1">'MH Measure Development'!BC20</f>
        <v>2.4578078180848024</v>
      </c>
      <c r="E310" s="9">
        <f>'MH Measure Development'!BD20</f>
        <v>14</v>
      </c>
      <c r="F310" s="9">
        <f ca="1">'MH Measure Development'!BE20</f>
        <v>-21.580021166835763</v>
      </c>
      <c r="G310" s="9">
        <f>'MH Measure Development'!BF20</f>
        <v>0</v>
      </c>
      <c r="H310" s="9" t="str">
        <f>'MH Measure Development'!BG20</f>
        <v>ResWASH</v>
      </c>
      <c r="I310" s="9">
        <f ca="1">'MH Measure Development'!BH20</f>
        <v>0.85392014431867835</v>
      </c>
      <c r="J310" s="9">
        <f>'MH Measure Development'!BI20</f>
        <v>0</v>
      </c>
      <c r="K310" s="9">
        <f>'MH Measure Development'!BJ20</f>
        <v>0</v>
      </c>
      <c r="L310" s="9">
        <f>'MH Measure Development'!BK20</f>
        <v>0</v>
      </c>
      <c r="M310" s="9">
        <f>'MH Measure Development'!BL20</f>
        <v>0</v>
      </c>
      <c r="N310" s="9">
        <f>'MH Measure Development'!BM20</f>
        <v>0</v>
      </c>
      <c r="O310" s="9">
        <f>'MH Measure Development'!BN20</f>
        <v>0</v>
      </c>
      <c r="P310" s="9">
        <f ca="1">'MH Measure Development'!BO20</f>
        <v>0.28834942783612938</v>
      </c>
      <c r="Q310" s="9" t="str">
        <f>'MH Measure Development'!BP20</f>
        <v>ResDHW</v>
      </c>
    </row>
    <row r="311" spans="1:17">
      <c r="A311" s="9" t="s">
        <v>57</v>
      </c>
      <c r="B311" s="545" t="str">
        <f>'MH Measure Development'!BA21</f>
        <v>ENERGY STAR - Top-Load Clothes Washer - Gas DHW, Gas Dryer - 31% ENERGY STAR Baseline</v>
      </c>
      <c r="C311" s="545" t="str">
        <f>'MH Measure Development'!BB21</f>
        <v>Washer Savings</v>
      </c>
      <c r="D311" s="9">
        <f ca="1">'MH Measure Development'!BC21</f>
        <v>2.4578078180848024</v>
      </c>
      <c r="E311" s="9">
        <f>'MH Measure Development'!BD21</f>
        <v>14</v>
      </c>
      <c r="F311" s="9">
        <f ca="1">'MH Measure Development'!BE21</f>
        <v>-21.580021166835763</v>
      </c>
      <c r="G311" s="9">
        <f>'MH Measure Development'!BF21</f>
        <v>0</v>
      </c>
      <c r="H311" s="9" t="str">
        <f>'MH Measure Development'!BG21</f>
        <v>ResWASH</v>
      </c>
      <c r="I311" s="9">
        <f ca="1">'MH Measure Development'!BH21</f>
        <v>0.85392014431867835</v>
      </c>
      <c r="J311" s="9">
        <f>'MH Measure Development'!BI21</f>
        <v>0</v>
      </c>
      <c r="K311" s="9">
        <f>'MH Measure Development'!BJ21</f>
        <v>0</v>
      </c>
      <c r="L311" s="9">
        <f>'MH Measure Development'!BK21</f>
        <v>0</v>
      </c>
      <c r="M311" s="9">
        <f>'MH Measure Development'!BL21</f>
        <v>0</v>
      </c>
      <c r="N311" s="9">
        <f>'MH Measure Development'!BM21</f>
        <v>0</v>
      </c>
      <c r="O311" s="9">
        <f>'MH Measure Development'!BN21</f>
        <v>0</v>
      </c>
      <c r="P311" s="9">
        <f ca="1">'MH Measure Development'!BO21</f>
        <v>0.28834942783612938</v>
      </c>
      <c r="Q311" s="9" t="str">
        <f>'MH Measure Development'!BP21</f>
        <v>ResDHW</v>
      </c>
    </row>
    <row r="312" spans="1:17">
      <c r="A312" s="9" t="s">
        <v>57</v>
      </c>
      <c r="B312" s="545" t="str">
        <f>'MH Measure Development'!BA22</f>
        <v>ENERGY STAR - Top-Load Clothes Washer - Any DHW, Any Dryer - 31% ENERGY STAR Baseline</v>
      </c>
      <c r="C312" s="545" t="str">
        <f>'MH Measure Development'!BB22</f>
        <v>Washer Savings</v>
      </c>
      <c r="D312" s="9">
        <f ca="1">'MH Measure Development'!BC22</f>
        <v>5.95551256827987</v>
      </c>
      <c r="E312" s="9">
        <f>'MH Measure Development'!BD22</f>
        <v>14</v>
      </c>
      <c r="F312" s="9">
        <f ca="1">'MH Measure Development'!BE22</f>
        <v>-21.580021166835763</v>
      </c>
      <c r="G312" s="9">
        <f>'MH Measure Development'!BF22</f>
        <v>0</v>
      </c>
      <c r="H312" s="9" t="str">
        <f>'MH Measure Development'!BG22</f>
        <v>ResWASH</v>
      </c>
      <c r="I312" s="9">
        <f ca="1">'MH Measure Development'!BH22</f>
        <v>0.85392014431867835</v>
      </c>
      <c r="J312" s="9">
        <f>'MH Measure Development'!BI22</f>
        <v>0</v>
      </c>
      <c r="K312" s="9">
        <f>'MH Measure Development'!BJ22</f>
        <v>0</v>
      </c>
      <c r="L312" s="9">
        <f>'MH Measure Development'!BK22</f>
        <v>0</v>
      </c>
      <c r="M312" s="9">
        <f>'MH Measure Development'!BL22</f>
        <v>0</v>
      </c>
      <c r="N312" s="9">
        <f>'MH Measure Development'!BM22</f>
        <v>0</v>
      </c>
      <c r="O312" s="9">
        <f>'MH Measure Development'!BN22</f>
        <v>0</v>
      </c>
      <c r="P312" s="9">
        <f ca="1">'MH Measure Development'!BO22</f>
        <v>0.12918054367058596</v>
      </c>
      <c r="Q312" s="9" t="str">
        <f>'MH Measure Development'!BP22</f>
        <v>ResDHW</v>
      </c>
    </row>
    <row r="313" spans="1:17">
      <c r="A313" s="9" t="s">
        <v>57</v>
      </c>
      <c r="B313" s="545" t="str">
        <f>'MH Measure Development'!BA23</f>
        <v>ENERGY STAR - Front-Load Clothes Washer - Electric DHW, Electric Dryer - 31% ENERGY STAR Baseline</v>
      </c>
      <c r="C313" s="545" t="str">
        <f>'MH Measure Development'!BB23</f>
        <v>Washer Savings</v>
      </c>
      <c r="D313" s="9">
        <f ca="1">'MH Measure Development'!BC23</f>
        <v>36.451806433209725</v>
      </c>
      <c r="E313" s="9">
        <f>'MH Measure Development'!BD23</f>
        <v>14</v>
      </c>
      <c r="F313" s="9">
        <f ca="1">'MH Measure Development'!BE23</f>
        <v>193.50283895096402</v>
      </c>
      <c r="G313" s="9">
        <f>'MH Measure Development'!BF23</f>
        <v>0</v>
      </c>
      <c r="H313" s="9" t="str">
        <f>'MH Measure Development'!BG23</f>
        <v>ResWASH</v>
      </c>
      <c r="I313" s="9">
        <f ca="1">'MH Measure Development'!BH23</f>
        <v>10.472340919961674</v>
      </c>
      <c r="J313" s="9">
        <f>'MH Measure Development'!BI23</f>
        <v>0</v>
      </c>
      <c r="K313" s="9">
        <f>'MH Measure Development'!BJ23</f>
        <v>0</v>
      </c>
      <c r="L313" s="9">
        <f>'MH Measure Development'!BK23</f>
        <v>0</v>
      </c>
      <c r="M313" s="9">
        <f>'MH Measure Development'!BL23</f>
        <v>0</v>
      </c>
      <c r="N313" s="9">
        <f>'MH Measure Development'!BM23</f>
        <v>0</v>
      </c>
      <c r="O313" s="9">
        <f>'MH Measure Development'!BN23</f>
        <v>0</v>
      </c>
      <c r="P313" s="9">
        <f ca="1">'MH Measure Development'!BO23</f>
        <v>0</v>
      </c>
      <c r="Q313" s="9" t="str">
        <f>'MH Measure Development'!BP23</f>
        <v>ResDHW</v>
      </c>
    </row>
    <row r="314" spans="1:17">
      <c r="A314" s="9" t="s">
        <v>57</v>
      </c>
      <c r="B314" s="545" t="str">
        <f>'MH Measure Development'!BA24</f>
        <v>ENERGY STAR - Front-Load Clothes Washer - Electric DHW, Gas Dryer - 31% ENERGY STAR Baseline</v>
      </c>
      <c r="C314" s="545" t="str">
        <f>'MH Measure Development'!BB24</f>
        <v>Washer Savings</v>
      </c>
      <c r="D314" s="9">
        <f ca="1">'MH Measure Development'!BC24</f>
        <v>36.451806433209725</v>
      </c>
      <c r="E314" s="9">
        <f>'MH Measure Development'!BD24</f>
        <v>14</v>
      </c>
      <c r="F314" s="9">
        <f ca="1">'MH Measure Development'!BE24</f>
        <v>193.50283895096402</v>
      </c>
      <c r="G314" s="9">
        <f>'MH Measure Development'!BF24</f>
        <v>0</v>
      </c>
      <c r="H314" s="9" t="str">
        <f>'MH Measure Development'!BG24</f>
        <v>ResWASH</v>
      </c>
      <c r="I314" s="9">
        <f ca="1">'MH Measure Development'!BH24</f>
        <v>10.472340919961674</v>
      </c>
      <c r="J314" s="9">
        <f>'MH Measure Development'!BI24</f>
        <v>0</v>
      </c>
      <c r="K314" s="9">
        <f>'MH Measure Development'!BJ24</f>
        <v>0</v>
      </c>
      <c r="L314" s="9">
        <f>'MH Measure Development'!BK24</f>
        <v>0</v>
      </c>
      <c r="M314" s="9">
        <f>'MH Measure Development'!BL24</f>
        <v>0</v>
      </c>
      <c r="N314" s="9">
        <f>'MH Measure Development'!BM24</f>
        <v>0</v>
      </c>
      <c r="O314" s="9">
        <f>'MH Measure Development'!BN24</f>
        <v>0</v>
      </c>
      <c r="P314" s="9">
        <f ca="1">'MH Measure Development'!BO24</f>
        <v>0</v>
      </c>
      <c r="Q314" s="9" t="str">
        <f>'MH Measure Development'!BP24</f>
        <v>ResDHW</v>
      </c>
    </row>
    <row r="315" spans="1:17">
      <c r="A315" s="9" t="s">
        <v>57</v>
      </c>
      <c r="B315" s="545" t="str">
        <f>'MH Measure Development'!BA25</f>
        <v>ENERGY STAR - Front-Load Clothes Washer - Gas DHW, Electric Dryer - 31% ENERGY STAR Baseline</v>
      </c>
      <c r="C315" s="545" t="str">
        <f>'MH Measure Development'!BB25</f>
        <v>Washer Savings</v>
      </c>
      <c r="D315" s="9">
        <f ca="1">'MH Measure Development'!BC25</f>
        <v>5.3834706256700997</v>
      </c>
      <c r="E315" s="9">
        <f>'MH Measure Development'!BD25</f>
        <v>14</v>
      </c>
      <c r="F315" s="9">
        <f ca="1">'MH Measure Development'!BE25</f>
        <v>193.50283895096402</v>
      </c>
      <c r="G315" s="9">
        <f>'MH Measure Development'!BF25</f>
        <v>0</v>
      </c>
      <c r="H315" s="9" t="str">
        <f>'MH Measure Development'!BG25</f>
        <v>ResWASH</v>
      </c>
      <c r="I315" s="9">
        <f ca="1">'MH Measure Development'!BH25</f>
        <v>10.472340919961674</v>
      </c>
      <c r="J315" s="9">
        <f>'MH Measure Development'!BI25</f>
        <v>0</v>
      </c>
      <c r="K315" s="9">
        <f>'MH Measure Development'!BJ25</f>
        <v>0</v>
      </c>
      <c r="L315" s="9">
        <f>'MH Measure Development'!BK25</f>
        <v>0</v>
      </c>
      <c r="M315" s="9">
        <f>'MH Measure Development'!BL25</f>
        <v>0</v>
      </c>
      <c r="N315" s="9">
        <f>'MH Measure Development'!BM25</f>
        <v>0</v>
      </c>
      <c r="O315" s="9">
        <f>'MH Measure Development'!BN25</f>
        <v>0</v>
      </c>
      <c r="P315" s="9">
        <f ca="1">'MH Measure Development'!BO25</f>
        <v>1.4138164014817698</v>
      </c>
      <c r="Q315" s="9" t="str">
        <f>'MH Measure Development'!BP25</f>
        <v>ResDHW</v>
      </c>
    </row>
    <row r="316" spans="1:17">
      <c r="A316" s="9" t="s">
        <v>57</v>
      </c>
      <c r="B316" s="545" t="str">
        <f>'MH Measure Development'!BA26</f>
        <v>ENERGY STAR - Front-Load Clothes Washer - Gas DHW, Gas Dryer - 31% ENERGY STAR Baseline</v>
      </c>
      <c r="C316" s="545" t="str">
        <f>'MH Measure Development'!BB26</f>
        <v>Washer Savings</v>
      </c>
      <c r="D316" s="9">
        <f ca="1">'MH Measure Development'!BC26</f>
        <v>5.3834706256700997</v>
      </c>
      <c r="E316" s="9">
        <f>'MH Measure Development'!BD26</f>
        <v>14</v>
      </c>
      <c r="F316" s="9">
        <f ca="1">'MH Measure Development'!BE26</f>
        <v>193.50283895096402</v>
      </c>
      <c r="G316" s="9">
        <f>'MH Measure Development'!BF26</f>
        <v>0</v>
      </c>
      <c r="H316" s="9" t="str">
        <f>'MH Measure Development'!BG26</f>
        <v>ResWASH</v>
      </c>
      <c r="I316" s="9">
        <f ca="1">'MH Measure Development'!BH26</f>
        <v>10.472340919961674</v>
      </c>
      <c r="J316" s="9">
        <f>'MH Measure Development'!BI26</f>
        <v>0</v>
      </c>
      <c r="K316" s="9">
        <f>'MH Measure Development'!BJ26</f>
        <v>0</v>
      </c>
      <c r="L316" s="9">
        <f>'MH Measure Development'!BK26</f>
        <v>0</v>
      </c>
      <c r="M316" s="9">
        <f>'MH Measure Development'!BL26</f>
        <v>0</v>
      </c>
      <c r="N316" s="9">
        <f>'MH Measure Development'!BM26</f>
        <v>0</v>
      </c>
      <c r="O316" s="9">
        <f>'MH Measure Development'!BN26</f>
        <v>0</v>
      </c>
      <c r="P316" s="9">
        <f ca="1">'MH Measure Development'!BO26</f>
        <v>1.4138164014817698</v>
      </c>
      <c r="Q316" s="9" t="str">
        <f>'MH Measure Development'!BP26</f>
        <v>ResDHW</v>
      </c>
    </row>
    <row r="317" spans="1:17">
      <c r="A317" s="9" t="s">
        <v>57</v>
      </c>
      <c r="B317" s="545" t="str">
        <f>'MH Measure Development'!BA27</f>
        <v>ENERGY STAR - Front-Load Clothes Washer - Any DHW, Any Dryer - 31% ENERGY STAR Baseline</v>
      </c>
      <c r="C317" s="545" t="str">
        <f>'MH Measure Development'!BB27</f>
        <v>Washer Savings</v>
      </c>
      <c r="D317" s="9">
        <f ca="1">'MH Measure Development'!BC27</f>
        <v>22.533191991431973</v>
      </c>
      <c r="E317" s="9">
        <f>'MH Measure Development'!BD27</f>
        <v>14</v>
      </c>
      <c r="F317" s="9">
        <f ca="1">'MH Measure Development'!BE27</f>
        <v>193.50283895096402</v>
      </c>
      <c r="G317" s="9">
        <f>'MH Measure Development'!BF27</f>
        <v>0</v>
      </c>
      <c r="H317" s="9" t="str">
        <f>'MH Measure Development'!BG27</f>
        <v>ResWASH</v>
      </c>
      <c r="I317" s="9">
        <f ca="1">'MH Measure Development'!BH27</f>
        <v>10.472340919961674</v>
      </c>
      <c r="J317" s="9">
        <f>'MH Measure Development'!BI27</f>
        <v>0</v>
      </c>
      <c r="K317" s="9">
        <f>'MH Measure Development'!BJ27</f>
        <v>0</v>
      </c>
      <c r="L317" s="9">
        <f>'MH Measure Development'!BK27</f>
        <v>0</v>
      </c>
      <c r="M317" s="9">
        <f>'MH Measure Development'!BL27</f>
        <v>0</v>
      </c>
      <c r="N317" s="9">
        <f>'MH Measure Development'!BM27</f>
        <v>0</v>
      </c>
      <c r="O317" s="9">
        <f>'MH Measure Development'!BN27</f>
        <v>0</v>
      </c>
      <c r="P317" s="9">
        <f ca="1">'MH Measure Development'!BO27</f>
        <v>0.63338974786383284</v>
      </c>
      <c r="Q317" s="9" t="str">
        <f>'MH Measure Development'!BP27</f>
        <v>ResDHW</v>
      </c>
    </row>
    <row r="318" spans="1:17">
      <c r="A318" s="9" t="s">
        <v>57</v>
      </c>
      <c r="B318" s="545" t="str">
        <f>'MH Measure Development'!BA33</f>
        <v>CEE Tier 1 Clothes Washer - Electric DHW, Electric Dryer - 31% ENERGY STAR Baseline</v>
      </c>
      <c r="C318" s="545" t="str">
        <f>'MH Measure Development'!BB33</f>
        <v>Washer Savings</v>
      </c>
      <c r="D318" s="9">
        <f ca="1">'MH Measure Development'!BC33</f>
        <v>31.436262874763393</v>
      </c>
      <c r="E318" s="9">
        <f>'MH Measure Development'!BD33</f>
        <v>14</v>
      </c>
      <c r="F318" s="9">
        <f ca="1">'MH Measure Development'!BE33</f>
        <v>175.18308770271631</v>
      </c>
      <c r="G318" s="9">
        <f>'MH Measure Development'!BF33</f>
        <v>0</v>
      </c>
      <c r="H318" s="9" t="str">
        <f>'MH Measure Development'!BG33</f>
        <v>ResWASH</v>
      </c>
      <c r="I318" s="9">
        <f ca="1">'MH Measure Development'!BH33</f>
        <v>9.1931522283007538</v>
      </c>
      <c r="J318" s="9">
        <f>'MH Measure Development'!BI33</f>
        <v>0</v>
      </c>
      <c r="K318" s="9">
        <f>'MH Measure Development'!BJ33</f>
        <v>0</v>
      </c>
      <c r="L318" s="9">
        <f>'MH Measure Development'!BK33</f>
        <v>0</v>
      </c>
      <c r="M318" s="9">
        <f>'MH Measure Development'!BL33</f>
        <v>0</v>
      </c>
      <c r="N318" s="9">
        <f>'MH Measure Development'!BM33</f>
        <v>0</v>
      </c>
      <c r="O318" s="9">
        <f>'MH Measure Development'!BN33</f>
        <v>0</v>
      </c>
      <c r="P318" s="9">
        <f ca="1">'MH Measure Development'!BO33</f>
        <v>0</v>
      </c>
      <c r="Q318" s="9" t="str">
        <f>'MH Measure Development'!BP33</f>
        <v>ResDHW</v>
      </c>
    </row>
    <row r="319" spans="1:17">
      <c r="A319" s="9" t="s">
        <v>57</v>
      </c>
      <c r="B319" s="545" t="str">
        <f>'MH Measure Development'!BA34</f>
        <v>CEE Tier 1 Clothes Washer - Electric DHW, Gas Dryer - 31% ENERGY STAR Baseline</v>
      </c>
      <c r="C319" s="545" t="str">
        <f>'MH Measure Development'!BB34</f>
        <v>Washer Savings</v>
      </c>
      <c r="D319" s="9">
        <f ca="1">'MH Measure Development'!BC34</f>
        <v>31.436262874763393</v>
      </c>
      <c r="E319" s="9">
        <f>'MH Measure Development'!BD34</f>
        <v>14</v>
      </c>
      <c r="F319" s="9">
        <f ca="1">'MH Measure Development'!BE34</f>
        <v>175.18308770271631</v>
      </c>
      <c r="G319" s="9">
        <f>'MH Measure Development'!BF34</f>
        <v>0</v>
      </c>
      <c r="H319" s="9" t="str">
        <f>'MH Measure Development'!BG34</f>
        <v>ResWASH</v>
      </c>
      <c r="I319" s="9">
        <f ca="1">'MH Measure Development'!BH34</f>
        <v>9.1931522283007538</v>
      </c>
      <c r="J319" s="9">
        <f>'MH Measure Development'!BI34</f>
        <v>0</v>
      </c>
      <c r="K319" s="9">
        <f>'MH Measure Development'!BJ34</f>
        <v>0</v>
      </c>
      <c r="L319" s="9">
        <f>'MH Measure Development'!BK34</f>
        <v>0</v>
      </c>
      <c r="M319" s="9">
        <f>'MH Measure Development'!BL34</f>
        <v>0</v>
      </c>
      <c r="N319" s="9">
        <f>'MH Measure Development'!BM34</f>
        <v>0</v>
      </c>
      <c r="O319" s="9">
        <f>'MH Measure Development'!BN34</f>
        <v>0</v>
      </c>
      <c r="P319" s="9">
        <f ca="1">'MH Measure Development'!BO34</f>
        <v>0</v>
      </c>
      <c r="Q319" s="9" t="str">
        <f>'MH Measure Development'!BP34</f>
        <v>ResDHW</v>
      </c>
    </row>
    <row r="320" spans="1:17">
      <c r="A320" s="9" t="s">
        <v>57</v>
      </c>
      <c r="B320" s="545" t="str">
        <f>'MH Measure Development'!BA35</f>
        <v>CEE Tier 1 Clothes Washer - Gas DHW, Electric Dryer - 31% ENERGY STAR Baseline</v>
      </c>
      <c r="C320" s="545" t="str">
        <f>'MH Measure Development'!BB35</f>
        <v>Washer Savings</v>
      </c>
      <c r="D320" s="9">
        <f ca="1">'MH Measure Development'!BC35</f>
        <v>4.3903780338574094</v>
      </c>
      <c r="E320" s="9">
        <f>'MH Measure Development'!BD35</f>
        <v>14</v>
      </c>
      <c r="F320" s="9">
        <f ca="1">'MH Measure Development'!BE35</f>
        <v>175.18308770271631</v>
      </c>
      <c r="G320" s="9">
        <f>'MH Measure Development'!BF35</f>
        <v>0</v>
      </c>
      <c r="H320" s="9" t="str">
        <f>'MH Measure Development'!BG35</f>
        <v>ResWASH</v>
      </c>
      <c r="I320" s="9">
        <f ca="1">'MH Measure Development'!BH35</f>
        <v>9.1931522283007538</v>
      </c>
      <c r="J320" s="9">
        <f>'MH Measure Development'!BI35</f>
        <v>0</v>
      </c>
      <c r="K320" s="9">
        <f>'MH Measure Development'!BJ35</f>
        <v>0</v>
      </c>
      <c r="L320" s="9">
        <f>'MH Measure Development'!BK35</f>
        <v>0</v>
      </c>
      <c r="M320" s="9">
        <f>'MH Measure Development'!BL35</f>
        <v>0</v>
      </c>
      <c r="N320" s="9">
        <f>'MH Measure Development'!BM35</f>
        <v>0</v>
      </c>
      <c r="O320" s="9">
        <f>'MH Measure Development'!BN35</f>
        <v>0</v>
      </c>
      <c r="P320" s="9">
        <f ca="1">'MH Measure Development'!BO35</f>
        <v>1.2307680661601617</v>
      </c>
      <c r="Q320" s="9" t="str">
        <f>'MH Measure Development'!BP35</f>
        <v>ResDHW</v>
      </c>
    </row>
    <row r="321" spans="1:17">
      <c r="A321" s="9" t="s">
        <v>57</v>
      </c>
      <c r="B321" s="545" t="str">
        <f>'MH Measure Development'!BA36</f>
        <v>CEE Tier 1 Clothes Washer - Gas DHW, Gas Dryer - 31% ENERGY STAR Baseline</v>
      </c>
      <c r="C321" s="545" t="str">
        <f>'MH Measure Development'!BB36</f>
        <v>Washer Savings</v>
      </c>
      <c r="D321" s="9">
        <f ca="1">'MH Measure Development'!BC36</f>
        <v>4.3903780338574094</v>
      </c>
      <c r="E321" s="9">
        <f>'MH Measure Development'!BD36</f>
        <v>14</v>
      </c>
      <c r="F321" s="9">
        <f ca="1">'MH Measure Development'!BE36</f>
        <v>175.18308770271631</v>
      </c>
      <c r="G321" s="9">
        <f>'MH Measure Development'!BF36</f>
        <v>0</v>
      </c>
      <c r="H321" s="9" t="str">
        <f>'MH Measure Development'!BG36</f>
        <v>ResWASH</v>
      </c>
      <c r="I321" s="9">
        <f ca="1">'MH Measure Development'!BH36</f>
        <v>9.1931522283007538</v>
      </c>
      <c r="J321" s="9">
        <f>'MH Measure Development'!BI36</f>
        <v>0</v>
      </c>
      <c r="K321" s="9">
        <f>'MH Measure Development'!BJ36</f>
        <v>0</v>
      </c>
      <c r="L321" s="9">
        <f>'MH Measure Development'!BK36</f>
        <v>0</v>
      </c>
      <c r="M321" s="9">
        <f>'MH Measure Development'!BL36</f>
        <v>0</v>
      </c>
      <c r="N321" s="9">
        <f>'MH Measure Development'!BM36</f>
        <v>0</v>
      </c>
      <c r="O321" s="9">
        <f>'MH Measure Development'!BN36</f>
        <v>0</v>
      </c>
      <c r="P321" s="9">
        <f ca="1">'MH Measure Development'!BO36</f>
        <v>1.2307680661601617</v>
      </c>
      <c r="Q321" s="9" t="str">
        <f>'MH Measure Development'!BP36</f>
        <v>ResDHW</v>
      </c>
    </row>
    <row r="322" spans="1:17">
      <c r="A322" s="9" t="s">
        <v>57</v>
      </c>
      <c r="B322" s="545" t="str">
        <f>'MH Measure Development'!BA37</f>
        <v>CEE Tier 1 Clothes Washer - Any DHW, Any Dryer - 31% ENERGY STAR Baseline</v>
      </c>
      <c r="C322" s="545" t="str">
        <f>'MH Measure Development'!BB37</f>
        <v>Washer Savings</v>
      </c>
      <c r="D322" s="9">
        <f ca="1">'MH Measure Development'!BC37</f>
        <v>19.319706466037516</v>
      </c>
      <c r="E322" s="9">
        <f>'MH Measure Development'!BD37</f>
        <v>14</v>
      </c>
      <c r="F322" s="9">
        <f ca="1">'MH Measure Development'!BE37</f>
        <v>175.18308770271631</v>
      </c>
      <c r="G322" s="9">
        <f>'MH Measure Development'!BF37</f>
        <v>0</v>
      </c>
      <c r="H322" s="9" t="str">
        <f>'MH Measure Development'!BG37</f>
        <v>ResWASH</v>
      </c>
      <c r="I322" s="9">
        <f ca="1">'MH Measure Development'!BH37</f>
        <v>9.1931522283007538</v>
      </c>
      <c r="J322" s="9">
        <f>'MH Measure Development'!BI37</f>
        <v>0</v>
      </c>
      <c r="K322" s="9">
        <f>'MH Measure Development'!BJ37</f>
        <v>0</v>
      </c>
      <c r="L322" s="9">
        <f>'MH Measure Development'!BK37</f>
        <v>0</v>
      </c>
      <c r="M322" s="9">
        <f>'MH Measure Development'!BL37</f>
        <v>0</v>
      </c>
      <c r="N322" s="9">
        <f>'MH Measure Development'!BM37</f>
        <v>0</v>
      </c>
      <c r="O322" s="9">
        <f>'MH Measure Development'!BN37</f>
        <v>0</v>
      </c>
      <c r="P322" s="9">
        <f ca="1">'MH Measure Development'!BO37</f>
        <v>0.55138409363975238</v>
      </c>
      <c r="Q322" s="9" t="str">
        <f>'MH Measure Development'!BP37</f>
        <v>ResDHW</v>
      </c>
    </row>
    <row r="323" spans="1:17">
      <c r="A323" s="9" t="s">
        <v>57</v>
      </c>
      <c r="B323" s="545" t="str">
        <f>'MH Measure Development'!BA38</f>
        <v>CEE Tier 2 Clothes Washer - Electric DHW, Electric Dryer - 31% ENERGY STAR Baseline</v>
      </c>
      <c r="C323" s="545" t="str">
        <f>'MH Measure Development'!BB38</f>
        <v>Washer Savings</v>
      </c>
      <c r="D323" s="9">
        <f ca="1">'MH Measure Development'!BC38</f>
        <v>43.259685132228718</v>
      </c>
      <c r="E323" s="9">
        <f>'MH Measure Development'!BD38</f>
        <v>14</v>
      </c>
      <c r="F323" s="9">
        <f ca="1">'MH Measure Development'!BE38</f>
        <v>224.76652220844369</v>
      </c>
      <c r="G323" s="9">
        <f>'MH Measure Development'!BF38</f>
        <v>0</v>
      </c>
      <c r="H323" s="9" t="str">
        <f>'MH Measure Development'!BG38</f>
        <v>ResWASH</v>
      </c>
      <c r="I323" s="9">
        <f ca="1">'MH Measure Development'!BH38</f>
        <v>12.261370779974417</v>
      </c>
      <c r="J323" s="9">
        <f>'MH Measure Development'!BI38</f>
        <v>0</v>
      </c>
      <c r="K323" s="9">
        <f>'MH Measure Development'!BJ38</f>
        <v>0</v>
      </c>
      <c r="L323" s="9">
        <f>'MH Measure Development'!BK38</f>
        <v>0</v>
      </c>
      <c r="M323" s="9">
        <f>'MH Measure Development'!BL38</f>
        <v>0</v>
      </c>
      <c r="N323" s="9">
        <f>'MH Measure Development'!BM38</f>
        <v>0</v>
      </c>
      <c r="O323" s="9">
        <f>'MH Measure Development'!BN38</f>
        <v>0</v>
      </c>
      <c r="P323" s="9">
        <f ca="1">'MH Measure Development'!BO38</f>
        <v>0</v>
      </c>
      <c r="Q323" s="9" t="str">
        <f>'MH Measure Development'!BP38</f>
        <v>ResDHW</v>
      </c>
    </row>
    <row r="324" spans="1:17">
      <c r="A324" s="9" t="s">
        <v>57</v>
      </c>
      <c r="B324" s="545" t="str">
        <f>'MH Measure Development'!BA39</f>
        <v>CEE Tier 2 Clothes Washer - Electric DHW, Gas Dryer - 31% ENERGY STAR Baseline</v>
      </c>
      <c r="C324" s="545" t="str">
        <f>'MH Measure Development'!BB39</f>
        <v>Washer Savings</v>
      </c>
      <c r="D324" s="9">
        <f ca="1">'MH Measure Development'!BC39</f>
        <v>43.259685132228718</v>
      </c>
      <c r="E324" s="9">
        <f>'MH Measure Development'!BD39</f>
        <v>14</v>
      </c>
      <c r="F324" s="9">
        <f ca="1">'MH Measure Development'!BE39</f>
        <v>224.76652220844369</v>
      </c>
      <c r="G324" s="9">
        <f>'MH Measure Development'!BF39</f>
        <v>0</v>
      </c>
      <c r="H324" s="9" t="str">
        <f>'MH Measure Development'!BG39</f>
        <v>ResWASH</v>
      </c>
      <c r="I324" s="9">
        <f ca="1">'MH Measure Development'!BH39</f>
        <v>12.261370779974417</v>
      </c>
      <c r="J324" s="9">
        <f>'MH Measure Development'!BI39</f>
        <v>0</v>
      </c>
      <c r="K324" s="9">
        <f>'MH Measure Development'!BJ39</f>
        <v>0</v>
      </c>
      <c r="L324" s="9">
        <f>'MH Measure Development'!BK39</f>
        <v>0</v>
      </c>
      <c r="M324" s="9">
        <f>'MH Measure Development'!BL39</f>
        <v>0</v>
      </c>
      <c r="N324" s="9">
        <f>'MH Measure Development'!BM39</f>
        <v>0</v>
      </c>
      <c r="O324" s="9">
        <f>'MH Measure Development'!BN39</f>
        <v>0</v>
      </c>
      <c r="P324" s="9">
        <f ca="1">'MH Measure Development'!BO39</f>
        <v>0</v>
      </c>
      <c r="Q324" s="9" t="str">
        <f>'MH Measure Development'!BP39</f>
        <v>ResDHW</v>
      </c>
    </row>
    <row r="325" spans="1:17">
      <c r="A325" s="9" t="s">
        <v>57</v>
      </c>
      <c r="B325" s="545" t="str">
        <f>'MH Measure Development'!BA40</f>
        <v>CEE Tier 2 Clothes Washer - Gas DHW, Electric Dryer - 31% ENERGY STAR Baseline</v>
      </c>
      <c r="C325" s="545" t="str">
        <f>'MH Measure Development'!BB40</f>
        <v>Washer Savings</v>
      </c>
      <c r="D325" s="9">
        <f ca="1">'MH Measure Development'!BC40</f>
        <v>6.7610980280712525</v>
      </c>
      <c r="E325" s="9">
        <f>'MH Measure Development'!BD40</f>
        <v>14</v>
      </c>
      <c r="F325" s="9">
        <f ca="1">'MH Measure Development'!BE40</f>
        <v>224.76652220844369</v>
      </c>
      <c r="G325" s="9">
        <f>'MH Measure Development'!BF40</f>
        <v>0</v>
      </c>
      <c r="H325" s="9" t="str">
        <f>'MH Measure Development'!BG40</f>
        <v>ResWASH</v>
      </c>
      <c r="I325" s="9">
        <f ca="1">'MH Measure Development'!BH40</f>
        <v>12.261370779974417</v>
      </c>
      <c r="J325" s="9">
        <f>'MH Measure Development'!BI40</f>
        <v>0</v>
      </c>
      <c r="K325" s="9">
        <f>'MH Measure Development'!BJ40</f>
        <v>0</v>
      </c>
      <c r="L325" s="9">
        <f>'MH Measure Development'!BK40</f>
        <v>0</v>
      </c>
      <c r="M325" s="9">
        <f>'MH Measure Development'!BL40</f>
        <v>0</v>
      </c>
      <c r="N325" s="9">
        <f>'MH Measure Development'!BM40</f>
        <v>0</v>
      </c>
      <c r="O325" s="9">
        <f>'MH Measure Development'!BN40</f>
        <v>0</v>
      </c>
      <c r="P325" s="9">
        <f ca="1">'MH Measure Development'!BO40</f>
        <v>1.6609290371531924</v>
      </c>
      <c r="Q325" s="9" t="str">
        <f>'MH Measure Development'!BP40</f>
        <v>ResDHW</v>
      </c>
    </row>
    <row r="326" spans="1:17">
      <c r="A326" s="9" t="s">
        <v>57</v>
      </c>
      <c r="B326" s="545" t="str">
        <f>'MH Measure Development'!BA41</f>
        <v>CEE Tier 2 Clothes Washer - Gas DHW, Gas Dryer - 31% ENERGY STAR Baseline</v>
      </c>
      <c r="C326" s="545" t="str">
        <f>'MH Measure Development'!BB41</f>
        <v>Washer Savings</v>
      </c>
      <c r="D326" s="9">
        <f ca="1">'MH Measure Development'!BC41</f>
        <v>6.7610980280712525</v>
      </c>
      <c r="E326" s="9">
        <f>'MH Measure Development'!BD41</f>
        <v>14</v>
      </c>
      <c r="F326" s="9">
        <f ca="1">'MH Measure Development'!BE41</f>
        <v>224.76652220844369</v>
      </c>
      <c r="G326" s="9">
        <f>'MH Measure Development'!BF41</f>
        <v>0</v>
      </c>
      <c r="H326" s="9" t="str">
        <f>'MH Measure Development'!BG41</f>
        <v>ResWASH</v>
      </c>
      <c r="I326" s="9">
        <f ca="1">'MH Measure Development'!BH41</f>
        <v>12.261370779974417</v>
      </c>
      <c r="J326" s="9">
        <f>'MH Measure Development'!BI41</f>
        <v>0</v>
      </c>
      <c r="K326" s="9">
        <f>'MH Measure Development'!BJ41</f>
        <v>0</v>
      </c>
      <c r="L326" s="9">
        <f>'MH Measure Development'!BK41</f>
        <v>0</v>
      </c>
      <c r="M326" s="9">
        <f>'MH Measure Development'!BL41</f>
        <v>0</v>
      </c>
      <c r="N326" s="9">
        <f>'MH Measure Development'!BM41</f>
        <v>0</v>
      </c>
      <c r="O326" s="9">
        <f>'MH Measure Development'!BN41</f>
        <v>0</v>
      </c>
      <c r="P326" s="9">
        <f ca="1">'MH Measure Development'!BO41</f>
        <v>1.6609290371531924</v>
      </c>
      <c r="Q326" s="9" t="str">
        <f>'MH Measure Development'!BP41</f>
        <v>ResDHW</v>
      </c>
    </row>
    <row r="327" spans="1:17">
      <c r="A327" s="9" t="s">
        <v>57</v>
      </c>
      <c r="B327" s="545" t="str">
        <f>'MH Measure Development'!BA42</f>
        <v>CEE Tier 2 Clothes Washer - Any DHW, Any Dryer - 31% ENERGY STAR Baseline</v>
      </c>
      <c r="C327" s="545" t="str">
        <f>'MH Measure Development'!BB42</f>
        <v>Washer Savings</v>
      </c>
      <c r="D327" s="9">
        <f ca="1">'MH Measure Development'!BC42</f>
        <v>26.908318109566174</v>
      </c>
      <c r="E327" s="9">
        <f>'MH Measure Development'!BD42</f>
        <v>14</v>
      </c>
      <c r="F327" s="9">
        <f ca="1">'MH Measure Development'!BE42</f>
        <v>224.76652220844369</v>
      </c>
      <c r="G327" s="9">
        <f>'MH Measure Development'!BF42</f>
        <v>0</v>
      </c>
      <c r="H327" s="9" t="str">
        <f>'MH Measure Development'!BG42</f>
        <v>ResWASH</v>
      </c>
      <c r="I327" s="9">
        <f ca="1">'MH Measure Development'!BH42</f>
        <v>12.261370779974417</v>
      </c>
      <c r="J327" s="9">
        <f>'MH Measure Development'!BI42</f>
        <v>0</v>
      </c>
      <c r="K327" s="9">
        <f>'MH Measure Development'!BJ42</f>
        <v>0</v>
      </c>
      <c r="L327" s="9">
        <f>'MH Measure Development'!BK42</f>
        <v>0</v>
      </c>
      <c r="M327" s="9">
        <f>'MH Measure Development'!BL42</f>
        <v>0</v>
      </c>
      <c r="N327" s="9">
        <f>'MH Measure Development'!BM42</f>
        <v>0</v>
      </c>
      <c r="O327" s="9">
        <f>'MH Measure Development'!BN42</f>
        <v>0</v>
      </c>
      <c r="P327" s="9">
        <f ca="1">'MH Measure Development'!BO42</f>
        <v>0.74409620864463011</v>
      </c>
      <c r="Q327" s="9" t="str">
        <f>'MH Measure Development'!BP42</f>
        <v>ResDHW</v>
      </c>
    </row>
    <row r="328" spans="1:17">
      <c r="A328" s="9" t="s">
        <v>57</v>
      </c>
      <c r="B328" s="545" t="str">
        <f>'MH Measure Development'!BA43</f>
        <v>CEE Tier 3 Clothes Washer - Electric DHW, Electric Dryer - 31% ENERGY STAR Baseline</v>
      </c>
      <c r="C328" s="545" t="str">
        <f>'MH Measure Development'!BB43</f>
        <v>Washer Savings</v>
      </c>
      <c r="D328" s="9">
        <f ca="1">'MH Measure Development'!BC43</f>
        <v>45.277273857272526</v>
      </c>
      <c r="E328" s="9">
        <f>'MH Measure Development'!BD43</f>
        <v>14</v>
      </c>
      <c r="F328" s="9">
        <f ca="1">'MH Measure Development'!BE43</f>
        <v>219.7320756538362</v>
      </c>
      <c r="G328" s="9">
        <f>'MH Measure Development'!BF43</f>
        <v>0</v>
      </c>
      <c r="H328" s="9" t="str">
        <f>'MH Measure Development'!BG43</f>
        <v>ResWASH</v>
      </c>
      <c r="I328" s="9">
        <f ca="1">'MH Measure Development'!BH43</f>
        <v>12.526380059869449</v>
      </c>
      <c r="J328" s="9">
        <f>'MH Measure Development'!BI43</f>
        <v>0</v>
      </c>
      <c r="K328" s="9">
        <f>'MH Measure Development'!BJ43</f>
        <v>0</v>
      </c>
      <c r="L328" s="9">
        <f>'MH Measure Development'!BK43</f>
        <v>0</v>
      </c>
      <c r="M328" s="9">
        <f>'MH Measure Development'!BL43</f>
        <v>0</v>
      </c>
      <c r="N328" s="9">
        <f>'MH Measure Development'!BM43</f>
        <v>0</v>
      </c>
      <c r="O328" s="9">
        <f>'MH Measure Development'!BN43</f>
        <v>0</v>
      </c>
      <c r="P328" s="9">
        <f ca="1">'MH Measure Development'!BO43</f>
        <v>0</v>
      </c>
      <c r="Q328" s="9" t="str">
        <f>'MH Measure Development'!BP43</f>
        <v>ResDHW</v>
      </c>
    </row>
    <row r="329" spans="1:17">
      <c r="A329" s="9" t="s">
        <v>57</v>
      </c>
      <c r="B329" s="545" t="str">
        <f>'MH Measure Development'!BA44</f>
        <v>CEE Tier 3 Clothes Washer - Electric DHW, Gas Dryer - 31% ENERGY STAR Baseline</v>
      </c>
      <c r="C329" s="545" t="str">
        <f>'MH Measure Development'!BB44</f>
        <v>Washer Savings</v>
      </c>
      <c r="D329" s="9">
        <f ca="1">'MH Measure Development'!BC44</f>
        <v>45.277273857272526</v>
      </c>
      <c r="E329" s="9">
        <f>'MH Measure Development'!BD44</f>
        <v>14</v>
      </c>
      <c r="F329" s="9">
        <f ca="1">'MH Measure Development'!BE44</f>
        <v>219.7320756538362</v>
      </c>
      <c r="G329" s="9">
        <f>'MH Measure Development'!BF44</f>
        <v>0</v>
      </c>
      <c r="H329" s="9" t="str">
        <f>'MH Measure Development'!BG44</f>
        <v>ResWASH</v>
      </c>
      <c r="I329" s="9">
        <f ca="1">'MH Measure Development'!BH44</f>
        <v>12.526380059869449</v>
      </c>
      <c r="J329" s="9">
        <f>'MH Measure Development'!BI44</f>
        <v>0</v>
      </c>
      <c r="K329" s="9">
        <f>'MH Measure Development'!BJ44</f>
        <v>0</v>
      </c>
      <c r="L329" s="9">
        <f>'MH Measure Development'!BK44</f>
        <v>0</v>
      </c>
      <c r="M329" s="9">
        <f>'MH Measure Development'!BL44</f>
        <v>0</v>
      </c>
      <c r="N329" s="9">
        <f>'MH Measure Development'!BM44</f>
        <v>0</v>
      </c>
      <c r="O329" s="9">
        <f>'MH Measure Development'!BN44</f>
        <v>0</v>
      </c>
      <c r="P329" s="9">
        <f ca="1">'MH Measure Development'!BO44</f>
        <v>0</v>
      </c>
      <c r="Q329" s="9" t="str">
        <f>'MH Measure Development'!BP44</f>
        <v>ResDHW</v>
      </c>
    </row>
    <row r="330" spans="1:17">
      <c r="A330" s="9" t="s">
        <v>57</v>
      </c>
      <c r="B330" s="545" t="str">
        <f>'MH Measure Development'!BA45</f>
        <v>CEE Tier 3 Clothes Washer - Gas DHW, Electric Dryer - 31% ENERGY STAR Baseline</v>
      </c>
      <c r="C330" s="545" t="str">
        <f>'MH Measure Development'!BB45</f>
        <v>Washer Savings</v>
      </c>
      <c r="D330" s="9">
        <f ca="1">'MH Measure Development'!BC45</f>
        <v>7.4115613532822948</v>
      </c>
      <c r="E330" s="9">
        <f>'MH Measure Development'!BD45</f>
        <v>14</v>
      </c>
      <c r="F330" s="9">
        <f ca="1">'MH Measure Development'!BE45</f>
        <v>219.7320756538362</v>
      </c>
      <c r="G330" s="9">
        <f>'MH Measure Development'!BF45</f>
        <v>0</v>
      </c>
      <c r="H330" s="9" t="str">
        <f>'MH Measure Development'!BG45</f>
        <v>ResWASH</v>
      </c>
      <c r="I330" s="9">
        <f ca="1">'MH Measure Development'!BH45</f>
        <v>12.526380059869449</v>
      </c>
      <c r="J330" s="9">
        <f>'MH Measure Development'!BI45</f>
        <v>0</v>
      </c>
      <c r="K330" s="9">
        <f>'MH Measure Development'!BJ45</f>
        <v>0</v>
      </c>
      <c r="L330" s="9">
        <f>'MH Measure Development'!BK45</f>
        <v>0</v>
      </c>
      <c r="M330" s="9">
        <f>'MH Measure Development'!BL45</f>
        <v>0</v>
      </c>
      <c r="N330" s="9">
        <f>'MH Measure Development'!BM45</f>
        <v>0</v>
      </c>
      <c r="O330" s="9">
        <f>'MH Measure Development'!BN45</f>
        <v>0</v>
      </c>
      <c r="P330" s="9">
        <f ca="1">'MH Measure Development'!BO45</f>
        <v>1.7231423570149151</v>
      </c>
      <c r="Q330" s="9" t="str">
        <f>'MH Measure Development'!BP45</f>
        <v>ResDHW</v>
      </c>
    </row>
    <row r="331" spans="1:17">
      <c r="A331" s="9" t="s">
        <v>57</v>
      </c>
      <c r="B331" s="545" t="str">
        <f>'MH Measure Development'!BA46</f>
        <v>CEE Tier 3 Clothes Washer - Gas DHW, Gas Dryer - 31% ENERGY STAR Baseline</v>
      </c>
      <c r="C331" s="545" t="str">
        <f>'MH Measure Development'!BB46</f>
        <v>Washer Savings</v>
      </c>
      <c r="D331" s="9">
        <f ca="1">'MH Measure Development'!BC46</f>
        <v>7.4115613532822948</v>
      </c>
      <c r="E331" s="9">
        <f>'MH Measure Development'!BD46</f>
        <v>14</v>
      </c>
      <c r="F331" s="9">
        <f ca="1">'MH Measure Development'!BE46</f>
        <v>219.7320756538362</v>
      </c>
      <c r="G331" s="9">
        <f>'MH Measure Development'!BF46</f>
        <v>0</v>
      </c>
      <c r="H331" s="9" t="str">
        <f>'MH Measure Development'!BG46</f>
        <v>ResWASH</v>
      </c>
      <c r="I331" s="9">
        <f ca="1">'MH Measure Development'!BH46</f>
        <v>12.526380059869449</v>
      </c>
      <c r="J331" s="9">
        <f>'MH Measure Development'!BI46</f>
        <v>0</v>
      </c>
      <c r="K331" s="9">
        <f>'MH Measure Development'!BJ46</f>
        <v>0</v>
      </c>
      <c r="L331" s="9">
        <f>'MH Measure Development'!BK46</f>
        <v>0</v>
      </c>
      <c r="M331" s="9">
        <f>'MH Measure Development'!BL46</f>
        <v>0</v>
      </c>
      <c r="N331" s="9">
        <f>'MH Measure Development'!BM46</f>
        <v>0</v>
      </c>
      <c r="O331" s="9">
        <f>'MH Measure Development'!BN46</f>
        <v>0</v>
      </c>
      <c r="P331" s="9">
        <f ca="1">'MH Measure Development'!BO46</f>
        <v>1.7231423570149151</v>
      </c>
      <c r="Q331" s="9" t="str">
        <f>'MH Measure Development'!BP46</f>
        <v>ResDHW</v>
      </c>
    </row>
    <row r="332" spans="1:17">
      <c r="A332" s="9" t="s">
        <v>57</v>
      </c>
      <c r="B332" s="545" t="str">
        <f>'MH Measure Development'!BA47</f>
        <v>CEE Tier 3 Clothes Washer - Any DHW, Any Dryer - 31% ENERGY STAR Baseline</v>
      </c>
      <c r="C332" s="545" t="str">
        <f>'MH Measure Development'!BB47</f>
        <v>Washer Savings</v>
      </c>
      <c r="D332" s="9">
        <f ca="1">'MH Measure Development'!BC47</f>
        <v>28.313434655484905</v>
      </c>
      <c r="E332" s="9">
        <f>'MH Measure Development'!BD47</f>
        <v>14</v>
      </c>
      <c r="F332" s="9">
        <f ca="1">'MH Measure Development'!BE47</f>
        <v>219.7320756538362</v>
      </c>
      <c r="G332" s="9">
        <f>'MH Measure Development'!BF47</f>
        <v>0</v>
      </c>
      <c r="H332" s="9" t="str">
        <f>'MH Measure Development'!BG47</f>
        <v>ResWASH</v>
      </c>
      <c r="I332" s="9">
        <f ca="1">'MH Measure Development'!BH47</f>
        <v>12.526380059869449</v>
      </c>
      <c r="J332" s="9">
        <f>'MH Measure Development'!BI47</f>
        <v>0</v>
      </c>
      <c r="K332" s="9">
        <f>'MH Measure Development'!BJ47</f>
        <v>0</v>
      </c>
      <c r="L332" s="9">
        <f>'MH Measure Development'!BK47</f>
        <v>0</v>
      </c>
      <c r="M332" s="9">
        <f>'MH Measure Development'!BL47</f>
        <v>0</v>
      </c>
      <c r="N332" s="9">
        <f>'MH Measure Development'!BM47</f>
        <v>0</v>
      </c>
      <c r="O332" s="9">
        <f>'MH Measure Development'!BN47</f>
        <v>0</v>
      </c>
      <c r="P332" s="9">
        <f ca="1">'MH Measure Development'!BO47</f>
        <v>0.77196777594268196</v>
      </c>
      <c r="Q332" s="9" t="str">
        <f>'MH Measure Development'!BP47</f>
        <v>ResDHW</v>
      </c>
    </row>
    <row r="333" spans="1:17">
      <c r="A333" s="9" t="s">
        <v>57</v>
      </c>
      <c r="B333" s="545" t="str">
        <f>'MH Measure Development'!BA48</f>
        <v>ENERGY STAR - Top-Load Clothes Washer - Electric DHW, Electric Dryer - 54% ENERGY STAR Baseline</v>
      </c>
      <c r="C333" s="545" t="str">
        <f>'MH Measure Development'!BB48</f>
        <v>Washer Savings</v>
      </c>
      <c r="D333" s="9">
        <f ca="1">'MH Measure Development'!BC48</f>
        <v>-0.86834500755102795</v>
      </c>
      <c r="E333" s="9">
        <f>'MH Measure Development'!BD48</f>
        <v>14</v>
      </c>
      <c r="F333" s="9">
        <f ca="1">'MH Measure Development'!BE48</f>
        <v>-70.49856002409399</v>
      </c>
      <c r="G333" s="9">
        <f>'MH Measure Development'!BF48</f>
        <v>0</v>
      </c>
      <c r="H333" s="9" t="str">
        <f>'MH Measure Development'!BG48</f>
        <v>ResWASH</v>
      </c>
      <c r="I333" s="9">
        <f ca="1">'MH Measure Development'!BH48</f>
        <v>-1.7651521186446502</v>
      </c>
      <c r="J333" s="9">
        <f>'MH Measure Development'!BI48</f>
        <v>0</v>
      </c>
      <c r="K333" s="9">
        <f>'MH Measure Development'!BJ48</f>
        <v>0</v>
      </c>
      <c r="L333" s="9">
        <f>'MH Measure Development'!BK48</f>
        <v>0</v>
      </c>
      <c r="M333" s="9">
        <f>'MH Measure Development'!BL48</f>
        <v>0</v>
      </c>
      <c r="N333" s="9">
        <f>'MH Measure Development'!BM48</f>
        <v>0</v>
      </c>
      <c r="O333" s="9">
        <f>'MH Measure Development'!BN48</f>
        <v>0</v>
      </c>
      <c r="P333" s="9">
        <f ca="1">'MH Measure Development'!BO48</f>
        <v>0</v>
      </c>
      <c r="Q333" s="9" t="str">
        <f>'MH Measure Development'!BP48</f>
        <v>ResDHW</v>
      </c>
    </row>
    <row r="334" spans="1:17">
      <c r="A334" s="9" t="s">
        <v>57</v>
      </c>
      <c r="B334" s="545" t="str">
        <f>'MH Measure Development'!BA49</f>
        <v>ENERGY STAR - Top-Load Clothes Washer - Electric DHW, Gas Dryer - 54% ENERGY STAR Baseline</v>
      </c>
      <c r="C334" s="545" t="str">
        <f>'MH Measure Development'!BB49</f>
        <v>Washer Savings</v>
      </c>
      <c r="D334" s="9">
        <f ca="1">'MH Measure Development'!BC49</f>
        <v>-0.86834500755102795</v>
      </c>
      <c r="E334" s="9">
        <f>'MH Measure Development'!BD49</f>
        <v>14</v>
      </c>
      <c r="F334" s="9">
        <f ca="1">'MH Measure Development'!BE49</f>
        <v>-70.49856002409399</v>
      </c>
      <c r="G334" s="9">
        <f>'MH Measure Development'!BF49</f>
        <v>0</v>
      </c>
      <c r="H334" s="9" t="str">
        <f>'MH Measure Development'!BG49</f>
        <v>ResWASH</v>
      </c>
      <c r="I334" s="9">
        <f ca="1">'MH Measure Development'!BH49</f>
        <v>-1.7651521186446502</v>
      </c>
      <c r="J334" s="9">
        <f>'MH Measure Development'!BI49</f>
        <v>0</v>
      </c>
      <c r="K334" s="9">
        <f>'MH Measure Development'!BJ49</f>
        <v>0</v>
      </c>
      <c r="L334" s="9">
        <f>'MH Measure Development'!BK49</f>
        <v>0</v>
      </c>
      <c r="M334" s="9">
        <f>'MH Measure Development'!BL49</f>
        <v>0</v>
      </c>
      <c r="N334" s="9">
        <f>'MH Measure Development'!BM49</f>
        <v>0</v>
      </c>
      <c r="O334" s="9">
        <f>'MH Measure Development'!BN49</f>
        <v>0</v>
      </c>
      <c r="P334" s="9">
        <f ca="1">'MH Measure Development'!BO49</f>
        <v>0</v>
      </c>
      <c r="Q334" s="9" t="str">
        <f>'MH Measure Development'!BP49</f>
        <v>ResDHW</v>
      </c>
    </row>
    <row r="335" spans="1:17">
      <c r="A335" s="9" t="s">
        <v>57</v>
      </c>
      <c r="B335" s="545" t="str">
        <f>'MH Measure Development'!BA50</f>
        <v>ENERGY STAR - Top-Load Clothes Washer - Gas DHW, Electric Dryer - 54% ENERGY STAR Baseline</v>
      </c>
      <c r="C335" s="545" t="str">
        <f>'MH Measure Development'!BB50</f>
        <v>Washer Savings</v>
      </c>
      <c r="D335" s="9">
        <f ca="1">'MH Measure Development'!BC50</f>
        <v>1.0753931639135033</v>
      </c>
      <c r="E335" s="9">
        <f>'MH Measure Development'!BD50</f>
        <v>14</v>
      </c>
      <c r="F335" s="9">
        <f ca="1">'MH Measure Development'!BE50</f>
        <v>-70.49856002409399</v>
      </c>
      <c r="G335" s="9">
        <f>'MH Measure Development'!BF50</f>
        <v>0</v>
      </c>
      <c r="H335" s="9" t="str">
        <f>'MH Measure Development'!BG50</f>
        <v>ResWASH</v>
      </c>
      <c r="I335" s="9">
        <f ca="1">'MH Measure Development'!BH50</f>
        <v>-1.7651521186446502</v>
      </c>
      <c r="J335" s="9">
        <f>'MH Measure Development'!BI50</f>
        <v>0</v>
      </c>
      <c r="K335" s="9">
        <f>'MH Measure Development'!BJ50</f>
        <v>0</v>
      </c>
      <c r="L335" s="9">
        <f>'MH Measure Development'!BK50</f>
        <v>0</v>
      </c>
      <c r="M335" s="9">
        <f>'MH Measure Development'!BL50</f>
        <v>0</v>
      </c>
      <c r="N335" s="9">
        <f>'MH Measure Development'!BM50</f>
        <v>0</v>
      </c>
      <c r="O335" s="9">
        <f>'MH Measure Development'!BN50</f>
        <v>0</v>
      </c>
      <c r="P335" s="9">
        <f ca="1">'MH Measure Development'!BO50</f>
        <v>-8.8453045056112956E-2</v>
      </c>
      <c r="Q335" s="9" t="str">
        <f>'MH Measure Development'!BP50</f>
        <v>ResDHW</v>
      </c>
    </row>
    <row r="336" spans="1:17">
      <c r="A336" s="9" t="s">
        <v>57</v>
      </c>
      <c r="B336" s="545" t="str">
        <f>'MH Measure Development'!BA51</f>
        <v>ENERGY STAR - Top-Load Clothes Washer - Gas DHW, Gas Dryer - 54% ENERGY STAR Baseline</v>
      </c>
      <c r="C336" s="545" t="str">
        <f>'MH Measure Development'!BB51</f>
        <v>Washer Savings</v>
      </c>
      <c r="D336" s="9">
        <f ca="1">'MH Measure Development'!BC51</f>
        <v>1.0753931639135033</v>
      </c>
      <c r="E336" s="9">
        <f>'MH Measure Development'!BD51</f>
        <v>14</v>
      </c>
      <c r="F336" s="9">
        <f ca="1">'MH Measure Development'!BE51</f>
        <v>-70.49856002409399</v>
      </c>
      <c r="G336" s="9">
        <f>'MH Measure Development'!BF51</f>
        <v>0</v>
      </c>
      <c r="H336" s="9" t="str">
        <f>'MH Measure Development'!BG51</f>
        <v>ResWASH</v>
      </c>
      <c r="I336" s="9">
        <f ca="1">'MH Measure Development'!BH51</f>
        <v>-1.7651521186446502</v>
      </c>
      <c r="J336" s="9">
        <f>'MH Measure Development'!BI51</f>
        <v>0</v>
      </c>
      <c r="K336" s="9">
        <f>'MH Measure Development'!BJ51</f>
        <v>0</v>
      </c>
      <c r="L336" s="9">
        <f>'MH Measure Development'!BK51</f>
        <v>0</v>
      </c>
      <c r="M336" s="9">
        <f>'MH Measure Development'!BL51</f>
        <v>0</v>
      </c>
      <c r="N336" s="9">
        <f>'MH Measure Development'!BM51</f>
        <v>0</v>
      </c>
      <c r="O336" s="9">
        <f>'MH Measure Development'!BN51</f>
        <v>0</v>
      </c>
      <c r="P336" s="9">
        <f ca="1">'MH Measure Development'!BO51</f>
        <v>-8.8453045056112956E-2</v>
      </c>
      <c r="Q336" s="9" t="str">
        <f>'MH Measure Development'!BP51</f>
        <v>ResDHW</v>
      </c>
    </row>
    <row r="337" spans="1:17">
      <c r="A337" s="9" t="s">
        <v>57</v>
      </c>
      <c r="B337" s="545" t="str">
        <f>'MH Measure Development'!BA52</f>
        <v>ENERGY STAR - Top-Load Clothes Washer - Any DHW, Any Dryer - 54% ENERGY STAR Baseline</v>
      </c>
      <c r="C337" s="545" t="str">
        <f>'MH Measure Development'!BB52</f>
        <v>Washer Savings</v>
      </c>
      <c r="D337" s="9">
        <f ca="1">'MH Measure Development'!BC52</f>
        <v>2.4496932650819314E-3</v>
      </c>
      <c r="E337" s="9">
        <f>'MH Measure Development'!BD52</f>
        <v>14</v>
      </c>
      <c r="F337" s="9">
        <f ca="1">'MH Measure Development'!BE52</f>
        <v>-70.49856002409399</v>
      </c>
      <c r="G337" s="9">
        <f>'MH Measure Development'!BF52</f>
        <v>0</v>
      </c>
      <c r="H337" s="9" t="str">
        <f>'MH Measure Development'!BG52</f>
        <v>ResWASH</v>
      </c>
      <c r="I337" s="9">
        <f ca="1">'MH Measure Development'!BH52</f>
        <v>-1.7651521186446502</v>
      </c>
      <c r="J337" s="9">
        <f>'MH Measure Development'!BI52</f>
        <v>0</v>
      </c>
      <c r="K337" s="9">
        <f>'MH Measure Development'!BJ52</f>
        <v>0</v>
      </c>
      <c r="L337" s="9">
        <f>'MH Measure Development'!BK52</f>
        <v>0</v>
      </c>
      <c r="M337" s="9">
        <f>'MH Measure Development'!BL52</f>
        <v>0</v>
      </c>
      <c r="N337" s="9">
        <f>'MH Measure Development'!BM52</f>
        <v>0</v>
      </c>
      <c r="O337" s="9">
        <f>'MH Measure Development'!BN52</f>
        <v>0</v>
      </c>
      <c r="P337" s="9">
        <f ca="1">'MH Measure Development'!BO52</f>
        <v>-3.96269641851386E-2</v>
      </c>
      <c r="Q337" s="9" t="str">
        <f>'MH Measure Development'!BP52</f>
        <v>ResDHW</v>
      </c>
    </row>
    <row r="338" spans="1:17">
      <c r="A338" s="9" t="s">
        <v>57</v>
      </c>
      <c r="B338" s="545" t="str">
        <f>'MH Measure Development'!BA53</f>
        <v>ENERGY STAR - Front-Load Clothes Washer - Electric DHW, Electric Dryer - 54% ENERGY STAR Baseline</v>
      </c>
      <c r="C338" s="545" t="str">
        <f>'MH Measure Development'!BB53</f>
        <v>Washer Savings</v>
      </c>
      <c r="D338" s="9">
        <f ca="1">'MH Measure Development'!BC53</f>
        <v>26.789231958669788</v>
      </c>
      <c r="E338" s="9">
        <f>'MH Measure Development'!BD53</f>
        <v>14</v>
      </c>
      <c r="F338" s="9">
        <f ca="1">'MH Measure Development'!BE53</f>
        <v>144.58430009370579</v>
      </c>
      <c r="G338" s="9">
        <f>'MH Measure Development'!BF53</f>
        <v>0</v>
      </c>
      <c r="H338" s="9" t="str">
        <f>'MH Measure Development'!BG53</f>
        <v>ResWASH</v>
      </c>
      <c r="I338" s="9">
        <f ca="1">'MH Measure Development'!BH53</f>
        <v>7.8532686569983454</v>
      </c>
      <c r="J338" s="9">
        <f>'MH Measure Development'!BI53</f>
        <v>0</v>
      </c>
      <c r="K338" s="9">
        <f>'MH Measure Development'!BJ53</f>
        <v>0</v>
      </c>
      <c r="L338" s="9">
        <f>'MH Measure Development'!BK53</f>
        <v>0</v>
      </c>
      <c r="M338" s="9">
        <f>'MH Measure Development'!BL53</f>
        <v>0</v>
      </c>
      <c r="N338" s="9">
        <f>'MH Measure Development'!BM53</f>
        <v>0</v>
      </c>
      <c r="O338" s="9">
        <f>'MH Measure Development'!BN53</f>
        <v>0</v>
      </c>
      <c r="P338" s="9">
        <f ca="1">'MH Measure Development'!BO53</f>
        <v>0</v>
      </c>
      <c r="Q338" s="9" t="str">
        <f>'MH Measure Development'!BP53</f>
        <v>ResDHW</v>
      </c>
    </row>
    <row r="339" spans="1:17">
      <c r="A339" s="9" t="s">
        <v>57</v>
      </c>
      <c r="B339" s="545" t="str">
        <f>'MH Measure Development'!BA54</f>
        <v>ENERGY STAR - Front-Load Clothes Washer - Electric DHW, Gas Dryer - 54% ENERGY STAR Baseline</v>
      </c>
      <c r="C339" s="545" t="str">
        <f>'MH Measure Development'!BB54</f>
        <v>Washer Savings</v>
      </c>
      <c r="D339" s="9">
        <f ca="1">'MH Measure Development'!BC54</f>
        <v>26.789231958669788</v>
      </c>
      <c r="E339" s="9">
        <f>'MH Measure Development'!BD54</f>
        <v>14</v>
      </c>
      <c r="F339" s="9">
        <f ca="1">'MH Measure Development'!BE54</f>
        <v>144.58430009370579</v>
      </c>
      <c r="G339" s="9">
        <f>'MH Measure Development'!BF54</f>
        <v>0</v>
      </c>
      <c r="H339" s="9" t="str">
        <f>'MH Measure Development'!BG54</f>
        <v>ResWASH</v>
      </c>
      <c r="I339" s="9">
        <f ca="1">'MH Measure Development'!BH54</f>
        <v>7.8532686569983454</v>
      </c>
      <c r="J339" s="9">
        <f>'MH Measure Development'!BI54</f>
        <v>0</v>
      </c>
      <c r="K339" s="9">
        <f>'MH Measure Development'!BJ54</f>
        <v>0</v>
      </c>
      <c r="L339" s="9">
        <f>'MH Measure Development'!BK54</f>
        <v>0</v>
      </c>
      <c r="M339" s="9">
        <f>'MH Measure Development'!BL54</f>
        <v>0</v>
      </c>
      <c r="N339" s="9">
        <f>'MH Measure Development'!BM54</f>
        <v>0</v>
      </c>
      <c r="O339" s="9">
        <f>'MH Measure Development'!BN54</f>
        <v>0</v>
      </c>
      <c r="P339" s="9">
        <f ca="1">'MH Measure Development'!BO54</f>
        <v>0</v>
      </c>
      <c r="Q339" s="9" t="str">
        <f>'MH Measure Development'!BP54</f>
        <v>ResDHW</v>
      </c>
    </row>
    <row r="340" spans="1:17">
      <c r="A340" s="9" t="s">
        <v>57</v>
      </c>
      <c r="B340" s="545" t="str">
        <f>'MH Measure Development'!BA55</f>
        <v>ENERGY STAR - Front-Load Clothes Washer - Gas DHW, Electric Dryer - 54% ENERGY STAR Baseline</v>
      </c>
      <c r="C340" s="545" t="str">
        <f>'MH Measure Development'!BB55</f>
        <v>Washer Savings</v>
      </c>
      <c r="D340" s="9">
        <f ca="1">'MH Measure Development'!BC55</f>
        <v>4.0010559714988005</v>
      </c>
      <c r="E340" s="9">
        <f>'MH Measure Development'!BD55</f>
        <v>14</v>
      </c>
      <c r="F340" s="9">
        <f ca="1">'MH Measure Development'!BE55</f>
        <v>144.58430009370579</v>
      </c>
      <c r="G340" s="9">
        <f>'MH Measure Development'!BF55</f>
        <v>0</v>
      </c>
      <c r="H340" s="9" t="str">
        <f>'MH Measure Development'!BG55</f>
        <v>ResWASH</v>
      </c>
      <c r="I340" s="9">
        <f ca="1">'MH Measure Development'!BH55</f>
        <v>7.8532686569983454</v>
      </c>
      <c r="J340" s="9">
        <f>'MH Measure Development'!BI55</f>
        <v>0</v>
      </c>
      <c r="K340" s="9">
        <f>'MH Measure Development'!BJ55</f>
        <v>0</v>
      </c>
      <c r="L340" s="9">
        <f>'MH Measure Development'!BK55</f>
        <v>0</v>
      </c>
      <c r="M340" s="9">
        <f>'MH Measure Development'!BL55</f>
        <v>0</v>
      </c>
      <c r="N340" s="9">
        <f>'MH Measure Development'!BM55</f>
        <v>0</v>
      </c>
      <c r="O340" s="9">
        <f>'MH Measure Development'!BN55</f>
        <v>0</v>
      </c>
      <c r="P340" s="9">
        <f ca="1">'MH Measure Development'!BO55</f>
        <v>1.0370139285895275</v>
      </c>
      <c r="Q340" s="9" t="str">
        <f>'MH Measure Development'!BP55</f>
        <v>ResDHW</v>
      </c>
    </row>
    <row r="341" spans="1:17">
      <c r="A341" s="9" t="s">
        <v>57</v>
      </c>
      <c r="B341" s="545" t="str">
        <f>'MH Measure Development'!BA56</f>
        <v>ENERGY STAR - Front-Load Clothes Washer - Gas DHW, Gas Dryer - 54% ENERGY STAR Baseline</v>
      </c>
      <c r="C341" s="545" t="str">
        <f>'MH Measure Development'!BB56</f>
        <v>Washer Savings</v>
      </c>
      <c r="D341" s="9">
        <f ca="1">'MH Measure Development'!BC56</f>
        <v>4.0010559714988005</v>
      </c>
      <c r="E341" s="9">
        <f>'MH Measure Development'!BD56</f>
        <v>14</v>
      </c>
      <c r="F341" s="9">
        <f ca="1">'MH Measure Development'!BE56</f>
        <v>144.58430009370579</v>
      </c>
      <c r="G341" s="9">
        <f>'MH Measure Development'!BF56</f>
        <v>0</v>
      </c>
      <c r="H341" s="9" t="str">
        <f>'MH Measure Development'!BG56</f>
        <v>ResWASH</v>
      </c>
      <c r="I341" s="9">
        <f ca="1">'MH Measure Development'!BH56</f>
        <v>7.8532686569983454</v>
      </c>
      <c r="J341" s="9">
        <f>'MH Measure Development'!BI56</f>
        <v>0</v>
      </c>
      <c r="K341" s="9">
        <f>'MH Measure Development'!BJ56</f>
        <v>0</v>
      </c>
      <c r="L341" s="9">
        <f>'MH Measure Development'!BK56</f>
        <v>0</v>
      </c>
      <c r="M341" s="9">
        <f>'MH Measure Development'!BL56</f>
        <v>0</v>
      </c>
      <c r="N341" s="9">
        <f>'MH Measure Development'!BM56</f>
        <v>0</v>
      </c>
      <c r="O341" s="9">
        <f>'MH Measure Development'!BN56</f>
        <v>0</v>
      </c>
      <c r="P341" s="9">
        <f ca="1">'MH Measure Development'!BO56</f>
        <v>1.0370139285895275</v>
      </c>
      <c r="Q341" s="9" t="str">
        <f>'MH Measure Development'!BP56</f>
        <v>ResDHW</v>
      </c>
    </row>
    <row r="342" spans="1:17">
      <c r="A342" s="9" t="s">
        <v>57</v>
      </c>
      <c r="B342" s="545" t="str">
        <f>'MH Measure Development'!BA57</f>
        <v>ENERGY STAR - Front-Load Clothes Washer - Any DHW, Any Dryer - 54% ENERGY STAR Baseline</v>
      </c>
      <c r="C342" s="545" t="str">
        <f>'MH Measure Development'!BB57</f>
        <v>Washer Savings</v>
      </c>
      <c r="D342" s="9">
        <f ca="1">'MH Measure Development'!BC57</f>
        <v>16.580129116417186</v>
      </c>
      <c r="E342" s="9">
        <f>'MH Measure Development'!BD57</f>
        <v>14</v>
      </c>
      <c r="F342" s="9">
        <f ca="1">'MH Measure Development'!BE57</f>
        <v>144.58430009370579</v>
      </c>
      <c r="G342" s="9">
        <f>'MH Measure Development'!BF57</f>
        <v>0</v>
      </c>
      <c r="H342" s="9" t="str">
        <f>'MH Measure Development'!BG57</f>
        <v>ResWASH</v>
      </c>
      <c r="I342" s="9">
        <f ca="1">'MH Measure Development'!BH57</f>
        <v>7.8532686569983454</v>
      </c>
      <c r="J342" s="9">
        <f>'MH Measure Development'!BI57</f>
        <v>0</v>
      </c>
      <c r="K342" s="9">
        <f>'MH Measure Development'!BJ57</f>
        <v>0</v>
      </c>
      <c r="L342" s="9">
        <f>'MH Measure Development'!BK57</f>
        <v>0</v>
      </c>
      <c r="M342" s="9">
        <f>'MH Measure Development'!BL57</f>
        <v>0</v>
      </c>
      <c r="N342" s="9">
        <f>'MH Measure Development'!BM57</f>
        <v>0</v>
      </c>
      <c r="O342" s="9">
        <f>'MH Measure Development'!BN57</f>
        <v>0</v>
      </c>
      <c r="P342" s="9">
        <f ca="1">'MH Measure Development'!BO57</f>
        <v>0.46458224000810827</v>
      </c>
      <c r="Q342" s="9" t="str">
        <f>'MH Measure Development'!BP57</f>
        <v>ResDHW</v>
      </c>
    </row>
    <row r="343" spans="1:17">
      <c r="A343" s="9" t="s">
        <v>57</v>
      </c>
      <c r="B343" s="545" t="str">
        <f>'MH Measure Development'!BA63</f>
        <v>CEE Tier 1 Clothes Washer - Electric DHW, Electric Dryer - 54% ENERGY STAR Baseline</v>
      </c>
      <c r="C343" s="545" t="str">
        <f>'MH Measure Development'!BB63</f>
        <v>Washer Savings</v>
      </c>
      <c r="D343" s="9">
        <f ca="1">'MH Measure Development'!BC63</f>
        <v>21.773688400223456</v>
      </c>
      <c r="E343" s="9">
        <f>'MH Measure Development'!BD63</f>
        <v>14</v>
      </c>
      <c r="F343" s="9">
        <f ca="1">'MH Measure Development'!BE63</f>
        <v>126.26454884545808</v>
      </c>
      <c r="G343" s="9">
        <f>'MH Measure Development'!BF63</f>
        <v>0</v>
      </c>
      <c r="H343" s="9" t="str">
        <f>'MH Measure Development'!BG63</f>
        <v>ResWASH</v>
      </c>
      <c r="I343" s="9">
        <f ca="1">'MH Measure Development'!BH63</f>
        <v>6.5740799653374253</v>
      </c>
      <c r="J343" s="9">
        <f>'MH Measure Development'!BI63</f>
        <v>0</v>
      </c>
      <c r="K343" s="9">
        <f>'MH Measure Development'!BJ63</f>
        <v>0</v>
      </c>
      <c r="L343" s="9">
        <f>'MH Measure Development'!BK63</f>
        <v>0</v>
      </c>
      <c r="M343" s="9">
        <f>'MH Measure Development'!BL63</f>
        <v>0</v>
      </c>
      <c r="N343" s="9">
        <f>'MH Measure Development'!BM63</f>
        <v>0</v>
      </c>
      <c r="O343" s="9">
        <f>'MH Measure Development'!BN63</f>
        <v>0</v>
      </c>
      <c r="P343" s="9">
        <f ca="1">'MH Measure Development'!BO63</f>
        <v>0</v>
      </c>
      <c r="Q343" s="9" t="str">
        <f>'MH Measure Development'!BP63</f>
        <v>ResDHW</v>
      </c>
    </row>
    <row r="344" spans="1:17">
      <c r="A344" s="9" t="s">
        <v>57</v>
      </c>
      <c r="B344" s="545" t="str">
        <f>'MH Measure Development'!BA64</f>
        <v>CEE Tier 1 Clothes Washer - Electric DHW, Gas Dryer - 54% ENERGY STAR Baseline</v>
      </c>
      <c r="C344" s="545" t="str">
        <f>'MH Measure Development'!BB64</f>
        <v>Washer Savings</v>
      </c>
      <c r="D344" s="9">
        <f ca="1">'MH Measure Development'!BC64</f>
        <v>21.773688400223456</v>
      </c>
      <c r="E344" s="9">
        <f>'MH Measure Development'!BD64</f>
        <v>14</v>
      </c>
      <c r="F344" s="9">
        <f ca="1">'MH Measure Development'!BE64</f>
        <v>126.26454884545808</v>
      </c>
      <c r="G344" s="9">
        <f>'MH Measure Development'!BF64</f>
        <v>0</v>
      </c>
      <c r="H344" s="9" t="str">
        <f>'MH Measure Development'!BG64</f>
        <v>ResWASH</v>
      </c>
      <c r="I344" s="9">
        <f ca="1">'MH Measure Development'!BH64</f>
        <v>6.5740799653374253</v>
      </c>
      <c r="J344" s="9">
        <f>'MH Measure Development'!BI64</f>
        <v>0</v>
      </c>
      <c r="K344" s="9">
        <f>'MH Measure Development'!BJ64</f>
        <v>0</v>
      </c>
      <c r="L344" s="9">
        <f>'MH Measure Development'!BK64</f>
        <v>0</v>
      </c>
      <c r="M344" s="9">
        <f>'MH Measure Development'!BL64</f>
        <v>0</v>
      </c>
      <c r="N344" s="9">
        <f>'MH Measure Development'!BM64</f>
        <v>0</v>
      </c>
      <c r="O344" s="9">
        <f>'MH Measure Development'!BN64</f>
        <v>0</v>
      </c>
      <c r="P344" s="9">
        <f ca="1">'MH Measure Development'!BO64</f>
        <v>0</v>
      </c>
      <c r="Q344" s="9" t="str">
        <f>'MH Measure Development'!BP64</f>
        <v>ResDHW</v>
      </c>
    </row>
    <row r="345" spans="1:17">
      <c r="A345" s="9" t="s">
        <v>57</v>
      </c>
      <c r="B345" s="545" t="str">
        <f>'MH Measure Development'!BA65</f>
        <v>CEE Tier 1 Clothes Washer - Gas DHW, Electric Dryer - 54% ENERGY STAR Baseline</v>
      </c>
      <c r="C345" s="545" t="str">
        <f>'MH Measure Development'!BB65</f>
        <v>Washer Savings</v>
      </c>
      <c r="D345" s="9">
        <f ca="1">'MH Measure Development'!BC65</f>
        <v>3.0079633796861103</v>
      </c>
      <c r="E345" s="9">
        <f>'MH Measure Development'!BD65</f>
        <v>14</v>
      </c>
      <c r="F345" s="9">
        <f ca="1">'MH Measure Development'!BE65</f>
        <v>126.26454884545808</v>
      </c>
      <c r="G345" s="9">
        <f>'MH Measure Development'!BF65</f>
        <v>0</v>
      </c>
      <c r="H345" s="9" t="str">
        <f>'MH Measure Development'!BG65</f>
        <v>ResWASH</v>
      </c>
      <c r="I345" s="9">
        <f ca="1">'MH Measure Development'!BH65</f>
        <v>6.5740799653374253</v>
      </c>
      <c r="J345" s="9">
        <f>'MH Measure Development'!BI65</f>
        <v>0</v>
      </c>
      <c r="K345" s="9">
        <f>'MH Measure Development'!BJ65</f>
        <v>0</v>
      </c>
      <c r="L345" s="9">
        <f>'MH Measure Development'!BK65</f>
        <v>0</v>
      </c>
      <c r="M345" s="9">
        <f>'MH Measure Development'!BL65</f>
        <v>0</v>
      </c>
      <c r="N345" s="9">
        <f>'MH Measure Development'!BM65</f>
        <v>0</v>
      </c>
      <c r="O345" s="9">
        <f>'MH Measure Development'!BN65</f>
        <v>0</v>
      </c>
      <c r="P345" s="9">
        <f ca="1">'MH Measure Development'!BO65</f>
        <v>0.85396559326791932</v>
      </c>
      <c r="Q345" s="9" t="str">
        <f>'MH Measure Development'!BP65</f>
        <v>ResDHW</v>
      </c>
    </row>
    <row r="346" spans="1:17">
      <c r="A346" s="9" t="s">
        <v>57</v>
      </c>
      <c r="B346" s="545" t="str">
        <f>'MH Measure Development'!BA66</f>
        <v>CEE Tier 1 Clothes Washer - Gas DHW, Gas Dryer - 54% ENERGY STAR Baseline</v>
      </c>
      <c r="C346" s="545" t="str">
        <f>'MH Measure Development'!BB66</f>
        <v>Washer Savings</v>
      </c>
      <c r="D346" s="9">
        <f ca="1">'MH Measure Development'!BC66</f>
        <v>3.0079633796861103</v>
      </c>
      <c r="E346" s="9">
        <f>'MH Measure Development'!BD66</f>
        <v>14</v>
      </c>
      <c r="F346" s="9">
        <f ca="1">'MH Measure Development'!BE66</f>
        <v>126.26454884545808</v>
      </c>
      <c r="G346" s="9">
        <f>'MH Measure Development'!BF66</f>
        <v>0</v>
      </c>
      <c r="H346" s="9" t="str">
        <f>'MH Measure Development'!BG66</f>
        <v>ResWASH</v>
      </c>
      <c r="I346" s="9">
        <f ca="1">'MH Measure Development'!BH66</f>
        <v>6.5740799653374253</v>
      </c>
      <c r="J346" s="9">
        <f>'MH Measure Development'!BI66</f>
        <v>0</v>
      </c>
      <c r="K346" s="9">
        <f>'MH Measure Development'!BJ66</f>
        <v>0</v>
      </c>
      <c r="L346" s="9">
        <f>'MH Measure Development'!BK66</f>
        <v>0</v>
      </c>
      <c r="M346" s="9">
        <f>'MH Measure Development'!BL66</f>
        <v>0</v>
      </c>
      <c r="N346" s="9">
        <f>'MH Measure Development'!BM66</f>
        <v>0</v>
      </c>
      <c r="O346" s="9">
        <f>'MH Measure Development'!BN66</f>
        <v>0</v>
      </c>
      <c r="P346" s="9">
        <f ca="1">'MH Measure Development'!BO66</f>
        <v>0.85396559326791932</v>
      </c>
      <c r="Q346" s="9" t="str">
        <f>'MH Measure Development'!BP66</f>
        <v>ResDHW</v>
      </c>
    </row>
    <row r="347" spans="1:17">
      <c r="A347" s="9" t="s">
        <v>57</v>
      </c>
      <c r="B347" s="545" t="str">
        <f>'MH Measure Development'!BA67</f>
        <v>CEE Tier 1 Clothes Washer - Any DHW, Any Dryer - 54% ENERGY STAR Baseline</v>
      </c>
      <c r="C347" s="545" t="str">
        <f>'MH Measure Development'!BB67</f>
        <v>Washer Savings</v>
      </c>
      <c r="D347" s="9">
        <f ca="1">'MH Measure Development'!BC67</f>
        <v>13.366643591022726</v>
      </c>
      <c r="E347" s="9">
        <f>'MH Measure Development'!BD67</f>
        <v>14</v>
      </c>
      <c r="F347" s="9">
        <f ca="1">'MH Measure Development'!BE67</f>
        <v>126.26454884545808</v>
      </c>
      <c r="G347" s="9">
        <f>'MH Measure Development'!BF67</f>
        <v>0</v>
      </c>
      <c r="H347" s="9" t="str">
        <f>'MH Measure Development'!BG67</f>
        <v>ResWASH</v>
      </c>
      <c r="I347" s="9">
        <f ca="1">'MH Measure Development'!BH67</f>
        <v>6.5740799653374253</v>
      </c>
      <c r="J347" s="9">
        <f>'MH Measure Development'!BI67</f>
        <v>0</v>
      </c>
      <c r="K347" s="9">
        <f>'MH Measure Development'!BJ67</f>
        <v>0</v>
      </c>
      <c r="L347" s="9">
        <f>'MH Measure Development'!BK67</f>
        <v>0</v>
      </c>
      <c r="M347" s="9">
        <f>'MH Measure Development'!BL67</f>
        <v>0</v>
      </c>
      <c r="N347" s="9">
        <f>'MH Measure Development'!BM67</f>
        <v>0</v>
      </c>
      <c r="O347" s="9">
        <f>'MH Measure Development'!BN67</f>
        <v>0</v>
      </c>
      <c r="P347" s="9">
        <f ca="1">'MH Measure Development'!BO67</f>
        <v>0.38257658578402781</v>
      </c>
      <c r="Q347" s="9" t="str">
        <f>'MH Measure Development'!BP67</f>
        <v>ResDHW</v>
      </c>
    </row>
    <row r="348" spans="1:17">
      <c r="A348" s="9" t="s">
        <v>57</v>
      </c>
      <c r="B348" s="545" t="str">
        <f>'MH Measure Development'!BA68</f>
        <v>CEE Tier 2 Clothes Washer - Electric DHW, Electric Dryer - 54% ENERGY STAR Baseline</v>
      </c>
      <c r="C348" s="545" t="str">
        <f>'MH Measure Development'!BB68</f>
        <v>Washer Savings</v>
      </c>
      <c r="D348" s="9">
        <f ca="1">'MH Measure Development'!BC68</f>
        <v>33.597110657688781</v>
      </c>
      <c r="E348" s="9">
        <f>'MH Measure Development'!BD68</f>
        <v>14</v>
      </c>
      <c r="F348" s="9">
        <f ca="1">'MH Measure Development'!BE68</f>
        <v>175.84798335118546</v>
      </c>
      <c r="G348" s="9">
        <f>'MH Measure Development'!BF68</f>
        <v>0</v>
      </c>
      <c r="H348" s="9" t="str">
        <f>'MH Measure Development'!BG68</f>
        <v>ResWASH</v>
      </c>
      <c r="I348" s="9">
        <f ca="1">'MH Measure Development'!BH68</f>
        <v>9.6422985170110884</v>
      </c>
      <c r="J348" s="9">
        <f>'MH Measure Development'!BI68</f>
        <v>0</v>
      </c>
      <c r="K348" s="9">
        <f>'MH Measure Development'!BJ68</f>
        <v>0</v>
      </c>
      <c r="L348" s="9">
        <f>'MH Measure Development'!BK68</f>
        <v>0</v>
      </c>
      <c r="M348" s="9">
        <f>'MH Measure Development'!BL68</f>
        <v>0</v>
      </c>
      <c r="N348" s="9">
        <f>'MH Measure Development'!BM68</f>
        <v>0</v>
      </c>
      <c r="O348" s="9">
        <f>'MH Measure Development'!BN68</f>
        <v>0</v>
      </c>
      <c r="P348" s="9">
        <f ca="1">'MH Measure Development'!BO68</f>
        <v>0</v>
      </c>
      <c r="Q348" s="9" t="str">
        <f>'MH Measure Development'!BP68</f>
        <v>ResDHW</v>
      </c>
    </row>
    <row r="349" spans="1:17">
      <c r="A349" s="9" t="s">
        <v>57</v>
      </c>
      <c r="B349" s="545" t="str">
        <f>'MH Measure Development'!BA69</f>
        <v>CEE Tier 2 Clothes Washer - Electric DHW, Gas Dryer - 54% ENERGY STAR Baseline</v>
      </c>
      <c r="C349" s="545" t="str">
        <f>'MH Measure Development'!BB69</f>
        <v>Washer Savings</v>
      </c>
      <c r="D349" s="9">
        <f ca="1">'MH Measure Development'!BC69</f>
        <v>33.597110657688781</v>
      </c>
      <c r="E349" s="9">
        <f>'MH Measure Development'!BD69</f>
        <v>14</v>
      </c>
      <c r="F349" s="9">
        <f ca="1">'MH Measure Development'!BE69</f>
        <v>175.84798335118546</v>
      </c>
      <c r="G349" s="9">
        <f>'MH Measure Development'!BF69</f>
        <v>0</v>
      </c>
      <c r="H349" s="9" t="str">
        <f>'MH Measure Development'!BG69</f>
        <v>ResWASH</v>
      </c>
      <c r="I349" s="9">
        <f ca="1">'MH Measure Development'!BH69</f>
        <v>9.6422985170110884</v>
      </c>
      <c r="J349" s="9">
        <f>'MH Measure Development'!BI69</f>
        <v>0</v>
      </c>
      <c r="K349" s="9">
        <f>'MH Measure Development'!BJ69</f>
        <v>0</v>
      </c>
      <c r="L349" s="9">
        <f>'MH Measure Development'!BK69</f>
        <v>0</v>
      </c>
      <c r="M349" s="9">
        <f>'MH Measure Development'!BL69</f>
        <v>0</v>
      </c>
      <c r="N349" s="9">
        <f>'MH Measure Development'!BM69</f>
        <v>0</v>
      </c>
      <c r="O349" s="9">
        <f>'MH Measure Development'!BN69</f>
        <v>0</v>
      </c>
      <c r="P349" s="9">
        <f ca="1">'MH Measure Development'!BO69</f>
        <v>0</v>
      </c>
      <c r="Q349" s="9" t="str">
        <f>'MH Measure Development'!BP69</f>
        <v>ResDHW</v>
      </c>
    </row>
    <row r="350" spans="1:17">
      <c r="A350" s="9" t="s">
        <v>57</v>
      </c>
      <c r="B350" s="545" t="str">
        <f>'MH Measure Development'!BA70</f>
        <v>CEE Tier 2 Clothes Washer - Gas DHW, Electric Dryer - 54% ENERGY STAR Baseline</v>
      </c>
      <c r="C350" s="545" t="str">
        <f>'MH Measure Development'!BB70</f>
        <v>Washer Savings</v>
      </c>
      <c r="D350" s="9">
        <f ca="1">'MH Measure Development'!BC70</f>
        <v>5.3786833738999533</v>
      </c>
      <c r="E350" s="9">
        <f>'MH Measure Development'!BD70</f>
        <v>14</v>
      </c>
      <c r="F350" s="9">
        <f ca="1">'MH Measure Development'!BE70</f>
        <v>175.84798335118546</v>
      </c>
      <c r="G350" s="9">
        <f>'MH Measure Development'!BF70</f>
        <v>0</v>
      </c>
      <c r="H350" s="9" t="str">
        <f>'MH Measure Development'!BG70</f>
        <v>ResWASH</v>
      </c>
      <c r="I350" s="9">
        <f ca="1">'MH Measure Development'!BH70</f>
        <v>9.6422985170110884</v>
      </c>
      <c r="J350" s="9">
        <f>'MH Measure Development'!BI70</f>
        <v>0</v>
      </c>
      <c r="K350" s="9">
        <f>'MH Measure Development'!BJ70</f>
        <v>0</v>
      </c>
      <c r="L350" s="9">
        <f>'MH Measure Development'!BK70</f>
        <v>0</v>
      </c>
      <c r="M350" s="9">
        <f>'MH Measure Development'!BL70</f>
        <v>0</v>
      </c>
      <c r="N350" s="9">
        <f>'MH Measure Development'!BM70</f>
        <v>0</v>
      </c>
      <c r="O350" s="9">
        <f>'MH Measure Development'!BN70</f>
        <v>0</v>
      </c>
      <c r="P350" s="9">
        <f ca="1">'MH Measure Development'!BO70</f>
        <v>1.2841265642609501</v>
      </c>
      <c r="Q350" s="9" t="str">
        <f>'MH Measure Development'!BP70</f>
        <v>ResDHW</v>
      </c>
    </row>
    <row r="351" spans="1:17">
      <c r="A351" s="9" t="s">
        <v>57</v>
      </c>
      <c r="B351" s="545" t="str">
        <f>'MH Measure Development'!BA71</f>
        <v>CEE Tier 2 Clothes Washer - Gas DHW, Gas Dryer - 54% ENERGY STAR Baseline</v>
      </c>
      <c r="C351" s="545" t="str">
        <f>'MH Measure Development'!BB71</f>
        <v>Washer Savings</v>
      </c>
      <c r="D351" s="9">
        <f ca="1">'MH Measure Development'!BC71</f>
        <v>5.3786833738999533</v>
      </c>
      <c r="E351" s="9">
        <f>'MH Measure Development'!BD71</f>
        <v>14</v>
      </c>
      <c r="F351" s="9">
        <f ca="1">'MH Measure Development'!BE71</f>
        <v>175.84798335118546</v>
      </c>
      <c r="G351" s="9">
        <f>'MH Measure Development'!BF71</f>
        <v>0</v>
      </c>
      <c r="H351" s="9" t="str">
        <f>'MH Measure Development'!BG71</f>
        <v>ResWASH</v>
      </c>
      <c r="I351" s="9">
        <f ca="1">'MH Measure Development'!BH71</f>
        <v>9.6422985170110884</v>
      </c>
      <c r="J351" s="9">
        <f>'MH Measure Development'!BI71</f>
        <v>0</v>
      </c>
      <c r="K351" s="9">
        <f>'MH Measure Development'!BJ71</f>
        <v>0</v>
      </c>
      <c r="L351" s="9">
        <f>'MH Measure Development'!BK71</f>
        <v>0</v>
      </c>
      <c r="M351" s="9">
        <f>'MH Measure Development'!BL71</f>
        <v>0</v>
      </c>
      <c r="N351" s="9">
        <f>'MH Measure Development'!BM71</f>
        <v>0</v>
      </c>
      <c r="O351" s="9">
        <f>'MH Measure Development'!BN71</f>
        <v>0</v>
      </c>
      <c r="P351" s="9">
        <f ca="1">'MH Measure Development'!BO71</f>
        <v>1.2841265642609501</v>
      </c>
      <c r="Q351" s="9" t="str">
        <f>'MH Measure Development'!BP71</f>
        <v>ResDHW</v>
      </c>
    </row>
    <row r="352" spans="1:17">
      <c r="A352" s="9" t="s">
        <v>57</v>
      </c>
      <c r="B352" s="545" t="str">
        <f>'MH Measure Development'!BA72</f>
        <v>CEE Tier 2 Clothes Washer - Any DHW, Any Dryer - 54% ENERGY STAR Baseline</v>
      </c>
      <c r="C352" s="545" t="str">
        <f>'MH Measure Development'!BB72</f>
        <v>Washer Savings</v>
      </c>
      <c r="D352" s="9">
        <f ca="1">'MH Measure Development'!BC72</f>
        <v>20.955255234551387</v>
      </c>
      <c r="E352" s="9">
        <f>'MH Measure Development'!BD72</f>
        <v>14</v>
      </c>
      <c r="F352" s="9">
        <f ca="1">'MH Measure Development'!BE72</f>
        <v>175.84798335118546</v>
      </c>
      <c r="G352" s="9">
        <f>'MH Measure Development'!BF72</f>
        <v>0</v>
      </c>
      <c r="H352" s="9" t="str">
        <f>'MH Measure Development'!BG72</f>
        <v>ResWASH</v>
      </c>
      <c r="I352" s="9">
        <f ca="1">'MH Measure Development'!BH72</f>
        <v>9.6422985170110884</v>
      </c>
      <c r="J352" s="9">
        <f>'MH Measure Development'!BI72</f>
        <v>0</v>
      </c>
      <c r="K352" s="9">
        <f>'MH Measure Development'!BJ72</f>
        <v>0</v>
      </c>
      <c r="L352" s="9">
        <f>'MH Measure Development'!BK72</f>
        <v>0</v>
      </c>
      <c r="M352" s="9">
        <f>'MH Measure Development'!BL72</f>
        <v>0</v>
      </c>
      <c r="N352" s="9">
        <f>'MH Measure Development'!BM72</f>
        <v>0</v>
      </c>
      <c r="O352" s="9">
        <f>'MH Measure Development'!BN72</f>
        <v>0</v>
      </c>
      <c r="P352" s="9">
        <f ca="1">'MH Measure Development'!BO72</f>
        <v>0.57528870078890559</v>
      </c>
      <c r="Q352" s="9" t="str">
        <f>'MH Measure Development'!BP72</f>
        <v>ResDHW</v>
      </c>
    </row>
    <row r="353" spans="1:17">
      <c r="A353" s="9" t="s">
        <v>57</v>
      </c>
      <c r="B353" s="545" t="str">
        <f>'MH Measure Development'!BA73</f>
        <v>CEE Tier 3 Clothes Washer - Electric DHW, Electric Dryer - 54% ENERGY STAR Baseline</v>
      </c>
      <c r="C353" s="545" t="str">
        <f>'MH Measure Development'!BB73</f>
        <v>Washer Savings</v>
      </c>
      <c r="D353" s="9">
        <f ca="1">'MH Measure Development'!BC73</f>
        <v>35.614699382732589</v>
      </c>
      <c r="E353" s="9">
        <f>'MH Measure Development'!BD73</f>
        <v>14</v>
      </c>
      <c r="F353" s="9">
        <f ca="1">'MH Measure Development'!BE73</f>
        <v>170.81353679657798</v>
      </c>
      <c r="G353" s="9">
        <f>'MH Measure Development'!BF73</f>
        <v>0</v>
      </c>
      <c r="H353" s="9" t="str">
        <f>'MH Measure Development'!BG73</f>
        <v>ResWASH</v>
      </c>
      <c r="I353" s="9">
        <f ca="1">'MH Measure Development'!BH73</f>
        <v>9.907307796906121</v>
      </c>
      <c r="J353" s="9">
        <f>'MH Measure Development'!BI73</f>
        <v>0</v>
      </c>
      <c r="K353" s="9">
        <f>'MH Measure Development'!BJ73</f>
        <v>0</v>
      </c>
      <c r="L353" s="9">
        <f>'MH Measure Development'!BK73</f>
        <v>0</v>
      </c>
      <c r="M353" s="9">
        <f>'MH Measure Development'!BL73</f>
        <v>0</v>
      </c>
      <c r="N353" s="9">
        <f>'MH Measure Development'!BM73</f>
        <v>0</v>
      </c>
      <c r="O353" s="9">
        <f>'MH Measure Development'!BN73</f>
        <v>0</v>
      </c>
      <c r="P353" s="9">
        <f ca="1">'MH Measure Development'!BO73</f>
        <v>0</v>
      </c>
      <c r="Q353" s="9" t="str">
        <f>'MH Measure Development'!BP73</f>
        <v>ResDHW</v>
      </c>
    </row>
    <row r="354" spans="1:17">
      <c r="A354" s="9" t="s">
        <v>57</v>
      </c>
      <c r="B354" s="545" t="str">
        <f>'MH Measure Development'!BA74</f>
        <v>CEE Tier 3 Clothes Washer - Electric DHW, Gas Dryer - 54% ENERGY STAR Baseline</v>
      </c>
      <c r="C354" s="545" t="str">
        <f>'MH Measure Development'!BB74</f>
        <v>Washer Savings</v>
      </c>
      <c r="D354" s="9">
        <f ca="1">'MH Measure Development'!BC74</f>
        <v>35.614699382732589</v>
      </c>
      <c r="E354" s="9">
        <f>'MH Measure Development'!BD74</f>
        <v>14</v>
      </c>
      <c r="F354" s="9">
        <f ca="1">'MH Measure Development'!BE74</f>
        <v>170.81353679657798</v>
      </c>
      <c r="G354" s="9">
        <f>'MH Measure Development'!BF74</f>
        <v>0</v>
      </c>
      <c r="H354" s="9" t="str">
        <f>'MH Measure Development'!BG74</f>
        <v>ResWASH</v>
      </c>
      <c r="I354" s="9">
        <f ca="1">'MH Measure Development'!BH74</f>
        <v>9.907307796906121</v>
      </c>
      <c r="J354" s="9">
        <f>'MH Measure Development'!BI74</f>
        <v>0</v>
      </c>
      <c r="K354" s="9">
        <f>'MH Measure Development'!BJ74</f>
        <v>0</v>
      </c>
      <c r="L354" s="9">
        <f>'MH Measure Development'!BK74</f>
        <v>0</v>
      </c>
      <c r="M354" s="9">
        <f>'MH Measure Development'!BL74</f>
        <v>0</v>
      </c>
      <c r="N354" s="9">
        <f>'MH Measure Development'!BM74</f>
        <v>0</v>
      </c>
      <c r="O354" s="9">
        <f>'MH Measure Development'!BN74</f>
        <v>0</v>
      </c>
      <c r="P354" s="9">
        <f ca="1">'MH Measure Development'!BO74</f>
        <v>0</v>
      </c>
      <c r="Q354" s="9" t="str">
        <f>'MH Measure Development'!BP74</f>
        <v>ResDHW</v>
      </c>
    </row>
    <row r="355" spans="1:17">
      <c r="A355" s="9" t="s">
        <v>57</v>
      </c>
      <c r="B355" s="545" t="str">
        <f>'MH Measure Development'!BA75</f>
        <v>CEE Tier 3 Clothes Washer - Gas DHW, Electric Dryer - 54% ENERGY STAR Baseline</v>
      </c>
      <c r="C355" s="545" t="str">
        <f>'MH Measure Development'!BB75</f>
        <v>Washer Savings</v>
      </c>
      <c r="D355" s="9">
        <f ca="1">'MH Measure Development'!BC75</f>
        <v>6.0291466991109957</v>
      </c>
      <c r="E355" s="9">
        <f>'MH Measure Development'!BD75</f>
        <v>14</v>
      </c>
      <c r="F355" s="9">
        <f ca="1">'MH Measure Development'!BE75</f>
        <v>170.81353679657798</v>
      </c>
      <c r="G355" s="9">
        <f>'MH Measure Development'!BF75</f>
        <v>0</v>
      </c>
      <c r="H355" s="9" t="str">
        <f>'MH Measure Development'!BG75</f>
        <v>ResWASH</v>
      </c>
      <c r="I355" s="9">
        <f ca="1">'MH Measure Development'!BH75</f>
        <v>9.907307796906121</v>
      </c>
      <c r="J355" s="9">
        <f>'MH Measure Development'!BI75</f>
        <v>0</v>
      </c>
      <c r="K355" s="9">
        <f>'MH Measure Development'!BJ75</f>
        <v>0</v>
      </c>
      <c r="L355" s="9">
        <f>'MH Measure Development'!BK75</f>
        <v>0</v>
      </c>
      <c r="M355" s="9">
        <f>'MH Measure Development'!BL75</f>
        <v>0</v>
      </c>
      <c r="N355" s="9">
        <f>'MH Measure Development'!BM75</f>
        <v>0</v>
      </c>
      <c r="O355" s="9">
        <f>'MH Measure Development'!BN75</f>
        <v>0</v>
      </c>
      <c r="P355" s="9">
        <f ca="1">'MH Measure Development'!BO75</f>
        <v>1.3463398841226728</v>
      </c>
      <c r="Q355" s="9" t="str">
        <f>'MH Measure Development'!BP75</f>
        <v>ResDHW</v>
      </c>
    </row>
    <row r="356" spans="1:17">
      <c r="A356" s="9" t="s">
        <v>57</v>
      </c>
      <c r="B356" s="545" t="str">
        <f>'MH Measure Development'!BA76</f>
        <v>CEE Tier 3 Clothes Washer - Gas DHW, Gas Dryer - 54% ENERGY STAR Baseline</v>
      </c>
      <c r="C356" s="545" t="str">
        <f>'MH Measure Development'!BB76</f>
        <v>Washer Savings</v>
      </c>
      <c r="D356" s="9">
        <f ca="1">'MH Measure Development'!BC76</f>
        <v>6.0291466991109957</v>
      </c>
      <c r="E356" s="9">
        <f>'MH Measure Development'!BD76</f>
        <v>14</v>
      </c>
      <c r="F356" s="9">
        <f ca="1">'MH Measure Development'!BE76</f>
        <v>170.81353679657798</v>
      </c>
      <c r="G356" s="9">
        <f>'MH Measure Development'!BF76</f>
        <v>0</v>
      </c>
      <c r="H356" s="9" t="str">
        <f>'MH Measure Development'!BG76</f>
        <v>ResWASH</v>
      </c>
      <c r="I356" s="9">
        <f ca="1">'MH Measure Development'!BH76</f>
        <v>9.907307796906121</v>
      </c>
      <c r="J356" s="9">
        <f>'MH Measure Development'!BI76</f>
        <v>0</v>
      </c>
      <c r="K356" s="9">
        <f>'MH Measure Development'!BJ76</f>
        <v>0</v>
      </c>
      <c r="L356" s="9">
        <f>'MH Measure Development'!BK76</f>
        <v>0</v>
      </c>
      <c r="M356" s="9">
        <f>'MH Measure Development'!BL76</f>
        <v>0</v>
      </c>
      <c r="N356" s="9">
        <f>'MH Measure Development'!BM76</f>
        <v>0</v>
      </c>
      <c r="O356" s="9">
        <f>'MH Measure Development'!BN76</f>
        <v>0</v>
      </c>
      <c r="P356" s="9">
        <f ca="1">'MH Measure Development'!BO76</f>
        <v>1.3463398841226728</v>
      </c>
      <c r="Q356" s="9" t="str">
        <f>'MH Measure Development'!BP76</f>
        <v>ResDHW</v>
      </c>
    </row>
    <row r="357" spans="1:17">
      <c r="A357" s="9" t="s">
        <v>57</v>
      </c>
      <c r="B357" s="545" t="str">
        <f>'MH Measure Development'!BA77</f>
        <v>CEE Tier 3 Clothes Washer - Any DHW, Any Dryer - 54% ENERGY STAR Baseline</v>
      </c>
      <c r="C357" s="545" t="str">
        <f>'MH Measure Development'!BB77</f>
        <v>Washer Savings</v>
      </c>
      <c r="D357" s="9">
        <f ca="1">'MH Measure Development'!BC77</f>
        <v>22.360371780470118</v>
      </c>
      <c r="E357" s="9">
        <f>'MH Measure Development'!BD77</f>
        <v>14</v>
      </c>
      <c r="F357" s="9">
        <f ca="1">'MH Measure Development'!BE77</f>
        <v>170.81353679657798</v>
      </c>
      <c r="G357" s="9">
        <f>'MH Measure Development'!BF77</f>
        <v>0</v>
      </c>
      <c r="H357" s="9" t="str">
        <f>'MH Measure Development'!BG77</f>
        <v>ResWASH</v>
      </c>
      <c r="I357" s="9">
        <f ca="1">'MH Measure Development'!BH77</f>
        <v>9.907307796906121</v>
      </c>
      <c r="J357" s="9">
        <f>'MH Measure Development'!BI77</f>
        <v>0</v>
      </c>
      <c r="K357" s="9">
        <f>'MH Measure Development'!BJ77</f>
        <v>0</v>
      </c>
      <c r="L357" s="9">
        <f>'MH Measure Development'!BK77</f>
        <v>0</v>
      </c>
      <c r="M357" s="9">
        <f>'MH Measure Development'!BL77</f>
        <v>0</v>
      </c>
      <c r="N357" s="9">
        <f>'MH Measure Development'!BM77</f>
        <v>0</v>
      </c>
      <c r="O357" s="9">
        <f>'MH Measure Development'!BN77</f>
        <v>0</v>
      </c>
      <c r="P357" s="9">
        <f ca="1">'MH Measure Development'!BO77</f>
        <v>0.60316026808695733</v>
      </c>
      <c r="Q357" s="9" t="str">
        <f>'MH Measure Development'!BP77</f>
        <v>ResDHW</v>
      </c>
    </row>
    <row r="358" spans="1:17">
      <c r="A358" s="9" t="s">
        <v>57</v>
      </c>
      <c r="B358" s="545" t="str">
        <f>'MH Measure Development'!BA78</f>
        <v>ENERGY STAR - Top-Load Clothes Washer - Electric DHW, Electric Dryer - 31% ENERGY STAR Baseline</v>
      </c>
      <c r="C358" s="545" t="str">
        <f>'MH Measure Development'!BB78</f>
        <v>Dryer Savings</v>
      </c>
      <c r="D358" s="9">
        <f ca="1">'MH Measure Development'!BC78</f>
        <v>29.636429971331495</v>
      </c>
      <c r="E358" s="9">
        <f>'MH Measure Development'!BD78</f>
        <v>14</v>
      </c>
      <c r="F358" s="9">
        <f>'MH Measure Development'!BE78</f>
        <v>0</v>
      </c>
      <c r="G358" s="9">
        <f>'MH Measure Development'!BF78</f>
        <v>0</v>
      </c>
      <c r="H358" s="9" t="str">
        <f>'MH Measure Development'!BG78</f>
        <v>ResDRY</v>
      </c>
      <c r="I358" s="9">
        <f>'MH Measure Development'!BH78</f>
        <v>0</v>
      </c>
      <c r="J358" s="9">
        <f>'MH Measure Development'!BI78</f>
        <v>0</v>
      </c>
      <c r="K358" s="9">
        <f>'MH Measure Development'!BJ78</f>
        <v>0</v>
      </c>
      <c r="L358" s="9">
        <f>'MH Measure Development'!BK78</f>
        <v>0</v>
      </c>
      <c r="M358" s="9">
        <f>'MH Measure Development'!BL78</f>
        <v>0</v>
      </c>
      <c r="N358" s="9">
        <f>'MH Measure Development'!BM78</f>
        <v>0</v>
      </c>
      <c r="O358" s="9">
        <f>'MH Measure Development'!BN78</f>
        <v>0</v>
      </c>
      <c r="P358" s="9">
        <f ca="1">'MH Measure Development'!BO78</f>
        <v>0</v>
      </c>
      <c r="Q358" s="9" t="str">
        <f>'MH Measure Development'!BP78</f>
        <v>ResDRY</v>
      </c>
    </row>
    <row r="359" spans="1:17">
      <c r="A359" s="9" t="s">
        <v>57</v>
      </c>
      <c r="B359" s="545" t="str">
        <f>'MH Measure Development'!BA79</f>
        <v>ENERGY STAR - Top-Load Clothes Washer - Electric DHW, Gas Dryer - 31% ENERGY STAR Baseline</v>
      </c>
      <c r="C359" s="545" t="str">
        <f>'MH Measure Development'!BB79</f>
        <v>Dryer Savings</v>
      </c>
      <c r="D359" s="9">
        <f ca="1">'MH Measure Development'!BC79</f>
        <v>0</v>
      </c>
      <c r="E359" s="9">
        <f>'MH Measure Development'!BD79</f>
        <v>14</v>
      </c>
      <c r="F359" s="9">
        <f>'MH Measure Development'!BE79</f>
        <v>0</v>
      </c>
      <c r="G359" s="9">
        <f>'MH Measure Development'!BF79</f>
        <v>0</v>
      </c>
      <c r="H359" s="9" t="str">
        <f>'MH Measure Development'!BG79</f>
        <v>ResDRY</v>
      </c>
      <c r="I359" s="9">
        <f>'MH Measure Development'!BH79</f>
        <v>0</v>
      </c>
      <c r="J359" s="9">
        <f>'MH Measure Development'!BI79</f>
        <v>0</v>
      </c>
      <c r="K359" s="9">
        <f>'MH Measure Development'!BJ79</f>
        <v>0</v>
      </c>
      <c r="L359" s="9">
        <f>'MH Measure Development'!BK79</f>
        <v>0</v>
      </c>
      <c r="M359" s="9">
        <f>'MH Measure Development'!BL79</f>
        <v>0</v>
      </c>
      <c r="N359" s="9">
        <f>'MH Measure Development'!BM79</f>
        <v>0</v>
      </c>
      <c r="O359" s="9">
        <f>'MH Measure Development'!BN79</f>
        <v>0</v>
      </c>
      <c r="P359" s="9">
        <f ca="1">'MH Measure Development'!BO79</f>
        <v>1.1328703175121291</v>
      </c>
      <c r="Q359" s="9" t="str">
        <f>'MH Measure Development'!BP79</f>
        <v>ResDRY</v>
      </c>
    </row>
    <row r="360" spans="1:17">
      <c r="A360" s="9" t="s">
        <v>57</v>
      </c>
      <c r="B360" s="545" t="str">
        <f>'MH Measure Development'!BA80</f>
        <v>ENERGY STAR - Top-Load Clothes Washer - Gas DHW, Electric Dryer - 31% ENERGY STAR Baseline</v>
      </c>
      <c r="C360" s="545" t="str">
        <f>'MH Measure Development'!BB80</f>
        <v>Dryer Savings</v>
      </c>
      <c r="D360" s="9">
        <f ca="1">'MH Measure Development'!BC80</f>
        <v>29.636429971331495</v>
      </c>
      <c r="E360" s="9">
        <f>'MH Measure Development'!BD80</f>
        <v>14</v>
      </c>
      <c r="F360" s="9">
        <f>'MH Measure Development'!BE80</f>
        <v>0</v>
      </c>
      <c r="G360" s="9">
        <f>'MH Measure Development'!BF80</f>
        <v>0</v>
      </c>
      <c r="H360" s="9" t="str">
        <f>'MH Measure Development'!BG80</f>
        <v>ResDRY</v>
      </c>
      <c r="I360" s="9">
        <f>'MH Measure Development'!BH80</f>
        <v>0</v>
      </c>
      <c r="J360" s="9">
        <f>'MH Measure Development'!BI80</f>
        <v>0</v>
      </c>
      <c r="K360" s="9">
        <f>'MH Measure Development'!BJ80</f>
        <v>0</v>
      </c>
      <c r="L360" s="9">
        <f>'MH Measure Development'!BK80</f>
        <v>0</v>
      </c>
      <c r="M360" s="9">
        <f>'MH Measure Development'!BL80</f>
        <v>0</v>
      </c>
      <c r="N360" s="9">
        <f>'MH Measure Development'!BM80</f>
        <v>0</v>
      </c>
      <c r="O360" s="9">
        <f>'MH Measure Development'!BN80</f>
        <v>0</v>
      </c>
      <c r="P360" s="9">
        <f ca="1">'MH Measure Development'!BO80</f>
        <v>0</v>
      </c>
      <c r="Q360" s="9" t="str">
        <f>'MH Measure Development'!BP80</f>
        <v>ResDRY</v>
      </c>
    </row>
    <row r="361" spans="1:17">
      <c r="A361" s="9" t="s">
        <v>57</v>
      </c>
      <c r="B361" s="545" t="str">
        <f>'MH Measure Development'!BA81</f>
        <v>ENERGY STAR - Top-Load Clothes Washer - Gas DHW, Gas Dryer - 31% ENERGY STAR Baseline</v>
      </c>
      <c r="C361" s="545" t="str">
        <f>'MH Measure Development'!BB81</f>
        <v>Dryer Savings</v>
      </c>
      <c r="D361" s="9">
        <f ca="1">'MH Measure Development'!BC81</f>
        <v>0</v>
      </c>
      <c r="E361" s="9">
        <f>'MH Measure Development'!BD81</f>
        <v>14</v>
      </c>
      <c r="F361" s="9">
        <f>'MH Measure Development'!BE81</f>
        <v>0</v>
      </c>
      <c r="G361" s="9">
        <f>'MH Measure Development'!BF81</f>
        <v>0</v>
      </c>
      <c r="H361" s="9" t="str">
        <f>'MH Measure Development'!BG81</f>
        <v>ResDRY</v>
      </c>
      <c r="I361" s="9">
        <f>'MH Measure Development'!BH81</f>
        <v>0</v>
      </c>
      <c r="J361" s="9">
        <f>'MH Measure Development'!BI81</f>
        <v>0</v>
      </c>
      <c r="K361" s="9">
        <f>'MH Measure Development'!BJ81</f>
        <v>0</v>
      </c>
      <c r="L361" s="9">
        <f>'MH Measure Development'!BK81</f>
        <v>0</v>
      </c>
      <c r="M361" s="9">
        <f>'MH Measure Development'!BL81</f>
        <v>0</v>
      </c>
      <c r="N361" s="9">
        <f>'MH Measure Development'!BM81</f>
        <v>0</v>
      </c>
      <c r="O361" s="9">
        <f>'MH Measure Development'!BN81</f>
        <v>0</v>
      </c>
      <c r="P361" s="9">
        <f ca="1">'MH Measure Development'!BO81</f>
        <v>1.1328703175121291</v>
      </c>
      <c r="Q361" s="9" t="str">
        <f>'MH Measure Development'!BP81</f>
        <v>ResDRY</v>
      </c>
    </row>
    <row r="362" spans="1:17">
      <c r="A362" s="9" t="s">
        <v>57</v>
      </c>
      <c r="B362" s="545" t="str">
        <f>'MH Measure Development'!BA82</f>
        <v>ENERGY STAR - Top-Load Clothes Washer - Any DHW, Any Dryer - 31% ENERGY STAR Baseline</v>
      </c>
      <c r="C362" s="545" t="str">
        <f>'MH Measure Development'!BB82</f>
        <v>Dryer Savings</v>
      </c>
      <c r="D362" s="9">
        <f ca="1">'MH Measure Development'!BC82</f>
        <v>28.15460847276492</v>
      </c>
      <c r="E362" s="9">
        <f>'MH Measure Development'!BD82</f>
        <v>14</v>
      </c>
      <c r="F362" s="9">
        <f>'MH Measure Development'!BE82</f>
        <v>0</v>
      </c>
      <c r="G362" s="9">
        <f>'MH Measure Development'!BF82</f>
        <v>0</v>
      </c>
      <c r="H362" s="9" t="str">
        <f>'MH Measure Development'!BG82</f>
        <v>ResDRY</v>
      </c>
      <c r="I362" s="9">
        <f>'MH Measure Development'!BH82</f>
        <v>0</v>
      </c>
      <c r="J362" s="9">
        <f>'MH Measure Development'!BI82</f>
        <v>0</v>
      </c>
      <c r="K362" s="9">
        <f>'MH Measure Development'!BJ82</f>
        <v>0</v>
      </c>
      <c r="L362" s="9">
        <f>'MH Measure Development'!BK82</f>
        <v>0</v>
      </c>
      <c r="M362" s="9">
        <f>'MH Measure Development'!BL82</f>
        <v>0</v>
      </c>
      <c r="N362" s="9">
        <f>'MH Measure Development'!BM82</f>
        <v>0</v>
      </c>
      <c r="O362" s="9">
        <f>'MH Measure Development'!BN82</f>
        <v>0</v>
      </c>
      <c r="P362" s="9">
        <f ca="1">'MH Measure Development'!BO82</f>
        <v>5.6643515875606502E-2</v>
      </c>
      <c r="Q362" s="9" t="str">
        <f>'MH Measure Development'!BP82</f>
        <v>ResDRY</v>
      </c>
    </row>
    <row r="363" spans="1:17">
      <c r="A363" s="9" t="s">
        <v>57</v>
      </c>
      <c r="B363" s="545" t="str">
        <f>'MH Measure Development'!BA83</f>
        <v>ENERGY STAR - Front-Load Clothes Washer - Electric DHW, Electric Dryer - 31% ENERGY STAR Baseline</v>
      </c>
      <c r="C363" s="545" t="str">
        <f>'MH Measure Development'!BB83</f>
        <v>Dryer Savings</v>
      </c>
      <c r="D363" s="9">
        <f ca="1">'MH Measure Development'!BC83</f>
        <v>63.869293370931302</v>
      </c>
      <c r="E363" s="9">
        <f>'MH Measure Development'!BD83</f>
        <v>14</v>
      </c>
      <c r="F363" s="9">
        <f>'MH Measure Development'!BE83</f>
        <v>0</v>
      </c>
      <c r="G363" s="9">
        <f>'MH Measure Development'!BF83</f>
        <v>0</v>
      </c>
      <c r="H363" s="9" t="str">
        <f>'MH Measure Development'!BG83</f>
        <v>ResDRY</v>
      </c>
      <c r="I363" s="9">
        <f>'MH Measure Development'!BH83</f>
        <v>0</v>
      </c>
      <c r="J363" s="9">
        <f>'MH Measure Development'!BI83</f>
        <v>0</v>
      </c>
      <c r="K363" s="9">
        <f>'MH Measure Development'!BJ83</f>
        <v>0</v>
      </c>
      <c r="L363" s="9">
        <f>'MH Measure Development'!BK83</f>
        <v>0</v>
      </c>
      <c r="M363" s="9">
        <f>'MH Measure Development'!BL83</f>
        <v>0</v>
      </c>
      <c r="N363" s="9">
        <f>'MH Measure Development'!BM83</f>
        <v>0</v>
      </c>
      <c r="O363" s="9">
        <f>'MH Measure Development'!BN83</f>
        <v>0</v>
      </c>
      <c r="P363" s="9">
        <f ca="1">'MH Measure Development'!BO83</f>
        <v>0</v>
      </c>
      <c r="Q363" s="9" t="str">
        <f>'MH Measure Development'!BP83</f>
        <v>ResDRY</v>
      </c>
    </row>
    <row r="364" spans="1:17">
      <c r="A364" s="9" t="s">
        <v>57</v>
      </c>
      <c r="B364" s="545" t="str">
        <f>'MH Measure Development'!BA84</f>
        <v>ENERGY STAR - Front-Load Clothes Washer - Electric DHW, Gas Dryer - 31% ENERGY STAR Baseline</v>
      </c>
      <c r="C364" s="545" t="str">
        <f>'MH Measure Development'!BB84</f>
        <v>Dryer Savings</v>
      </c>
      <c r="D364" s="9">
        <f ca="1">'MH Measure Development'!BC84</f>
        <v>0</v>
      </c>
      <c r="E364" s="9">
        <f>'MH Measure Development'!BD84</f>
        <v>14</v>
      </c>
      <c r="F364" s="9">
        <f>'MH Measure Development'!BE84</f>
        <v>0</v>
      </c>
      <c r="G364" s="9">
        <f>'MH Measure Development'!BF84</f>
        <v>0</v>
      </c>
      <c r="H364" s="9" t="str">
        <f>'MH Measure Development'!BG84</f>
        <v>ResDRY</v>
      </c>
      <c r="I364" s="9">
        <f>'MH Measure Development'!BH84</f>
        <v>0</v>
      </c>
      <c r="J364" s="9">
        <f>'MH Measure Development'!BI84</f>
        <v>0</v>
      </c>
      <c r="K364" s="9">
        <f>'MH Measure Development'!BJ84</f>
        <v>0</v>
      </c>
      <c r="L364" s="9">
        <f>'MH Measure Development'!BK84</f>
        <v>0</v>
      </c>
      <c r="M364" s="9">
        <f>'MH Measure Development'!BL84</f>
        <v>0</v>
      </c>
      <c r="N364" s="9">
        <f>'MH Measure Development'!BM84</f>
        <v>0</v>
      </c>
      <c r="O364" s="9">
        <f>'MH Measure Development'!BN84</f>
        <v>0</v>
      </c>
      <c r="P364" s="9">
        <f ca="1">'MH Measure Development'!BO84</f>
        <v>2.4414420606798721</v>
      </c>
      <c r="Q364" s="9" t="str">
        <f>'MH Measure Development'!BP84</f>
        <v>ResDRY</v>
      </c>
    </row>
    <row r="365" spans="1:17">
      <c r="A365" s="9" t="s">
        <v>57</v>
      </c>
      <c r="B365" s="545" t="str">
        <f>'MH Measure Development'!BA85</f>
        <v>ENERGY STAR - Front-Load Clothes Washer - Gas DHW, Electric Dryer - 31% ENERGY STAR Baseline</v>
      </c>
      <c r="C365" s="545" t="str">
        <f>'MH Measure Development'!BB85</f>
        <v>Dryer Savings</v>
      </c>
      <c r="D365" s="9">
        <f ca="1">'MH Measure Development'!BC85</f>
        <v>63.869293370931302</v>
      </c>
      <c r="E365" s="9">
        <f>'MH Measure Development'!BD85</f>
        <v>14</v>
      </c>
      <c r="F365" s="9">
        <f>'MH Measure Development'!BE85</f>
        <v>0</v>
      </c>
      <c r="G365" s="9">
        <f>'MH Measure Development'!BF85</f>
        <v>0</v>
      </c>
      <c r="H365" s="9" t="str">
        <f>'MH Measure Development'!BG85</f>
        <v>ResDRY</v>
      </c>
      <c r="I365" s="9">
        <f>'MH Measure Development'!BH85</f>
        <v>0</v>
      </c>
      <c r="J365" s="9">
        <f>'MH Measure Development'!BI85</f>
        <v>0</v>
      </c>
      <c r="K365" s="9">
        <f>'MH Measure Development'!BJ85</f>
        <v>0</v>
      </c>
      <c r="L365" s="9">
        <f>'MH Measure Development'!BK85</f>
        <v>0</v>
      </c>
      <c r="M365" s="9">
        <f>'MH Measure Development'!BL85</f>
        <v>0</v>
      </c>
      <c r="N365" s="9">
        <f>'MH Measure Development'!BM85</f>
        <v>0</v>
      </c>
      <c r="O365" s="9">
        <f>'MH Measure Development'!BN85</f>
        <v>0</v>
      </c>
      <c r="P365" s="9">
        <f ca="1">'MH Measure Development'!BO85</f>
        <v>0</v>
      </c>
      <c r="Q365" s="9" t="str">
        <f>'MH Measure Development'!BP85</f>
        <v>ResDRY</v>
      </c>
    </row>
    <row r="366" spans="1:17">
      <c r="A366" s="9" t="s">
        <v>57</v>
      </c>
      <c r="B366" s="545" t="str">
        <f>'MH Measure Development'!BA86</f>
        <v>ENERGY STAR - Front-Load Clothes Washer - Gas DHW, Gas Dryer - 31% ENERGY STAR Baseline</v>
      </c>
      <c r="C366" s="545" t="str">
        <f>'MH Measure Development'!BB86</f>
        <v>Dryer Savings</v>
      </c>
      <c r="D366" s="9">
        <f ca="1">'MH Measure Development'!BC86</f>
        <v>0</v>
      </c>
      <c r="E366" s="9">
        <f>'MH Measure Development'!BD86</f>
        <v>14</v>
      </c>
      <c r="F366" s="9">
        <f>'MH Measure Development'!BE86</f>
        <v>0</v>
      </c>
      <c r="G366" s="9">
        <f>'MH Measure Development'!BF86</f>
        <v>0</v>
      </c>
      <c r="H366" s="9" t="str">
        <f>'MH Measure Development'!BG86</f>
        <v>ResDRY</v>
      </c>
      <c r="I366" s="9">
        <f>'MH Measure Development'!BH86</f>
        <v>0</v>
      </c>
      <c r="J366" s="9">
        <f>'MH Measure Development'!BI86</f>
        <v>0</v>
      </c>
      <c r="K366" s="9">
        <f>'MH Measure Development'!BJ86</f>
        <v>0</v>
      </c>
      <c r="L366" s="9">
        <f>'MH Measure Development'!BK86</f>
        <v>0</v>
      </c>
      <c r="M366" s="9">
        <f>'MH Measure Development'!BL86</f>
        <v>0</v>
      </c>
      <c r="N366" s="9">
        <f>'MH Measure Development'!BM86</f>
        <v>0</v>
      </c>
      <c r="O366" s="9">
        <f>'MH Measure Development'!BN86</f>
        <v>0</v>
      </c>
      <c r="P366" s="9">
        <f ca="1">'MH Measure Development'!BO86</f>
        <v>2.4414420606798721</v>
      </c>
      <c r="Q366" s="9" t="str">
        <f>'MH Measure Development'!BP86</f>
        <v>ResDRY</v>
      </c>
    </row>
    <row r="367" spans="1:17">
      <c r="A367" s="9" t="s">
        <v>57</v>
      </c>
      <c r="B367" s="545" t="str">
        <f>'MH Measure Development'!BA87</f>
        <v>ENERGY STAR - Front-Load Clothes Washer - Any DHW, Any Dryer - 31% ENERGY STAR Baseline</v>
      </c>
      <c r="C367" s="545" t="str">
        <f>'MH Measure Development'!BB87</f>
        <v>Dryer Savings</v>
      </c>
      <c r="D367" s="9">
        <f ca="1">'MH Measure Development'!BC87</f>
        <v>60.675828702384734</v>
      </c>
      <c r="E367" s="9">
        <f>'MH Measure Development'!BD87</f>
        <v>14</v>
      </c>
      <c r="F367" s="9">
        <f>'MH Measure Development'!BE87</f>
        <v>0</v>
      </c>
      <c r="G367" s="9">
        <f>'MH Measure Development'!BF87</f>
        <v>0</v>
      </c>
      <c r="H367" s="9" t="str">
        <f>'MH Measure Development'!BG87</f>
        <v>ResDRY</v>
      </c>
      <c r="I367" s="9">
        <f>'MH Measure Development'!BH87</f>
        <v>0</v>
      </c>
      <c r="J367" s="9">
        <f>'MH Measure Development'!BI87</f>
        <v>0</v>
      </c>
      <c r="K367" s="9">
        <f>'MH Measure Development'!BJ87</f>
        <v>0</v>
      </c>
      <c r="L367" s="9">
        <f>'MH Measure Development'!BK87</f>
        <v>0</v>
      </c>
      <c r="M367" s="9">
        <f>'MH Measure Development'!BL87</f>
        <v>0</v>
      </c>
      <c r="N367" s="9">
        <f>'MH Measure Development'!BM87</f>
        <v>0</v>
      </c>
      <c r="O367" s="9">
        <f>'MH Measure Development'!BN87</f>
        <v>0</v>
      </c>
      <c r="P367" s="9">
        <f ca="1">'MH Measure Development'!BO87</f>
        <v>0.12207210303399371</v>
      </c>
      <c r="Q367" s="9" t="str">
        <f>'MH Measure Development'!BP87</f>
        <v>ResDRY</v>
      </c>
    </row>
    <row r="368" spans="1:17">
      <c r="A368" s="9" t="s">
        <v>57</v>
      </c>
      <c r="B368" s="545" t="str">
        <f>'MH Measure Development'!BA93</f>
        <v>CEE Tier 1 Clothes Washer - Electric DHW, Electric Dryer - 31% ENERGY STAR Baseline</v>
      </c>
      <c r="C368" s="545" t="str">
        <f>'MH Measure Development'!BB93</f>
        <v>Dryer Savings</v>
      </c>
      <c r="D368" s="9">
        <f ca="1">'MH Measure Development'!BC93</f>
        <v>53.804078851371116</v>
      </c>
      <c r="E368" s="9">
        <f>'MH Measure Development'!BD93</f>
        <v>14</v>
      </c>
      <c r="F368" s="9">
        <f>'MH Measure Development'!BE93</f>
        <v>0</v>
      </c>
      <c r="G368" s="9">
        <f>'MH Measure Development'!BF93</f>
        <v>0</v>
      </c>
      <c r="H368" s="9" t="str">
        <f>'MH Measure Development'!BG93</f>
        <v>ResDRY</v>
      </c>
      <c r="I368" s="9">
        <f>'MH Measure Development'!BH93</f>
        <v>0</v>
      </c>
      <c r="J368" s="9">
        <f>'MH Measure Development'!BI93</f>
        <v>0</v>
      </c>
      <c r="K368" s="9">
        <f>'MH Measure Development'!BJ93</f>
        <v>0</v>
      </c>
      <c r="L368" s="9">
        <f>'MH Measure Development'!BK93</f>
        <v>0</v>
      </c>
      <c r="M368" s="9">
        <f>'MH Measure Development'!BL93</f>
        <v>0</v>
      </c>
      <c r="N368" s="9">
        <f>'MH Measure Development'!BM93</f>
        <v>0</v>
      </c>
      <c r="O368" s="9">
        <f>'MH Measure Development'!BN93</f>
        <v>0</v>
      </c>
      <c r="P368" s="9">
        <f ca="1">'MH Measure Development'!BO93</f>
        <v>0</v>
      </c>
      <c r="Q368" s="9" t="str">
        <f>'MH Measure Development'!BP93</f>
        <v>ResDRY</v>
      </c>
    </row>
    <row r="369" spans="1:17">
      <c r="A369" s="9" t="s">
        <v>57</v>
      </c>
      <c r="B369" s="545" t="str">
        <f>'MH Measure Development'!BA94</f>
        <v>CEE Tier 1 Clothes Washer - Electric DHW, Gas Dryer - 31% ENERGY STAR Baseline</v>
      </c>
      <c r="C369" s="545" t="str">
        <f>'MH Measure Development'!BB94</f>
        <v>Dryer Savings</v>
      </c>
      <c r="D369" s="9">
        <f ca="1">'MH Measure Development'!BC94</f>
        <v>0</v>
      </c>
      <c r="E369" s="9">
        <f>'MH Measure Development'!BD94</f>
        <v>14</v>
      </c>
      <c r="F369" s="9">
        <f>'MH Measure Development'!BE94</f>
        <v>0</v>
      </c>
      <c r="G369" s="9">
        <f>'MH Measure Development'!BF94</f>
        <v>0</v>
      </c>
      <c r="H369" s="9" t="str">
        <f>'MH Measure Development'!BG94</f>
        <v>ResDRY</v>
      </c>
      <c r="I369" s="9">
        <f>'MH Measure Development'!BH94</f>
        <v>0</v>
      </c>
      <c r="J369" s="9">
        <f>'MH Measure Development'!BI94</f>
        <v>0</v>
      </c>
      <c r="K369" s="9">
        <f>'MH Measure Development'!BJ94</f>
        <v>0</v>
      </c>
      <c r="L369" s="9">
        <f>'MH Measure Development'!BK94</f>
        <v>0</v>
      </c>
      <c r="M369" s="9">
        <f>'MH Measure Development'!BL94</f>
        <v>0</v>
      </c>
      <c r="N369" s="9">
        <f>'MH Measure Development'!BM94</f>
        <v>0</v>
      </c>
      <c r="O369" s="9">
        <f>'MH Measure Development'!BN94</f>
        <v>0</v>
      </c>
      <c r="P369" s="9">
        <f ca="1">'MH Measure Development'!BO94</f>
        <v>2.0566931965409712</v>
      </c>
      <c r="Q369" s="9" t="str">
        <f>'MH Measure Development'!BP94</f>
        <v>ResDRY</v>
      </c>
    </row>
    <row r="370" spans="1:17">
      <c r="A370" s="9" t="s">
        <v>57</v>
      </c>
      <c r="B370" s="545" t="str">
        <f>'MH Measure Development'!BA95</f>
        <v>CEE Tier 1 Clothes Washer - Gas DHW, Electric Dryer - 31% ENERGY STAR Baseline</v>
      </c>
      <c r="C370" s="545" t="str">
        <f>'MH Measure Development'!BB95</f>
        <v>Dryer Savings</v>
      </c>
      <c r="D370" s="9">
        <f ca="1">'MH Measure Development'!BC95</f>
        <v>53.804078851371116</v>
      </c>
      <c r="E370" s="9">
        <f>'MH Measure Development'!BD95</f>
        <v>14</v>
      </c>
      <c r="F370" s="9">
        <f>'MH Measure Development'!BE95</f>
        <v>0</v>
      </c>
      <c r="G370" s="9">
        <f>'MH Measure Development'!BF95</f>
        <v>0</v>
      </c>
      <c r="H370" s="9" t="str">
        <f>'MH Measure Development'!BG95</f>
        <v>ResDRY</v>
      </c>
      <c r="I370" s="9">
        <f>'MH Measure Development'!BH95</f>
        <v>0</v>
      </c>
      <c r="J370" s="9">
        <f>'MH Measure Development'!BI95</f>
        <v>0</v>
      </c>
      <c r="K370" s="9">
        <f>'MH Measure Development'!BJ95</f>
        <v>0</v>
      </c>
      <c r="L370" s="9">
        <f>'MH Measure Development'!BK95</f>
        <v>0</v>
      </c>
      <c r="M370" s="9">
        <f>'MH Measure Development'!BL95</f>
        <v>0</v>
      </c>
      <c r="N370" s="9">
        <f>'MH Measure Development'!BM95</f>
        <v>0</v>
      </c>
      <c r="O370" s="9">
        <f>'MH Measure Development'!BN95</f>
        <v>0</v>
      </c>
      <c r="P370" s="9">
        <f ca="1">'MH Measure Development'!BO95</f>
        <v>0</v>
      </c>
      <c r="Q370" s="9" t="str">
        <f>'MH Measure Development'!BP95</f>
        <v>ResDRY</v>
      </c>
    </row>
    <row r="371" spans="1:17">
      <c r="A371" s="9" t="s">
        <v>57</v>
      </c>
      <c r="B371" s="545" t="str">
        <f>'MH Measure Development'!BA96</f>
        <v>CEE Tier 1 Clothes Washer - Gas DHW, Gas Dryer - 31% ENERGY STAR Baseline</v>
      </c>
      <c r="C371" s="545" t="str">
        <f>'MH Measure Development'!BB96</f>
        <v>Dryer Savings</v>
      </c>
      <c r="D371" s="9">
        <f ca="1">'MH Measure Development'!BC96</f>
        <v>0</v>
      </c>
      <c r="E371" s="9">
        <f>'MH Measure Development'!BD96</f>
        <v>14</v>
      </c>
      <c r="F371" s="9">
        <f>'MH Measure Development'!BE96</f>
        <v>0</v>
      </c>
      <c r="G371" s="9">
        <f>'MH Measure Development'!BF96</f>
        <v>0</v>
      </c>
      <c r="H371" s="9" t="str">
        <f>'MH Measure Development'!BG96</f>
        <v>ResDRY</v>
      </c>
      <c r="I371" s="9">
        <f>'MH Measure Development'!BH96</f>
        <v>0</v>
      </c>
      <c r="J371" s="9">
        <f>'MH Measure Development'!BI96</f>
        <v>0</v>
      </c>
      <c r="K371" s="9">
        <f>'MH Measure Development'!BJ96</f>
        <v>0</v>
      </c>
      <c r="L371" s="9">
        <f>'MH Measure Development'!BK96</f>
        <v>0</v>
      </c>
      <c r="M371" s="9">
        <f>'MH Measure Development'!BL96</f>
        <v>0</v>
      </c>
      <c r="N371" s="9">
        <f>'MH Measure Development'!BM96</f>
        <v>0</v>
      </c>
      <c r="O371" s="9">
        <f>'MH Measure Development'!BN96</f>
        <v>0</v>
      </c>
      <c r="P371" s="9">
        <f ca="1">'MH Measure Development'!BO96</f>
        <v>2.0566931965409712</v>
      </c>
      <c r="Q371" s="9" t="str">
        <f>'MH Measure Development'!BP96</f>
        <v>ResDRY</v>
      </c>
    </row>
    <row r="372" spans="1:17">
      <c r="A372" s="9" t="s">
        <v>57</v>
      </c>
      <c r="B372" s="545" t="str">
        <f>'MH Measure Development'!BA97</f>
        <v>CEE Tier 1 Clothes Washer - Any DHW, Any Dryer - 31% ENERGY STAR Baseline</v>
      </c>
      <c r="C372" s="545" t="str">
        <f>'MH Measure Development'!BB97</f>
        <v>Dryer Savings</v>
      </c>
      <c r="D372" s="9">
        <f ca="1">'MH Measure Development'!BC97</f>
        <v>51.113874908802558</v>
      </c>
      <c r="E372" s="9">
        <f>'MH Measure Development'!BD97</f>
        <v>14</v>
      </c>
      <c r="F372" s="9">
        <f>'MH Measure Development'!BE97</f>
        <v>0</v>
      </c>
      <c r="G372" s="9">
        <f>'MH Measure Development'!BF97</f>
        <v>0</v>
      </c>
      <c r="H372" s="9" t="str">
        <f>'MH Measure Development'!BG97</f>
        <v>ResDRY</v>
      </c>
      <c r="I372" s="9">
        <f>'MH Measure Development'!BH97</f>
        <v>0</v>
      </c>
      <c r="J372" s="9">
        <f>'MH Measure Development'!BI97</f>
        <v>0</v>
      </c>
      <c r="K372" s="9">
        <f>'MH Measure Development'!BJ97</f>
        <v>0</v>
      </c>
      <c r="L372" s="9">
        <f>'MH Measure Development'!BK97</f>
        <v>0</v>
      </c>
      <c r="M372" s="9">
        <f>'MH Measure Development'!BL97</f>
        <v>0</v>
      </c>
      <c r="N372" s="9">
        <f>'MH Measure Development'!BM97</f>
        <v>0</v>
      </c>
      <c r="O372" s="9">
        <f>'MH Measure Development'!BN97</f>
        <v>0</v>
      </c>
      <c r="P372" s="9">
        <f ca="1">'MH Measure Development'!BO97</f>
        <v>0.10283465982704865</v>
      </c>
      <c r="Q372" s="9" t="str">
        <f>'MH Measure Development'!BP97</f>
        <v>ResDRY</v>
      </c>
    </row>
    <row r="373" spans="1:17">
      <c r="A373" s="9" t="s">
        <v>57</v>
      </c>
      <c r="B373" s="545" t="str">
        <f>'MH Measure Development'!BA98</f>
        <v>CEE Tier 2 Clothes Washer - Electric DHW, Electric Dryer - 31% ENERGY STAR Baseline</v>
      </c>
      <c r="C373" s="545" t="str">
        <f>'MH Measure Development'!BB98</f>
        <v>Dryer Savings</v>
      </c>
      <c r="D373" s="9">
        <f ca="1">'MH Measure Development'!BC98</f>
        <v>75.487765269652698</v>
      </c>
      <c r="E373" s="9">
        <f>'MH Measure Development'!BD98</f>
        <v>14</v>
      </c>
      <c r="F373" s="9">
        <f>'MH Measure Development'!BE98</f>
        <v>0</v>
      </c>
      <c r="G373" s="9">
        <f>'MH Measure Development'!BF98</f>
        <v>0</v>
      </c>
      <c r="H373" s="9" t="str">
        <f>'MH Measure Development'!BG98</f>
        <v>ResDRY</v>
      </c>
      <c r="I373" s="9">
        <f>'MH Measure Development'!BH98</f>
        <v>0</v>
      </c>
      <c r="J373" s="9">
        <f>'MH Measure Development'!BI98</f>
        <v>0</v>
      </c>
      <c r="K373" s="9">
        <f>'MH Measure Development'!BJ98</f>
        <v>0</v>
      </c>
      <c r="L373" s="9">
        <f>'MH Measure Development'!BK98</f>
        <v>0</v>
      </c>
      <c r="M373" s="9">
        <f>'MH Measure Development'!BL98</f>
        <v>0</v>
      </c>
      <c r="N373" s="9">
        <f>'MH Measure Development'!BM98</f>
        <v>0</v>
      </c>
      <c r="O373" s="9">
        <f>'MH Measure Development'!BN98</f>
        <v>0</v>
      </c>
      <c r="P373" s="9">
        <f ca="1">'MH Measure Development'!BO98</f>
        <v>0</v>
      </c>
      <c r="Q373" s="9" t="str">
        <f>'MH Measure Development'!BP98</f>
        <v>ResDRY</v>
      </c>
    </row>
    <row r="374" spans="1:17">
      <c r="A374" s="9" t="s">
        <v>57</v>
      </c>
      <c r="B374" s="545" t="str">
        <f>'MH Measure Development'!BA99</f>
        <v>CEE Tier 2 Clothes Washer - Electric DHW, Gas Dryer - 31% ENERGY STAR Baseline</v>
      </c>
      <c r="C374" s="545" t="str">
        <f>'MH Measure Development'!BB99</f>
        <v>Dryer Savings</v>
      </c>
      <c r="D374" s="9">
        <f ca="1">'MH Measure Development'!BC99</f>
        <v>0</v>
      </c>
      <c r="E374" s="9">
        <f>'MH Measure Development'!BD99</f>
        <v>14</v>
      </c>
      <c r="F374" s="9">
        <f>'MH Measure Development'!BE99</f>
        <v>0</v>
      </c>
      <c r="G374" s="9">
        <f>'MH Measure Development'!BF99</f>
        <v>0</v>
      </c>
      <c r="H374" s="9" t="str">
        <f>'MH Measure Development'!BG99</f>
        <v>ResDRY</v>
      </c>
      <c r="I374" s="9">
        <f>'MH Measure Development'!BH99</f>
        <v>0</v>
      </c>
      <c r="J374" s="9">
        <f>'MH Measure Development'!BI99</f>
        <v>0</v>
      </c>
      <c r="K374" s="9">
        <f>'MH Measure Development'!BJ99</f>
        <v>0</v>
      </c>
      <c r="L374" s="9">
        <f>'MH Measure Development'!BK99</f>
        <v>0</v>
      </c>
      <c r="M374" s="9">
        <f>'MH Measure Development'!BL99</f>
        <v>0</v>
      </c>
      <c r="N374" s="9">
        <f>'MH Measure Development'!BM99</f>
        <v>0</v>
      </c>
      <c r="O374" s="9">
        <f>'MH Measure Development'!BN99</f>
        <v>0</v>
      </c>
      <c r="P374" s="9">
        <f ca="1">'MH Measure Development'!BO99</f>
        <v>2.8855651200916359</v>
      </c>
      <c r="Q374" s="9" t="str">
        <f>'MH Measure Development'!BP99</f>
        <v>ResDRY</v>
      </c>
    </row>
    <row r="375" spans="1:17">
      <c r="A375" s="9" t="s">
        <v>57</v>
      </c>
      <c r="B375" s="545" t="str">
        <f>'MH Measure Development'!BA100</f>
        <v>CEE Tier 2 Clothes Washer - Gas DHW, Electric Dryer - 31% ENERGY STAR Baseline</v>
      </c>
      <c r="C375" s="545" t="str">
        <f>'MH Measure Development'!BB100</f>
        <v>Dryer Savings</v>
      </c>
      <c r="D375" s="9">
        <f ca="1">'MH Measure Development'!BC100</f>
        <v>75.487765269652698</v>
      </c>
      <c r="E375" s="9">
        <f>'MH Measure Development'!BD100</f>
        <v>14</v>
      </c>
      <c r="F375" s="9">
        <f>'MH Measure Development'!BE100</f>
        <v>0</v>
      </c>
      <c r="G375" s="9">
        <f>'MH Measure Development'!BF100</f>
        <v>0</v>
      </c>
      <c r="H375" s="9" t="str">
        <f>'MH Measure Development'!BG100</f>
        <v>ResDRY</v>
      </c>
      <c r="I375" s="9">
        <f>'MH Measure Development'!BH100</f>
        <v>0</v>
      </c>
      <c r="J375" s="9">
        <f>'MH Measure Development'!BI100</f>
        <v>0</v>
      </c>
      <c r="K375" s="9">
        <f>'MH Measure Development'!BJ100</f>
        <v>0</v>
      </c>
      <c r="L375" s="9">
        <f>'MH Measure Development'!BK100</f>
        <v>0</v>
      </c>
      <c r="M375" s="9">
        <f>'MH Measure Development'!BL100</f>
        <v>0</v>
      </c>
      <c r="N375" s="9">
        <f>'MH Measure Development'!BM100</f>
        <v>0</v>
      </c>
      <c r="O375" s="9">
        <f>'MH Measure Development'!BN100</f>
        <v>0</v>
      </c>
      <c r="P375" s="9">
        <f ca="1">'MH Measure Development'!BO100</f>
        <v>0</v>
      </c>
      <c r="Q375" s="9" t="str">
        <f>'MH Measure Development'!BP100</f>
        <v>ResDRY</v>
      </c>
    </row>
    <row r="376" spans="1:17">
      <c r="A376" s="9" t="s">
        <v>57</v>
      </c>
      <c r="B376" s="545" t="str">
        <f>'MH Measure Development'!BA101</f>
        <v>CEE Tier 2 Clothes Washer - Gas DHW, Gas Dryer - 31% ENERGY STAR Baseline</v>
      </c>
      <c r="C376" s="545" t="str">
        <f>'MH Measure Development'!BB101</f>
        <v>Dryer Savings</v>
      </c>
      <c r="D376" s="9">
        <f ca="1">'MH Measure Development'!BC101</f>
        <v>0</v>
      </c>
      <c r="E376" s="9">
        <f>'MH Measure Development'!BD101</f>
        <v>14</v>
      </c>
      <c r="F376" s="9">
        <f>'MH Measure Development'!BE101</f>
        <v>0</v>
      </c>
      <c r="G376" s="9">
        <f>'MH Measure Development'!BF101</f>
        <v>0</v>
      </c>
      <c r="H376" s="9" t="str">
        <f>'MH Measure Development'!BG101</f>
        <v>ResDRY</v>
      </c>
      <c r="I376" s="9">
        <f>'MH Measure Development'!BH101</f>
        <v>0</v>
      </c>
      <c r="J376" s="9">
        <f>'MH Measure Development'!BI101</f>
        <v>0</v>
      </c>
      <c r="K376" s="9">
        <f>'MH Measure Development'!BJ101</f>
        <v>0</v>
      </c>
      <c r="L376" s="9">
        <f>'MH Measure Development'!BK101</f>
        <v>0</v>
      </c>
      <c r="M376" s="9">
        <f>'MH Measure Development'!BL101</f>
        <v>0</v>
      </c>
      <c r="N376" s="9">
        <f>'MH Measure Development'!BM101</f>
        <v>0</v>
      </c>
      <c r="O376" s="9">
        <f>'MH Measure Development'!BN101</f>
        <v>0</v>
      </c>
      <c r="P376" s="9">
        <f ca="1">'MH Measure Development'!BO101</f>
        <v>2.8855651200916359</v>
      </c>
      <c r="Q376" s="9" t="str">
        <f>'MH Measure Development'!BP101</f>
        <v>ResDRY</v>
      </c>
    </row>
    <row r="377" spans="1:17">
      <c r="A377" s="9" t="s">
        <v>57</v>
      </c>
      <c r="B377" s="545" t="str">
        <f>'MH Measure Development'!BA102</f>
        <v>CEE Tier 2 Clothes Washer - Any DHW, Any Dryer - 31% ENERGY STAR Baseline</v>
      </c>
      <c r="C377" s="545" t="str">
        <f>'MH Measure Development'!BB102</f>
        <v>Dryer Savings</v>
      </c>
      <c r="D377" s="9">
        <f ca="1">'MH Measure Development'!BC102</f>
        <v>71.713377006170063</v>
      </c>
      <c r="E377" s="9">
        <f>'MH Measure Development'!BD102</f>
        <v>14</v>
      </c>
      <c r="F377" s="9">
        <f>'MH Measure Development'!BE102</f>
        <v>0</v>
      </c>
      <c r="G377" s="9">
        <f>'MH Measure Development'!BF102</f>
        <v>0</v>
      </c>
      <c r="H377" s="9" t="str">
        <f>'MH Measure Development'!BG102</f>
        <v>ResDRY</v>
      </c>
      <c r="I377" s="9">
        <f>'MH Measure Development'!BH102</f>
        <v>0</v>
      </c>
      <c r="J377" s="9">
        <f>'MH Measure Development'!BI102</f>
        <v>0</v>
      </c>
      <c r="K377" s="9">
        <f>'MH Measure Development'!BJ102</f>
        <v>0</v>
      </c>
      <c r="L377" s="9">
        <f>'MH Measure Development'!BK102</f>
        <v>0</v>
      </c>
      <c r="M377" s="9">
        <f>'MH Measure Development'!BL102</f>
        <v>0</v>
      </c>
      <c r="N377" s="9">
        <f>'MH Measure Development'!BM102</f>
        <v>0</v>
      </c>
      <c r="O377" s="9">
        <f>'MH Measure Development'!BN102</f>
        <v>0</v>
      </c>
      <c r="P377" s="9">
        <f ca="1">'MH Measure Development'!BO102</f>
        <v>0.14427825600458191</v>
      </c>
      <c r="Q377" s="9" t="str">
        <f>'MH Measure Development'!BP102</f>
        <v>ResDRY</v>
      </c>
    </row>
    <row r="378" spans="1:17">
      <c r="A378" s="9" t="s">
        <v>57</v>
      </c>
      <c r="B378" s="545" t="str">
        <f>'MH Measure Development'!BA103</f>
        <v>CEE Tier 3 Clothes Washer - Electric DHW, Electric Dryer - 31% ENERGY STAR Baseline</v>
      </c>
      <c r="C378" s="545" t="str">
        <f>'MH Measure Development'!BB103</f>
        <v>Dryer Savings</v>
      </c>
      <c r="D378" s="9">
        <f ca="1">'MH Measure Development'!BC103</f>
        <v>89.919881717554944</v>
      </c>
      <c r="E378" s="9">
        <f>'MH Measure Development'!BD103</f>
        <v>14</v>
      </c>
      <c r="F378" s="9">
        <f>'MH Measure Development'!BE103</f>
        <v>0</v>
      </c>
      <c r="G378" s="9">
        <f>'MH Measure Development'!BF103</f>
        <v>0</v>
      </c>
      <c r="H378" s="9" t="str">
        <f>'MH Measure Development'!BG103</f>
        <v>ResDRY</v>
      </c>
      <c r="I378" s="9">
        <f>'MH Measure Development'!BH103</f>
        <v>0</v>
      </c>
      <c r="J378" s="9">
        <f>'MH Measure Development'!BI103</f>
        <v>0</v>
      </c>
      <c r="K378" s="9">
        <f>'MH Measure Development'!BJ103</f>
        <v>0</v>
      </c>
      <c r="L378" s="9">
        <f>'MH Measure Development'!BK103</f>
        <v>0</v>
      </c>
      <c r="M378" s="9">
        <f>'MH Measure Development'!BL103</f>
        <v>0</v>
      </c>
      <c r="N378" s="9">
        <f>'MH Measure Development'!BM103</f>
        <v>0</v>
      </c>
      <c r="O378" s="9">
        <f>'MH Measure Development'!BN103</f>
        <v>0</v>
      </c>
      <c r="P378" s="9">
        <f ca="1">'MH Measure Development'!BO103</f>
        <v>0</v>
      </c>
      <c r="Q378" s="9" t="str">
        <f>'MH Measure Development'!BP103</f>
        <v>ResDRY</v>
      </c>
    </row>
    <row r="379" spans="1:17">
      <c r="A379" s="9" t="s">
        <v>57</v>
      </c>
      <c r="B379" s="545" t="str">
        <f>'MH Measure Development'!BA104</f>
        <v>CEE Tier 3 Clothes Washer - Electric DHW, Gas Dryer - 31% ENERGY STAR Baseline</v>
      </c>
      <c r="C379" s="545" t="str">
        <f>'MH Measure Development'!BB104</f>
        <v>Dryer Savings</v>
      </c>
      <c r="D379" s="9">
        <f ca="1">'MH Measure Development'!BC104</f>
        <v>0</v>
      </c>
      <c r="E379" s="9">
        <f>'MH Measure Development'!BD104</f>
        <v>14</v>
      </c>
      <c r="F379" s="9">
        <f>'MH Measure Development'!BE104</f>
        <v>0</v>
      </c>
      <c r="G379" s="9">
        <f>'MH Measure Development'!BF104</f>
        <v>0</v>
      </c>
      <c r="H379" s="9" t="str">
        <f>'MH Measure Development'!BG104</f>
        <v>ResDRY</v>
      </c>
      <c r="I379" s="9">
        <f>'MH Measure Development'!BH104</f>
        <v>0</v>
      </c>
      <c r="J379" s="9">
        <f>'MH Measure Development'!BI104</f>
        <v>0</v>
      </c>
      <c r="K379" s="9">
        <f>'MH Measure Development'!BJ104</f>
        <v>0</v>
      </c>
      <c r="L379" s="9">
        <f>'MH Measure Development'!BK104</f>
        <v>0</v>
      </c>
      <c r="M379" s="9">
        <f>'MH Measure Development'!BL104</f>
        <v>0</v>
      </c>
      <c r="N379" s="9">
        <f>'MH Measure Development'!BM104</f>
        <v>0</v>
      </c>
      <c r="O379" s="9">
        <f>'MH Measure Development'!BN104</f>
        <v>0</v>
      </c>
      <c r="P379" s="9">
        <f ca="1">'MH Measure Development'!BO104</f>
        <v>3.4372414305825671</v>
      </c>
      <c r="Q379" s="9" t="str">
        <f>'MH Measure Development'!BP104</f>
        <v>ResDRY</v>
      </c>
    </row>
    <row r="380" spans="1:17">
      <c r="A380" s="9" t="s">
        <v>57</v>
      </c>
      <c r="B380" s="545" t="str">
        <f>'MH Measure Development'!BA105</f>
        <v>CEE Tier 3 Clothes Washer - Gas DHW, Electric Dryer - 31% ENERGY STAR Baseline</v>
      </c>
      <c r="C380" s="545" t="str">
        <f>'MH Measure Development'!BB105</f>
        <v>Dryer Savings</v>
      </c>
      <c r="D380" s="9">
        <f ca="1">'MH Measure Development'!BC105</f>
        <v>89.919881717554944</v>
      </c>
      <c r="E380" s="9">
        <f>'MH Measure Development'!BD105</f>
        <v>14</v>
      </c>
      <c r="F380" s="9">
        <f>'MH Measure Development'!BE105</f>
        <v>0</v>
      </c>
      <c r="G380" s="9">
        <f>'MH Measure Development'!BF105</f>
        <v>0</v>
      </c>
      <c r="H380" s="9" t="str">
        <f>'MH Measure Development'!BG105</f>
        <v>ResDRY</v>
      </c>
      <c r="I380" s="9">
        <f>'MH Measure Development'!BH105</f>
        <v>0</v>
      </c>
      <c r="J380" s="9">
        <f>'MH Measure Development'!BI105</f>
        <v>0</v>
      </c>
      <c r="K380" s="9">
        <f>'MH Measure Development'!BJ105</f>
        <v>0</v>
      </c>
      <c r="L380" s="9">
        <f>'MH Measure Development'!BK105</f>
        <v>0</v>
      </c>
      <c r="M380" s="9">
        <f>'MH Measure Development'!BL105</f>
        <v>0</v>
      </c>
      <c r="N380" s="9">
        <f>'MH Measure Development'!BM105</f>
        <v>0</v>
      </c>
      <c r="O380" s="9">
        <f>'MH Measure Development'!BN105</f>
        <v>0</v>
      </c>
      <c r="P380" s="9">
        <f ca="1">'MH Measure Development'!BO105</f>
        <v>0</v>
      </c>
      <c r="Q380" s="9" t="str">
        <f>'MH Measure Development'!BP105</f>
        <v>ResDRY</v>
      </c>
    </row>
    <row r="381" spans="1:17">
      <c r="A381" s="9" t="s">
        <v>57</v>
      </c>
      <c r="B381" s="545" t="str">
        <f>'MH Measure Development'!BA106</f>
        <v>CEE Tier 3 Clothes Washer - Gas DHW, Gas Dryer - 31% ENERGY STAR Baseline</v>
      </c>
      <c r="C381" s="545" t="str">
        <f>'MH Measure Development'!BB106</f>
        <v>Dryer Savings</v>
      </c>
      <c r="D381" s="9">
        <f ca="1">'MH Measure Development'!BC106</f>
        <v>0</v>
      </c>
      <c r="E381" s="9">
        <f>'MH Measure Development'!BD106</f>
        <v>14</v>
      </c>
      <c r="F381" s="9">
        <f>'MH Measure Development'!BE106</f>
        <v>0</v>
      </c>
      <c r="G381" s="9">
        <f>'MH Measure Development'!BF106</f>
        <v>0</v>
      </c>
      <c r="H381" s="9" t="str">
        <f>'MH Measure Development'!BG106</f>
        <v>ResDRY</v>
      </c>
      <c r="I381" s="9">
        <f>'MH Measure Development'!BH106</f>
        <v>0</v>
      </c>
      <c r="J381" s="9">
        <f>'MH Measure Development'!BI106</f>
        <v>0</v>
      </c>
      <c r="K381" s="9">
        <f>'MH Measure Development'!BJ106</f>
        <v>0</v>
      </c>
      <c r="L381" s="9">
        <f>'MH Measure Development'!BK106</f>
        <v>0</v>
      </c>
      <c r="M381" s="9">
        <f>'MH Measure Development'!BL106</f>
        <v>0</v>
      </c>
      <c r="N381" s="9">
        <f>'MH Measure Development'!BM106</f>
        <v>0</v>
      </c>
      <c r="O381" s="9">
        <f>'MH Measure Development'!BN106</f>
        <v>0</v>
      </c>
      <c r="P381" s="9">
        <f ca="1">'MH Measure Development'!BO106</f>
        <v>3.4372414305825671</v>
      </c>
      <c r="Q381" s="9" t="str">
        <f>'MH Measure Development'!BP106</f>
        <v>ResDRY</v>
      </c>
    </row>
    <row r="382" spans="1:17">
      <c r="A382" s="9" t="s">
        <v>57</v>
      </c>
      <c r="B382" s="545" t="str">
        <f>'MH Measure Development'!BA107</f>
        <v>CEE Tier 3 Clothes Washer - Any DHW, Any Dryer - 31% ENERGY STAR Baseline</v>
      </c>
      <c r="C382" s="545" t="str">
        <f>'MH Measure Development'!BB107</f>
        <v>Dryer Savings</v>
      </c>
      <c r="D382" s="9">
        <f ca="1">'MH Measure Development'!BC107</f>
        <v>85.423887631677189</v>
      </c>
      <c r="E382" s="9">
        <f>'MH Measure Development'!BD107</f>
        <v>14</v>
      </c>
      <c r="F382" s="9">
        <f>'MH Measure Development'!BE107</f>
        <v>0</v>
      </c>
      <c r="G382" s="9">
        <f>'MH Measure Development'!BF107</f>
        <v>0</v>
      </c>
      <c r="H382" s="9" t="str">
        <f>'MH Measure Development'!BG107</f>
        <v>ResDRY</v>
      </c>
      <c r="I382" s="9">
        <f>'MH Measure Development'!BH107</f>
        <v>0</v>
      </c>
      <c r="J382" s="9">
        <f>'MH Measure Development'!BI107</f>
        <v>0</v>
      </c>
      <c r="K382" s="9">
        <f>'MH Measure Development'!BJ107</f>
        <v>0</v>
      </c>
      <c r="L382" s="9">
        <f>'MH Measure Development'!BK107</f>
        <v>0</v>
      </c>
      <c r="M382" s="9">
        <f>'MH Measure Development'!BL107</f>
        <v>0</v>
      </c>
      <c r="N382" s="9">
        <f>'MH Measure Development'!BM107</f>
        <v>0</v>
      </c>
      <c r="O382" s="9">
        <f>'MH Measure Development'!BN107</f>
        <v>0</v>
      </c>
      <c r="P382" s="9">
        <f ca="1">'MH Measure Development'!BO107</f>
        <v>0.1718620715291285</v>
      </c>
      <c r="Q382" s="9" t="str">
        <f>'MH Measure Development'!BP107</f>
        <v>ResDRY</v>
      </c>
    </row>
    <row r="383" spans="1:17">
      <c r="A383" s="9" t="s">
        <v>57</v>
      </c>
      <c r="B383" s="545" t="str">
        <f>'MH Measure Development'!BA108</f>
        <v>ENERGY STAR - Top-Load Clothes Washer - Electric DHW, Electric Dryer - 54% ENERGY STAR Baseline</v>
      </c>
      <c r="C383" s="545" t="str">
        <f>'MH Measure Development'!BB108</f>
        <v>Dryer Savings</v>
      </c>
      <c r="D383" s="9">
        <f ca="1">'MH Measure Development'!BC108</f>
        <v>11.325225383844213</v>
      </c>
      <c r="E383" s="9">
        <f>'MH Measure Development'!BD108</f>
        <v>14</v>
      </c>
      <c r="F383" s="9">
        <f>'MH Measure Development'!BE108</f>
        <v>0</v>
      </c>
      <c r="G383" s="9">
        <f>'MH Measure Development'!BF108</f>
        <v>0</v>
      </c>
      <c r="H383" s="9" t="str">
        <f>'MH Measure Development'!BG108</f>
        <v>ResDRY</v>
      </c>
      <c r="I383" s="9">
        <f>'MH Measure Development'!BH108</f>
        <v>0</v>
      </c>
      <c r="J383" s="9">
        <f>'MH Measure Development'!BI108</f>
        <v>0</v>
      </c>
      <c r="K383" s="9">
        <f>'MH Measure Development'!BJ108</f>
        <v>0</v>
      </c>
      <c r="L383" s="9">
        <f>'MH Measure Development'!BK108</f>
        <v>0</v>
      </c>
      <c r="M383" s="9">
        <f>'MH Measure Development'!BL108</f>
        <v>0</v>
      </c>
      <c r="N383" s="9">
        <f>'MH Measure Development'!BM108</f>
        <v>0</v>
      </c>
      <c r="O383" s="9">
        <f>'MH Measure Development'!BN108</f>
        <v>0</v>
      </c>
      <c r="P383" s="9">
        <f ca="1">'MH Measure Development'!BO108</f>
        <v>0</v>
      </c>
      <c r="Q383" s="9" t="str">
        <f>'MH Measure Development'!BP108</f>
        <v>ResDRY</v>
      </c>
    </row>
    <row r="384" spans="1:17">
      <c r="A384" s="9" t="s">
        <v>57</v>
      </c>
      <c r="B384" s="545" t="str">
        <f>'MH Measure Development'!BA109</f>
        <v>ENERGY STAR - Top-Load Clothes Washer - Electric DHW, Gas Dryer - 54% ENERGY STAR Baseline</v>
      </c>
      <c r="C384" s="545" t="str">
        <f>'MH Measure Development'!BB109</f>
        <v>Dryer Savings</v>
      </c>
      <c r="D384" s="9">
        <f ca="1">'MH Measure Development'!BC109</f>
        <v>0</v>
      </c>
      <c r="E384" s="9">
        <f>'MH Measure Development'!BD109</f>
        <v>14</v>
      </c>
      <c r="F384" s="9">
        <f>'MH Measure Development'!BE109</f>
        <v>0</v>
      </c>
      <c r="G384" s="9">
        <f>'MH Measure Development'!BF109</f>
        <v>0</v>
      </c>
      <c r="H384" s="9" t="str">
        <f>'MH Measure Development'!BG109</f>
        <v>ResDRY</v>
      </c>
      <c r="I384" s="9">
        <f>'MH Measure Development'!BH109</f>
        <v>0</v>
      </c>
      <c r="J384" s="9">
        <f>'MH Measure Development'!BI109</f>
        <v>0</v>
      </c>
      <c r="K384" s="9">
        <f>'MH Measure Development'!BJ109</f>
        <v>0</v>
      </c>
      <c r="L384" s="9">
        <f>'MH Measure Development'!BK109</f>
        <v>0</v>
      </c>
      <c r="M384" s="9">
        <f>'MH Measure Development'!BL109</f>
        <v>0</v>
      </c>
      <c r="N384" s="9">
        <f>'MH Measure Development'!BM109</f>
        <v>0</v>
      </c>
      <c r="O384" s="9">
        <f>'MH Measure Development'!BN109</f>
        <v>0</v>
      </c>
      <c r="P384" s="9">
        <f ca="1">'MH Measure Development'!BO109</f>
        <v>0.43291353543267874</v>
      </c>
      <c r="Q384" s="9" t="str">
        <f>'MH Measure Development'!BP109</f>
        <v>ResDRY</v>
      </c>
    </row>
    <row r="385" spans="1:17">
      <c r="A385" s="9" t="s">
        <v>57</v>
      </c>
      <c r="B385" s="545" t="str">
        <f>'MH Measure Development'!BA110</f>
        <v>ENERGY STAR - Top-Load Clothes Washer - Gas DHW, Electric Dryer - 54% ENERGY STAR Baseline</v>
      </c>
      <c r="C385" s="545" t="str">
        <f>'MH Measure Development'!BB110</f>
        <v>Dryer Savings</v>
      </c>
      <c r="D385" s="9">
        <f ca="1">'MH Measure Development'!BC110</f>
        <v>11.325225383844213</v>
      </c>
      <c r="E385" s="9">
        <f>'MH Measure Development'!BD110</f>
        <v>14</v>
      </c>
      <c r="F385" s="9">
        <f>'MH Measure Development'!BE110</f>
        <v>0</v>
      </c>
      <c r="G385" s="9">
        <f>'MH Measure Development'!BF110</f>
        <v>0</v>
      </c>
      <c r="H385" s="9" t="str">
        <f>'MH Measure Development'!BG110</f>
        <v>ResDRY</v>
      </c>
      <c r="I385" s="9">
        <f>'MH Measure Development'!BH110</f>
        <v>0</v>
      </c>
      <c r="J385" s="9">
        <f>'MH Measure Development'!BI110</f>
        <v>0</v>
      </c>
      <c r="K385" s="9">
        <f>'MH Measure Development'!BJ110</f>
        <v>0</v>
      </c>
      <c r="L385" s="9">
        <f>'MH Measure Development'!BK110</f>
        <v>0</v>
      </c>
      <c r="M385" s="9">
        <f>'MH Measure Development'!BL110</f>
        <v>0</v>
      </c>
      <c r="N385" s="9">
        <f>'MH Measure Development'!BM110</f>
        <v>0</v>
      </c>
      <c r="O385" s="9">
        <f>'MH Measure Development'!BN110</f>
        <v>0</v>
      </c>
      <c r="P385" s="9">
        <f ca="1">'MH Measure Development'!BO110</f>
        <v>0</v>
      </c>
      <c r="Q385" s="9" t="str">
        <f>'MH Measure Development'!BP110</f>
        <v>ResDRY</v>
      </c>
    </row>
    <row r="386" spans="1:17">
      <c r="A386" s="9" t="s">
        <v>57</v>
      </c>
      <c r="B386" s="545" t="str">
        <f>'MH Measure Development'!BA111</f>
        <v>ENERGY STAR - Top-Load Clothes Washer - Gas DHW, Gas Dryer - 54% ENERGY STAR Baseline</v>
      </c>
      <c r="C386" s="545" t="str">
        <f>'MH Measure Development'!BB111</f>
        <v>Dryer Savings</v>
      </c>
      <c r="D386" s="9">
        <f ca="1">'MH Measure Development'!BC111</f>
        <v>0</v>
      </c>
      <c r="E386" s="9">
        <f>'MH Measure Development'!BD111</f>
        <v>14</v>
      </c>
      <c r="F386" s="9">
        <f>'MH Measure Development'!BE111</f>
        <v>0</v>
      </c>
      <c r="G386" s="9">
        <f>'MH Measure Development'!BF111</f>
        <v>0</v>
      </c>
      <c r="H386" s="9" t="str">
        <f>'MH Measure Development'!BG111</f>
        <v>ResDRY</v>
      </c>
      <c r="I386" s="9">
        <f>'MH Measure Development'!BH111</f>
        <v>0</v>
      </c>
      <c r="J386" s="9">
        <f>'MH Measure Development'!BI111</f>
        <v>0</v>
      </c>
      <c r="K386" s="9">
        <f>'MH Measure Development'!BJ111</f>
        <v>0</v>
      </c>
      <c r="L386" s="9">
        <f>'MH Measure Development'!BK111</f>
        <v>0</v>
      </c>
      <c r="M386" s="9">
        <f>'MH Measure Development'!BL111</f>
        <v>0</v>
      </c>
      <c r="N386" s="9">
        <f>'MH Measure Development'!BM111</f>
        <v>0</v>
      </c>
      <c r="O386" s="9">
        <f>'MH Measure Development'!BN111</f>
        <v>0</v>
      </c>
      <c r="P386" s="9">
        <f ca="1">'MH Measure Development'!BO111</f>
        <v>0.43291353543267874</v>
      </c>
      <c r="Q386" s="9" t="str">
        <f>'MH Measure Development'!BP111</f>
        <v>ResDRY</v>
      </c>
    </row>
    <row r="387" spans="1:17">
      <c r="A387" s="9" t="s">
        <v>57</v>
      </c>
      <c r="B387" s="545" t="str">
        <f>'MH Measure Development'!BA112</f>
        <v>ENERGY STAR - Top-Load Clothes Washer - Any DHW, Any Dryer - 54% ENERGY STAR Baseline</v>
      </c>
      <c r="C387" s="545" t="str">
        <f>'MH Measure Development'!BB112</f>
        <v>Dryer Savings</v>
      </c>
      <c r="D387" s="9">
        <f ca="1">'MH Measure Development'!BC112</f>
        <v>10.758964114652002</v>
      </c>
      <c r="E387" s="9">
        <f>'MH Measure Development'!BD112</f>
        <v>14</v>
      </c>
      <c r="F387" s="9">
        <f>'MH Measure Development'!BE112</f>
        <v>0</v>
      </c>
      <c r="G387" s="9">
        <f>'MH Measure Development'!BF112</f>
        <v>0</v>
      </c>
      <c r="H387" s="9" t="str">
        <f>'MH Measure Development'!BG112</f>
        <v>ResDRY</v>
      </c>
      <c r="I387" s="9">
        <f>'MH Measure Development'!BH112</f>
        <v>0</v>
      </c>
      <c r="J387" s="9">
        <f>'MH Measure Development'!BI112</f>
        <v>0</v>
      </c>
      <c r="K387" s="9">
        <f>'MH Measure Development'!BJ112</f>
        <v>0</v>
      </c>
      <c r="L387" s="9">
        <f>'MH Measure Development'!BK112</f>
        <v>0</v>
      </c>
      <c r="M387" s="9">
        <f>'MH Measure Development'!BL112</f>
        <v>0</v>
      </c>
      <c r="N387" s="9">
        <f>'MH Measure Development'!BM112</f>
        <v>0</v>
      </c>
      <c r="O387" s="9">
        <f>'MH Measure Development'!BN112</f>
        <v>0</v>
      </c>
      <c r="P387" s="9">
        <f ca="1">'MH Measure Development'!BO112</f>
        <v>2.1645676771633957E-2</v>
      </c>
      <c r="Q387" s="9" t="str">
        <f>'MH Measure Development'!BP112</f>
        <v>ResDRY</v>
      </c>
    </row>
    <row r="388" spans="1:17">
      <c r="A388" s="9" t="s">
        <v>57</v>
      </c>
      <c r="B388" s="545" t="str">
        <f>'MH Measure Development'!BA113</f>
        <v>ENERGY STAR - Front-Load Clothes Washer - Electric DHW, Electric Dryer - 54% ENERGY STAR Baseline</v>
      </c>
      <c r="C388" s="545" t="str">
        <f>'MH Measure Development'!BB113</f>
        <v>Dryer Savings</v>
      </c>
      <c r="D388" s="9">
        <f ca="1">'MH Measure Development'!BC113</f>
        <v>45.55808878344402</v>
      </c>
      <c r="E388" s="9">
        <f>'MH Measure Development'!BD113</f>
        <v>14</v>
      </c>
      <c r="F388" s="9">
        <f>'MH Measure Development'!BE113</f>
        <v>0</v>
      </c>
      <c r="G388" s="9">
        <f>'MH Measure Development'!BF113</f>
        <v>0</v>
      </c>
      <c r="H388" s="9" t="str">
        <f>'MH Measure Development'!BG113</f>
        <v>ResDRY</v>
      </c>
      <c r="I388" s="9">
        <f>'MH Measure Development'!BH113</f>
        <v>0</v>
      </c>
      <c r="J388" s="9">
        <f>'MH Measure Development'!BI113</f>
        <v>0</v>
      </c>
      <c r="K388" s="9">
        <f>'MH Measure Development'!BJ113</f>
        <v>0</v>
      </c>
      <c r="L388" s="9">
        <f>'MH Measure Development'!BK113</f>
        <v>0</v>
      </c>
      <c r="M388" s="9">
        <f>'MH Measure Development'!BL113</f>
        <v>0</v>
      </c>
      <c r="N388" s="9">
        <f>'MH Measure Development'!BM113</f>
        <v>0</v>
      </c>
      <c r="O388" s="9">
        <f>'MH Measure Development'!BN113</f>
        <v>0</v>
      </c>
      <c r="P388" s="9">
        <f ca="1">'MH Measure Development'!BO113</f>
        <v>0</v>
      </c>
      <c r="Q388" s="9" t="str">
        <f>'MH Measure Development'!BP113</f>
        <v>ResDRY</v>
      </c>
    </row>
    <row r="389" spans="1:17">
      <c r="A389" s="9" t="s">
        <v>57</v>
      </c>
      <c r="B389" s="545" t="str">
        <f>'MH Measure Development'!BA114</f>
        <v>ENERGY STAR - Front-Load Clothes Washer - Electric DHW, Gas Dryer - 54% ENERGY STAR Baseline</v>
      </c>
      <c r="C389" s="545" t="str">
        <f>'MH Measure Development'!BB114</f>
        <v>Dryer Savings</v>
      </c>
      <c r="D389" s="9">
        <f ca="1">'MH Measure Development'!BC114</f>
        <v>0</v>
      </c>
      <c r="E389" s="9">
        <f>'MH Measure Development'!BD114</f>
        <v>14</v>
      </c>
      <c r="F389" s="9">
        <f>'MH Measure Development'!BE114</f>
        <v>0</v>
      </c>
      <c r="G389" s="9">
        <f>'MH Measure Development'!BF114</f>
        <v>0</v>
      </c>
      <c r="H389" s="9" t="str">
        <f>'MH Measure Development'!BG114</f>
        <v>ResDRY</v>
      </c>
      <c r="I389" s="9">
        <f>'MH Measure Development'!BH114</f>
        <v>0</v>
      </c>
      <c r="J389" s="9">
        <f>'MH Measure Development'!BI114</f>
        <v>0</v>
      </c>
      <c r="K389" s="9">
        <f>'MH Measure Development'!BJ114</f>
        <v>0</v>
      </c>
      <c r="L389" s="9">
        <f>'MH Measure Development'!BK114</f>
        <v>0</v>
      </c>
      <c r="M389" s="9">
        <f>'MH Measure Development'!BL114</f>
        <v>0</v>
      </c>
      <c r="N389" s="9">
        <f>'MH Measure Development'!BM114</f>
        <v>0</v>
      </c>
      <c r="O389" s="9">
        <f>'MH Measure Development'!BN114</f>
        <v>0</v>
      </c>
      <c r="P389" s="9">
        <f ca="1">'MH Measure Development'!BO114</f>
        <v>1.7414852786004218</v>
      </c>
      <c r="Q389" s="9" t="str">
        <f>'MH Measure Development'!BP114</f>
        <v>ResDRY</v>
      </c>
    </row>
    <row r="390" spans="1:17">
      <c r="A390" s="9" t="s">
        <v>57</v>
      </c>
      <c r="B390" s="545" t="str">
        <f>'MH Measure Development'!BA115</f>
        <v>ENERGY STAR - Front-Load Clothes Washer - Gas DHW, Electric Dryer - 54% ENERGY STAR Baseline</v>
      </c>
      <c r="C390" s="545" t="str">
        <f>'MH Measure Development'!BB115</f>
        <v>Dryer Savings</v>
      </c>
      <c r="D390" s="9">
        <f ca="1">'MH Measure Development'!BC115</f>
        <v>45.55808878344402</v>
      </c>
      <c r="E390" s="9">
        <f>'MH Measure Development'!BD115</f>
        <v>14</v>
      </c>
      <c r="F390" s="9">
        <f>'MH Measure Development'!BE115</f>
        <v>0</v>
      </c>
      <c r="G390" s="9">
        <f>'MH Measure Development'!BF115</f>
        <v>0</v>
      </c>
      <c r="H390" s="9" t="str">
        <f>'MH Measure Development'!BG115</f>
        <v>ResDRY</v>
      </c>
      <c r="I390" s="9">
        <f>'MH Measure Development'!BH115</f>
        <v>0</v>
      </c>
      <c r="J390" s="9">
        <f>'MH Measure Development'!BI115</f>
        <v>0</v>
      </c>
      <c r="K390" s="9">
        <f>'MH Measure Development'!BJ115</f>
        <v>0</v>
      </c>
      <c r="L390" s="9">
        <f>'MH Measure Development'!BK115</f>
        <v>0</v>
      </c>
      <c r="M390" s="9">
        <f>'MH Measure Development'!BL115</f>
        <v>0</v>
      </c>
      <c r="N390" s="9">
        <f>'MH Measure Development'!BM115</f>
        <v>0</v>
      </c>
      <c r="O390" s="9">
        <f>'MH Measure Development'!BN115</f>
        <v>0</v>
      </c>
      <c r="P390" s="9">
        <f ca="1">'MH Measure Development'!BO115</f>
        <v>0</v>
      </c>
      <c r="Q390" s="9" t="str">
        <f>'MH Measure Development'!BP115</f>
        <v>ResDRY</v>
      </c>
    </row>
    <row r="391" spans="1:17">
      <c r="A391" s="9" t="s">
        <v>57</v>
      </c>
      <c r="B391" s="545" t="str">
        <f>'MH Measure Development'!BA116</f>
        <v>ENERGY STAR - Front-Load Clothes Washer - Gas DHW, Gas Dryer - 54% ENERGY STAR Baseline</v>
      </c>
      <c r="C391" s="545" t="str">
        <f>'MH Measure Development'!BB116</f>
        <v>Dryer Savings</v>
      </c>
      <c r="D391" s="9">
        <f ca="1">'MH Measure Development'!BC116</f>
        <v>0</v>
      </c>
      <c r="E391" s="9">
        <f>'MH Measure Development'!BD116</f>
        <v>14</v>
      </c>
      <c r="F391" s="9">
        <f>'MH Measure Development'!BE116</f>
        <v>0</v>
      </c>
      <c r="G391" s="9">
        <f>'MH Measure Development'!BF116</f>
        <v>0</v>
      </c>
      <c r="H391" s="9" t="str">
        <f>'MH Measure Development'!BG116</f>
        <v>ResDRY</v>
      </c>
      <c r="I391" s="9">
        <f>'MH Measure Development'!BH116</f>
        <v>0</v>
      </c>
      <c r="J391" s="9">
        <f>'MH Measure Development'!BI116</f>
        <v>0</v>
      </c>
      <c r="K391" s="9">
        <f>'MH Measure Development'!BJ116</f>
        <v>0</v>
      </c>
      <c r="L391" s="9">
        <f>'MH Measure Development'!BK116</f>
        <v>0</v>
      </c>
      <c r="M391" s="9">
        <f>'MH Measure Development'!BL116</f>
        <v>0</v>
      </c>
      <c r="N391" s="9">
        <f>'MH Measure Development'!BM116</f>
        <v>0</v>
      </c>
      <c r="O391" s="9">
        <f>'MH Measure Development'!BN116</f>
        <v>0</v>
      </c>
      <c r="P391" s="9">
        <f ca="1">'MH Measure Development'!BO116</f>
        <v>1.7414852786004218</v>
      </c>
      <c r="Q391" s="9" t="str">
        <f>'MH Measure Development'!BP116</f>
        <v>ResDRY</v>
      </c>
    </row>
    <row r="392" spans="1:17">
      <c r="A392" s="9" t="s">
        <v>57</v>
      </c>
      <c r="B392" s="545" t="str">
        <f>'MH Measure Development'!BA117</f>
        <v>ENERGY STAR - Front-Load Clothes Washer - Any DHW, Any Dryer - 54% ENERGY STAR Baseline</v>
      </c>
      <c r="C392" s="545" t="str">
        <f>'MH Measure Development'!BB117</f>
        <v>Dryer Savings</v>
      </c>
      <c r="D392" s="9">
        <f ca="1">'MH Measure Development'!BC117</f>
        <v>43.280184344271817</v>
      </c>
      <c r="E392" s="9">
        <f>'MH Measure Development'!BD117</f>
        <v>14</v>
      </c>
      <c r="F392" s="9">
        <f>'MH Measure Development'!BE117</f>
        <v>0</v>
      </c>
      <c r="G392" s="9">
        <f>'MH Measure Development'!BF117</f>
        <v>0</v>
      </c>
      <c r="H392" s="9" t="str">
        <f>'MH Measure Development'!BG117</f>
        <v>ResDRY</v>
      </c>
      <c r="I392" s="9">
        <f>'MH Measure Development'!BH117</f>
        <v>0</v>
      </c>
      <c r="J392" s="9">
        <f>'MH Measure Development'!BI117</f>
        <v>0</v>
      </c>
      <c r="K392" s="9">
        <f>'MH Measure Development'!BJ117</f>
        <v>0</v>
      </c>
      <c r="L392" s="9">
        <f>'MH Measure Development'!BK117</f>
        <v>0</v>
      </c>
      <c r="M392" s="9">
        <f>'MH Measure Development'!BL117</f>
        <v>0</v>
      </c>
      <c r="N392" s="9">
        <f>'MH Measure Development'!BM117</f>
        <v>0</v>
      </c>
      <c r="O392" s="9">
        <f>'MH Measure Development'!BN117</f>
        <v>0</v>
      </c>
      <c r="P392" s="9">
        <f ca="1">'MH Measure Development'!BO117</f>
        <v>8.707426393002117E-2</v>
      </c>
      <c r="Q392" s="9" t="str">
        <f>'MH Measure Development'!BP117</f>
        <v>ResDRY</v>
      </c>
    </row>
    <row r="393" spans="1:17">
      <c r="A393" s="9" t="s">
        <v>57</v>
      </c>
      <c r="B393" s="545" t="str">
        <f>'MH Measure Development'!BA123</f>
        <v>CEE Tier 1 Clothes Washer - Electric DHW, Electric Dryer - 54% ENERGY STAR Baseline</v>
      </c>
      <c r="C393" s="545" t="str">
        <f>'MH Measure Development'!BB123</f>
        <v>Dryer Savings</v>
      </c>
      <c r="D393" s="9">
        <f ca="1">'MH Measure Development'!BC123</f>
        <v>35.492874263883834</v>
      </c>
      <c r="E393" s="9">
        <f>'MH Measure Development'!BD123</f>
        <v>14</v>
      </c>
      <c r="F393" s="9">
        <f>'MH Measure Development'!BE123</f>
        <v>0</v>
      </c>
      <c r="G393" s="9">
        <f>'MH Measure Development'!BF123</f>
        <v>0</v>
      </c>
      <c r="H393" s="9" t="str">
        <f>'MH Measure Development'!BG123</f>
        <v>ResDRY</v>
      </c>
      <c r="I393" s="9">
        <f>'MH Measure Development'!BH123</f>
        <v>0</v>
      </c>
      <c r="J393" s="9">
        <f>'MH Measure Development'!BI123</f>
        <v>0</v>
      </c>
      <c r="K393" s="9">
        <f>'MH Measure Development'!BJ123</f>
        <v>0</v>
      </c>
      <c r="L393" s="9">
        <f>'MH Measure Development'!BK123</f>
        <v>0</v>
      </c>
      <c r="M393" s="9">
        <f>'MH Measure Development'!BL123</f>
        <v>0</v>
      </c>
      <c r="N393" s="9">
        <f>'MH Measure Development'!BM123</f>
        <v>0</v>
      </c>
      <c r="O393" s="9">
        <f>'MH Measure Development'!BN123</f>
        <v>0</v>
      </c>
      <c r="P393" s="9">
        <f ca="1">'MH Measure Development'!BO123</f>
        <v>0</v>
      </c>
      <c r="Q393" s="9" t="str">
        <f>'MH Measure Development'!BP123</f>
        <v>ResDRY</v>
      </c>
    </row>
    <row r="394" spans="1:17">
      <c r="A394" s="9" t="s">
        <v>57</v>
      </c>
      <c r="B394" s="545" t="str">
        <f>'MH Measure Development'!BA124</f>
        <v>CEE Tier 1 Clothes Washer - Electric DHW, Gas Dryer - 54% ENERGY STAR Baseline</v>
      </c>
      <c r="C394" s="545" t="str">
        <f>'MH Measure Development'!BB124</f>
        <v>Dryer Savings</v>
      </c>
      <c r="D394" s="9">
        <f ca="1">'MH Measure Development'!BC124</f>
        <v>0</v>
      </c>
      <c r="E394" s="9">
        <f>'MH Measure Development'!BD124</f>
        <v>14</v>
      </c>
      <c r="F394" s="9">
        <f>'MH Measure Development'!BE124</f>
        <v>0</v>
      </c>
      <c r="G394" s="9">
        <f>'MH Measure Development'!BF124</f>
        <v>0</v>
      </c>
      <c r="H394" s="9" t="str">
        <f>'MH Measure Development'!BG124</f>
        <v>ResDRY</v>
      </c>
      <c r="I394" s="9">
        <f>'MH Measure Development'!BH124</f>
        <v>0</v>
      </c>
      <c r="J394" s="9">
        <f>'MH Measure Development'!BI124</f>
        <v>0</v>
      </c>
      <c r="K394" s="9">
        <f>'MH Measure Development'!BJ124</f>
        <v>0</v>
      </c>
      <c r="L394" s="9">
        <f>'MH Measure Development'!BK124</f>
        <v>0</v>
      </c>
      <c r="M394" s="9">
        <f>'MH Measure Development'!BL124</f>
        <v>0</v>
      </c>
      <c r="N394" s="9">
        <f>'MH Measure Development'!BM124</f>
        <v>0</v>
      </c>
      <c r="O394" s="9">
        <f>'MH Measure Development'!BN124</f>
        <v>0</v>
      </c>
      <c r="P394" s="9">
        <f ca="1">'MH Measure Development'!BO124</f>
        <v>1.3567364144615208</v>
      </c>
      <c r="Q394" s="9" t="str">
        <f>'MH Measure Development'!BP124</f>
        <v>ResDRY</v>
      </c>
    </row>
    <row r="395" spans="1:17">
      <c r="A395" s="9" t="s">
        <v>57</v>
      </c>
      <c r="B395" s="545" t="str">
        <f>'MH Measure Development'!BA125</f>
        <v>CEE Tier 1 Clothes Washer - Gas DHW, Electric Dryer - 54% ENERGY STAR Baseline</v>
      </c>
      <c r="C395" s="545" t="str">
        <f>'MH Measure Development'!BB125</f>
        <v>Dryer Savings</v>
      </c>
      <c r="D395" s="9">
        <f ca="1">'MH Measure Development'!BC125</f>
        <v>35.492874263883834</v>
      </c>
      <c r="E395" s="9">
        <f>'MH Measure Development'!BD125</f>
        <v>14</v>
      </c>
      <c r="F395" s="9">
        <f>'MH Measure Development'!BE125</f>
        <v>0</v>
      </c>
      <c r="G395" s="9">
        <f>'MH Measure Development'!BF125</f>
        <v>0</v>
      </c>
      <c r="H395" s="9" t="str">
        <f>'MH Measure Development'!BG125</f>
        <v>ResDRY</v>
      </c>
      <c r="I395" s="9">
        <f>'MH Measure Development'!BH125</f>
        <v>0</v>
      </c>
      <c r="J395" s="9">
        <f>'MH Measure Development'!BI125</f>
        <v>0</v>
      </c>
      <c r="K395" s="9">
        <f>'MH Measure Development'!BJ125</f>
        <v>0</v>
      </c>
      <c r="L395" s="9">
        <f>'MH Measure Development'!BK125</f>
        <v>0</v>
      </c>
      <c r="M395" s="9">
        <f>'MH Measure Development'!BL125</f>
        <v>0</v>
      </c>
      <c r="N395" s="9">
        <f>'MH Measure Development'!BM125</f>
        <v>0</v>
      </c>
      <c r="O395" s="9">
        <f>'MH Measure Development'!BN125</f>
        <v>0</v>
      </c>
      <c r="P395" s="9">
        <f ca="1">'MH Measure Development'!BO125</f>
        <v>0</v>
      </c>
      <c r="Q395" s="9" t="str">
        <f>'MH Measure Development'!BP125</f>
        <v>ResDRY</v>
      </c>
    </row>
    <row r="396" spans="1:17">
      <c r="A396" s="9" t="s">
        <v>57</v>
      </c>
      <c r="B396" s="545" t="str">
        <f>'MH Measure Development'!BA126</f>
        <v>CEE Tier 1 Clothes Washer - Gas DHW, Gas Dryer - 54% ENERGY STAR Baseline</v>
      </c>
      <c r="C396" s="545" t="str">
        <f>'MH Measure Development'!BB126</f>
        <v>Dryer Savings</v>
      </c>
      <c r="D396" s="9">
        <f ca="1">'MH Measure Development'!BC126</f>
        <v>0</v>
      </c>
      <c r="E396" s="9">
        <f>'MH Measure Development'!BD126</f>
        <v>14</v>
      </c>
      <c r="F396" s="9">
        <f>'MH Measure Development'!BE126</f>
        <v>0</v>
      </c>
      <c r="G396" s="9">
        <f>'MH Measure Development'!BF126</f>
        <v>0</v>
      </c>
      <c r="H396" s="9" t="str">
        <f>'MH Measure Development'!BG126</f>
        <v>ResDRY</v>
      </c>
      <c r="I396" s="9">
        <f>'MH Measure Development'!BH126</f>
        <v>0</v>
      </c>
      <c r="J396" s="9">
        <f>'MH Measure Development'!BI126</f>
        <v>0</v>
      </c>
      <c r="K396" s="9">
        <f>'MH Measure Development'!BJ126</f>
        <v>0</v>
      </c>
      <c r="L396" s="9">
        <f>'MH Measure Development'!BK126</f>
        <v>0</v>
      </c>
      <c r="M396" s="9">
        <f>'MH Measure Development'!BL126</f>
        <v>0</v>
      </c>
      <c r="N396" s="9">
        <f>'MH Measure Development'!BM126</f>
        <v>0</v>
      </c>
      <c r="O396" s="9">
        <f>'MH Measure Development'!BN126</f>
        <v>0</v>
      </c>
      <c r="P396" s="9">
        <f ca="1">'MH Measure Development'!BO126</f>
        <v>1.3567364144615208</v>
      </c>
      <c r="Q396" s="9" t="str">
        <f>'MH Measure Development'!BP126</f>
        <v>ResDRY</v>
      </c>
    </row>
    <row r="397" spans="1:17">
      <c r="A397" s="9" t="s">
        <v>57</v>
      </c>
      <c r="B397" s="545" t="str">
        <f>'MH Measure Development'!BA127</f>
        <v>CEE Tier 1 Clothes Washer - Any DHW, Any Dryer - 54% ENERGY STAR Baseline</v>
      </c>
      <c r="C397" s="545" t="str">
        <f>'MH Measure Development'!BB127</f>
        <v>Dryer Savings</v>
      </c>
      <c r="D397" s="9">
        <f ca="1">'MH Measure Development'!BC127</f>
        <v>33.71823055068964</v>
      </c>
      <c r="E397" s="9">
        <f>'MH Measure Development'!BD127</f>
        <v>14</v>
      </c>
      <c r="F397" s="9">
        <f>'MH Measure Development'!BE127</f>
        <v>0</v>
      </c>
      <c r="G397" s="9">
        <f>'MH Measure Development'!BF127</f>
        <v>0</v>
      </c>
      <c r="H397" s="9" t="str">
        <f>'MH Measure Development'!BG127</f>
        <v>ResDRY</v>
      </c>
      <c r="I397" s="9">
        <f>'MH Measure Development'!BH127</f>
        <v>0</v>
      </c>
      <c r="J397" s="9">
        <f>'MH Measure Development'!BI127</f>
        <v>0</v>
      </c>
      <c r="K397" s="9">
        <f>'MH Measure Development'!BJ127</f>
        <v>0</v>
      </c>
      <c r="L397" s="9">
        <f>'MH Measure Development'!BK127</f>
        <v>0</v>
      </c>
      <c r="M397" s="9">
        <f>'MH Measure Development'!BL127</f>
        <v>0</v>
      </c>
      <c r="N397" s="9">
        <f>'MH Measure Development'!BM127</f>
        <v>0</v>
      </c>
      <c r="O397" s="9">
        <f>'MH Measure Development'!BN127</f>
        <v>0</v>
      </c>
      <c r="P397" s="9">
        <f ca="1">'MH Measure Development'!BO127</f>
        <v>6.7836820723076105E-2</v>
      </c>
      <c r="Q397" s="9" t="str">
        <f>'MH Measure Development'!BP127</f>
        <v>ResDRY</v>
      </c>
    </row>
    <row r="398" spans="1:17">
      <c r="A398" s="9" t="s">
        <v>57</v>
      </c>
      <c r="B398" s="545" t="str">
        <f>'MH Measure Development'!BA128</f>
        <v>CEE Tier 2 Clothes Washer - Electric DHW, Electric Dryer - 54% ENERGY STAR Baseline</v>
      </c>
      <c r="C398" s="545" t="str">
        <f>'MH Measure Development'!BB128</f>
        <v>Dryer Savings</v>
      </c>
      <c r="D398" s="9">
        <f ca="1">'MH Measure Development'!BC128</f>
        <v>57.176560682165416</v>
      </c>
      <c r="E398" s="9">
        <f>'MH Measure Development'!BD128</f>
        <v>14</v>
      </c>
      <c r="F398" s="9">
        <f>'MH Measure Development'!BE128</f>
        <v>0</v>
      </c>
      <c r="G398" s="9">
        <f>'MH Measure Development'!BF128</f>
        <v>0</v>
      </c>
      <c r="H398" s="9" t="str">
        <f>'MH Measure Development'!BG128</f>
        <v>ResDRY</v>
      </c>
      <c r="I398" s="9">
        <f>'MH Measure Development'!BH128</f>
        <v>0</v>
      </c>
      <c r="J398" s="9">
        <f>'MH Measure Development'!BI128</f>
        <v>0</v>
      </c>
      <c r="K398" s="9">
        <f>'MH Measure Development'!BJ128</f>
        <v>0</v>
      </c>
      <c r="L398" s="9">
        <f>'MH Measure Development'!BK128</f>
        <v>0</v>
      </c>
      <c r="M398" s="9">
        <f>'MH Measure Development'!BL128</f>
        <v>0</v>
      </c>
      <c r="N398" s="9">
        <f>'MH Measure Development'!BM128</f>
        <v>0</v>
      </c>
      <c r="O398" s="9">
        <f>'MH Measure Development'!BN128</f>
        <v>0</v>
      </c>
      <c r="P398" s="9">
        <f ca="1">'MH Measure Development'!BO128</f>
        <v>0</v>
      </c>
      <c r="Q398" s="9" t="str">
        <f>'MH Measure Development'!BP128</f>
        <v>ResDRY</v>
      </c>
    </row>
    <row r="399" spans="1:17">
      <c r="A399" s="9" t="s">
        <v>57</v>
      </c>
      <c r="B399" s="545" t="str">
        <f>'MH Measure Development'!BA129</f>
        <v>CEE Tier 2 Clothes Washer - Electric DHW, Gas Dryer - 54% ENERGY STAR Baseline</v>
      </c>
      <c r="C399" s="545" t="str">
        <f>'MH Measure Development'!BB129</f>
        <v>Dryer Savings</v>
      </c>
      <c r="D399" s="9">
        <f ca="1">'MH Measure Development'!BC129</f>
        <v>0</v>
      </c>
      <c r="E399" s="9">
        <f>'MH Measure Development'!BD129</f>
        <v>14</v>
      </c>
      <c r="F399" s="9">
        <f>'MH Measure Development'!BE129</f>
        <v>0</v>
      </c>
      <c r="G399" s="9">
        <f>'MH Measure Development'!BF129</f>
        <v>0</v>
      </c>
      <c r="H399" s="9" t="str">
        <f>'MH Measure Development'!BG129</f>
        <v>ResDRY</v>
      </c>
      <c r="I399" s="9">
        <f>'MH Measure Development'!BH129</f>
        <v>0</v>
      </c>
      <c r="J399" s="9">
        <f>'MH Measure Development'!BI129</f>
        <v>0</v>
      </c>
      <c r="K399" s="9">
        <f>'MH Measure Development'!BJ129</f>
        <v>0</v>
      </c>
      <c r="L399" s="9">
        <f>'MH Measure Development'!BK129</f>
        <v>0</v>
      </c>
      <c r="M399" s="9">
        <f>'MH Measure Development'!BL129</f>
        <v>0</v>
      </c>
      <c r="N399" s="9">
        <f>'MH Measure Development'!BM129</f>
        <v>0</v>
      </c>
      <c r="O399" s="9">
        <f>'MH Measure Development'!BN129</f>
        <v>0</v>
      </c>
      <c r="P399" s="9">
        <f ca="1">'MH Measure Development'!BO129</f>
        <v>2.1856083380121856</v>
      </c>
      <c r="Q399" s="9" t="str">
        <f>'MH Measure Development'!BP129</f>
        <v>ResDRY</v>
      </c>
    </row>
    <row r="400" spans="1:17">
      <c r="A400" s="9" t="s">
        <v>57</v>
      </c>
      <c r="B400" s="545" t="str">
        <f>'MH Measure Development'!BA130</f>
        <v>CEE Tier 2 Clothes Washer - Gas DHW, Electric Dryer - 54% ENERGY STAR Baseline</v>
      </c>
      <c r="C400" s="545" t="str">
        <f>'MH Measure Development'!BB130</f>
        <v>Dryer Savings</v>
      </c>
      <c r="D400" s="9">
        <f ca="1">'MH Measure Development'!BC130</f>
        <v>57.176560682165416</v>
      </c>
      <c r="E400" s="9">
        <f>'MH Measure Development'!BD130</f>
        <v>14</v>
      </c>
      <c r="F400" s="9">
        <f>'MH Measure Development'!BE130</f>
        <v>0</v>
      </c>
      <c r="G400" s="9">
        <f>'MH Measure Development'!BF130</f>
        <v>0</v>
      </c>
      <c r="H400" s="9" t="str">
        <f>'MH Measure Development'!BG130</f>
        <v>ResDRY</v>
      </c>
      <c r="I400" s="9">
        <f>'MH Measure Development'!BH130</f>
        <v>0</v>
      </c>
      <c r="J400" s="9">
        <f>'MH Measure Development'!BI130</f>
        <v>0</v>
      </c>
      <c r="K400" s="9">
        <f>'MH Measure Development'!BJ130</f>
        <v>0</v>
      </c>
      <c r="L400" s="9">
        <f>'MH Measure Development'!BK130</f>
        <v>0</v>
      </c>
      <c r="M400" s="9">
        <f>'MH Measure Development'!BL130</f>
        <v>0</v>
      </c>
      <c r="N400" s="9">
        <f>'MH Measure Development'!BM130</f>
        <v>0</v>
      </c>
      <c r="O400" s="9">
        <f>'MH Measure Development'!BN130</f>
        <v>0</v>
      </c>
      <c r="P400" s="9">
        <f ca="1">'MH Measure Development'!BO130</f>
        <v>0</v>
      </c>
      <c r="Q400" s="9" t="str">
        <f>'MH Measure Development'!BP130</f>
        <v>ResDRY</v>
      </c>
    </row>
    <row r="401" spans="1:17">
      <c r="A401" s="9" t="s">
        <v>57</v>
      </c>
      <c r="B401" s="545" t="str">
        <f>'MH Measure Development'!BA131</f>
        <v>CEE Tier 2 Clothes Washer - Gas DHW, Gas Dryer - 54% ENERGY STAR Baseline</v>
      </c>
      <c r="C401" s="545" t="str">
        <f>'MH Measure Development'!BB131</f>
        <v>Dryer Savings</v>
      </c>
      <c r="D401" s="9">
        <f ca="1">'MH Measure Development'!BC131</f>
        <v>0</v>
      </c>
      <c r="E401" s="9">
        <f>'MH Measure Development'!BD131</f>
        <v>14</v>
      </c>
      <c r="F401" s="9">
        <f>'MH Measure Development'!BE131</f>
        <v>0</v>
      </c>
      <c r="G401" s="9">
        <f>'MH Measure Development'!BF131</f>
        <v>0</v>
      </c>
      <c r="H401" s="9" t="str">
        <f>'MH Measure Development'!BG131</f>
        <v>ResDRY</v>
      </c>
      <c r="I401" s="9">
        <f>'MH Measure Development'!BH131</f>
        <v>0</v>
      </c>
      <c r="J401" s="9">
        <f>'MH Measure Development'!BI131</f>
        <v>0</v>
      </c>
      <c r="K401" s="9">
        <f>'MH Measure Development'!BJ131</f>
        <v>0</v>
      </c>
      <c r="L401" s="9">
        <f>'MH Measure Development'!BK131</f>
        <v>0</v>
      </c>
      <c r="M401" s="9">
        <f>'MH Measure Development'!BL131</f>
        <v>0</v>
      </c>
      <c r="N401" s="9">
        <f>'MH Measure Development'!BM131</f>
        <v>0</v>
      </c>
      <c r="O401" s="9">
        <f>'MH Measure Development'!BN131</f>
        <v>0</v>
      </c>
      <c r="P401" s="9">
        <f ca="1">'MH Measure Development'!BO131</f>
        <v>2.1856083380121856</v>
      </c>
      <c r="Q401" s="9" t="str">
        <f>'MH Measure Development'!BP131</f>
        <v>ResDRY</v>
      </c>
    </row>
    <row r="402" spans="1:17">
      <c r="A402" s="9" t="s">
        <v>57</v>
      </c>
      <c r="B402" s="545" t="str">
        <f>'MH Measure Development'!BA132</f>
        <v>CEE Tier 2 Clothes Washer - Any DHW, Any Dryer - 54% ENERGY STAR Baseline</v>
      </c>
      <c r="C402" s="545" t="str">
        <f>'MH Measure Development'!BB132</f>
        <v>Dryer Savings</v>
      </c>
      <c r="D402" s="9">
        <f ca="1">'MH Measure Development'!BC132</f>
        <v>54.317732648057145</v>
      </c>
      <c r="E402" s="9">
        <f>'MH Measure Development'!BD132</f>
        <v>14</v>
      </c>
      <c r="F402" s="9">
        <f>'MH Measure Development'!BE132</f>
        <v>0</v>
      </c>
      <c r="G402" s="9">
        <f>'MH Measure Development'!BF132</f>
        <v>0</v>
      </c>
      <c r="H402" s="9" t="str">
        <f>'MH Measure Development'!BG132</f>
        <v>ResDRY</v>
      </c>
      <c r="I402" s="9">
        <f>'MH Measure Development'!BH132</f>
        <v>0</v>
      </c>
      <c r="J402" s="9">
        <f>'MH Measure Development'!BI132</f>
        <v>0</v>
      </c>
      <c r="K402" s="9">
        <f>'MH Measure Development'!BJ132</f>
        <v>0</v>
      </c>
      <c r="L402" s="9">
        <f>'MH Measure Development'!BK132</f>
        <v>0</v>
      </c>
      <c r="M402" s="9">
        <f>'MH Measure Development'!BL132</f>
        <v>0</v>
      </c>
      <c r="N402" s="9">
        <f>'MH Measure Development'!BM132</f>
        <v>0</v>
      </c>
      <c r="O402" s="9">
        <f>'MH Measure Development'!BN132</f>
        <v>0</v>
      </c>
      <c r="P402" s="9">
        <f ca="1">'MH Measure Development'!BO132</f>
        <v>0.10928041690060937</v>
      </c>
      <c r="Q402" s="9" t="str">
        <f>'MH Measure Development'!BP132</f>
        <v>ResDRY</v>
      </c>
    </row>
    <row r="403" spans="1:17">
      <c r="A403" s="9" t="s">
        <v>57</v>
      </c>
      <c r="B403" s="545" t="str">
        <f>'MH Measure Development'!BA133</f>
        <v>CEE Tier 3 Clothes Washer - Electric DHW, Electric Dryer - 54% ENERGY STAR Baseline</v>
      </c>
      <c r="C403" s="545" t="str">
        <f>'MH Measure Development'!BB133</f>
        <v>Dryer Savings</v>
      </c>
      <c r="D403" s="9">
        <f ca="1">'MH Measure Development'!BC133</f>
        <v>71.608677130067662</v>
      </c>
      <c r="E403" s="9">
        <f>'MH Measure Development'!BD133</f>
        <v>14</v>
      </c>
      <c r="F403" s="9">
        <f>'MH Measure Development'!BE133</f>
        <v>0</v>
      </c>
      <c r="G403" s="9">
        <f>'MH Measure Development'!BF133</f>
        <v>0</v>
      </c>
      <c r="H403" s="9" t="str">
        <f>'MH Measure Development'!BG133</f>
        <v>ResDRY</v>
      </c>
      <c r="I403" s="9">
        <f>'MH Measure Development'!BH133</f>
        <v>0</v>
      </c>
      <c r="J403" s="9">
        <f>'MH Measure Development'!BI133</f>
        <v>0</v>
      </c>
      <c r="K403" s="9">
        <f>'MH Measure Development'!BJ133</f>
        <v>0</v>
      </c>
      <c r="L403" s="9">
        <f>'MH Measure Development'!BK133</f>
        <v>0</v>
      </c>
      <c r="M403" s="9">
        <f>'MH Measure Development'!BL133</f>
        <v>0</v>
      </c>
      <c r="N403" s="9">
        <f>'MH Measure Development'!BM133</f>
        <v>0</v>
      </c>
      <c r="O403" s="9">
        <f>'MH Measure Development'!BN133</f>
        <v>0</v>
      </c>
      <c r="P403" s="9">
        <f ca="1">'MH Measure Development'!BO133</f>
        <v>0</v>
      </c>
      <c r="Q403" s="9" t="str">
        <f>'MH Measure Development'!BP133</f>
        <v>ResDRY</v>
      </c>
    </row>
    <row r="404" spans="1:17">
      <c r="A404" s="9" t="s">
        <v>57</v>
      </c>
      <c r="B404" s="545" t="str">
        <f>'MH Measure Development'!BA134</f>
        <v>CEE Tier 3 Clothes Washer - Electric DHW, Gas Dryer - 54% ENERGY STAR Baseline</v>
      </c>
      <c r="C404" s="545" t="str">
        <f>'MH Measure Development'!BB134</f>
        <v>Dryer Savings</v>
      </c>
      <c r="D404" s="9">
        <f ca="1">'MH Measure Development'!BC134</f>
        <v>0</v>
      </c>
      <c r="E404" s="9">
        <f>'MH Measure Development'!BD134</f>
        <v>14</v>
      </c>
      <c r="F404" s="9">
        <f>'MH Measure Development'!BE134</f>
        <v>0</v>
      </c>
      <c r="G404" s="9">
        <f>'MH Measure Development'!BF134</f>
        <v>0</v>
      </c>
      <c r="H404" s="9" t="str">
        <f>'MH Measure Development'!BG134</f>
        <v>ResDRY</v>
      </c>
      <c r="I404" s="9">
        <f>'MH Measure Development'!BH134</f>
        <v>0</v>
      </c>
      <c r="J404" s="9">
        <f>'MH Measure Development'!BI134</f>
        <v>0</v>
      </c>
      <c r="K404" s="9">
        <f>'MH Measure Development'!BJ134</f>
        <v>0</v>
      </c>
      <c r="L404" s="9">
        <f>'MH Measure Development'!BK134</f>
        <v>0</v>
      </c>
      <c r="M404" s="9">
        <f>'MH Measure Development'!BL134</f>
        <v>0</v>
      </c>
      <c r="N404" s="9">
        <f>'MH Measure Development'!BM134</f>
        <v>0</v>
      </c>
      <c r="O404" s="9">
        <f>'MH Measure Development'!BN134</f>
        <v>0</v>
      </c>
      <c r="P404" s="9">
        <f ca="1">'MH Measure Development'!BO134</f>
        <v>2.7372846485031168</v>
      </c>
      <c r="Q404" s="9" t="str">
        <f>'MH Measure Development'!BP134</f>
        <v>ResDRY</v>
      </c>
    </row>
    <row r="405" spans="1:17">
      <c r="A405" s="9" t="s">
        <v>57</v>
      </c>
      <c r="B405" s="545" t="str">
        <f>'MH Measure Development'!BA135</f>
        <v>CEE Tier 3 Clothes Washer - Gas DHW, Electric Dryer - 54% ENERGY STAR Baseline</v>
      </c>
      <c r="C405" s="545" t="str">
        <f>'MH Measure Development'!BB135</f>
        <v>Dryer Savings</v>
      </c>
      <c r="D405" s="9">
        <f ca="1">'MH Measure Development'!BC135</f>
        <v>71.608677130067662</v>
      </c>
      <c r="E405" s="9">
        <f>'MH Measure Development'!BD135</f>
        <v>14</v>
      </c>
      <c r="F405" s="9">
        <f>'MH Measure Development'!BE135</f>
        <v>0</v>
      </c>
      <c r="G405" s="9">
        <f>'MH Measure Development'!BF135</f>
        <v>0</v>
      </c>
      <c r="H405" s="9" t="str">
        <f>'MH Measure Development'!BG135</f>
        <v>ResDRY</v>
      </c>
      <c r="I405" s="9">
        <f>'MH Measure Development'!BH135</f>
        <v>0</v>
      </c>
      <c r="J405" s="9">
        <f>'MH Measure Development'!BI135</f>
        <v>0</v>
      </c>
      <c r="K405" s="9">
        <f>'MH Measure Development'!BJ135</f>
        <v>0</v>
      </c>
      <c r="L405" s="9">
        <f>'MH Measure Development'!BK135</f>
        <v>0</v>
      </c>
      <c r="M405" s="9">
        <f>'MH Measure Development'!BL135</f>
        <v>0</v>
      </c>
      <c r="N405" s="9">
        <f>'MH Measure Development'!BM135</f>
        <v>0</v>
      </c>
      <c r="O405" s="9">
        <f>'MH Measure Development'!BN135</f>
        <v>0</v>
      </c>
      <c r="P405" s="9">
        <f ca="1">'MH Measure Development'!BO135</f>
        <v>0</v>
      </c>
      <c r="Q405" s="9" t="str">
        <f>'MH Measure Development'!BP135</f>
        <v>ResDRY</v>
      </c>
    </row>
    <row r="406" spans="1:17">
      <c r="A406" s="9" t="s">
        <v>57</v>
      </c>
      <c r="B406" s="545" t="str">
        <f>'MH Measure Development'!BA136</f>
        <v>CEE Tier 3 Clothes Washer - Gas DHW, Gas Dryer - 54% ENERGY STAR Baseline</v>
      </c>
      <c r="C406" s="545" t="str">
        <f>'MH Measure Development'!BB136</f>
        <v>Dryer Savings</v>
      </c>
      <c r="D406" s="9">
        <f ca="1">'MH Measure Development'!BC136</f>
        <v>0</v>
      </c>
      <c r="E406" s="9">
        <f>'MH Measure Development'!BD136</f>
        <v>14</v>
      </c>
      <c r="F406" s="9">
        <f>'MH Measure Development'!BE136</f>
        <v>0</v>
      </c>
      <c r="G406" s="9">
        <f>'MH Measure Development'!BF136</f>
        <v>0</v>
      </c>
      <c r="H406" s="9" t="str">
        <f>'MH Measure Development'!BG136</f>
        <v>ResDRY</v>
      </c>
      <c r="I406" s="9">
        <f>'MH Measure Development'!BH136</f>
        <v>0</v>
      </c>
      <c r="J406" s="9">
        <f>'MH Measure Development'!BI136</f>
        <v>0</v>
      </c>
      <c r="K406" s="9">
        <f>'MH Measure Development'!BJ136</f>
        <v>0</v>
      </c>
      <c r="L406" s="9">
        <f>'MH Measure Development'!BK136</f>
        <v>0</v>
      </c>
      <c r="M406" s="9">
        <f>'MH Measure Development'!BL136</f>
        <v>0</v>
      </c>
      <c r="N406" s="9">
        <f>'MH Measure Development'!BM136</f>
        <v>0</v>
      </c>
      <c r="O406" s="9">
        <f>'MH Measure Development'!BN136</f>
        <v>0</v>
      </c>
      <c r="P406" s="9">
        <f ca="1">'MH Measure Development'!BO136</f>
        <v>2.7372846485031168</v>
      </c>
      <c r="Q406" s="9" t="str">
        <f>'MH Measure Development'!BP136</f>
        <v>ResDRY</v>
      </c>
    </row>
    <row r="407" spans="1:17">
      <c r="A407" s="9" t="s">
        <v>57</v>
      </c>
      <c r="B407" s="545" t="str">
        <f>'MH Measure Development'!BA137</f>
        <v>CEE Tier 3 Clothes Washer - Any DHW, Any Dryer - 54% ENERGY STAR Baseline</v>
      </c>
      <c r="C407" s="545" t="str">
        <f>'MH Measure Development'!BB137</f>
        <v>Dryer Savings</v>
      </c>
      <c r="D407" s="9">
        <f ca="1">'MH Measure Development'!BC137</f>
        <v>68.028243273564271</v>
      </c>
      <c r="E407" s="9">
        <f>'MH Measure Development'!BD137</f>
        <v>14</v>
      </c>
      <c r="F407" s="9">
        <f>'MH Measure Development'!BE137</f>
        <v>0</v>
      </c>
      <c r="G407" s="9">
        <f>'MH Measure Development'!BF137</f>
        <v>0</v>
      </c>
      <c r="H407" s="9" t="str">
        <f>'MH Measure Development'!BG137</f>
        <v>ResDRY</v>
      </c>
      <c r="I407" s="9">
        <f>'MH Measure Development'!BH137</f>
        <v>0</v>
      </c>
      <c r="J407" s="9">
        <f>'MH Measure Development'!BI137</f>
        <v>0</v>
      </c>
      <c r="K407" s="9">
        <f>'MH Measure Development'!BJ137</f>
        <v>0</v>
      </c>
      <c r="L407" s="9">
        <f>'MH Measure Development'!BK137</f>
        <v>0</v>
      </c>
      <c r="M407" s="9">
        <f>'MH Measure Development'!BL137</f>
        <v>0</v>
      </c>
      <c r="N407" s="9">
        <f>'MH Measure Development'!BM137</f>
        <v>0</v>
      </c>
      <c r="O407" s="9">
        <f>'MH Measure Development'!BN137</f>
        <v>0</v>
      </c>
      <c r="P407" s="9">
        <f ca="1">'MH Measure Development'!BO137</f>
        <v>0.13686423242515597</v>
      </c>
      <c r="Q407" s="9" t="str">
        <f>'MH Measure Development'!BP137</f>
        <v>ResDRY</v>
      </c>
    </row>
    <row r="408" spans="1:17">
      <c r="A408" s="9" t="s">
        <v>57</v>
      </c>
      <c r="B408" s="545" t="str">
        <f>'MH Measure Development'!BA138</f>
        <v>ENERGY STAR - Top-Load Clothes Washer - Electric DHW, Electric Dryer - 31% ENERGY STAR Baseline</v>
      </c>
      <c r="C408" s="545" t="str">
        <f>'MH Measure Development'!BB138</f>
        <v>Waste Water Energy</v>
      </c>
      <c r="D408" s="9">
        <f ca="1">'MH Measure Development'!BC138</f>
        <v>0.29472284399684212</v>
      </c>
      <c r="E408" s="9">
        <f>'MH Measure Development'!BD138</f>
        <v>14</v>
      </c>
      <c r="F408" s="9">
        <f>'MH Measure Development'!BE138</f>
        <v>0</v>
      </c>
      <c r="G408" s="9">
        <f>'MH Measure Development'!BF138</f>
        <v>0</v>
      </c>
      <c r="H408" s="9" t="str">
        <f>'MH Measure Development'!BG138</f>
        <v>FLAT</v>
      </c>
      <c r="I408" s="9">
        <f ca="1">'MH Measure Development'!BH138</f>
        <v>1.1075262970731625</v>
      </c>
      <c r="J408" s="9">
        <f>'MH Measure Development'!BI138</f>
        <v>0</v>
      </c>
      <c r="K408" s="9">
        <f>'MH Measure Development'!BJ138</f>
        <v>0</v>
      </c>
      <c r="L408" s="9">
        <f>'MH Measure Development'!BK138</f>
        <v>0</v>
      </c>
      <c r="M408" s="9">
        <f>'MH Measure Development'!BL138</f>
        <v>0</v>
      </c>
      <c r="N408" s="9">
        <f>'MH Measure Development'!BM138</f>
        <v>0</v>
      </c>
      <c r="O408" s="9">
        <f>'MH Measure Development'!BN138</f>
        <v>0</v>
      </c>
      <c r="P408" s="9">
        <f>'MH Measure Development'!BO138</f>
        <v>0</v>
      </c>
      <c r="Q408" s="9">
        <f>'MH Measure Development'!BP138</f>
        <v>0</v>
      </c>
    </row>
    <row r="409" spans="1:17">
      <c r="A409" s="9" t="s">
        <v>57</v>
      </c>
      <c r="B409" s="545" t="str">
        <f>'MH Measure Development'!BA139</f>
        <v>ENERGY STAR - Top-Load Clothes Washer - Electric DHW, Gas Dryer - 31% ENERGY STAR Baseline</v>
      </c>
      <c r="C409" s="545" t="str">
        <f>'MH Measure Development'!BB139</f>
        <v>Waste Water Energy</v>
      </c>
      <c r="D409" s="9">
        <f ca="1">'MH Measure Development'!BC139</f>
        <v>0.29472284399684212</v>
      </c>
      <c r="E409" s="9">
        <f>'MH Measure Development'!BD139</f>
        <v>14</v>
      </c>
      <c r="F409" s="9">
        <f>'MH Measure Development'!BE139</f>
        <v>0</v>
      </c>
      <c r="G409" s="9">
        <f>'MH Measure Development'!BF139</f>
        <v>0</v>
      </c>
      <c r="H409" s="9" t="str">
        <f>'MH Measure Development'!BG139</f>
        <v>FLAT</v>
      </c>
      <c r="I409" s="9">
        <f ca="1">'MH Measure Development'!BH139</f>
        <v>1.1075262970731625</v>
      </c>
      <c r="J409" s="9">
        <f>'MH Measure Development'!BI139</f>
        <v>0</v>
      </c>
      <c r="K409" s="9">
        <f>'MH Measure Development'!BJ139</f>
        <v>0</v>
      </c>
      <c r="L409" s="9">
        <f>'MH Measure Development'!BK139</f>
        <v>0</v>
      </c>
      <c r="M409" s="9">
        <f>'MH Measure Development'!BL139</f>
        <v>0</v>
      </c>
      <c r="N409" s="9">
        <f>'MH Measure Development'!BM139</f>
        <v>0</v>
      </c>
      <c r="O409" s="9">
        <f>'MH Measure Development'!BN139</f>
        <v>0</v>
      </c>
      <c r="P409" s="9">
        <f>'MH Measure Development'!BO139</f>
        <v>0</v>
      </c>
      <c r="Q409" s="9">
        <f>'MH Measure Development'!BP139</f>
        <v>0</v>
      </c>
    </row>
    <row r="410" spans="1:17">
      <c r="A410" s="9" t="s">
        <v>57</v>
      </c>
      <c r="B410" s="545" t="str">
        <f>'MH Measure Development'!BA140</f>
        <v>ENERGY STAR - Top-Load Clothes Washer - Gas DHW, Electric Dryer - 31% ENERGY STAR Baseline</v>
      </c>
      <c r="C410" s="545" t="str">
        <f>'MH Measure Development'!BB140</f>
        <v>Waste Water Energy</v>
      </c>
      <c r="D410" s="9">
        <f ca="1">'MH Measure Development'!BC140</f>
        <v>0.29472284399684212</v>
      </c>
      <c r="E410" s="9">
        <f>'MH Measure Development'!BD140</f>
        <v>14</v>
      </c>
      <c r="F410" s="9">
        <f>'MH Measure Development'!BE140</f>
        <v>0</v>
      </c>
      <c r="G410" s="9">
        <f>'MH Measure Development'!BF140</f>
        <v>0</v>
      </c>
      <c r="H410" s="9" t="str">
        <f>'MH Measure Development'!BG140</f>
        <v>FLAT</v>
      </c>
      <c r="I410" s="9">
        <f ca="1">'MH Measure Development'!BH140</f>
        <v>1.1075262970731625</v>
      </c>
      <c r="J410" s="9">
        <f>'MH Measure Development'!BI140</f>
        <v>0</v>
      </c>
      <c r="K410" s="9">
        <f>'MH Measure Development'!BJ140</f>
        <v>0</v>
      </c>
      <c r="L410" s="9">
        <f>'MH Measure Development'!BK140</f>
        <v>0</v>
      </c>
      <c r="M410" s="9">
        <f>'MH Measure Development'!BL140</f>
        <v>0</v>
      </c>
      <c r="N410" s="9">
        <f>'MH Measure Development'!BM140</f>
        <v>0</v>
      </c>
      <c r="O410" s="9">
        <f>'MH Measure Development'!BN140</f>
        <v>0</v>
      </c>
      <c r="P410" s="9">
        <f>'MH Measure Development'!BO140</f>
        <v>0</v>
      </c>
      <c r="Q410" s="9">
        <f>'MH Measure Development'!BP140</f>
        <v>0</v>
      </c>
    </row>
    <row r="411" spans="1:17">
      <c r="A411" s="9" t="s">
        <v>57</v>
      </c>
      <c r="B411" s="545" t="str">
        <f>'MH Measure Development'!BA141</f>
        <v>ENERGY STAR - Top-Load Clothes Washer - Gas DHW, Gas Dryer - 31% ENERGY STAR Baseline</v>
      </c>
      <c r="C411" s="545" t="str">
        <f>'MH Measure Development'!BB141</f>
        <v>Waste Water Energy</v>
      </c>
      <c r="D411" s="9">
        <f ca="1">'MH Measure Development'!BC141</f>
        <v>0.29472284399684212</v>
      </c>
      <c r="E411" s="9">
        <f>'MH Measure Development'!BD141</f>
        <v>14</v>
      </c>
      <c r="F411" s="9">
        <f>'MH Measure Development'!BE141</f>
        <v>0</v>
      </c>
      <c r="G411" s="9">
        <f>'MH Measure Development'!BF141</f>
        <v>0</v>
      </c>
      <c r="H411" s="9" t="str">
        <f>'MH Measure Development'!BG141</f>
        <v>FLAT</v>
      </c>
      <c r="I411" s="9">
        <f ca="1">'MH Measure Development'!BH141</f>
        <v>1.1075262970731625</v>
      </c>
      <c r="J411" s="9">
        <f>'MH Measure Development'!BI141</f>
        <v>0</v>
      </c>
      <c r="K411" s="9">
        <f>'MH Measure Development'!BJ141</f>
        <v>0</v>
      </c>
      <c r="L411" s="9">
        <f>'MH Measure Development'!BK141</f>
        <v>0</v>
      </c>
      <c r="M411" s="9">
        <f>'MH Measure Development'!BL141</f>
        <v>0</v>
      </c>
      <c r="N411" s="9">
        <f>'MH Measure Development'!BM141</f>
        <v>0</v>
      </c>
      <c r="O411" s="9">
        <f>'MH Measure Development'!BN141</f>
        <v>0</v>
      </c>
      <c r="P411" s="9">
        <f>'MH Measure Development'!BO141</f>
        <v>0</v>
      </c>
      <c r="Q411" s="9">
        <f>'MH Measure Development'!BP141</f>
        <v>0</v>
      </c>
    </row>
    <row r="412" spans="1:17">
      <c r="A412" s="9" t="s">
        <v>57</v>
      </c>
      <c r="B412" s="545" t="str">
        <f>'MH Measure Development'!BA142</f>
        <v>ENERGY STAR - Top-Load Clothes Washer - Any DHW, Any Dryer - 31% ENERGY STAR Baseline</v>
      </c>
      <c r="C412" s="545" t="str">
        <f>'MH Measure Development'!BB142</f>
        <v>Waste Water Energy</v>
      </c>
      <c r="D412" s="9">
        <f ca="1">'MH Measure Development'!BC142</f>
        <v>0.29472284399684212</v>
      </c>
      <c r="E412" s="9">
        <f>'MH Measure Development'!BD142</f>
        <v>14</v>
      </c>
      <c r="F412" s="9">
        <f>'MH Measure Development'!BE142</f>
        <v>0</v>
      </c>
      <c r="G412" s="9">
        <f>'MH Measure Development'!BF142</f>
        <v>0</v>
      </c>
      <c r="H412" s="9" t="str">
        <f>'MH Measure Development'!BG142</f>
        <v>FLAT</v>
      </c>
      <c r="I412" s="9">
        <f ca="1">'MH Measure Development'!BH142</f>
        <v>1.1075262970731625</v>
      </c>
      <c r="J412" s="9">
        <f>'MH Measure Development'!BI142</f>
        <v>0</v>
      </c>
      <c r="K412" s="9">
        <f>'MH Measure Development'!BJ142</f>
        <v>0</v>
      </c>
      <c r="L412" s="9">
        <f>'MH Measure Development'!BK142</f>
        <v>0</v>
      </c>
      <c r="M412" s="9">
        <f>'MH Measure Development'!BL142</f>
        <v>0</v>
      </c>
      <c r="N412" s="9">
        <f>'MH Measure Development'!BM142</f>
        <v>0</v>
      </c>
      <c r="O412" s="9">
        <f>'MH Measure Development'!BN142</f>
        <v>0</v>
      </c>
      <c r="P412" s="9">
        <f>'MH Measure Development'!BO142</f>
        <v>0</v>
      </c>
      <c r="Q412" s="9">
        <f>'MH Measure Development'!BP142</f>
        <v>0</v>
      </c>
    </row>
    <row r="413" spans="1:17">
      <c r="A413" s="9" t="s">
        <v>57</v>
      </c>
      <c r="B413" s="545" t="str">
        <f>'MH Measure Development'!BA143</f>
        <v>ENERGY STAR - Front-Load Clothes Washer - Electric DHW, Electric Dryer - 31% ENERGY STAR Baseline</v>
      </c>
      <c r="C413" s="545" t="str">
        <f>'MH Measure Development'!BB143</f>
        <v>Waste Water Energy</v>
      </c>
      <c r="D413" s="9">
        <f ca="1">'MH Measure Development'!BC143</f>
        <v>3.6144341128034556</v>
      </c>
      <c r="E413" s="9">
        <f>'MH Measure Development'!BD143</f>
        <v>14</v>
      </c>
      <c r="F413" s="9">
        <f>'MH Measure Development'!BE143</f>
        <v>0</v>
      </c>
      <c r="G413" s="9">
        <f>'MH Measure Development'!BF143</f>
        <v>0</v>
      </c>
      <c r="H413" s="9" t="str">
        <f>'MH Measure Development'!BG143</f>
        <v>FLAT</v>
      </c>
      <c r="I413" s="9">
        <f ca="1">'MH Measure Development'!BH143</f>
        <v>13.58252646683548</v>
      </c>
      <c r="J413" s="9">
        <f>'MH Measure Development'!BI143</f>
        <v>0</v>
      </c>
      <c r="K413" s="9">
        <f>'MH Measure Development'!BJ143</f>
        <v>0</v>
      </c>
      <c r="L413" s="9">
        <f>'MH Measure Development'!BK143</f>
        <v>0</v>
      </c>
      <c r="M413" s="9">
        <f>'MH Measure Development'!BL143</f>
        <v>0</v>
      </c>
      <c r="N413" s="9">
        <f>'MH Measure Development'!BM143</f>
        <v>0</v>
      </c>
      <c r="O413" s="9">
        <f>'MH Measure Development'!BN143</f>
        <v>0</v>
      </c>
      <c r="P413" s="9">
        <f>'MH Measure Development'!BO143</f>
        <v>0</v>
      </c>
      <c r="Q413" s="9">
        <f>'MH Measure Development'!BP143</f>
        <v>0</v>
      </c>
    </row>
    <row r="414" spans="1:17">
      <c r="A414" s="9" t="s">
        <v>57</v>
      </c>
      <c r="B414" s="545" t="str">
        <f>'MH Measure Development'!BA144</f>
        <v>ENERGY STAR - Front-Load Clothes Washer - Electric DHW, Gas Dryer - 31% ENERGY STAR Baseline</v>
      </c>
      <c r="C414" s="545" t="str">
        <f>'MH Measure Development'!BB144</f>
        <v>Waste Water Energy</v>
      </c>
      <c r="D414" s="9">
        <f ca="1">'MH Measure Development'!BC144</f>
        <v>3.6144341128034556</v>
      </c>
      <c r="E414" s="9">
        <f>'MH Measure Development'!BD144</f>
        <v>14</v>
      </c>
      <c r="F414" s="9">
        <f>'MH Measure Development'!BE144</f>
        <v>0</v>
      </c>
      <c r="G414" s="9">
        <f>'MH Measure Development'!BF144</f>
        <v>0</v>
      </c>
      <c r="H414" s="9" t="str">
        <f>'MH Measure Development'!BG144</f>
        <v>FLAT</v>
      </c>
      <c r="I414" s="9">
        <f ca="1">'MH Measure Development'!BH144</f>
        <v>13.58252646683548</v>
      </c>
      <c r="J414" s="9">
        <f>'MH Measure Development'!BI144</f>
        <v>0</v>
      </c>
      <c r="K414" s="9">
        <f>'MH Measure Development'!BJ144</f>
        <v>0</v>
      </c>
      <c r="L414" s="9">
        <f>'MH Measure Development'!BK144</f>
        <v>0</v>
      </c>
      <c r="M414" s="9">
        <f>'MH Measure Development'!BL144</f>
        <v>0</v>
      </c>
      <c r="N414" s="9">
        <f>'MH Measure Development'!BM144</f>
        <v>0</v>
      </c>
      <c r="O414" s="9">
        <f>'MH Measure Development'!BN144</f>
        <v>0</v>
      </c>
      <c r="P414" s="9">
        <f>'MH Measure Development'!BO144</f>
        <v>0</v>
      </c>
      <c r="Q414" s="9">
        <f>'MH Measure Development'!BP144</f>
        <v>0</v>
      </c>
    </row>
    <row r="415" spans="1:17">
      <c r="A415" s="9" t="s">
        <v>57</v>
      </c>
      <c r="B415" s="545" t="str">
        <f>'MH Measure Development'!BA145</f>
        <v>ENERGY STAR - Front-Load Clothes Washer - Gas DHW, Electric Dryer - 31% ENERGY STAR Baseline</v>
      </c>
      <c r="C415" s="545" t="str">
        <f>'MH Measure Development'!BB145</f>
        <v>Waste Water Energy</v>
      </c>
      <c r="D415" s="9">
        <f ca="1">'MH Measure Development'!BC145</f>
        <v>3.6144341128034556</v>
      </c>
      <c r="E415" s="9">
        <f>'MH Measure Development'!BD145</f>
        <v>14</v>
      </c>
      <c r="F415" s="9">
        <f>'MH Measure Development'!BE145</f>
        <v>0</v>
      </c>
      <c r="G415" s="9">
        <f>'MH Measure Development'!BF145</f>
        <v>0</v>
      </c>
      <c r="H415" s="9" t="str">
        <f>'MH Measure Development'!BG145</f>
        <v>FLAT</v>
      </c>
      <c r="I415" s="9">
        <f ca="1">'MH Measure Development'!BH145</f>
        <v>13.58252646683548</v>
      </c>
      <c r="J415" s="9">
        <f>'MH Measure Development'!BI145</f>
        <v>0</v>
      </c>
      <c r="K415" s="9">
        <f>'MH Measure Development'!BJ145</f>
        <v>0</v>
      </c>
      <c r="L415" s="9">
        <f>'MH Measure Development'!BK145</f>
        <v>0</v>
      </c>
      <c r="M415" s="9">
        <f>'MH Measure Development'!BL145</f>
        <v>0</v>
      </c>
      <c r="N415" s="9">
        <f>'MH Measure Development'!BM145</f>
        <v>0</v>
      </c>
      <c r="O415" s="9">
        <f>'MH Measure Development'!BN145</f>
        <v>0</v>
      </c>
      <c r="P415" s="9">
        <f>'MH Measure Development'!BO145</f>
        <v>0</v>
      </c>
      <c r="Q415" s="9">
        <f>'MH Measure Development'!BP145</f>
        <v>0</v>
      </c>
    </row>
    <row r="416" spans="1:17">
      <c r="A416" s="9" t="s">
        <v>57</v>
      </c>
      <c r="B416" s="545" t="str">
        <f>'MH Measure Development'!BA146</f>
        <v>ENERGY STAR - Front-Load Clothes Washer - Gas DHW, Gas Dryer - 31% ENERGY STAR Baseline</v>
      </c>
      <c r="C416" s="545" t="str">
        <f>'MH Measure Development'!BB146</f>
        <v>Waste Water Energy</v>
      </c>
      <c r="D416" s="9">
        <f ca="1">'MH Measure Development'!BC146</f>
        <v>3.6144341128034556</v>
      </c>
      <c r="E416" s="9">
        <f>'MH Measure Development'!BD146</f>
        <v>14</v>
      </c>
      <c r="F416" s="9">
        <f>'MH Measure Development'!BE146</f>
        <v>0</v>
      </c>
      <c r="G416" s="9">
        <f>'MH Measure Development'!BF146</f>
        <v>0</v>
      </c>
      <c r="H416" s="9" t="str">
        <f>'MH Measure Development'!BG146</f>
        <v>FLAT</v>
      </c>
      <c r="I416" s="9">
        <f ca="1">'MH Measure Development'!BH146</f>
        <v>13.58252646683548</v>
      </c>
      <c r="J416" s="9">
        <f>'MH Measure Development'!BI146</f>
        <v>0</v>
      </c>
      <c r="K416" s="9">
        <f>'MH Measure Development'!BJ146</f>
        <v>0</v>
      </c>
      <c r="L416" s="9">
        <f>'MH Measure Development'!BK146</f>
        <v>0</v>
      </c>
      <c r="M416" s="9">
        <f>'MH Measure Development'!BL146</f>
        <v>0</v>
      </c>
      <c r="N416" s="9">
        <f>'MH Measure Development'!BM146</f>
        <v>0</v>
      </c>
      <c r="O416" s="9">
        <f>'MH Measure Development'!BN146</f>
        <v>0</v>
      </c>
      <c r="P416" s="9">
        <f>'MH Measure Development'!BO146</f>
        <v>0</v>
      </c>
      <c r="Q416" s="9">
        <f>'MH Measure Development'!BP146</f>
        <v>0</v>
      </c>
    </row>
    <row r="417" spans="1:17">
      <c r="A417" s="9" t="s">
        <v>57</v>
      </c>
      <c r="B417" s="545" t="str">
        <f>'MH Measure Development'!BA147</f>
        <v>ENERGY STAR - Front-Load Clothes Washer - Any DHW, Any Dryer - 31% ENERGY STAR Baseline</v>
      </c>
      <c r="C417" s="545" t="str">
        <f>'MH Measure Development'!BB147</f>
        <v>Waste Water Energy</v>
      </c>
      <c r="D417" s="9">
        <f ca="1">'MH Measure Development'!BC147</f>
        <v>3.6144341128034556</v>
      </c>
      <c r="E417" s="9">
        <f>'MH Measure Development'!BD147</f>
        <v>14</v>
      </c>
      <c r="F417" s="9">
        <f>'MH Measure Development'!BE147</f>
        <v>0</v>
      </c>
      <c r="G417" s="9">
        <f>'MH Measure Development'!BF147</f>
        <v>0</v>
      </c>
      <c r="H417" s="9" t="str">
        <f>'MH Measure Development'!BG147</f>
        <v>FLAT</v>
      </c>
      <c r="I417" s="9">
        <f ca="1">'MH Measure Development'!BH147</f>
        <v>13.58252646683548</v>
      </c>
      <c r="J417" s="9">
        <f>'MH Measure Development'!BI147</f>
        <v>0</v>
      </c>
      <c r="K417" s="9">
        <f>'MH Measure Development'!BJ147</f>
        <v>0</v>
      </c>
      <c r="L417" s="9">
        <f>'MH Measure Development'!BK147</f>
        <v>0</v>
      </c>
      <c r="M417" s="9">
        <f>'MH Measure Development'!BL147</f>
        <v>0</v>
      </c>
      <c r="N417" s="9">
        <f>'MH Measure Development'!BM147</f>
        <v>0</v>
      </c>
      <c r="O417" s="9">
        <f>'MH Measure Development'!BN147</f>
        <v>0</v>
      </c>
      <c r="P417" s="9">
        <f>'MH Measure Development'!BO147</f>
        <v>0</v>
      </c>
      <c r="Q417" s="9">
        <f>'MH Measure Development'!BP147</f>
        <v>0</v>
      </c>
    </row>
    <row r="418" spans="1:17">
      <c r="A418" s="9" t="s">
        <v>57</v>
      </c>
      <c r="B418" s="545" t="str">
        <f>'MH Measure Development'!BA153</f>
        <v>CEE Tier 1 Clothes Washer - Electric DHW, Electric Dryer - 31% ENERGY STAR Baseline</v>
      </c>
      <c r="C418" s="545" t="str">
        <f>'MH Measure Development'!BB153</f>
        <v>Waste Water Energy</v>
      </c>
      <c r="D418" s="9">
        <f ca="1">'MH Measure Development'!BC153</f>
        <v>3.17293366135821</v>
      </c>
      <c r="E418" s="9">
        <f>'MH Measure Development'!BD153</f>
        <v>14</v>
      </c>
      <c r="F418" s="9">
        <f>'MH Measure Development'!BE153</f>
        <v>0</v>
      </c>
      <c r="G418" s="9">
        <f>'MH Measure Development'!BF153</f>
        <v>0</v>
      </c>
      <c r="H418" s="9" t="str">
        <f>'MH Measure Development'!BG153</f>
        <v>FLAT</v>
      </c>
      <c r="I418" s="9">
        <f ca="1">'MH Measure Development'!BH153</f>
        <v>11.923430912808721</v>
      </c>
      <c r="J418" s="9">
        <f>'MH Measure Development'!BI153</f>
        <v>0</v>
      </c>
      <c r="K418" s="9">
        <f>'MH Measure Development'!BJ153</f>
        <v>0</v>
      </c>
      <c r="L418" s="9">
        <f>'MH Measure Development'!BK153</f>
        <v>0</v>
      </c>
      <c r="M418" s="9">
        <f>'MH Measure Development'!BL153</f>
        <v>0</v>
      </c>
      <c r="N418" s="9">
        <f>'MH Measure Development'!BM153</f>
        <v>0</v>
      </c>
      <c r="O418" s="9">
        <f>'MH Measure Development'!BN153</f>
        <v>0</v>
      </c>
      <c r="P418" s="9">
        <f>'MH Measure Development'!BO153</f>
        <v>0</v>
      </c>
      <c r="Q418" s="9">
        <f>'MH Measure Development'!BP153</f>
        <v>0</v>
      </c>
    </row>
    <row r="419" spans="1:17">
      <c r="A419" s="9" t="s">
        <v>57</v>
      </c>
      <c r="B419" s="545" t="str">
        <f>'MH Measure Development'!BA154</f>
        <v>CEE Tier 1 Clothes Washer - Electric DHW, Gas Dryer - 31% ENERGY STAR Baseline</v>
      </c>
      <c r="C419" s="545" t="str">
        <f>'MH Measure Development'!BB154</f>
        <v>Waste Water Energy</v>
      </c>
      <c r="D419" s="9">
        <f ca="1">'MH Measure Development'!BC154</f>
        <v>3.17293366135821</v>
      </c>
      <c r="E419" s="9">
        <f>'MH Measure Development'!BD154</f>
        <v>14</v>
      </c>
      <c r="F419" s="9">
        <f>'MH Measure Development'!BE154</f>
        <v>0</v>
      </c>
      <c r="G419" s="9">
        <f>'MH Measure Development'!BF154</f>
        <v>0</v>
      </c>
      <c r="H419" s="9" t="str">
        <f>'MH Measure Development'!BG154</f>
        <v>FLAT</v>
      </c>
      <c r="I419" s="9">
        <f ca="1">'MH Measure Development'!BH154</f>
        <v>11.923430912808721</v>
      </c>
      <c r="J419" s="9">
        <f>'MH Measure Development'!BI154</f>
        <v>0</v>
      </c>
      <c r="K419" s="9">
        <f>'MH Measure Development'!BJ154</f>
        <v>0</v>
      </c>
      <c r="L419" s="9">
        <f>'MH Measure Development'!BK154</f>
        <v>0</v>
      </c>
      <c r="M419" s="9">
        <f>'MH Measure Development'!BL154</f>
        <v>0</v>
      </c>
      <c r="N419" s="9">
        <f>'MH Measure Development'!BM154</f>
        <v>0</v>
      </c>
      <c r="O419" s="9">
        <f>'MH Measure Development'!BN154</f>
        <v>0</v>
      </c>
      <c r="P419" s="9">
        <f>'MH Measure Development'!BO154</f>
        <v>0</v>
      </c>
      <c r="Q419" s="9">
        <f>'MH Measure Development'!BP154</f>
        <v>0</v>
      </c>
    </row>
    <row r="420" spans="1:17">
      <c r="A420" s="9" t="s">
        <v>57</v>
      </c>
      <c r="B420" s="545" t="str">
        <f>'MH Measure Development'!BA155</f>
        <v>CEE Tier 1 Clothes Washer - Gas DHW, Electric Dryer - 31% ENERGY STAR Baseline</v>
      </c>
      <c r="C420" s="545" t="str">
        <f>'MH Measure Development'!BB155</f>
        <v>Waste Water Energy</v>
      </c>
      <c r="D420" s="9">
        <f ca="1">'MH Measure Development'!BC155</f>
        <v>3.17293366135821</v>
      </c>
      <c r="E420" s="9">
        <f>'MH Measure Development'!BD155</f>
        <v>14</v>
      </c>
      <c r="F420" s="9">
        <f>'MH Measure Development'!BE155</f>
        <v>0</v>
      </c>
      <c r="G420" s="9">
        <f>'MH Measure Development'!BF155</f>
        <v>0</v>
      </c>
      <c r="H420" s="9" t="str">
        <f>'MH Measure Development'!BG155</f>
        <v>FLAT</v>
      </c>
      <c r="I420" s="9">
        <f ca="1">'MH Measure Development'!BH155</f>
        <v>11.923430912808721</v>
      </c>
      <c r="J420" s="9">
        <f>'MH Measure Development'!BI155</f>
        <v>0</v>
      </c>
      <c r="K420" s="9">
        <f>'MH Measure Development'!BJ155</f>
        <v>0</v>
      </c>
      <c r="L420" s="9">
        <f>'MH Measure Development'!BK155</f>
        <v>0</v>
      </c>
      <c r="M420" s="9">
        <f>'MH Measure Development'!BL155</f>
        <v>0</v>
      </c>
      <c r="N420" s="9">
        <f>'MH Measure Development'!BM155</f>
        <v>0</v>
      </c>
      <c r="O420" s="9">
        <f>'MH Measure Development'!BN155</f>
        <v>0</v>
      </c>
      <c r="P420" s="9">
        <f>'MH Measure Development'!BO155</f>
        <v>0</v>
      </c>
      <c r="Q420" s="9">
        <f>'MH Measure Development'!BP155</f>
        <v>0</v>
      </c>
    </row>
    <row r="421" spans="1:17">
      <c r="A421" s="9" t="s">
        <v>57</v>
      </c>
      <c r="B421" s="545" t="str">
        <f>'MH Measure Development'!BA156</f>
        <v>CEE Tier 1 Clothes Washer - Gas DHW, Gas Dryer - 31% ENERGY STAR Baseline</v>
      </c>
      <c r="C421" s="545" t="str">
        <f>'MH Measure Development'!BB156</f>
        <v>Waste Water Energy</v>
      </c>
      <c r="D421" s="9">
        <f ca="1">'MH Measure Development'!BC156</f>
        <v>3.17293366135821</v>
      </c>
      <c r="E421" s="9">
        <f>'MH Measure Development'!BD156</f>
        <v>14</v>
      </c>
      <c r="F421" s="9">
        <f>'MH Measure Development'!BE156</f>
        <v>0</v>
      </c>
      <c r="G421" s="9">
        <f>'MH Measure Development'!BF156</f>
        <v>0</v>
      </c>
      <c r="H421" s="9" t="str">
        <f>'MH Measure Development'!BG156</f>
        <v>FLAT</v>
      </c>
      <c r="I421" s="9">
        <f ca="1">'MH Measure Development'!BH156</f>
        <v>11.923430912808721</v>
      </c>
      <c r="J421" s="9">
        <f>'MH Measure Development'!BI156</f>
        <v>0</v>
      </c>
      <c r="K421" s="9">
        <f>'MH Measure Development'!BJ156</f>
        <v>0</v>
      </c>
      <c r="L421" s="9">
        <f>'MH Measure Development'!BK156</f>
        <v>0</v>
      </c>
      <c r="M421" s="9">
        <f>'MH Measure Development'!BL156</f>
        <v>0</v>
      </c>
      <c r="N421" s="9">
        <f>'MH Measure Development'!BM156</f>
        <v>0</v>
      </c>
      <c r="O421" s="9">
        <f>'MH Measure Development'!BN156</f>
        <v>0</v>
      </c>
      <c r="P421" s="9">
        <f>'MH Measure Development'!BO156</f>
        <v>0</v>
      </c>
      <c r="Q421" s="9">
        <f>'MH Measure Development'!BP156</f>
        <v>0</v>
      </c>
    </row>
    <row r="422" spans="1:17">
      <c r="A422" s="9" t="s">
        <v>57</v>
      </c>
      <c r="B422" s="545" t="str">
        <f>'MH Measure Development'!BA157</f>
        <v>CEE Tier 1 Clothes Washer - Any DHW, Any Dryer - 31% ENERGY STAR Baseline</v>
      </c>
      <c r="C422" s="545" t="str">
        <f>'MH Measure Development'!BB157</f>
        <v>Waste Water Energy</v>
      </c>
      <c r="D422" s="9">
        <f ca="1">'MH Measure Development'!BC157</f>
        <v>3.17293366135821</v>
      </c>
      <c r="E422" s="9">
        <f>'MH Measure Development'!BD157</f>
        <v>14</v>
      </c>
      <c r="F422" s="9">
        <f>'MH Measure Development'!BE157</f>
        <v>0</v>
      </c>
      <c r="G422" s="9">
        <f>'MH Measure Development'!BF157</f>
        <v>0</v>
      </c>
      <c r="H422" s="9" t="str">
        <f>'MH Measure Development'!BG157</f>
        <v>FLAT</v>
      </c>
      <c r="I422" s="9">
        <f ca="1">'MH Measure Development'!BH157</f>
        <v>11.923430912808721</v>
      </c>
      <c r="J422" s="9">
        <f>'MH Measure Development'!BI157</f>
        <v>0</v>
      </c>
      <c r="K422" s="9">
        <f>'MH Measure Development'!BJ157</f>
        <v>0</v>
      </c>
      <c r="L422" s="9">
        <f>'MH Measure Development'!BK157</f>
        <v>0</v>
      </c>
      <c r="M422" s="9">
        <f>'MH Measure Development'!BL157</f>
        <v>0</v>
      </c>
      <c r="N422" s="9">
        <f>'MH Measure Development'!BM157</f>
        <v>0</v>
      </c>
      <c r="O422" s="9">
        <f>'MH Measure Development'!BN157</f>
        <v>0</v>
      </c>
      <c r="P422" s="9">
        <f>'MH Measure Development'!BO157</f>
        <v>0</v>
      </c>
      <c r="Q422" s="9">
        <f>'MH Measure Development'!BP157</f>
        <v>0</v>
      </c>
    </row>
    <row r="423" spans="1:17">
      <c r="A423" s="9" t="s">
        <v>57</v>
      </c>
      <c r="B423" s="545" t="str">
        <f>'MH Measure Development'!BA158</f>
        <v>CEE Tier 2 Clothes Washer - Electric DHW, Electric Dryer - 31% ENERGY STAR Baseline</v>
      </c>
      <c r="C423" s="545" t="str">
        <f>'MH Measure Development'!BB158</f>
        <v>Waste Water Energy</v>
      </c>
      <c r="D423" s="9">
        <f ca="1">'MH Measure Development'!BC158</f>
        <v>4.2319016498398385</v>
      </c>
      <c r="E423" s="9">
        <f>'MH Measure Development'!BD158</f>
        <v>14</v>
      </c>
      <c r="F423" s="9">
        <f>'MH Measure Development'!BE158</f>
        <v>0</v>
      </c>
      <c r="G423" s="9">
        <f>'MH Measure Development'!BF158</f>
        <v>0</v>
      </c>
      <c r="H423" s="9" t="str">
        <f>'MH Measure Development'!BG158</f>
        <v>FLAT</v>
      </c>
      <c r="I423" s="9">
        <f ca="1">'MH Measure Development'!BH158</f>
        <v>15.902881162055911</v>
      </c>
      <c r="J423" s="9">
        <f>'MH Measure Development'!BI158</f>
        <v>0</v>
      </c>
      <c r="K423" s="9">
        <f>'MH Measure Development'!BJ158</f>
        <v>0</v>
      </c>
      <c r="L423" s="9">
        <f>'MH Measure Development'!BK158</f>
        <v>0</v>
      </c>
      <c r="M423" s="9">
        <f>'MH Measure Development'!BL158</f>
        <v>0</v>
      </c>
      <c r="N423" s="9">
        <f>'MH Measure Development'!BM158</f>
        <v>0</v>
      </c>
      <c r="O423" s="9">
        <f>'MH Measure Development'!BN158</f>
        <v>0</v>
      </c>
      <c r="P423" s="9">
        <f>'MH Measure Development'!BO158</f>
        <v>0</v>
      </c>
      <c r="Q423" s="9">
        <f>'MH Measure Development'!BP158</f>
        <v>0</v>
      </c>
    </row>
    <row r="424" spans="1:17">
      <c r="A424" s="9" t="s">
        <v>57</v>
      </c>
      <c r="B424" s="545" t="str">
        <f>'MH Measure Development'!BA159</f>
        <v>CEE Tier 2 Clothes Washer - Electric DHW, Gas Dryer - 31% ENERGY STAR Baseline</v>
      </c>
      <c r="C424" s="545" t="str">
        <f>'MH Measure Development'!BB159</f>
        <v>Waste Water Energy</v>
      </c>
      <c r="D424" s="9">
        <f ca="1">'MH Measure Development'!BC159</f>
        <v>4.2319016498398385</v>
      </c>
      <c r="E424" s="9">
        <f>'MH Measure Development'!BD159</f>
        <v>14</v>
      </c>
      <c r="F424" s="9">
        <f>'MH Measure Development'!BE159</f>
        <v>0</v>
      </c>
      <c r="G424" s="9">
        <f>'MH Measure Development'!BF159</f>
        <v>0</v>
      </c>
      <c r="H424" s="9" t="str">
        <f>'MH Measure Development'!BG159</f>
        <v>FLAT</v>
      </c>
      <c r="I424" s="9">
        <f ca="1">'MH Measure Development'!BH159</f>
        <v>15.902881162055911</v>
      </c>
      <c r="J424" s="9">
        <f>'MH Measure Development'!BI159</f>
        <v>0</v>
      </c>
      <c r="K424" s="9">
        <f>'MH Measure Development'!BJ159</f>
        <v>0</v>
      </c>
      <c r="L424" s="9">
        <f>'MH Measure Development'!BK159</f>
        <v>0</v>
      </c>
      <c r="M424" s="9">
        <f>'MH Measure Development'!BL159</f>
        <v>0</v>
      </c>
      <c r="N424" s="9">
        <f>'MH Measure Development'!BM159</f>
        <v>0</v>
      </c>
      <c r="O424" s="9">
        <f>'MH Measure Development'!BN159</f>
        <v>0</v>
      </c>
      <c r="P424" s="9">
        <f>'MH Measure Development'!BO159</f>
        <v>0</v>
      </c>
      <c r="Q424" s="9">
        <f>'MH Measure Development'!BP159</f>
        <v>0</v>
      </c>
    </row>
    <row r="425" spans="1:17">
      <c r="A425" s="9" t="s">
        <v>57</v>
      </c>
      <c r="B425" s="545" t="str">
        <f>'MH Measure Development'!BA160</f>
        <v>CEE Tier 2 Clothes Washer - Gas DHW, Electric Dryer - 31% ENERGY STAR Baseline</v>
      </c>
      <c r="C425" s="545" t="str">
        <f>'MH Measure Development'!BB160</f>
        <v>Waste Water Energy</v>
      </c>
      <c r="D425" s="9">
        <f ca="1">'MH Measure Development'!BC160</f>
        <v>4.2319016498398385</v>
      </c>
      <c r="E425" s="9">
        <f>'MH Measure Development'!BD160</f>
        <v>14</v>
      </c>
      <c r="F425" s="9">
        <f>'MH Measure Development'!BE160</f>
        <v>0</v>
      </c>
      <c r="G425" s="9">
        <f>'MH Measure Development'!BF160</f>
        <v>0</v>
      </c>
      <c r="H425" s="9" t="str">
        <f>'MH Measure Development'!BG160</f>
        <v>FLAT</v>
      </c>
      <c r="I425" s="9">
        <f ca="1">'MH Measure Development'!BH160</f>
        <v>15.902881162055911</v>
      </c>
      <c r="J425" s="9">
        <f>'MH Measure Development'!BI160</f>
        <v>0</v>
      </c>
      <c r="K425" s="9">
        <f>'MH Measure Development'!BJ160</f>
        <v>0</v>
      </c>
      <c r="L425" s="9">
        <f>'MH Measure Development'!BK160</f>
        <v>0</v>
      </c>
      <c r="M425" s="9">
        <f>'MH Measure Development'!BL160</f>
        <v>0</v>
      </c>
      <c r="N425" s="9">
        <f>'MH Measure Development'!BM160</f>
        <v>0</v>
      </c>
      <c r="O425" s="9">
        <f>'MH Measure Development'!BN160</f>
        <v>0</v>
      </c>
      <c r="P425" s="9">
        <f>'MH Measure Development'!BO160</f>
        <v>0</v>
      </c>
      <c r="Q425" s="9">
        <f>'MH Measure Development'!BP160</f>
        <v>0</v>
      </c>
    </row>
    <row r="426" spans="1:17">
      <c r="A426" s="9" t="s">
        <v>57</v>
      </c>
      <c r="B426" s="545" t="str">
        <f>'MH Measure Development'!BA161</f>
        <v>CEE Tier 2 Clothes Washer - Gas DHW, Gas Dryer - 31% ENERGY STAR Baseline</v>
      </c>
      <c r="C426" s="545" t="str">
        <f>'MH Measure Development'!BB161</f>
        <v>Waste Water Energy</v>
      </c>
      <c r="D426" s="9">
        <f ca="1">'MH Measure Development'!BC161</f>
        <v>4.2319016498398385</v>
      </c>
      <c r="E426" s="9">
        <f>'MH Measure Development'!BD161</f>
        <v>14</v>
      </c>
      <c r="F426" s="9">
        <f>'MH Measure Development'!BE161</f>
        <v>0</v>
      </c>
      <c r="G426" s="9">
        <f>'MH Measure Development'!BF161</f>
        <v>0</v>
      </c>
      <c r="H426" s="9" t="str">
        <f>'MH Measure Development'!BG161</f>
        <v>FLAT</v>
      </c>
      <c r="I426" s="9">
        <f ca="1">'MH Measure Development'!BH161</f>
        <v>15.902881162055911</v>
      </c>
      <c r="J426" s="9">
        <f>'MH Measure Development'!BI161</f>
        <v>0</v>
      </c>
      <c r="K426" s="9">
        <f>'MH Measure Development'!BJ161</f>
        <v>0</v>
      </c>
      <c r="L426" s="9">
        <f>'MH Measure Development'!BK161</f>
        <v>0</v>
      </c>
      <c r="M426" s="9">
        <f>'MH Measure Development'!BL161</f>
        <v>0</v>
      </c>
      <c r="N426" s="9">
        <f>'MH Measure Development'!BM161</f>
        <v>0</v>
      </c>
      <c r="O426" s="9">
        <f>'MH Measure Development'!BN161</f>
        <v>0</v>
      </c>
      <c r="P426" s="9">
        <f>'MH Measure Development'!BO161</f>
        <v>0</v>
      </c>
      <c r="Q426" s="9">
        <f>'MH Measure Development'!BP161</f>
        <v>0</v>
      </c>
    </row>
    <row r="427" spans="1:17">
      <c r="A427" s="9" t="s">
        <v>57</v>
      </c>
      <c r="B427" s="545" t="str">
        <f>'MH Measure Development'!BA162</f>
        <v>CEE Tier 2 Clothes Washer - Any DHW, Any Dryer - 31% ENERGY STAR Baseline</v>
      </c>
      <c r="C427" s="545" t="str">
        <f>'MH Measure Development'!BB162</f>
        <v>Waste Water Energy</v>
      </c>
      <c r="D427" s="9">
        <f ca="1">'MH Measure Development'!BC162</f>
        <v>4.2319016498398385</v>
      </c>
      <c r="E427" s="9">
        <f>'MH Measure Development'!BD162</f>
        <v>14</v>
      </c>
      <c r="F427" s="9">
        <f>'MH Measure Development'!BE162</f>
        <v>0</v>
      </c>
      <c r="G427" s="9">
        <f>'MH Measure Development'!BF162</f>
        <v>0</v>
      </c>
      <c r="H427" s="9" t="str">
        <f>'MH Measure Development'!BG162</f>
        <v>FLAT</v>
      </c>
      <c r="I427" s="9">
        <f ca="1">'MH Measure Development'!BH162</f>
        <v>15.902881162055911</v>
      </c>
      <c r="J427" s="9">
        <f>'MH Measure Development'!BI162</f>
        <v>0</v>
      </c>
      <c r="K427" s="9">
        <f>'MH Measure Development'!BJ162</f>
        <v>0</v>
      </c>
      <c r="L427" s="9">
        <f>'MH Measure Development'!BK162</f>
        <v>0</v>
      </c>
      <c r="M427" s="9">
        <f>'MH Measure Development'!BL162</f>
        <v>0</v>
      </c>
      <c r="N427" s="9">
        <f>'MH Measure Development'!BM162</f>
        <v>0</v>
      </c>
      <c r="O427" s="9">
        <f>'MH Measure Development'!BN162</f>
        <v>0</v>
      </c>
      <c r="P427" s="9">
        <f>'MH Measure Development'!BO162</f>
        <v>0</v>
      </c>
      <c r="Q427" s="9">
        <f>'MH Measure Development'!BP162</f>
        <v>0</v>
      </c>
    </row>
    <row r="428" spans="1:17">
      <c r="A428" s="9" t="s">
        <v>57</v>
      </c>
      <c r="B428" s="545" t="str">
        <f>'MH Measure Development'!BA163</f>
        <v>CEE Tier 3 Clothes Washer - Electric DHW, Electric Dryer - 31% ENERGY STAR Baseline</v>
      </c>
      <c r="C428" s="545" t="str">
        <f>'MH Measure Development'!BB163</f>
        <v>Waste Water Energy</v>
      </c>
      <c r="D428" s="9">
        <f ca="1">'MH Measure Development'!BC163</f>
        <v>4.3233672150637759</v>
      </c>
      <c r="E428" s="9">
        <f>'MH Measure Development'!BD163</f>
        <v>14</v>
      </c>
      <c r="F428" s="9">
        <f>'MH Measure Development'!BE163</f>
        <v>0</v>
      </c>
      <c r="G428" s="9">
        <f>'MH Measure Development'!BF163</f>
        <v>0</v>
      </c>
      <c r="H428" s="9" t="str">
        <f>'MH Measure Development'!BG163</f>
        <v>FLAT</v>
      </c>
      <c r="I428" s="9">
        <f ca="1">'MH Measure Development'!BH163</f>
        <v>16.246595674946729</v>
      </c>
      <c r="J428" s="9">
        <f>'MH Measure Development'!BI163</f>
        <v>0</v>
      </c>
      <c r="K428" s="9">
        <f>'MH Measure Development'!BJ163</f>
        <v>0</v>
      </c>
      <c r="L428" s="9">
        <f>'MH Measure Development'!BK163</f>
        <v>0</v>
      </c>
      <c r="M428" s="9">
        <f>'MH Measure Development'!BL163</f>
        <v>0</v>
      </c>
      <c r="N428" s="9">
        <f>'MH Measure Development'!BM163</f>
        <v>0</v>
      </c>
      <c r="O428" s="9">
        <f>'MH Measure Development'!BN163</f>
        <v>0</v>
      </c>
      <c r="P428" s="9">
        <f>'MH Measure Development'!BO163</f>
        <v>0</v>
      </c>
      <c r="Q428" s="9">
        <f>'MH Measure Development'!BP163</f>
        <v>0</v>
      </c>
    </row>
    <row r="429" spans="1:17">
      <c r="A429" s="9" t="s">
        <v>57</v>
      </c>
      <c r="B429" s="545" t="str">
        <f>'MH Measure Development'!BA164</f>
        <v>CEE Tier 3 Clothes Washer - Electric DHW, Gas Dryer - 31% ENERGY STAR Baseline</v>
      </c>
      <c r="C429" s="545" t="str">
        <f>'MH Measure Development'!BB164</f>
        <v>Waste Water Energy</v>
      </c>
      <c r="D429" s="9">
        <f ca="1">'MH Measure Development'!BC164</f>
        <v>4.3233672150637759</v>
      </c>
      <c r="E429" s="9">
        <f>'MH Measure Development'!BD164</f>
        <v>14</v>
      </c>
      <c r="F429" s="9">
        <f>'MH Measure Development'!BE164</f>
        <v>0</v>
      </c>
      <c r="G429" s="9">
        <f>'MH Measure Development'!BF164</f>
        <v>0</v>
      </c>
      <c r="H429" s="9" t="str">
        <f>'MH Measure Development'!BG164</f>
        <v>FLAT</v>
      </c>
      <c r="I429" s="9">
        <f ca="1">'MH Measure Development'!BH164</f>
        <v>16.246595674946729</v>
      </c>
      <c r="J429" s="9">
        <f>'MH Measure Development'!BI164</f>
        <v>0</v>
      </c>
      <c r="K429" s="9">
        <f>'MH Measure Development'!BJ164</f>
        <v>0</v>
      </c>
      <c r="L429" s="9">
        <f>'MH Measure Development'!BK164</f>
        <v>0</v>
      </c>
      <c r="M429" s="9">
        <f>'MH Measure Development'!BL164</f>
        <v>0</v>
      </c>
      <c r="N429" s="9">
        <f>'MH Measure Development'!BM164</f>
        <v>0</v>
      </c>
      <c r="O429" s="9">
        <f>'MH Measure Development'!BN164</f>
        <v>0</v>
      </c>
      <c r="P429" s="9">
        <f>'MH Measure Development'!BO164</f>
        <v>0</v>
      </c>
      <c r="Q429" s="9">
        <f>'MH Measure Development'!BP164</f>
        <v>0</v>
      </c>
    </row>
    <row r="430" spans="1:17">
      <c r="A430" s="9" t="s">
        <v>57</v>
      </c>
      <c r="B430" s="545" t="str">
        <f>'MH Measure Development'!BA165</f>
        <v>CEE Tier 3 Clothes Washer - Gas DHW, Electric Dryer - 31% ENERGY STAR Baseline</v>
      </c>
      <c r="C430" s="545" t="str">
        <f>'MH Measure Development'!BB165</f>
        <v>Waste Water Energy</v>
      </c>
      <c r="D430" s="9">
        <f ca="1">'MH Measure Development'!BC165</f>
        <v>4.3233672150637759</v>
      </c>
      <c r="E430" s="9">
        <f>'MH Measure Development'!BD165</f>
        <v>14</v>
      </c>
      <c r="F430" s="9">
        <f>'MH Measure Development'!BE165</f>
        <v>0</v>
      </c>
      <c r="G430" s="9">
        <f>'MH Measure Development'!BF165</f>
        <v>0</v>
      </c>
      <c r="H430" s="9" t="str">
        <f>'MH Measure Development'!BG165</f>
        <v>FLAT</v>
      </c>
      <c r="I430" s="9">
        <f ca="1">'MH Measure Development'!BH165</f>
        <v>16.246595674946729</v>
      </c>
      <c r="J430" s="9">
        <f>'MH Measure Development'!BI165</f>
        <v>0</v>
      </c>
      <c r="K430" s="9">
        <f>'MH Measure Development'!BJ165</f>
        <v>0</v>
      </c>
      <c r="L430" s="9">
        <f>'MH Measure Development'!BK165</f>
        <v>0</v>
      </c>
      <c r="M430" s="9">
        <f>'MH Measure Development'!BL165</f>
        <v>0</v>
      </c>
      <c r="N430" s="9">
        <f>'MH Measure Development'!BM165</f>
        <v>0</v>
      </c>
      <c r="O430" s="9">
        <f>'MH Measure Development'!BN165</f>
        <v>0</v>
      </c>
      <c r="P430" s="9">
        <f>'MH Measure Development'!BO165</f>
        <v>0</v>
      </c>
      <c r="Q430" s="9">
        <f>'MH Measure Development'!BP165</f>
        <v>0</v>
      </c>
    </row>
    <row r="431" spans="1:17">
      <c r="A431" s="9" t="s">
        <v>57</v>
      </c>
      <c r="B431" s="545" t="str">
        <f>'MH Measure Development'!BA166</f>
        <v>CEE Tier 3 Clothes Washer - Gas DHW, Gas Dryer - 31% ENERGY STAR Baseline</v>
      </c>
      <c r="C431" s="545" t="str">
        <f>'MH Measure Development'!BB166</f>
        <v>Waste Water Energy</v>
      </c>
      <c r="D431" s="9">
        <f ca="1">'MH Measure Development'!BC166</f>
        <v>4.3233672150637759</v>
      </c>
      <c r="E431" s="9">
        <f>'MH Measure Development'!BD166</f>
        <v>14</v>
      </c>
      <c r="F431" s="9">
        <f>'MH Measure Development'!BE166</f>
        <v>0</v>
      </c>
      <c r="G431" s="9">
        <f>'MH Measure Development'!BF166</f>
        <v>0</v>
      </c>
      <c r="H431" s="9" t="str">
        <f>'MH Measure Development'!BG166</f>
        <v>FLAT</v>
      </c>
      <c r="I431" s="9">
        <f ca="1">'MH Measure Development'!BH166</f>
        <v>16.246595674946729</v>
      </c>
      <c r="J431" s="9">
        <f>'MH Measure Development'!BI166</f>
        <v>0</v>
      </c>
      <c r="K431" s="9">
        <f>'MH Measure Development'!BJ166</f>
        <v>0</v>
      </c>
      <c r="L431" s="9">
        <f>'MH Measure Development'!BK166</f>
        <v>0</v>
      </c>
      <c r="M431" s="9">
        <f>'MH Measure Development'!BL166</f>
        <v>0</v>
      </c>
      <c r="N431" s="9">
        <f>'MH Measure Development'!BM166</f>
        <v>0</v>
      </c>
      <c r="O431" s="9">
        <f>'MH Measure Development'!BN166</f>
        <v>0</v>
      </c>
      <c r="P431" s="9">
        <f>'MH Measure Development'!BO166</f>
        <v>0</v>
      </c>
      <c r="Q431" s="9">
        <f>'MH Measure Development'!BP166</f>
        <v>0</v>
      </c>
    </row>
    <row r="432" spans="1:17">
      <c r="A432" s="9" t="s">
        <v>57</v>
      </c>
      <c r="B432" s="545" t="str">
        <f>'MH Measure Development'!BA167</f>
        <v>CEE Tier 3 Clothes Washer - Any DHW, Any Dryer - 31% ENERGY STAR Baseline</v>
      </c>
      <c r="C432" s="545" t="str">
        <f>'MH Measure Development'!BB167</f>
        <v>Waste Water Energy</v>
      </c>
      <c r="D432" s="9">
        <f ca="1">'MH Measure Development'!BC167</f>
        <v>4.3233672150637759</v>
      </c>
      <c r="E432" s="9">
        <f>'MH Measure Development'!BD167</f>
        <v>14</v>
      </c>
      <c r="F432" s="9">
        <f>'MH Measure Development'!BE167</f>
        <v>0</v>
      </c>
      <c r="G432" s="9">
        <f>'MH Measure Development'!BF167</f>
        <v>0</v>
      </c>
      <c r="H432" s="9" t="str">
        <f>'MH Measure Development'!BG167</f>
        <v>FLAT</v>
      </c>
      <c r="I432" s="9">
        <f ca="1">'MH Measure Development'!BH167</f>
        <v>16.246595674946729</v>
      </c>
      <c r="J432" s="9">
        <f>'MH Measure Development'!BI167</f>
        <v>0</v>
      </c>
      <c r="K432" s="9">
        <f>'MH Measure Development'!BJ167</f>
        <v>0</v>
      </c>
      <c r="L432" s="9">
        <f>'MH Measure Development'!BK167</f>
        <v>0</v>
      </c>
      <c r="M432" s="9">
        <f>'MH Measure Development'!BL167</f>
        <v>0</v>
      </c>
      <c r="N432" s="9">
        <f>'MH Measure Development'!BM167</f>
        <v>0</v>
      </c>
      <c r="O432" s="9">
        <f>'MH Measure Development'!BN167</f>
        <v>0</v>
      </c>
      <c r="P432" s="9">
        <f>'MH Measure Development'!BO167</f>
        <v>0</v>
      </c>
      <c r="Q432" s="9">
        <f>'MH Measure Development'!BP167</f>
        <v>0</v>
      </c>
    </row>
    <row r="433" spans="1:17">
      <c r="A433" s="9" t="s">
        <v>57</v>
      </c>
      <c r="B433" s="545" t="str">
        <f>'MH Measure Development'!BA168</f>
        <v>ENERGY STAR - Top-Load Clothes Washer - Electric DHW, Electric Dryer - 54% ENERGY STAR Baseline</v>
      </c>
      <c r="C433" s="545" t="str">
        <f>'MH Measure Development'!BB168</f>
        <v>Waste Water Energy</v>
      </c>
      <c r="D433" s="9">
        <f ca="1">'MH Measure Development'!BC168</f>
        <v>-0.60922634974146261</v>
      </c>
      <c r="E433" s="9">
        <f>'MH Measure Development'!BD168</f>
        <v>14</v>
      </c>
      <c r="F433" s="9">
        <f>'MH Measure Development'!BE168</f>
        <v>0</v>
      </c>
      <c r="G433" s="9">
        <f>'MH Measure Development'!BF168</f>
        <v>0</v>
      </c>
      <c r="H433" s="9" t="str">
        <f>'MH Measure Development'!BG168</f>
        <v>FLAT</v>
      </c>
      <c r="I433" s="9">
        <f ca="1">'MH Measure Development'!BH168</f>
        <v>-2.2893854920041119</v>
      </c>
      <c r="J433" s="9">
        <f>'MH Measure Development'!BI168</f>
        <v>0</v>
      </c>
      <c r="K433" s="9">
        <f>'MH Measure Development'!BJ168</f>
        <v>0</v>
      </c>
      <c r="L433" s="9">
        <f>'MH Measure Development'!BK168</f>
        <v>0</v>
      </c>
      <c r="M433" s="9">
        <f>'MH Measure Development'!BL168</f>
        <v>0</v>
      </c>
      <c r="N433" s="9">
        <f>'MH Measure Development'!BM168</f>
        <v>0</v>
      </c>
      <c r="O433" s="9">
        <f>'MH Measure Development'!BN168</f>
        <v>0</v>
      </c>
      <c r="P433" s="9">
        <f>'MH Measure Development'!BO168</f>
        <v>0</v>
      </c>
      <c r="Q433" s="9">
        <f>'MH Measure Development'!BP168</f>
        <v>0</v>
      </c>
    </row>
    <row r="434" spans="1:17">
      <c r="A434" s="9" t="s">
        <v>57</v>
      </c>
      <c r="B434" s="545" t="str">
        <f>'MH Measure Development'!BA169</f>
        <v>ENERGY STAR - Top-Load Clothes Washer - Electric DHW, Gas Dryer - 54% ENERGY STAR Baseline</v>
      </c>
      <c r="C434" s="545" t="str">
        <f>'MH Measure Development'!BB169</f>
        <v>Waste Water Energy</v>
      </c>
      <c r="D434" s="9">
        <f ca="1">'MH Measure Development'!BC169</f>
        <v>-0.60922634974146261</v>
      </c>
      <c r="E434" s="9">
        <f>'MH Measure Development'!BD169</f>
        <v>14</v>
      </c>
      <c r="F434" s="9">
        <f>'MH Measure Development'!BE169</f>
        <v>0</v>
      </c>
      <c r="G434" s="9">
        <f>'MH Measure Development'!BF169</f>
        <v>0</v>
      </c>
      <c r="H434" s="9" t="str">
        <f>'MH Measure Development'!BG169</f>
        <v>FLAT</v>
      </c>
      <c r="I434" s="9">
        <f ca="1">'MH Measure Development'!BH169</f>
        <v>-2.2893854920041119</v>
      </c>
      <c r="J434" s="9">
        <f>'MH Measure Development'!BI169</f>
        <v>0</v>
      </c>
      <c r="K434" s="9">
        <f>'MH Measure Development'!BJ169</f>
        <v>0</v>
      </c>
      <c r="L434" s="9">
        <f>'MH Measure Development'!BK169</f>
        <v>0</v>
      </c>
      <c r="M434" s="9">
        <f>'MH Measure Development'!BL169</f>
        <v>0</v>
      </c>
      <c r="N434" s="9">
        <f>'MH Measure Development'!BM169</f>
        <v>0</v>
      </c>
      <c r="O434" s="9">
        <f>'MH Measure Development'!BN169</f>
        <v>0</v>
      </c>
      <c r="P434" s="9">
        <f>'MH Measure Development'!BO169</f>
        <v>0</v>
      </c>
      <c r="Q434" s="9">
        <f>'MH Measure Development'!BP169</f>
        <v>0</v>
      </c>
    </row>
    <row r="435" spans="1:17">
      <c r="A435" s="9" t="s">
        <v>57</v>
      </c>
      <c r="B435" s="545" t="str">
        <f>'MH Measure Development'!BA170</f>
        <v>ENERGY STAR - Top-Load Clothes Washer - Gas DHW, Electric Dryer - 54% ENERGY STAR Baseline</v>
      </c>
      <c r="C435" s="545" t="str">
        <f>'MH Measure Development'!BB170</f>
        <v>Waste Water Energy</v>
      </c>
      <c r="D435" s="9">
        <f ca="1">'MH Measure Development'!BC170</f>
        <v>-0.60922634974146261</v>
      </c>
      <c r="E435" s="9">
        <f>'MH Measure Development'!BD170</f>
        <v>14</v>
      </c>
      <c r="F435" s="9">
        <f>'MH Measure Development'!BE170</f>
        <v>0</v>
      </c>
      <c r="G435" s="9">
        <f>'MH Measure Development'!BF170</f>
        <v>0</v>
      </c>
      <c r="H435" s="9" t="str">
        <f>'MH Measure Development'!BG170</f>
        <v>FLAT</v>
      </c>
      <c r="I435" s="9">
        <f ca="1">'MH Measure Development'!BH170</f>
        <v>-2.2893854920041119</v>
      </c>
      <c r="J435" s="9">
        <f>'MH Measure Development'!BI170</f>
        <v>0</v>
      </c>
      <c r="K435" s="9">
        <f>'MH Measure Development'!BJ170</f>
        <v>0</v>
      </c>
      <c r="L435" s="9">
        <f>'MH Measure Development'!BK170</f>
        <v>0</v>
      </c>
      <c r="M435" s="9">
        <f>'MH Measure Development'!BL170</f>
        <v>0</v>
      </c>
      <c r="N435" s="9">
        <f>'MH Measure Development'!BM170</f>
        <v>0</v>
      </c>
      <c r="O435" s="9">
        <f>'MH Measure Development'!BN170</f>
        <v>0</v>
      </c>
      <c r="P435" s="9">
        <f>'MH Measure Development'!BO170</f>
        <v>0</v>
      </c>
      <c r="Q435" s="9">
        <f>'MH Measure Development'!BP170</f>
        <v>0</v>
      </c>
    </row>
    <row r="436" spans="1:17">
      <c r="A436" s="9" t="s">
        <v>57</v>
      </c>
      <c r="B436" s="545" t="str">
        <f>'MH Measure Development'!BA171</f>
        <v>ENERGY STAR - Top-Load Clothes Washer - Gas DHW, Gas Dryer - 54% ENERGY STAR Baseline</v>
      </c>
      <c r="C436" s="545" t="str">
        <f>'MH Measure Development'!BB171</f>
        <v>Waste Water Energy</v>
      </c>
      <c r="D436" s="9">
        <f ca="1">'MH Measure Development'!BC171</f>
        <v>-0.60922634974146261</v>
      </c>
      <c r="E436" s="9">
        <f>'MH Measure Development'!BD171</f>
        <v>14</v>
      </c>
      <c r="F436" s="9">
        <f>'MH Measure Development'!BE171</f>
        <v>0</v>
      </c>
      <c r="G436" s="9">
        <f>'MH Measure Development'!BF171</f>
        <v>0</v>
      </c>
      <c r="H436" s="9" t="str">
        <f>'MH Measure Development'!BG171</f>
        <v>FLAT</v>
      </c>
      <c r="I436" s="9">
        <f ca="1">'MH Measure Development'!BH171</f>
        <v>-2.2893854920041119</v>
      </c>
      <c r="J436" s="9">
        <f>'MH Measure Development'!BI171</f>
        <v>0</v>
      </c>
      <c r="K436" s="9">
        <f>'MH Measure Development'!BJ171</f>
        <v>0</v>
      </c>
      <c r="L436" s="9">
        <f>'MH Measure Development'!BK171</f>
        <v>0</v>
      </c>
      <c r="M436" s="9">
        <f>'MH Measure Development'!BL171</f>
        <v>0</v>
      </c>
      <c r="N436" s="9">
        <f>'MH Measure Development'!BM171</f>
        <v>0</v>
      </c>
      <c r="O436" s="9">
        <f>'MH Measure Development'!BN171</f>
        <v>0</v>
      </c>
      <c r="P436" s="9">
        <f>'MH Measure Development'!BO171</f>
        <v>0</v>
      </c>
      <c r="Q436" s="9">
        <f>'MH Measure Development'!BP171</f>
        <v>0</v>
      </c>
    </row>
    <row r="437" spans="1:17">
      <c r="A437" s="9" t="s">
        <v>57</v>
      </c>
      <c r="B437" s="545" t="str">
        <f>'MH Measure Development'!BA172</f>
        <v>ENERGY STAR - Top-Load Clothes Washer - Any DHW, Any Dryer - 54% ENERGY STAR Baseline</v>
      </c>
      <c r="C437" s="545" t="str">
        <f>'MH Measure Development'!BB172</f>
        <v>Waste Water Energy</v>
      </c>
      <c r="D437" s="9">
        <f ca="1">'MH Measure Development'!BC172</f>
        <v>-0.60922634974146261</v>
      </c>
      <c r="E437" s="9">
        <f>'MH Measure Development'!BD172</f>
        <v>14</v>
      </c>
      <c r="F437" s="9">
        <f>'MH Measure Development'!BE172</f>
        <v>0</v>
      </c>
      <c r="G437" s="9">
        <f>'MH Measure Development'!BF172</f>
        <v>0</v>
      </c>
      <c r="H437" s="9" t="str">
        <f>'MH Measure Development'!BG172</f>
        <v>FLAT</v>
      </c>
      <c r="I437" s="9">
        <f ca="1">'MH Measure Development'!BH172</f>
        <v>-2.2893854920041119</v>
      </c>
      <c r="J437" s="9">
        <f>'MH Measure Development'!BI172</f>
        <v>0</v>
      </c>
      <c r="K437" s="9">
        <f>'MH Measure Development'!BJ172</f>
        <v>0</v>
      </c>
      <c r="L437" s="9">
        <f>'MH Measure Development'!BK172</f>
        <v>0</v>
      </c>
      <c r="M437" s="9">
        <f>'MH Measure Development'!BL172</f>
        <v>0</v>
      </c>
      <c r="N437" s="9">
        <f>'MH Measure Development'!BM172</f>
        <v>0</v>
      </c>
      <c r="O437" s="9">
        <f>'MH Measure Development'!BN172</f>
        <v>0</v>
      </c>
      <c r="P437" s="9">
        <f>'MH Measure Development'!BO172</f>
        <v>0</v>
      </c>
      <c r="Q437" s="9">
        <f>'MH Measure Development'!BP172</f>
        <v>0</v>
      </c>
    </row>
    <row r="438" spans="1:17">
      <c r="A438" s="9" t="s">
        <v>57</v>
      </c>
      <c r="B438" s="545" t="str">
        <f>'MH Measure Development'!BA173</f>
        <v>ENERGY STAR - Front-Load Clothes Washer - Electric DHW, Electric Dryer - 54% ENERGY STAR Baseline</v>
      </c>
      <c r="C438" s="545" t="str">
        <f>'MH Measure Development'!BB173</f>
        <v>Waste Water Energy</v>
      </c>
      <c r="D438" s="9">
        <f ca="1">'MH Measure Development'!BC173</f>
        <v>2.7104849190651508</v>
      </c>
      <c r="E438" s="9">
        <f>'MH Measure Development'!BD173</f>
        <v>14</v>
      </c>
      <c r="F438" s="9">
        <f>'MH Measure Development'!BE173</f>
        <v>0</v>
      </c>
      <c r="G438" s="9">
        <f>'MH Measure Development'!BF173</f>
        <v>0</v>
      </c>
      <c r="H438" s="9" t="str">
        <f>'MH Measure Development'!BG173</f>
        <v>FLAT</v>
      </c>
      <c r="I438" s="9">
        <f ca="1">'MH Measure Development'!BH173</f>
        <v>10.185614677758206</v>
      </c>
      <c r="J438" s="9">
        <f>'MH Measure Development'!BI173</f>
        <v>0</v>
      </c>
      <c r="K438" s="9">
        <f>'MH Measure Development'!BJ173</f>
        <v>0</v>
      </c>
      <c r="L438" s="9">
        <f>'MH Measure Development'!BK173</f>
        <v>0</v>
      </c>
      <c r="M438" s="9">
        <f>'MH Measure Development'!BL173</f>
        <v>0</v>
      </c>
      <c r="N438" s="9">
        <f>'MH Measure Development'!BM173</f>
        <v>0</v>
      </c>
      <c r="O438" s="9">
        <f>'MH Measure Development'!BN173</f>
        <v>0</v>
      </c>
      <c r="P438" s="9">
        <f>'MH Measure Development'!BO173</f>
        <v>0</v>
      </c>
      <c r="Q438" s="9">
        <f>'MH Measure Development'!BP173</f>
        <v>0</v>
      </c>
    </row>
    <row r="439" spans="1:17">
      <c r="A439" s="9" t="s">
        <v>57</v>
      </c>
      <c r="B439" s="545" t="str">
        <f>'MH Measure Development'!BA174</f>
        <v>ENERGY STAR - Front-Load Clothes Washer - Electric DHW, Gas Dryer - 54% ENERGY STAR Baseline</v>
      </c>
      <c r="C439" s="545" t="str">
        <f>'MH Measure Development'!BB174</f>
        <v>Waste Water Energy</v>
      </c>
      <c r="D439" s="9">
        <f ca="1">'MH Measure Development'!BC174</f>
        <v>2.7104849190651508</v>
      </c>
      <c r="E439" s="9">
        <f>'MH Measure Development'!BD174</f>
        <v>14</v>
      </c>
      <c r="F439" s="9">
        <f>'MH Measure Development'!BE174</f>
        <v>0</v>
      </c>
      <c r="G439" s="9">
        <f>'MH Measure Development'!BF174</f>
        <v>0</v>
      </c>
      <c r="H439" s="9" t="str">
        <f>'MH Measure Development'!BG174</f>
        <v>FLAT</v>
      </c>
      <c r="I439" s="9">
        <f ca="1">'MH Measure Development'!BH174</f>
        <v>10.185614677758206</v>
      </c>
      <c r="J439" s="9">
        <f>'MH Measure Development'!BI174</f>
        <v>0</v>
      </c>
      <c r="K439" s="9">
        <f>'MH Measure Development'!BJ174</f>
        <v>0</v>
      </c>
      <c r="L439" s="9">
        <f>'MH Measure Development'!BK174</f>
        <v>0</v>
      </c>
      <c r="M439" s="9">
        <f>'MH Measure Development'!BL174</f>
        <v>0</v>
      </c>
      <c r="N439" s="9">
        <f>'MH Measure Development'!BM174</f>
        <v>0</v>
      </c>
      <c r="O439" s="9">
        <f>'MH Measure Development'!BN174</f>
        <v>0</v>
      </c>
      <c r="P439" s="9">
        <f>'MH Measure Development'!BO174</f>
        <v>0</v>
      </c>
      <c r="Q439" s="9">
        <f>'MH Measure Development'!BP174</f>
        <v>0</v>
      </c>
    </row>
    <row r="440" spans="1:17">
      <c r="A440" s="9" t="s">
        <v>57</v>
      </c>
      <c r="B440" s="545" t="str">
        <f>'MH Measure Development'!BA175</f>
        <v>ENERGY STAR - Front-Load Clothes Washer - Gas DHW, Electric Dryer - 54% ENERGY STAR Baseline</v>
      </c>
      <c r="C440" s="545" t="str">
        <f>'MH Measure Development'!BB175</f>
        <v>Waste Water Energy</v>
      </c>
      <c r="D440" s="9">
        <f ca="1">'MH Measure Development'!BC175</f>
        <v>2.7104849190651508</v>
      </c>
      <c r="E440" s="9">
        <f>'MH Measure Development'!BD175</f>
        <v>14</v>
      </c>
      <c r="F440" s="9">
        <f>'MH Measure Development'!BE175</f>
        <v>0</v>
      </c>
      <c r="G440" s="9">
        <f>'MH Measure Development'!BF175</f>
        <v>0</v>
      </c>
      <c r="H440" s="9" t="str">
        <f>'MH Measure Development'!BG175</f>
        <v>FLAT</v>
      </c>
      <c r="I440" s="9">
        <f ca="1">'MH Measure Development'!BH175</f>
        <v>10.185614677758206</v>
      </c>
      <c r="J440" s="9">
        <f>'MH Measure Development'!BI175</f>
        <v>0</v>
      </c>
      <c r="K440" s="9">
        <f>'MH Measure Development'!BJ175</f>
        <v>0</v>
      </c>
      <c r="L440" s="9">
        <f>'MH Measure Development'!BK175</f>
        <v>0</v>
      </c>
      <c r="M440" s="9">
        <f>'MH Measure Development'!BL175</f>
        <v>0</v>
      </c>
      <c r="N440" s="9">
        <f>'MH Measure Development'!BM175</f>
        <v>0</v>
      </c>
      <c r="O440" s="9">
        <f>'MH Measure Development'!BN175</f>
        <v>0</v>
      </c>
      <c r="P440" s="9">
        <f>'MH Measure Development'!BO175</f>
        <v>0</v>
      </c>
      <c r="Q440" s="9">
        <f>'MH Measure Development'!BP175</f>
        <v>0</v>
      </c>
    </row>
    <row r="441" spans="1:17">
      <c r="A441" s="9" t="s">
        <v>57</v>
      </c>
      <c r="B441" s="545" t="str">
        <f>'MH Measure Development'!BA176</f>
        <v>ENERGY STAR - Front-Load Clothes Washer - Gas DHW, Gas Dryer - 54% ENERGY STAR Baseline</v>
      </c>
      <c r="C441" s="545" t="str">
        <f>'MH Measure Development'!BB176</f>
        <v>Waste Water Energy</v>
      </c>
      <c r="D441" s="9">
        <f ca="1">'MH Measure Development'!BC176</f>
        <v>2.7104849190651508</v>
      </c>
      <c r="E441" s="9">
        <f>'MH Measure Development'!BD176</f>
        <v>14</v>
      </c>
      <c r="F441" s="9">
        <f>'MH Measure Development'!BE176</f>
        <v>0</v>
      </c>
      <c r="G441" s="9">
        <f>'MH Measure Development'!BF176</f>
        <v>0</v>
      </c>
      <c r="H441" s="9" t="str">
        <f>'MH Measure Development'!BG176</f>
        <v>FLAT</v>
      </c>
      <c r="I441" s="9">
        <f ca="1">'MH Measure Development'!BH176</f>
        <v>10.185614677758206</v>
      </c>
      <c r="J441" s="9">
        <f>'MH Measure Development'!BI176</f>
        <v>0</v>
      </c>
      <c r="K441" s="9">
        <f>'MH Measure Development'!BJ176</f>
        <v>0</v>
      </c>
      <c r="L441" s="9">
        <f>'MH Measure Development'!BK176</f>
        <v>0</v>
      </c>
      <c r="M441" s="9">
        <f>'MH Measure Development'!BL176</f>
        <v>0</v>
      </c>
      <c r="N441" s="9">
        <f>'MH Measure Development'!BM176</f>
        <v>0</v>
      </c>
      <c r="O441" s="9">
        <f>'MH Measure Development'!BN176</f>
        <v>0</v>
      </c>
      <c r="P441" s="9">
        <f>'MH Measure Development'!BO176</f>
        <v>0</v>
      </c>
      <c r="Q441" s="9">
        <f>'MH Measure Development'!BP176</f>
        <v>0</v>
      </c>
    </row>
    <row r="442" spans="1:17">
      <c r="A442" s="9" t="s">
        <v>57</v>
      </c>
      <c r="B442" s="545" t="str">
        <f>'MH Measure Development'!BA177</f>
        <v>ENERGY STAR - Front-Load Clothes Washer - Any DHW, Any Dryer - 54% ENERGY STAR Baseline</v>
      </c>
      <c r="C442" s="545" t="str">
        <f>'MH Measure Development'!BB177</f>
        <v>Waste Water Energy</v>
      </c>
      <c r="D442" s="9">
        <f ca="1">'MH Measure Development'!BC177</f>
        <v>2.7104849190651508</v>
      </c>
      <c r="E442" s="9">
        <f>'MH Measure Development'!BD177</f>
        <v>14</v>
      </c>
      <c r="F442" s="9">
        <f>'MH Measure Development'!BE177</f>
        <v>0</v>
      </c>
      <c r="G442" s="9">
        <f>'MH Measure Development'!BF177</f>
        <v>0</v>
      </c>
      <c r="H442" s="9" t="str">
        <f>'MH Measure Development'!BG177</f>
        <v>FLAT</v>
      </c>
      <c r="I442" s="9">
        <f ca="1">'MH Measure Development'!BH177</f>
        <v>10.185614677758206</v>
      </c>
      <c r="J442" s="9">
        <f>'MH Measure Development'!BI177</f>
        <v>0</v>
      </c>
      <c r="K442" s="9">
        <f>'MH Measure Development'!BJ177</f>
        <v>0</v>
      </c>
      <c r="L442" s="9">
        <f>'MH Measure Development'!BK177</f>
        <v>0</v>
      </c>
      <c r="M442" s="9">
        <f>'MH Measure Development'!BL177</f>
        <v>0</v>
      </c>
      <c r="N442" s="9">
        <f>'MH Measure Development'!BM177</f>
        <v>0</v>
      </c>
      <c r="O442" s="9">
        <f>'MH Measure Development'!BN177</f>
        <v>0</v>
      </c>
      <c r="P442" s="9">
        <f>'MH Measure Development'!BO177</f>
        <v>0</v>
      </c>
      <c r="Q442" s="9">
        <f>'MH Measure Development'!BP177</f>
        <v>0</v>
      </c>
    </row>
    <row r="443" spans="1:17">
      <c r="A443" s="9" t="s">
        <v>57</v>
      </c>
      <c r="B443" s="545" t="str">
        <f>'MH Measure Development'!BA183</f>
        <v>CEE Tier 1 Clothes Washer - Electric DHW, Electric Dryer - 54% ENERGY STAR Baseline</v>
      </c>
      <c r="C443" s="545" t="str">
        <f>'MH Measure Development'!BB183</f>
        <v>Waste Water Energy</v>
      </c>
      <c r="D443" s="9">
        <f ca="1">'MH Measure Development'!BC183</f>
        <v>2.2689844676199051</v>
      </c>
      <c r="E443" s="9">
        <f>'MH Measure Development'!BD183</f>
        <v>14</v>
      </c>
      <c r="F443" s="9">
        <f>'MH Measure Development'!BE183</f>
        <v>0</v>
      </c>
      <c r="G443" s="9">
        <f>'MH Measure Development'!BF183</f>
        <v>0</v>
      </c>
      <c r="H443" s="9" t="str">
        <f>'MH Measure Development'!BG183</f>
        <v>FLAT</v>
      </c>
      <c r="I443" s="9">
        <f ca="1">'MH Measure Development'!BH183</f>
        <v>8.5265191237314468</v>
      </c>
      <c r="J443" s="9">
        <f>'MH Measure Development'!BI183</f>
        <v>0</v>
      </c>
      <c r="K443" s="9">
        <f>'MH Measure Development'!BJ183</f>
        <v>0</v>
      </c>
      <c r="L443" s="9">
        <f>'MH Measure Development'!BK183</f>
        <v>0</v>
      </c>
      <c r="M443" s="9">
        <f>'MH Measure Development'!BL183</f>
        <v>0</v>
      </c>
      <c r="N443" s="9">
        <f>'MH Measure Development'!BM183</f>
        <v>0</v>
      </c>
      <c r="O443" s="9">
        <f>'MH Measure Development'!BN183</f>
        <v>0</v>
      </c>
      <c r="P443" s="9">
        <f>'MH Measure Development'!BO183</f>
        <v>0</v>
      </c>
      <c r="Q443" s="9">
        <f>'MH Measure Development'!BP183</f>
        <v>0</v>
      </c>
    </row>
    <row r="444" spans="1:17">
      <c r="A444" s="9" t="s">
        <v>57</v>
      </c>
      <c r="B444" s="545" t="str">
        <f>'MH Measure Development'!BA184</f>
        <v>CEE Tier 1 Clothes Washer - Electric DHW, Gas Dryer - 54% ENERGY STAR Baseline</v>
      </c>
      <c r="C444" s="545" t="str">
        <f>'MH Measure Development'!BB184</f>
        <v>Waste Water Energy</v>
      </c>
      <c r="D444" s="9">
        <f ca="1">'MH Measure Development'!BC184</f>
        <v>2.2689844676199051</v>
      </c>
      <c r="E444" s="9">
        <f>'MH Measure Development'!BD184</f>
        <v>14</v>
      </c>
      <c r="F444" s="9">
        <f>'MH Measure Development'!BE184</f>
        <v>0</v>
      </c>
      <c r="G444" s="9">
        <f>'MH Measure Development'!BF184</f>
        <v>0</v>
      </c>
      <c r="H444" s="9" t="str">
        <f>'MH Measure Development'!BG184</f>
        <v>FLAT</v>
      </c>
      <c r="I444" s="9">
        <f ca="1">'MH Measure Development'!BH184</f>
        <v>8.5265191237314468</v>
      </c>
      <c r="J444" s="9">
        <f>'MH Measure Development'!BI184</f>
        <v>0</v>
      </c>
      <c r="K444" s="9">
        <f>'MH Measure Development'!BJ184</f>
        <v>0</v>
      </c>
      <c r="L444" s="9">
        <f>'MH Measure Development'!BK184</f>
        <v>0</v>
      </c>
      <c r="M444" s="9">
        <f>'MH Measure Development'!BL184</f>
        <v>0</v>
      </c>
      <c r="N444" s="9">
        <f>'MH Measure Development'!BM184</f>
        <v>0</v>
      </c>
      <c r="O444" s="9">
        <f>'MH Measure Development'!BN184</f>
        <v>0</v>
      </c>
      <c r="P444" s="9">
        <f>'MH Measure Development'!BO184</f>
        <v>0</v>
      </c>
      <c r="Q444" s="9">
        <f>'MH Measure Development'!BP184</f>
        <v>0</v>
      </c>
    </row>
    <row r="445" spans="1:17">
      <c r="A445" s="9" t="s">
        <v>57</v>
      </c>
      <c r="B445" s="545" t="str">
        <f>'MH Measure Development'!BA185</f>
        <v>CEE Tier 1 Clothes Washer - Gas DHW, Electric Dryer - 54% ENERGY STAR Baseline</v>
      </c>
      <c r="C445" s="545" t="str">
        <f>'MH Measure Development'!BB185</f>
        <v>Waste Water Energy</v>
      </c>
      <c r="D445" s="9">
        <f ca="1">'MH Measure Development'!BC185</f>
        <v>2.2689844676199051</v>
      </c>
      <c r="E445" s="9">
        <f>'MH Measure Development'!BD185</f>
        <v>14</v>
      </c>
      <c r="F445" s="9">
        <f>'MH Measure Development'!BE185</f>
        <v>0</v>
      </c>
      <c r="G445" s="9">
        <f>'MH Measure Development'!BF185</f>
        <v>0</v>
      </c>
      <c r="H445" s="9" t="str">
        <f>'MH Measure Development'!BG185</f>
        <v>FLAT</v>
      </c>
      <c r="I445" s="9">
        <f ca="1">'MH Measure Development'!BH185</f>
        <v>8.5265191237314468</v>
      </c>
      <c r="J445" s="9">
        <f>'MH Measure Development'!BI185</f>
        <v>0</v>
      </c>
      <c r="K445" s="9">
        <f>'MH Measure Development'!BJ185</f>
        <v>0</v>
      </c>
      <c r="L445" s="9">
        <f>'MH Measure Development'!BK185</f>
        <v>0</v>
      </c>
      <c r="M445" s="9">
        <f>'MH Measure Development'!BL185</f>
        <v>0</v>
      </c>
      <c r="N445" s="9">
        <f>'MH Measure Development'!BM185</f>
        <v>0</v>
      </c>
      <c r="O445" s="9">
        <f>'MH Measure Development'!BN185</f>
        <v>0</v>
      </c>
      <c r="P445" s="9">
        <f>'MH Measure Development'!BO185</f>
        <v>0</v>
      </c>
      <c r="Q445" s="9">
        <f>'MH Measure Development'!BP185</f>
        <v>0</v>
      </c>
    </row>
    <row r="446" spans="1:17">
      <c r="A446" s="9" t="s">
        <v>57</v>
      </c>
      <c r="B446" s="545" t="str">
        <f>'MH Measure Development'!BA186</f>
        <v>CEE Tier 1 Clothes Washer - Gas DHW, Gas Dryer - 54% ENERGY STAR Baseline</v>
      </c>
      <c r="C446" s="545" t="str">
        <f>'MH Measure Development'!BB186</f>
        <v>Waste Water Energy</v>
      </c>
      <c r="D446" s="9">
        <f ca="1">'MH Measure Development'!BC186</f>
        <v>2.2689844676199051</v>
      </c>
      <c r="E446" s="9">
        <f>'MH Measure Development'!BD186</f>
        <v>14</v>
      </c>
      <c r="F446" s="9">
        <f>'MH Measure Development'!BE186</f>
        <v>0</v>
      </c>
      <c r="G446" s="9">
        <f>'MH Measure Development'!BF186</f>
        <v>0</v>
      </c>
      <c r="H446" s="9" t="str">
        <f>'MH Measure Development'!BG186</f>
        <v>FLAT</v>
      </c>
      <c r="I446" s="9">
        <f ca="1">'MH Measure Development'!BH186</f>
        <v>8.5265191237314468</v>
      </c>
      <c r="J446" s="9">
        <f>'MH Measure Development'!BI186</f>
        <v>0</v>
      </c>
      <c r="K446" s="9">
        <f>'MH Measure Development'!BJ186</f>
        <v>0</v>
      </c>
      <c r="L446" s="9">
        <f>'MH Measure Development'!BK186</f>
        <v>0</v>
      </c>
      <c r="M446" s="9">
        <f>'MH Measure Development'!BL186</f>
        <v>0</v>
      </c>
      <c r="N446" s="9">
        <f>'MH Measure Development'!BM186</f>
        <v>0</v>
      </c>
      <c r="O446" s="9">
        <f>'MH Measure Development'!BN186</f>
        <v>0</v>
      </c>
      <c r="P446" s="9">
        <f>'MH Measure Development'!BO186</f>
        <v>0</v>
      </c>
      <c r="Q446" s="9">
        <f>'MH Measure Development'!BP186</f>
        <v>0</v>
      </c>
    </row>
    <row r="447" spans="1:17">
      <c r="A447" s="9" t="s">
        <v>57</v>
      </c>
      <c r="B447" s="545" t="str">
        <f>'MH Measure Development'!BA187</f>
        <v>CEE Tier 1 Clothes Washer - Any DHW, Any Dryer - 54% ENERGY STAR Baseline</v>
      </c>
      <c r="C447" s="545" t="str">
        <f>'MH Measure Development'!BB187</f>
        <v>Waste Water Energy</v>
      </c>
      <c r="D447" s="9">
        <f ca="1">'MH Measure Development'!BC187</f>
        <v>2.2689844676199051</v>
      </c>
      <c r="E447" s="9">
        <f>'MH Measure Development'!BD187</f>
        <v>14</v>
      </c>
      <c r="F447" s="9">
        <f>'MH Measure Development'!BE187</f>
        <v>0</v>
      </c>
      <c r="G447" s="9">
        <f>'MH Measure Development'!BF187</f>
        <v>0</v>
      </c>
      <c r="H447" s="9" t="str">
        <f>'MH Measure Development'!BG187</f>
        <v>FLAT</v>
      </c>
      <c r="I447" s="9">
        <f ca="1">'MH Measure Development'!BH187</f>
        <v>8.5265191237314468</v>
      </c>
      <c r="J447" s="9">
        <f>'MH Measure Development'!BI187</f>
        <v>0</v>
      </c>
      <c r="K447" s="9">
        <f>'MH Measure Development'!BJ187</f>
        <v>0</v>
      </c>
      <c r="L447" s="9">
        <f>'MH Measure Development'!BK187</f>
        <v>0</v>
      </c>
      <c r="M447" s="9">
        <f>'MH Measure Development'!BL187</f>
        <v>0</v>
      </c>
      <c r="N447" s="9">
        <f>'MH Measure Development'!BM187</f>
        <v>0</v>
      </c>
      <c r="O447" s="9">
        <f>'MH Measure Development'!BN187</f>
        <v>0</v>
      </c>
      <c r="P447" s="9">
        <f>'MH Measure Development'!BO187</f>
        <v>0</v>
      </c>
      <c r="Q447" s="9">
        <f>'MH Measure Development'!BP187</f>
        <v>0</v>
      </c>
    </row>
    <row r="448" spans="1:17">
      <c r="A448" s="9" t="s">
        <v>57</v>
      </c>
      <c r="B448" s="545" t="str">
        <f>'MH Measure Development'!BA188</f>
        <v>CEE Tier 2 Clothes Washer - Electric DHW, Electric Dryer - 54% ENERGY STAR Baseline</v>
      </c>
      <c r="C448" s="545" t="str">
        <f>'MH Measure Development'!BB188</f>
        <v>Waste Water Energy</v>
      </c>
      <c r="D448" s="9">
        <f ca="1">'MH Measure Development'!BC188</f>
        <v>3.3279524561015337</v>
      </c>
      <c r="E448" s="9">
        <f>'MH Measure Development'!BD188</f>
        <v>14</v>
      </c>
      <c r="F448" s="9">
        <f>'MH Measure Development'!BE188</f>
        <v>0</v>
      </c>
      <c r="G448" s="9">
        <f>'MH Measure Development'!BF188</f>
        <v>0</v>
      </c>
      <c r="H448" s="9" t="str">
        <f>'MH Measure Development'!BG188</f>
        <v>FLAT</v>
      </c>
      <c r="I448" s="9">
        <f ca="1">'MH Measure Development'!BH188</f>
        <v>12.505969372978637</v>
      </c>
      <c r="J448" s="9">
        <f>'MH Measure Development'!BI188</f>
        <v>0</v>
      </c>
      <c r="K448" s="9">
        <f>'MH Measure Development'!BJ188</f>
        <v>0</v>
      </c>
      <c r="L448" s="9">
        <f>'MH Measure Development'!BK188</f>
        <v>0</v>
      </c>
      <c r="M448" s="9">
        <f>'MH Measure Development'!BL188</f>
        <v>0</v>
      </c>
      <c r="N448" s="9">
        <f>'MH Measure Development'!BM188</f>
        <v>0</v>
      </c>
      <c r="O448" s="9">
        <f>'MH Measure Development'!BN188</f>
        <v>0</v>
      </c>
      <c r="P448" s="9">
        <f>'MH Measure Development'!BO188</f>
        <v>0</v>
      </c>
      <c r="Q448" s="9">
        <f>'MH Measure Development'!BP188</f>
        <v>0</v>
      </c>
    </row>
    <row r="449" spans="1:17">
      <c r="A449" s="9" t="s">
        <v>57</v>
      </c>
      <c r="B449" s="545" t="str">
        <f>'MH Measure Development'!BA189</f>
        <v>CEE Tier 2 Clothes Washer - Electric DHW, Gas Dryer - 54% ENERGY STAR Baseline</v>
      </c>
      <c r="C449" s="545" t="str">
        <f>'MH Measure Development'!BB189</f>
        <v>Waste Water Energy</v>
      </c>
      <c r="D449" s="9">
        <f ca="1">'MH Measure Development'!BC189</f>
        <v>3.3279524561015337</v>
      </c>
      <c r="E449" s="9">
        <f>'MH Measure Development'!BD189</f>
        <v>14</v>
      </c>
      <c r="F449" s="9">
        <f>'MH Measure Development'!BE189</f>
        <v>0</v>
      </c>
      <c r="G449" s="9">
        <f>'MH Measure Development'!BF189</f>
        <v>0</v>
      </c>
      <c r="H449" s="9" t="str">
        <f>'MH Measure Development'!BG189</f>
        <v>FLAT</v>
      </c>
      <c r="I449" s="9">
        <f ca="1">'MH Measure Development'!BH189</f>
        <v>12.505969372978637</v>
      </c>
      <c r="J449" s="9">
        <f>'MH Measure Development'!BI189</f>
        <v>0</v>
      </c>
      <c r="K449" s="9">
        <f>'MH Measure Development'!BJ189</f>
        <v>0</v>
      </c>
      <c r="L449" s="9">
        <f>'MH Measure Development'!BK189</f>
        <v>0</v>
      </c>
      <c r="M449" s="9">
        <f>'MH Measure Development'!BL189</f>
        <v>0</v>
      </c>
      <c r="N449" s="9">
        <f>'MH Measure Development'!BM189</f>
        <v>0</v>
      </c>
      <c r="O449" s="9">
        <f>'MH Measure Development'!BN189</f>
        <v>0</v>
      </c>
      <c r="P449" s="9">
        <f>'MH Measure Development'!BO189</f>
        <v>0</v>
      </c>
      <c r="Q449" s="9">
        <f>'MH Measure Development'!BP189</f>
        <v>0</v>
      </c>
    </row>
    <row r="450" spans="1:17">
      <c r="A450" s="9" t="s">
        <v>57</v>
      </c>
      <c r="B450" s="545" t="str">
        <f>'MH Measure Development'!BA190</f>
        <v>CEE Tier 2 Clothes Washer - Gas DHW, Electric Dryer - 54% ENERGY STAR Baseline</v>
      </c>
      <c r="C450" s="545" t="str">
        <f>'MH Measure Development'!BB190</f>
        <v>Waste Water Energy</v>
      </c>
      <c r="D450" s="9">
        <f ca="1">'MH Measure Development'!BC190</f>
        <v>3.3279524561015337</v>
      </c>
      <c r="E450" s="9">
        <f>'MH Measure Development'!BD190</f>
        <v>14</v>
      </c>
      <c r="F450" s="9">
        <f>'MH Measure Development'!BE190</f>
        <v>0</v>
      </c>
      <c r="G450" s="9">
        <f>'MH Measure Development'!BF190</f>
        <v>0</v>
      </c>
      <c r="H450" s="9" t="str">
        <f>'MH Measure Development'!BG190</f>
        <v>FLAT</v>
      </c>
      <c r="I450" s="9">
        <f ca="1">'MH Measure Development'!BH190</f>
        <v>12.505969372978637</v>
      </c>
      <c r="J450" s="9">
        <f>'MH Measure Development'!BI190</f>
        <v>0</v>
      </c>
      <c r="K450" s="9">
        <f>'MH Measure Development'!BJ190</f>
        <v>0</v>
      </c>
      <c r="L450" s="9">
        <f>'MH Measure Development'!BK190</f>
        <v>0</v>
      </c>
      <c r="M450" s="9">
        <f>'MH Measure Development'!BL190</f>
        <v>0</v>
      </c>
      <c r="N450" s="9">
        <f>'MH Measure Development'!BM190</f>
        <v>0</v>
      </c>
      <c r="O450" s="9">
        <f>'MH Measure Development'!BN190</f>
        <v>0</v>
      </c>
      <c r="P450" s="9">
        <f>'MH Measure Development'!BO190</f>
        <v>0</v>
      </c>
      <c r="Q450" s="9">
        <f>'MH Measure Development'!BP190</f>
        <v>0</v>
      </c>
    </row>
    <row r="451" spans="1:17">
      <c r="A451" s="9" t="s">
        <v>57</v>
      </c>
      <c r="B451" s="545" t="str">
        <f>'MH Measure Development'!BA191</f>
        <v>CEE Tier 2 Clothes Washer - Gas DHW, Gas Dryer - 54% ENERGY STAR Baseline</v>
      </c>
      <c r="C451" s="545" t="str">
        <f>'MH Measure Development'!BB191</f>
        <v>Waste Water Energy</v>
      </c>
      <c r="D451" s="9">
        <f ca="1">'MH Measure Development'!BC191</f>
        <v>3.3279524561015337</v>
      </c>
      <c r="E451" s="9">
        <f>'MH Measure Development'!BD191</f>
        <v>14</v>
      </c>
      <c r="F451" s="9">
        <f>'MH Measure Development'!BE191</f>
        <v>0</v>
      </c>
      <c r="G451" s="9">
        <f>'MH Measure Development'!BF191</f>
        <v>0</v>
      </c>
      <c r="H451" s="9" t="str">
        <f>'MH Measure Development'!BG191</f>
        <v>FLAT</v>
      </c>
      <c r="I451" s="9">
        <f ca="1">'MH Measure Development'!BH191</f>
        <v>12.505969372978637</v>
      </c>
      <c r="J451" s="9">
        <f>'MH Measure Development'!BI191</f>
        <v>0</v>
      </c>
      <c r="K451" s="9">
        <f>'MH Measure Development'!BJ191</f>
        <v>0</v>
      </c>
      <c r="L451" s="9">
        <f>'MH Measure Development'!BK191</f>
        <v>0</v>
      </c>
      <c r="M451" s="9">
        <f>'MH Measure Development'!BL191</f>
        <v>0</v>
      </c>
      <c r="N451" s="9">
        <f>'MH Measure Development'!BM191</f>
        <v>0</v>
      </c>
      <c r="O451" s="9">
        <f>'MH Measure Development'!BN191</f>
        <v>0</v>
      </c>
      <c r="P451" s="9">
        <f>'MH Measure Development'!BO191</f>
        <v>0</v>
      </c>
      <c r="Q451" s="9">
        <f>'MH Measure Development'!BP191</f>
        <v>0</v>
      </c>
    </row>
    <row r="452" spans="1:17">
      <c r="A452" s="9" t="s">
        <v>57</v>
      </c>
      <c r="B452" s="545" t="str">
        <f>'MH Measure Development'!BA192</f>
        <v>CEE Tier 2 Clothes Washer - Any DHW, Any Dryer - 54% ENERGY STAR Baseline</v>
      </c>
      <c r="C452" s="545" t="str">
        <f>'MH Measure Development'!BB192</f>
        <v>Waste Water Energy</v>
      </c>
      <c r="D452" s="9">
        <f ca="1">'MH Measure Development'!BC192</f>
        <v>3.3279524561015337</v>
      </c>
      <c r="E452" s="9">
        <f>'MH Measure Development'!BD192</f>
        <v>14</v>
      </c>
      <c r="F452" s="9">
        <f>'MH Measure Development'!BE192</f>
        <v>0</v>
      </c>
      <c r="G452" s="9">
        <f>'MH Measure Development'!BF192</f>
        <v>0</v>
      </c>
      <c r="H452" s="9" t="str">
        <f>'MH Measure Development'!BG192</f>
        <v>FLAT</v>
      </c>
      <c r="I452" s="9">
        <f ca="1">'MH Measure Development'!BH192</f>
        <v>12.505969372978637</v>
      </c>
      <c r="J452" s="9">
        <f>'MH Measure Development'!BI192</f>
        <v>0</v>
      </c>
      <c r="K452" s="9">
        <f>'MH Measure Development'!BJ192</f>
        <v>0</v>
      </c>
      <c r="L452" s="9">
        <f>'MH Measure Development'!BK192</f>
        <v>0</v>
      </c>
      <c r="M452" s="9">
        <f>'MH Measure Development'!BL192</f>
        <v>0</v>
      </c>
      <c r="N452" s="9">
        <f>'MH Measure Development'!BM192</f>
        <v>0</v>
      </c>
      <c r="O452" s="9">
        <f>'MH Measure Development'!BN192</f>
        <v>0</v>
      </c>
      <c r="P452" s="9">
        <f>'MH Measure Development'!BO192</f>
        <v>0</v>
      </c>
      <c r="Q452" s="9">
        <f>'MH Measure Development'!BP192</f>
        <v>0</v>
      </c>
    </row>
    <row r="453" spans="1:17">
      <c r="A453" s="9" t="s">
        <v>57</v>
      </c>
      <c r="B453" s="545" t="str">
        <f>'MH Measure Development'!BA193</f>
        <v>CEE Tier 3 Clothes Washer - Electric DHW, Electric Dryer - 54% ENERGY STAR Baseline</v>
      </c>
      <c r="C453" s="545" t="str">
        <f>'MH Measure Development'!BB193</f>
        <v>Waste Water Energy</v>
      </c>
      <c r="D453" s="9">
        <f ca="1">'MH Measure Development'!BC193</f>
        <v>3.4194180213254715</v>
      </c>
      <c r="E453" s="9">
        <f>'MH Measure Development'!BD193</f>
        <v>14</v>
      </c>
      <c r="F453" s="9">
        <f>'MH Measure Development'!BE193</f>
        <v>0</v>
      </c>
      <c r="G453" s="9">
        <f>'MH Measure Development'!BF193</f>
        <v>0</v>
      </c>
      <c r="H453" s="9" t="str">
        <f>'MH Measure Development'!BG193</f>
        <v>FLAT</v>
      </c>
      <c r="I453" s="9">
        <f ca="1">'MH Measure Development'!BH193</f>
        <v>12.849683885869453</v>
      </c>
      <c r="J453" s="9">
        <f>'MH Measure Development'!BI193</f>
        <v>0</v>
      </c>
      <c r="K453" s="9">
        <f>'MH Measure Development'!BJ193</f>
        <v>0</v>
      </c>
      <c r="L453" s="9">
        <f>'MH Measure Development'!BK193</f>
        <v>0</v>
      </c>
      <c r="M453" s="9">
        <f>'MH Measure Development'!BL193</f>
        <v>0</v>
      </c>
      <c r="N453" s="9">
        <f>'MH Measure Development'!BM193</f>
        <v>0</v>
      </c>
      <c r="O453" s="9">
        <f>'MH Measure Development'!BN193</f>
        <v>0</v>
      </c>
      <c r="P453" s="9">
        <f>'MH Measure Development'!BO193</f>
        <v>0</v>
      </c>
      <c r="Q453" s="9">
        <f>'MH Measure Development'!BP193</f>
        <v>0</v>
      </c>
    </row>
    <row r="454" spans="1:17">
      <c r="A454" s="9" t="s">
        <v>57</v>
      </c>
      <c r="B454" s="545" t="str">
        <f>'MH Measure Development'!BA194</f>
        <v>CEE Tier 3 Clothes Washer - Electric DHW, Gas Dryer - 54% ENERGY STAR Baseline</v>
      </c>
      <c r="C454" s="545" t="str">
        <f>'MH Measure Development'!BB194</f>
        <v>Waste Water Energy</v>
      </c>
      <c r="D454" s="9">
        <f ca="1">'MH Measure Development'!BC194</f>
        <v>3.4194180213254715</v>
      </c>
      <c r="E454" s="9">
        <f>'MH Measure Development'!BD194</f>
        <v>14</v>
      </c>
      <c r="F454" s="9">
        <f>'MH Measure Development'!BE194</f>
        <v>0</v>
      </c>
      <c r="G454" s="9">
        <f>'MH Measure Development'!BF194</f>
        <v>0</v>
      </c>
      <c r="H454" s="9" t="str">
        <f>'MH Measure Development'!BG194</f>
        <v>FLAT</v>
      </c>
      <c r="I454" s="9">
        <f ca="1">'MH Measure Development'!BH194</f>
        <v>12.849683885869453</v>
      </c>
      <c r="J454" s="9">
        <f>'MH Measure Development'!BI194</f>
        <v>0</v>
      </c>
      <c r="K454" s="9">
        <f>'MH Measure Development'!BJ194</f>
        <v>0</v>
      </c>
      <c r="L454" s="9">
        <f>'MH Measure Development'!BK194</f>
        <v>0</v>
      </c>
      <c r="M454" s="9">
        <f>'MH Measure Development'!BL194</f>
        <v>0</v>
      </c>
      <c r="N454" s="9">
        <f>'MH Measure Development'!BM194</f>
        <v>0</v>
      </c>
      <c r="O454" s="9">
        <f>'MH Measure Development'!BN194</f>
        <v>0</v>
      </c>
      <c r="P454" s="9">
        <f>'MH Measure Development'!BO194</f>
        <v>0</v>
      </c>
      <c r="Q454" s="9">
        <f>'MH Measure Development'!BP194</f>
        <v>0</v>
      </c>
    </row>
    <row r="455" spans="1:17">
      <c r="A455" s="9" t="s">
        <v>57</v>
      </c>
      <c r="B455" s="545" t="str">
        <f>'MH Measure Development'!BA195</f>
        <v>CEE Tier 3 Clothes Washer - Gas DHW, Electric Dryer - 54% ENERGY STAR Baseline</v>
      </c>
      <c r="C455" s="545" t="str">
        <f>'MH Measure Development'!BB195</f>
        <v>Waste Water Energy</v>
      </c>
      <c r="D455" s="9">
        <f ca="1">'MH Measure Development'!BC195</f>
        <v>3.4194180213254715</v>
      </c>
      <c r="E455" s="9">
        <f>'MH Measure Development'!BD195</f>
        <v>14</v>
      </c>
      <c r="F455" s="9">
        <f>'MH Measure Development'!BE195</f>
        <v>0</v>
      </c>
      <c r="G455" s="9">
        <f>'MH Measure Development'!BF195</f>
        <v>0</v>
      </c>
      <c r="H455" s="9" t="str">
        <f>'MH Measure Development'!BG195</f>
        <v>FLAT</v>
      </c>
      <c r="I455" s="9">
        <f ca="1">'MH Measure Development'!BH195</f>
        <v>12.849683885869453</v>
      </c>
      <c r="J455" s="9">
        <f>'MH Measure Development'!BI195</f>
        <v>0</v>
      </c>
      <c r="K455" s="9">
        <f>'MH Measure Development'!BJ195</f>
        <v>0</v>
      </c>
      <c r="L455" s="9">
        <f>'MH Measure Development'!BK195</f>
        <v>0</v>
      </c>
      <c r="M455" s="9">
        <f>'MH Measure Development'!BL195</f>
        <v>0</v>
      </c>
      <c r="N455" s="9">
        <f>'MH Measure Development'!BM195</f>
        <v>0</v>
      </c>
      <c r="O455" s="9">
        <f>'MH Measure Development'!BN195</f>
        <v>0</v>
      </c>
      <c r="P455" s="9">
        <f>'MH Measure Development'!BO195</f>
        <v>0</v>
      </c>
      <c r="Q455" s="9">
        <f>'MH Measure Development'!BP195</f>
        <v>0</v>
      </c>
    </row>
    <row r="456" spans="1:17">
      <c r="A456" s="9" t="s">
        <v>57</v>
      </c>
      <c r="B456" s="545" t="str">
        <f>'MH Measure Development'!BA196</f>
        <v>CEE Tier 3 Clothes Washer - Gas DHW, Gas Dryer - 54% ENERGY STAR Baseline</v>
      </c>
      <c r="C456" s="545" t="str">
        <f>'MH Measure Development'!BB196</f>
        <v>Waste Water Energy</v>
      </c>
      <c r="D456" s="9">
        <f ca="1">'MH Measure Development'!BC196</f>
        <v>3.4194180213254715</v>
      </c>
      <c r="E456" s="9">
        <f>'MH Measure Development'!BD196</f>
        <v>14</v>
      </c>
      <c r="F456" s="9">
        <f>'MH Measure Development'!BE196</f>
        <v>0</v>
      </c>
      <c r="G456" s="9">
        <f>'MH Measure Development'!BF196</f>
        <v>0</v>
      </c>
      <c r="H456" s="9" t="str">
        <f>'MH Measure Development'!BG196</f>
        <v>FLAT</v>
      </c>
      <c r="I456" s="9">
        <f ca="1">'MH Measure Development'!BH196</f>
        <v>12.849683885869453</v>
      </c>
      <c r="J456" s="9">
        <f>'MH Measure Development'!BI196</f>
        <v>0</v>
      </c>
      <c r="K456" s="9">
        <f>'MH Measure Development'!BJ196</f>
        <v>0</v>
      </c>
      <c r="L456" s="9">
        <f>'MH Measure Development'!BK196</f>
        <v>0</v>
      </c>
      <c r="M456" s="9">
        <f>'MH Measure Development'!BL196</f>
        <v>0</v>
      </c>
      <c r="N456" s="9">
        <f>'MH Measure Development'!BM196</f>
        <v>0</v>
      </c>
      <c r="O456" s="9">
        <f>'MH Measure Development'!BN196</f>
        <v>0</v>
      </c>
      <c r="P456" s="9">
        <f>'MH Measure Development'!BO196</f>
        <v>0</v>
      </c>
      <c r="Q456" s="9">
        <f>'MH Measure Development'!BP196</f>
        <v>0</v>
      </c>
    </row>
    <row r="457" spans="1:17">
      <c r="A457" s="9" t="s">
        <v>57</v>
      </c>
      <c r="B457" s="545" t="str">
        <f>'MH Measure Development'!BA197</f>
        <v>CEE Tier 3 Clothes Washer - Any DHW, Any Dryer - 54% ENERGY STAR Baseline</v>
      </c>
      <c r="C457" s="545" t="str">
        <f>'MH Measure Development'!BB197</f>
        <v>Waste Water Energy</v>
      </c>
      <c r="D457" s="9">
        <f ca="1">'MH Measure Development'!BC197</f>
        <v>3.4194180213254715</v>
      </c>
      <c r="E457" s="9">
        <f>'MH Measure Development'!BD197</f>
        <v>14</v>
      </c>
      <c r="F457" s="9">
        <f>'MH Measure Development'!BE197</f>
        <v>0</v>
      </c>
      <c r="G457" s="9">
        <f>'MH Measure Development'!BF197</f>
        <v>0</v>
      </c>
      <c r="H457" s="9" t="str">
        <f>'MH Measure Development'!BG197</f>
        <v>FLAT</v>
      </c>
      <c r="I457" s="9">
        <f ca="1">'MH Measure Development'!BH197</f>
        <v>12.849683885869453</v>
      </c>
      <c r="J457" s="9">
        <f>'MH Measure Development'!BI197</f>
        <v>0</v>
      </c>
      <c r="K457" s="9">
        <f>'MH Measure Development'!BJ197</f>
        <v>0</v>
      </c>
      <c r="L457" s="9">
        <f>'MH Measure Development'!BK197</f>
        <v>0</v>
      </c>
      <c r="M457" s="9">
        <f>'MH Measure Development'!BL197</f>
        <v>0</v>
      </c>
      <c r="N457" s="9">
        <f>'MH Measure Development'!BM197</f>
        <v>0</v>
      </c>
      <c r="O457" s="9">
        <f>'MH Measure Development'!BN197</f>
        <v>0</v>
      </c>
      <c r="P457" s="9">
        <f>'MH Measure Development'!BO197</f>
        <v>0</v>
      </c>
      <c r="Q457" s="9">
        <f>'MH Measure Development'!BP197</f>
        <v>0</v>
      </c>
    </row>
    <row r="458" spans="1:17">
      <c r="B458" s="545"/>
      <c r="C458" s="545"/>
    </row>
    <row r="459" spans="1:17">
      <c r="B459" s="545"/>
      <c r="C459" s="545"/>
    </row>
    <row r="460" spans="1:17">
      <c r="B460" s="545"/>
      <c r="C460" s="545"/>
    </row>
    <row r="461" spans="1:17">
      <c r="B461" s="545"/>
      <c r="C461" s="545"/>
    </row>
    <row r="462" spans="1:17">
      <c r="B462" s="545"/>
      <c r="C462" s="545"/>
    </row>
    <row r="463" spans="1:17">
      <c r="B463" s="545"/>
      <c r="C463" s="545"/>
    </row>
    <row r="464" spans="1:17">
      <c r="B464" s="545"/>
      <c r="C464" s="545"/>
    </row>
    <row r="465" spans="2:3">
      <c r="B465" s="545"/>
      <c r="C465" s="545"/>
    </row>
    <row r="466" spans="2:3">
      <c r="B466" s="545"/>
      <c r="C466" s="545"/>
    </row>
    <row r="467" spans="2:3">
      <c r="B467" s="545"/>
      <c r="C467" s="545"/>
    </row>
    <row r="468" spans="2:3">
      <c r="B468" s="545"/>
      <c r="C468" s="545"/>
    </row>
  </sheetData>
  <dataConsolidate/>
  <mergeCells count="2">
    <mergeCell ref="J6:O6"/>
    <mergeCell ref="P6:Q6"/>
  </mergeCells>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dimension ref="A2:F54"/>
  <sheetViews>
    <sheetView topLeftCell="A16" workbookViewId="0">
      <selection activeCell="B51" sqref="B51"/>
    </sheetView>
  </sheetViews>
  <sheetFormatPr defaultColWidth="8.85546875" defaultRowHeight="12.75"/>
  <cols>
    <col min="1" max="1" width="53.85546875" style="198" customWidth="1"/>
    <col min="2" max="3" width="8.85546875" style="198"/>
    <col min="4" max="4" width="32.28515625" style="472" customWidth="1"/>
    <col min="5" max="5" width="82" style="198" customWidth="1"/>
    <col min="6" max="16384" width="8.85546875" style="198"/>
  </cols>
  <sheetData>
    <row r="2" spans="1:5">
      <c r="A2" s="299" t="s">
        <v>1356</v>
      </c>
    </row>
    <row r="3" spans="1:5" ht="13.5" thickBot="1">
      <c r="A3" s="299"/>
    </row>
    <row r="4" spans="1:5" ht="13.5" thickBot="1">
      <c r="B4" s="473" t="s">
        <v>824</v>
      </c>
      <c r="C4" s="474" t="s">
        <v>825</v>
      </c>
      <c r="D4" s="475" t="s">
        <v>1126</v>
      </c>
      <c r="E4" s="476" t="s">
        <v>1127</v>
      </c>
    </row>
    <row r="5" spans="1:5" ht="27.75" customHeight="1">
      <c r="A5" s="477" t="s">
        <v>1128</v>
      </c>
      <c r="B5" s="478"/>
      <c r="C5" s="478"/>
      <c r="D5" s="479"/>
      <c r="E5" s="480"/>
    </row>
    <row r="6" spans="1:5" s="485" customFormat="1" ht="27.75" customHeight="1" thickBot="1">
      <c r="A6" s="481" t="s">
        <v>1129</v>
      </c>
      <c r="B6" s="482">
        <v>1.26</v>
      </c>
      <c r="C6" s="482">
        <v>9.5</v>
      </c>
      <c r="D6" s="483" t="s">
        <v>1130</v>
      </c>
      <c r="E6" s="484" t="s">
        <v>1131</v>
      </c>
    </row>
    <row r="7" spans="1:5" s="485" customFormat="1" ht="27.75" customHeight="1">
      <c r="A7" s="486" t="s">
        <v>1357</v>
      </c>
      <c r="B7" s="487"/>
      <c r="C7" s="487"/>
      <c r="D7" s="488"/>
      <c r="E7" s="489"/>
    </row>
    <row r="8" spans="1:5" s="485" customFormat="1" ht="27.75" customHeight="1" thickBot="1">
      <c r="A8" s="490" t="s">
        <v>1358</v>
      </c>
      <c r="B8" s="491">
        <v>2</v>
      </c>
      <c r="C8" s="492">
        <v>6</v>
      </c>
      <c r="D8" s="493" t="s">
        <v>1235</v>
      </c>
      <c r="E8" s="494" t="s">
        <v>1132</v>
      </c>
    </row>
    <row r="9" spans="1:5" s="485" customFormat="1" ht="27.75" customHeight="1">
      <c r="A9" s="486" t="s">
        <v>1133</v>
      </c>
      <c r="B9" s="487"/>
      <c r="C9" s="487"/>
      <c r="D9" s="488"/>
      <c r="E9" s="489"/>
    </row>
    <row r="10" spans="1:5" s="485" customFormat="1" ht="27.75" customHeight="1">
      <c r="A10" s="495" t="s">
        <v>205</v>
      </c>
      <c r="B10" s="496">
        <v>2</v>
      </c>
      <c r="C10" s="497">
        <v>6</v>
      </c>
      <c r="D10" s="498" t="s">
        <v>1134</v>
      </c>
      <c r="E10" s="499" t="s">
        <v>1135</v>
      </c>
    </row>
    <row r="11" spans="1:5" s="485" customFormat="1" ht="27.75" customHeight="1">
      <c r="A11" s="495" t="s">
        <v>206</v>
      </c>
      <c r="B11" s="496">
        <v>2.2000000000000002</v>
      </c>
      <c r="C11" s="497">
        <v>4.5</v>
      </c>
      <c r="D11" s="498" t="s">
        <v>1134</v>
      </c>
      <c r="E11" s="500" t="s">
        <v>1135</v>
      </c>
    </row>
    <row r="12" spans="1:5" s="485" customFormat="1" ht="13.5" thickBot="1">
      <c r="A12" s="490" t="s">
        <v>207</v>
      </c>
      <c r="B12" s="501">
        <v>2.4</v>
      </c>
      <c r="C12" s="502">
        <v>4</v>
      </c>
      <c r="D12" s="493" t="s">
        <v>1134</v>
      </c>
      <c r="E12" s="494" t="s">
        <v>1135</v>
      </c>
    </row>
    <row r="13" spans="1:5" ht="27.75" customHeight="1">
      <c r="A13" s="198" t="s">
        <v>1359</v>
      </c>
    </row>
    <row r="14" spans="1:5" ht="27.75" customHeight="1">
      <c r="A14" s="503"/>
    </row>
    <row r="16" spans="1:5" ht="27.75" customHeight="1">
      <c r="A16" s="299" t="s">
        <v>1224</v>
      </c>
      <c r="E16" s="299"/>
    </row>
    <row r="17" spans="1:6" ht="27.75" customHeight="1" thickBot="1"/>
    <row r="18" spans="1:6" ht="27.75" customHeight="1" thickBot="1">
      <c r="B18" s="553" t="s">
        <v>1225</v>
      </c>
      <c r="C18" s="554" t="s">
        <v>1122</v>
      </c>
      <c r="D18" s="555" t="s">
        <v>1126</v>
      </c>
      <c r="E18" s="556" t="s">
        <v>1127</v>
      </c>
      <c r="F18" s="747"/>
    </row>
    <row r="19" spans="1:6">
      <c r="A19" s="557" t="s">
        <v>1128</v>
      </c>
      <c r="B19" s="558"/>
      <c r="C19" s="558"/>
      <c r="D19" s="559"/>
      <c r="E19" s="560"/>
      <c r="F19" s="747"/>
    </row>
    <row r="20" spans="1:6">
      <c r="A20" s="561" t="s">
        <v>1226</v>
      </c>
      <c r="B20" s="562">
        <v>1.29</v>
      </c>
      <c r="C20" s="562">
        <v>8.4</v>
      </c>
      <c r="D20" s="563" t="s">
        <v>1227</v>
      </c>
      <c r="E20" s="499" t="s">
        <v>1228</v>
      </c>
      <c r="F20" s="748"/>
    </row>
    <row r="21" spans="1:6">
      <c r="A21" s="561" t="s">
        <v>1229</v>
      </c>
      <c r="B21" s="562">
        <v>1.84</v>
      </c>
      <c r="C21" s="562">
        <v>4.7</v>
      </c>
      <c r="D21" s="563" t="s">
        <v>1230</v>
      </c>
      <c r="E21" s="564" t="s">
        <v>1230</v>
      </c>
      <c r="F21" s="748"/>
    </row>
    <row r="22" spans="1:6">
      <c r="A22" s="561" t="s">
        <v>1231</v>
      </c>
      <c r="B22" s="562">
        <v>0.86</v>
      </c>
      <c r="C22" s="562">
        <v>14.4</v>
      </c>
      <c r="D22" s="563" t="s">
        <v>1230</v>
      </c>
      <c r="E22" s="564" t="s">
        <v>1230</v>
      </c>
      <c r="F22" s="747"/>
    </row>
    <row r="23" spans="1:6" ht="13.5" thickBot="1">
      <c r="A23" s="481" t="s">
        <v>1232</v>
      </c>
      <c r="B23" s="482">
        <v>1.1299999999999999</v>
      </c>
      <c r="C23" s="482">
        <v>8.3000000000000007</v>
      </c>
      <c r="D23" s="483" t="s">
        <v>1230</v>
      </c>
      <c r="E23" s="565" t="s">
        <v>1230</v>
      </c>
      <c r="F23" s="747"/>
    </row>
    <row r="24" spans="1:6">
      <c r="A24" s="566" t="s">
        <v>1233</v>
      </c>
      <c r="B24" s="567"/>
      <c r="C24" s="567"/>
      <c r="D24" s="568"/>
      <c r="E24" s="569"/>
      <c r="F24" s="747"/>
    </row>
    <row r="25" spans="1:6">
      <c r="A25" s="561" t="s">
        <v>1234</v>
      </c>
      <c r="B25" s="570">
        <v>2.06</v>
      </c>
      <c r="C25" s="571">
        <v>4.3</v>
      </c>
      <c r="D25" s="498" t="s">
        <v>1235</v>
      </c>
      <c r="E25" s="499" t="s">
        <v>1236</v>
      </c>
      <c r="F25" s="747"/>
    </row>
    <row r="26" spans="1:6">
      <c r="A26" s="561" t="s">
        <v>1237</v>
      </c>
      <c r="B26" s="570">
        <v>2.38</v>
      </c>
      <c r="C26" s="571">
        <v>3.7</v>
      </c>
      <c r="D26" s="498" t="s">
        <v>1230</v>
      </c>
      <c r="E26" s="564" t="s">
        <v>1230</v>
      </c>
      <c r="F26" s="747"/>
    </row>
    <row r="27" spans="1:6" ht="13.5" thickBot="1">
      <c r="A27" s="481" t="s">
        <v>1238</v>
      </c>
      <c r="B27" s="491">
        <v>2.0699999999999998</v>
      </c>
      <c r="C27" s="492">
        <v>4.2</v>
      </c>
      <c r="D27" s="493" t="s">
        <v>1230</v>
      </c>
      <c r="E27" s="565" t="s">
        <v>1230</v>
      </c>
      <c r="F27" s="747"/>
    </row>
    <row r="28" spans="1:6">
      <c r="A28" s="572" t="s">
        <v>1239</v>
      </c>
      <c r="B28" s="573"/>
      <c r="C28" s="573"/>
      <c r="D28" s="574"/>
      <c r="E28" s="575"/>
      <c r="F28" s="747"/>
    </row>
    <row r="29" spans="1:6">
      <c r="A29" s="495" t="s">
        <v>1240</v>
      </c>
      <c r="B29" s="496">
        <v>2.38</v>
      </c>
      <c r="C29" s="497">
        <v>3.7</v>
      </c>
      <c r="D29" s="498" t="s">
        <v>1241</v>
      </c>
      <c r="E29" s="576" t="s">
        <v>1242</v>
      </c>
      <c r="F29" s="748"/>
    </row>
    <row r="30" spans="1:6">
      <c r="A30" s="495" t="s">
        <v>1243</v>
      </c>
      <c r="B30" s="496">
        <v>2.76</v>
      </c>
      <c r="C30" s="497">
        <v>3.5</v>
      </c>
      <c r="D30" s="498" t="s">
        <v>1230</v>
      </c>
      <c r="E30" s="564" t="s">
        <v>1230</v>
      </c>
      <c r="F30" s="748"/>
    </row>
    <row r="31" spans="1:6" ht="13.5" thickBot="1">
      <c r="A31" s="490" t="s">
        <v>1244</v>
      </c>
      <c r="B31" s="501">
        <v>2.92</v>
      </c>
      <c r="C31" s="502">
        <v>3.2</v>
      </c>
      <c r="D31" s="493" t="s">
        <v>1230</v>
      </c>
      <c r="E31" s="565" t="s">
        <v>1230</v>
      </c>
      <c r="F31" s="748"/>
    </row>
    <row r="32" spans="1:6">
      <c r="A32" s="504"/>
    </row>
    <row r="33" spans="1:5">
      <c r="A33" s="504"/>
    </row>
    <row r="34" spans="1:5">
      <c r="A34" s="577"/>
      <c r="B34" s="384"/>
      <c r="C34" s="384"/>
      <c r="D34" s="578"/>
      <c r="E34" s="384"/>
    </row>
    <row r="35" spans="1:5">
      <c r="A35" s="299" t="s">
        <v>1550</v>
      </c>
    </row>
    <row r="36" spans="1:5" ht="13.5" thickBot="1"/>
    <row r="37" spans="1:5" ht="13.5" thickBot="1">
      <c r="B37" s="553" t="s">
        <v>1225</v>
      </c>
      <c r="C37" s="554" t="s">
        <v>1122</v>
      </c>
      <c r="D37" s="555" t="s">
        <v>1126</v>
      </c>
      <c r="E37" s="556" t="s">
        <v>1127</v>
      </c>
    </row>
    <row r="38" spans="1:5">
      <c r="A38" s="557" t="s">
        <v>1128</v>
      </c>
      <c r="B38" s="558"/>
      <c r="C38" s="558"/>
      <c r="D38" s="559"/>
      <c r="E38" s="560"/>
    </row>
    <row r="39" spans="1:5">
      <c r="A39" s="561" t="s">
        <v>1226</v>
      </c>
      <c r="B39" s="562">
        <v>1.57</v>
      </c>
      <c r="C39" s="562">
        <v>6.5</v>
      </c>
      <c r="D39" s="563" t="s">
        <v>1227</v>
      </c>
      <c r="E39" s="499" t="s">
        <v>1228</v>
      </c>
    </row>
    <row r="40" spans="1:5">
      <c r="A40" s="561" t="s">
        <v>1229</v>
      </c>
      <c r="B40" s="562">
        <v>1.84</v>
      </c>
      <c r="C40" s="562">
        <v>4.7</v>
      </c>
      <c r="D40" s="563" t="s">
        <v>1230</v>
      </c>
      <c r="E40" s="564" t="s">
        <v>1230</v>
      </c>
    </row>
    <row r="41" spans="1:5">
      <c r="A41" s="561" t="s">
        <v>1231</v>
      </c>
      <c r="B41" s="562">
        <v>1.1499999999999999</v>
      </c>
      <c r="C41" s="562">
        <v>12</v>
      </c>
      <c r="D41" s="563" t="s">
        <v>1230</v>
      </c>
      <c r="E41" s="564" t="s">
        <v>1230</v>
      </c>
    </row>
    <row r="42" spans="1:5" ht="13.5" thickBot="1">
      <c r="A42" s="481" t="s">
        <v>1232</v>
      </c>
      <c r="B42" s="482">
        <v>1.1299999999999999</v>
      </c>
      <c r="C42" s="482">
        <v>8.3000000000000007</v>
      </c>
      <c r="D42" s="483" t="s">
        <v>1230</v>
      </c>
      <c r="E42" s="565" t="s">
        <v>1230</v>
      </c>
    </row>
    <row r="43" spans="1:5">
      <c r="A43" s="566" t="s">
        <v>1233</v>
      </c>
      <c r="B43" s="567"/>
      <c r="C43" s="567"/>
      <c r="D43" s="568"/>
      <c r="E43" s="569"/>
    </row>
    <row r="44" spans="1:5">
      <c r="A44" s="561" t="s">
        <v>1234</v>
      </c>
      <c r="B44" s="570"/>
      <c r="C44" s="571"/>
      <c r="D44" s="498" t="s">
        <v>1565</v>
      </c>
      <c r="E44" s="499"/>
    </row>
    <row r="45" spans="1:5">
      <c r="A45" s="561" t="s">
        <v>1237</v>
      </c>
      <c r="B45" s="570"/>
      <c r="C45" s="571"/>
      <c r="D45" s="498"/>
      <c r="E45" s="564"/>
    </row>
    <row r="46" spans="1:5" ht="13.5" thickBot="1">
      <c r="A46" s="481" t="s">
        <v>1238</v>
      </c>
      <c r="B46" s="491"/>
      <c r="C46" s="492"/>
      <c r="D46" s="493"/>
      <c r="E46" s="565"/>
    </row>
    <row r="47" spans="1:5">
      <c r="A47" s="572" t="s">
        <v>1239</v>
      </c>
      <c r="B47" s="573"/>
      <c r="C47" s="573"/>
      <c r="D47" s="574"/>
      <c r="E47" s="575"/>
    </row>
    <row r="48" spans="1:5" ht="51" customHeight="1">
      <c r="A48" s="495" t="s">
        <v>1240</v>
      </c>
      <c r="B48" s="496">
        <v>2.38</v>
      </c>
      <c r="C48" s="497">
        <v>3.7</v>
      </c>
      <c r="D48" s="900" t="s">
        <v>1566</v>
      </c>
      <c r="E48" s="576"/>
    </row>
    <row r="49" spans="1:5">
      <c r="A49" s="495" t="s">
        <v>1243</v>
      </c>
      <c r="B49" s="496">
        <v>2.76</v>
      </c>
      <c r="C49" s="497">
        <v>3.5</v>
      </c>
      <c r="D49" s="901"/>
      <c r="E49" s="564"/>
    </row>
    <row r="50" spans="1:5" ht="13.5" thickBot="1">
      <c r="A50" s="490" t="s">
        <v>1244</v>
      </c>
      <c r="B50" s="501">
        <v>2.92</v>
      </c>
      <c r="C50" s="502">
        <v>3.2</v>
      </c>
      <c r="D50" s="902"/>
      <c r="E50" s="565"/>
    </row>
    <row r="51" spans="1:5">
      <c r="A51" s="384"/>
      <c r="B51" s="384"/>
      <c r="C51" s="384"/>
      <c r="D51" s="384"/>
      <c r="E51" s="384"/>
    </row>
    <row r="52" spans="1:5">
      <c r="A52" s="579"/>
      <c r="B52" s="580"/>
      <c r="C52" s="580"/>
      <c r="D52" s="580"/>
      <c r="E52" s="580"/>
    </row>
    <row r="53" spans="1:5">
      <c r="A53" s="577"/>
      <c r="B53" s="749"/>
      <c r="C53" s="384"/>
      <c r="D53" s="749"/>
      <c r="E53" s="384"/>
    </row>
    <row r="54" spans="1:5">
      <c r="A54" s="577"/>
      <c r="B54" s="749"/>
      <c r="C54" s="384"/>
      <c r="D54" s="749"/>
      <c r="E54" s="384"/>
    </row>
  </sheetData>
  <mergeCells count="1">
    <mergeCell ref="D48:D50"/>
  </mergeCells>
  <hyperlinks>
    <hyperlink ref="E6" r:id="rId1"/>
    <hyperlink ref="E10" r:id="rId2"/>
    <hyperlink ref="E8" r:id="rId3"/>
    <hyperlink ref="E11" r:id="rId4"/>
    <hyperlink ref="E12" r:id="rId5"/>
    <hyperlink ref="E20" r:id="rId6"/>
    <hyperlink ref="E25" r:id="rId7"/>
    <hyperlink ref="E39" r:id="rId8"/>
  </hyperlinks>
  <pageMargins left="0.7" right="0.7" top="0.75" bottom="0.75" header="0.3" footer="0.3"/>
  <pageSetup orientation="portrait" verticalDpi="0" r:id="rId9"/>
  <drawing r:id="rId10"/>
  <legacyDrawing r:id="rId11"/>
</worksheet>
</file>

<file path=xl/worksheets/sheet13.xml><?xml version="1.0" encoding="utf-8"?>
<worksheet xmlns="http://schemas.openxmlformats.org/spreadsheetml/2006/main" xmlns:r="http://schemas.openxmlformats.org/officeDocument/2006/relationships">
  <sheetPr codeName="Sheet12"/>
  <dimension ref="A1:M186"/>
  <sheetViews>
    <sheetView topLeftCell="A7" zoomScaleNormal="100" workbookViewId="0">
      <selection activeCell="E26" sqref="E26"/>
    </sheetView>
  </sheetViews>
  <sheetFormatPr defaultColWidth="8.85546875" defaultRowHeight="15"/>
  <cols>
    <col min="1" max="1" width="47" style="124" customWidth="1"/>
    <col min="2" max="2" width="14.42578125" style="124" customWidth="1"/>
    <col min="3" max="3" width="18.7109375" style="124" customWidth="1"/>
    <col min="4" max="4" width="38.42578125" style="124" customWidth="1"/>
    <col min="5" max="5" width="14.42578125" style="124" customWidth="1"/>
    <col min="6" max="6" width="13.7109375" style="124" customWidth="1"/>
    <col min="7" max="7" width="31.7109375" style="124" customWidth="1"/>
    <col min="8" max="9" width="8.85546875" style="124"/>
    <col min="10" max="12" width="15.5703125" style="124" customWidth="1"/>
    <col min="13" max="16384" width="8.85546875" style="124"/>
  </cols>
  <sheetData>
    <row r="1" spans="1:13" s="84" customFormat="1">
      <c r="A1" s="82" t="s">
        <v>166</v>
      </c>
      <c r="B1" s="83"/>
      <c r="C1" s="83"/>
      <c r="D1" s="83"/>
      <c r="E1" s="83"/>
      <c r="F1" s="83"/>
      <c r="G1" s="83"/>
    </row>
    <row r="2" spans="1:13" s="88" customFormat="1">
      <c r="A2" s="85"/>
      <c r="B2" s="85"/>
      <c r="C2" s="86" t="s">
        <v>167</v>
      </c>
      <c r="D2" s="87" t="s">
        <v>168</v>
      </c>
      <c r="I2" s="131"/>
      <c r="J2" s="903">
        <v>2013</v>
      </c>
      <c r="K2" s="904"/>
      <c r="L2" s="905"/>
    </row>
    <row r="3" spans="1:13" s="88" customFormat="1" ht="32.25" customHeight="1">
      <c r="A3" s="906" t="s">
        <v>169</v>
      </c>
      <c r="B3" s="906"/>
      <c r="C3" s="89">
        <f>4.92*52.1775</f>
        <v>256.7133</v>
      </c>
      <c r="D3" s="907" t="s">
        <v>170</v>
      </c>
      <c r="E3" s="907"/>
      <c r="F3" s="907"/>
      <c r="G3" s="907"/>
      <c r="I3" s="132"/>
      <c r="J3" s="908" t="s">
        <v>326</v>
      </c>
      <c r="K3" s="909"/>
      <c r="L3" s="910"/>
    </row>
    <row r="4" spans="1:13" s="88" customFormat="1" ht="32.25" customHeight="1">
      <c r="A4" s="906" t="s">
        <v>1245</v>
      </c>
      <c r="B4" s="906"/>
      <c r="C4" s="581">
        <v>0.89200000000000002</v>
      </c>
      <c r="D4" s="907" t="s">
        <v>1246</v>
      </c>
      <c r="E4" s="907"/>
      <c r="F4" s="907"/>
      <c r="G4" s="907"/>
      <c r="I4" s="132"/>
      <c r="J4" s="133" t="s">
        <v>328</v>
      </c>
      <c r="K4" s="134" t="s">
        <v>329</v>
      </c>
      <c r="L4" s="134" t="s">
        <v>330</v>
      </c>
    </row>
    <row r="5" spans="1:13" s="88" customFormat="1" ht="34.5" customHeight="1">
      <c r="A5" s="907" t="s">
        <v>1247</v>
      </c>
      <c r="B5" s="907"/>
      <c r="C5" s="90">
        <f>L9</f>
        <v>0.54313</v>
      </c>
      <c r="D5" s="907" t="s">
        <v>327</v>
      </c>
      <c r="E5" s="907"/>
      <c r="F5" s="907"/>
      <c r="G5" s="907"/>
      <c r="I5" s="135" t="s">
        <v>331</v>
      </c>
      <c r="J5" s="136">
        <v>0.43</v>
      </c>
      <c r="K5" s="137">
        <v>0</v>
      </c>
      <c r="L5" s="137">
        <v>0.57000000000000006</v>
      </c>
    </row>
    <row r="6" spans="1:13" s="88" customFormat="1" ht="33.75" customHeight="1">
      <c r="A6" s="907" t="s">
        <v>1248</v>
      </c>
      <c r="B6" s="907"/>
      <c r="C6" s="90">
        <f ca="1">'SavingsData&amp;Analysis'!BD2/'SavingsData&amp;Analysis'!AX2</f>
        <v>0.31021897810218979</v>
      </c>
      <c r="D6" s="907" t="s">
        <v>1567</v>
      </c>
      <c r="E6" s="907"/>
      <c r="F6" s="907"/>
      <c r="G6" s="907"/>
      <c r="I6" s="135" t="s">
        <v>332</v>
      </c>
      <c r="J6" s="136">
        <v>0.44</v>
      </c>
      <c r="K6" s="137">
        <v>0</v>
      </c>
      <c r="L6" s="137">
        <v>0.56000000000000005</v>
      </c>
    </row>
    <row r="7" spans="1:13" s="88" customFormat="1" ht="48.75" customHeight="1">
      <c r="A7" s="907" t="s">
        <v>171</v>
      </c>
      <c r="B7" s="907"/>
      <c r="C7" s="91">
        <v>14</v>
      </c>
      <c r="D7" s="907" t="s">
        <v>172</v>
      </c>
      <c r="E7" s="907"/>
      <c r="F7" s="907"/>
      <c r="G7" s="907"/>
      <c r="I7" s="135" t="s">
        <v>333</v>
      </c>
      <c r="J7" s="136">
        <v>0.46</v>
      </c>
      <c r="K7" s="137">
        <v>0</v>
      </c>
      <c r="L7" s="137">
        <v>0.54</v>
      </c>
    </row>
    <row r="8" spans="1:13" s="88" customFormat="1" ht="31.5" customHeight="1">
      <c r="A8" s="92" t="s">
        <v>1249</v>
      </c>
      <c r="B8" s="93"/>
      <c r="C8" s="94">
        <f ca="1">'SavingsData&amp;Analysis'!BH11</f>
        <v>3.7770072992700716</v>
      </c>
      <c r="D8" s="907" t="s">
        <v>1250</v>
      </c>
      <c r="E8" s="907"/>
      <c r="F8" s="907"/>
      <c r="G8" s="907"/>
      <c r="I8" s="135" t="s">
        <v>334</v>
      </c>
      <c r="J8" s="136">
        <v>0.46</v>
      </c>
      <c r="K8" s="137">
        <v>0</v>
      </c>
      <c r="L8" s="137">
        <v>0.54</v>
      </c>
    </row>
    <row r="9" spans="1:13" s="88" customFormat="1" ht="30.75" customHeight="1">
      <c r="A9" s="92" t="s">
        <v>173</v>
      </c>
      <c r="C9" s="95">
        <v>0.18525826938380099</v>
      </c>
      <c r="D9" s="912" t="s">
        <v>1251</v>
      </c>
      <c r="E9" s="912"/>
      <c r="F9" s="912"/>
      <c r="G9" s="912"/>
      <c r="I9" s="138" t="s">
        <v>335</v>
      </c>
      <c r="J9" s="137">
        <v>0.45687</v>
      </c>
      <c r="K9" s="137">
        <v>0</v>
      </c>
      <c r="L9" s="137">
        <v>0.54313</v>
      </c>
      <c r="M9" s="84"/>
    </row>
    <row r="10" spans="1:13" s="88" customFormat="1">
      <c r="I10" s="110"/>
      <c r="J10" s="84"/>
      <c r="K10" s="84"/>
      <c r="L10" s="84"/>
      <c r="M10" s="84"/>
    </row>
    <row r="11" spans="1:13" s="84" customFormat="1">
      <c r="J11" s="110"/>
    </row>
    <row r="12" spans="1:13" s="84" customFormat="1">
      <c r="A12" s="82" t="s">
        <v>174</v>
      </c>
      <c r="B12" s="83"/>
      <c r="C12" s="83"/>
      <c r="D12" s="83"/>
      <c r="E12" s="83"/>
      <c r="F12" s="83"/>
      <c r="G12" s="83"/>
      <c r="I12" s="88"/>
      <c r="J12" s="88"/>
      <c r="K12" s="88"/>
      <c r="L12" s="88"/>
      <c r="M12" s="88"/>
    </row>
    <row r="13" spans="1:13" s="84" customFormat="1">
      <c r="A13" s="96" t="s">
        <v>175</v>
      </c>
      <c r="B13" s="96" t="s">
        <v>176</v>
      </c>
      <c r="I13" s="88"/>
      <c r="J13" s="88"/>
      <c r="K13" s="88"/>
      <c r="L13" s="88"/>
      <c r="M13" s="88"/>
    </row>
    <row r="14" spans="1:13" s="88" customFormat="1">
      <c r="A14" s="88" t="s">
        <v>177</v>
      </c>
      <c r="B14" s="97">
        <v>1</v>
      </c>
      <c r="I14" s="98"/>
      <c r="J14" s="98"/>
      <c r="K14" s="98"/>
      <c r="L14" s="98"/>
      <c r="M14" s="98"/>
    </row>
    <row r="15" spans="1:13" s="88" customFormat="1">
      <c r="A15" s="88" t="s">
        <v>178</v>
      </c>
      <c r="B15" s="97">
        <v>0</v>
      </c>
    </row>
    <row r="16" spans="1:13" s="88" customFormat="1">
      <c r="A16" s="88" t="s">
        <v>179</v>
      </c>
      <c r="B16" s="97">
        <v>0.55200000000000005</v>
      </c>
      <c r="C16" s="98" t="s">
        <v>180</v>
      </c>
      <c r="D16" s="98"/>
      <c r="E16" s="98"/>
      <c r="F16" s="98"/>
      <c r="G16" s="98"/>
      <c r="H16" s="98"/>
    </row>
    <row r="17" spans="1:13" s="88" customFormat="1">
      <c r="A17" s="99" t="s">
        <v>175</v>
      </c>
      <c r="B17" s="99" t="s">
        <v>181</v>
      </c>
    </row>
    <row r="18" spans="1:13" s="88" customFormat="1">
      <c r="A18" s="88" t="s">
        <v>182</v>
      </c>
      <c r="B18" s="97">
        <v>1</v>
      </c>
      <c r="I18" s="98"/>
      <c r="J18" s="98"/>
      <c r="K18" s="98"/>
      <c r="L18" s="98"/>
      <c r="M18" s="98"/>
    </row>
    <row r="19" spans="1:13" s="88" customFormat="1">
      <c r="A19" s="88" t="s">
        <v>183</v>
      </c>
      <c r="B19" s="97">
        <v>0</v>
      </c>
      <c r="C19" s="88" t="s">
        <v>184</v>
      </c>
      <c r="I19" s="84"/>
      <c r="J19" s="84"/>
      <c r="K19" s="84"/>
      <c r="L19" s="84"/>
      <c r="M19" s="84"/>
    </row>
    <row r="20" spans="1:13" s="88" customFormat="1">
      <c r="A20" s="88" t="s">
        <v>185</v>
      </c>
      <c r="B20" s="97">
        <v>0.95</v>
      </c>
      <c r="C20" s="98" t="s">
        <v>180</v>
      </c>
      <c r="D20" s="98"/>
      <c r="E20" s="98"/>
      <c r="F20" s="98"/>
      <c r="G20" s="98"/>
      <c r="H20" s="98"/>
      <c r="I20" s="84"/>
      <c r="J20" s="84"/>
      <c r="K20" s="84"/>
      <c r="L20" s="84"/>
      <c r="M20" s="84"/>
    </row>
    <row r="21" spans="1:13" s="84" customFormat="1"/>
    <row r="22" spans="1:13" s="84" customFormat="1"/>
    <row r="23" spans="1:13" s="84" customFormat="1">
      <c r="A23" s="82" t="s">
        <v>186</v>
      </c>
      <c r="B23" s="83"/>
      <c r="C23" s="83"/>
      <c r="D23" s="83"/>
      <c r="E23" s="83"/>
      <c r="F23" s="83"/>
      <c r="G23" s="83"/>
    </row>
    <row r="24" spans="1:13" s="84" customFormat="1" ht="19.5" customHeight="1">
      <c r="A24" s="911" t="s">
        <v>1252</v>
      </c>
      <c r="B24" s="911"/>
      <c r="C24" s="911"/>
      <c r="D24" s="911"/>
      <c r="E24" s="911"/>
      <c r="F24" s="911"/>
      <c r="G24" s="911"/>
      <c r="I24" s="88"/>
      <c r="J24" s="88"/>
      <c r="K24" s="88"/>
      <c r="L24" s="88"/>
      <c r="M24" s="88"/>
    </row>
    <row r="25" spans="1:13" s="84" customFormat="1" ht="19.5" customHeight="1">
      <c r="A25" s="911"/>
      <c r="B25" s="911"/>
      <c r="C25" s="911"/>
      <c r="D25" s="911"/>
      <c r="E25" s="911"/>
      <c r="F25" s="911"/>
      <c r="G25" s="911"/>
      <c r="I25" s="88"/>
      <c r="J25" s="88"/>
      <c r="K25" s="88"/>
      <c r="L25" s="88"/>
      <c r="M25" s="88"/>
    </row>
    <row r="26" spans="1:13" s="88" customFormat="1">
      <c r="A26" s="100" t="s">
        <v>187</v>
      </c>
      <c r="C26" s="885">
        <f>'[3]Savings and Cost'!$F$21</f>
        <v>3.6841444395749776</v>
      </c>
      <c r="D26" s="100" t="s">
        <v>188</v>
      </c>
      <c r="E26" s="88" t="s">
        <v>1651</v>
      </c>
    </row>
    <row r="27" spans="1:13" s="88" customFormat="1">
      <c r="A27" s="100" t="s">
        <v>189</v>
      </c>
      <c r="C27" s="102">
        <v>13.844487905012464</v>
      </c>
      <c r="D27" s="100" t="s">
        <v>190</v>
      </c>
    </row>
    <row r="28" spans="1:13" s="88" customFormat="1">
      <c r="A28" s="103"/>
      <c r="B28" s="104"/>
      <c r="D28" s="104"/>
      <c r="E28" s="104"/>
    </row>
    <row r="29" spans="1:13" s="88" customFormat="1">
      <c r="I29" s="84"/>
      <c r="J29" s="84"/>
      <c r="K29" s="84"/>
      <c r="L29" s="84"/>
      <c r="M29" s="84"/>
    </row>
    <row r="30" spans="1:13" s="88" customFormat="1"/>
    <row r="31" spans="1:13" s="84" customFormat="1">
      <c r="A31" s="82" t="s">
        <v>191</v>
      </c>
      <c r="B31" s="83"/>
      <c r="C31" s="83"/>
      <c r="D31" s="83"/>
      <c r="E31" s="83"/>
      <c r="F31" s="83"/>
      <c r="G31" s="83"/>
      <c r="I31" s="88"/>
      <c r="J31" s="88"/>
      <c r="K31" s="88"/>
      <c r="L31" s="88"/>
      <c r="M31" s="88"/>
    </row>
    <row r="32" spans="1:13" s="88" customFormat="1">
      <c r="A32" s="101">
        <v>1</v>
      </c>
      <c r="B32" s="88" t="s">
        <v>192</v>
      </c>
    </row>
    <row r="33" spans="1:13" s="88" customFormat="1">
      <c r="A33" s="105">
        <v>2.9329719999999999E-4</v>
      </c>
      <c r="B33" s="88" t="s">
        <v>193</v>
      </c>
    </row>
    <row r="34" spans="1:13" s="88" customFormat="1">
      <c r="A34" s="106">
        <f>1/8.345</f>
        <v>0.11983223487118033</v>
      </c>
      <c r="B34" s="88" t="s">
        <v>194</v>
      </c>
      <c r="I34" s="84"/>
      <c r="J34" s="84"/>
      <c r="K34" s="84"/>
      <c r="L34" s="84"/>
      <c r="M34" s="84"/>
    </row>
    <row r="35" spans="1:13" s="88" customFormat="1">
      <c r="A35" s="105">
        <f>A32*A33/A34</f>
        <v>2.4475651340000004E-3</v>
      </c>
      <c r="B35" s="88" t="s">
        <v>195</v>
      </c>
      <c r="I35" s="84"/>
      <c r="J35" s="84"/>
      <c r="K35" s="84"/>
      <c r="L35" s="84"/>
      <c r="M35" s="84"/>
    </row>
    <row r="36" spans="1:13" s="84" customFormat="1"/>
    <row r="37" spans="1:13" s="84" customFormat="1">
      <c r="A37" s="82" t="s">
        <v>196</v>
      </c>
      <c r="B37" s="83"/>
      <c r="C37" s="83"/>
      <c r="D37" s="83"/>
      <c r="E37" s="83"/>
      <c r="F37" s="83"/>
      <c r="G37" s="83"/>
      <c r="I37" s="88"/>
      <c r="J37" s="88"/>
      <c r="K37" s="88"/>
      <c r="L37" s="88"/>
      <c r="M37" s="88"/>
    </row>
    <row r="38" spans="1:13" s="84" customFormat="1">
      <c r="A38" s="582" t="s">
        <v>1251</v>
      </c>
      <c r="I38" s="88"/>
      <c r="J38" s="88"/>
      <c r="K38" s="88"/>
      <c r="L38" s="88"/>
      <c r="M38" s="88"/>
    </row>
    <row r="39" spans="1:13" s="88" customFormat="1">
      <c r="B39" s="97"/>
    </row>
    <row r="40" spans="1:13" s="88" customFormat="1">
      <c r="A40" s="107" t="s">
        <v>197</v>
      </c>
      <c r="B40" s="108" t="s">
        <v>198</v>
      </c>
    </row>
    <row r="41" spans="1:13" s="88" customFormat="1">
      <c r="A41" s="108"/>
      <c r="B41" s="109" t="s">
        <v>199</v>
      </c>
    </row>
    <row r="42" spans="1:13" s="88" customFormat="1">
      <c r="A42" s="583">
        <v>2003</v>
      </c>
      <c r="B42" s="584">
        <v>1.0940643717281311</v>
      </c>
    </row>
    <row r="43" spans="1:13" s="88" customFormat="1">
      <c r="A43" s="583">
        <v>2004</v>
      </c>
      <c r="B43" s="584">
        <v>1.0645276947042166</v>
      </c>
    </row>
    <row r="44" spans="1:13" s="88" customFormat="1">
      <c r="A44" s="583">
        <v>2005</v>
      </c>
      <c r="B44" s="584">
        <v>1.0335426999999999</v>
      </c>
    </row>
    <row r="45" spans="1:13" s="88" customFormat="1">
      <c r="A45" s="583">
        <v>2006</v>
      </c>
      <c r="B45" s="585">
        <v>1</v>
      </c>
    </row>
    <row r="46" spans="1:13" s="88" customFormat="1">
      <c r="A46" s="583">
        <v>2007</v>
      </c>
      <c r="B46" s="584">
        <v>0.97329963761977745</v>
      </c>
    </row>
    <row r="47" spans="1:13" s="88" customFormat="1">
      <c r="A47" s="583">
        <v>2008</v>
      </c>
      <c r="B47" s="584">
        <v>0.95565941982820291</v>
      </c>
    </row>
    <row r="48" spans="1:13" s="88" customFormat="1">
      <c r="A48" s="583">
        <v>2009</v>
      </c>
      <c r="B48" s="584">
        <v>0.94692526782402087</v>
      </c>
    </row>
    <row r="49" spans="1:13" s="88" customFormat="1">
      <c r="A49" s="583">
        <v>2010</v>
      </c>
      <c r="B49" s="584">
        <v>0.93697377860065689</v>
      </c>
      <c r="I49" s="84"/>
      <c r="J49" s="84"/>
      <c r="K49" s="84"/>
      <c r="L49" s="84"/>
      <c r="M49" s="84"/>
    </row>
    <row r="50" spans="1:13" s="88" customFormat="1">
      <c r="A50" s="583">
        <v>2011</v>
      </c>
      <c r="B50" s="584">
        <v>0.91838020951532329</v>
      </c>
      <c r="I50" s="84"/>
      <c r="J50" s="84"/>
      <c r="K50" s="84"/>
      <c r="L50" s="84"/>
      <c r="M50" s="84"/>
    </row>
    <row r="51" spans="1:13" s="84" customFormat="1">
      <c r="A51" s="583">
        <v>2012</v>
      </c>
      <c r="B51" s="584">
        <v>0.90305488179949944</v>
      </c>
      <c r="D51" s="110" t="s">
        <v>200</v>
      </c>
    </row>
    <row r="52" spans="1:13" s="84" customFormat="1">
      <c r="B52" s="88"/>
    </row>
    <row r="53" spans="1:13" s="84" customFormat="1">
      <c r="A53" s="82" t="s">
        <v>201</v>
      </c>
      <c r="B53" s="83"/>
      <c r="C53" s="83"/>
      <c r="D53" s="83"/>
      <c r="E53" s="83"/>
      <c r="F53" s="83"/>
      <c r="G53" s="83"/>
    </row>
    <row r="54" spans="1:13" s="84" customFormat="1">
      <c r="A54" s="111" t="s">
        <v>202</v>
      </c>
      <c r="B54" s="112" t="s">
        <v>1253</v>
      </c>
      <c r="C54" s="113" t="s">
        <v>1254</v>
      </c>
      <c r="D54" s="113" t="s">
        <v>203</v>
      </c>
      <c r="E54" s="113" t="s">
        <v>1255</v>
      </c>
      <c r="F54" s="113" t="s">
        <v>1256</v>
      </c>
    </row>
    <row r="55" spans="1:13" s="84" customFormat="1">
      <c r="A55" s="114" t="s">
        <v>1257</v>
      </c>
      <c r="B55" s="115">
        <f>'Eff. Standards &amp; Certifications'!B20</f>
        <v>1.29</v>
      </c>
      <c r="C55" s="115">
        <f>'SavingsData&amp;Analysis'!BJ19</f>
        <v>3.1575999999999995</v>
      </c>
      <c r="D55" s="116"/>
      <c r="E55" s="119">
        <f>'SavingsData&amp;Analysis'!BL18</f>
        <v>3.6925800000000004</v>
      </c>
      <c r="F55" s="119">
        <f>'Eff. Standards &amp; Certifications'!C20</f>
        <v>8.4</v>
      </c>
    </row>
    <row r="56" spans="1:13" s="84" customFormat="1">
      <c r="A56" s="114" t="s">
        <v>1258</v>
      </c>
      <c r="B56" s="115">
        <f>'Eff. Standards &amp; Certifications'!B21</f>
        <v>1.84</v>
      </c>
      <c r="C56" s="115">
        <f>'SavingsData&amp;Analysis'!BK19</f>
        <v>3.3749599999999997</v>
      </c>
      <c r="D56" s="116"/>
      <c r="E56" s="119">
        <f>'SavingsData&amp;Analysis'!BM18</f>
        <v>2.6777000000000002</v>
      </c>
      <c r="F56" s="119">
        <f>'Eff. Standards &amp; Certifications'!C21</f>
        <v>4.7</v>
      </c>
    </row>
    <row r="57" spans="1:13" s="84" customFormat="1">
      <c r="A57" s="114" t="s">
        <v>1259</v>
      </c>
      <c r="B57" s="115">
        <f>B55</f>
        <v>1.29</v>
      </c>
      <c r="C57" s="115">
        <f>B59-0.01</f>
        <v>2.0500000000000003</v>
      </c>
      <c r="D57" s="116"/>
      <c r="E57" s="117">
        <f>F59+0.01</f>
        <v>4.3099999999999996</v>
      </c>
      <c r="F57" s="119">
        <f>F55</f>
        <v>8.4</v>
      </c>
    </row>
    <row r="58" spans="1:13" s="84" customFormat="1">
      <c r="A58" s="114" t="s">
        <v>1260</v>
      </c>
      <c r="B58" s="115">
        <f>B56</f>
        <v>1.84</v>
      </c>
      <c r="C58" s="115">
        <f>B60-0.01</f>
        <v>2.37</v>
      </c>
      <c r="D58" s="116"/>
      <c r="E58" s="117">
        <f>F60+0.01</f>
        <v>3.71</v>
      </c>
      <c r="F58" s="119">
        <f>F56</f>
        <v>4.7</v>
      </c>
    </row>
    <row r="59" spans="1:13" s="84" customFormat="1">
      <c r="A59" s="110" t="s">
        <v>1261</v>
      </c>
      <c r="B59" s="115">
        <f>'Eff. Standards &amp; Certifications'!B25</f>
        <v>2.06</v>
      </c>
      <c r="C59" s="115">
        <f>C55</f>
        <v>3.1575999999999995</v>
      </c>
      <c r="D59" s="98" t="str">
        <f t="shared" ref="D59:D63" si="0">A59</f>
        <v>ENERGY STAR - Top-Load</v>
      </c>
      <c r="E59" s="119">
        <f>E55</f>
        <v>3.6925800000000004</v>
      </c>
      <c r="F59" s="119">
        <f>'Eff. Standards &amp; Certifications'!C25</f>
        <v>4.3</v>
      </c>
    </row>
    <row r="60" spans="1:13" s="84" customFormat="1">
      <c r="A60" s="110" t="s">
        <v>1262</v>
      </c>
      <c r="B60" s="115">
        <f>'Eff. Standards &amp; Certifications'!B26</f>
        <v>2.38</v>
      </c>
      <c r="C60" s="115">
        <f>C56</f>
        <v>3.3749599999999997</v>
      </c>
      <c r="D60" s="98" t="str">
        <f t="shared" si="0"/>
        <v>ENERGY STAR - Front-Load</v>
      </c>
      <c r="E60" s="119">
        <f>E56</f>
        <v>2.6777000000000002</v>
      </c>
      <c r="F60" s="119">
        <f>'Eff. Standards &amp; Certifications'!C26</f>
        <v>3.7</v>
      </c>
    </row>
    <row r="61" spans="1:13" s="84" customFormat="1">
      <c r="A61" s="101" t="s">
        <v>205</v>
      </c>
      <c r="B61" s="115">
        <f>'Eff. Standards &amp; Certifications'!B29</f>
        <v>2.38</v>
      </c>
      <c r="C61" s="115">
        <f>B62-0.01</f>
        <v>2.75</v>
      </c>
      <c r="D61" s="98" t="str">
        <f t="shared" si="0"/>
        <v>CEE Tier 1</v>
      </c>
      <c r="E61" s="117">
        <f>F62+0.01</f>
        <v>3.51</v>
      </c>
      <c r="F61" s="119">
        <f>'Eff. Standards &amp; Certifications'!C29</f>
        <v>3.7</v>
      </c>
      <c r="I61" s="124"/>
      <c r="J61" s="124"/>
      <c r="K61" s="124"/>
      <c r="L61" s="124"/>
      <c r="M61" s="124"/>
    </row>
    <row r="62" spans="1:13" s="84" customFormat="1">
      <c r="A62" s="586" t="s">
        <v>206</v>
      </c>
      <c r="B62" s="115">
        <f>'Eff. Standards &amp; Certifications'!B30</f>
        <v>2.76</v>
      </c>
      <c r="C62" s="115">
        <f>B63-0.01</f>
        <v>2.91</v>
      </c>
      <c r="D62" s="98" t="str">
        <f t="shared" si="0"/>
        <v>CEE Tier 2</v>
      </c>
      <c r="E62" s="117">
        <f>F63+0.01</f>
        <v>3.21</v>
      </c>
      <c r="F62" s="119">
        <f>'Eff. Standards &amp; Certifications'!C30</f>
        <v>3.5</v>
      </c>
      <c r="I62" s="124"/>
      <c r="J62" s="124"/>
      <c r="K62" s="124"/>
      <c r="L62" s="124"/>
      <c r="M62" s="124"/>
    </row>
    <row r="63" spans="1:13" s="84" customFormat="1">
      <c r="A63" s="118" t="s">
        <v>207</v>
      </c>
      <c r="B63" s="115">
        <f>'Eff. Standards &amp; Certifications'!B31</f>
        <v>2.92</v>
      </c>
      <c r="C63" s="115">
        <f>MAX('SavingsData&amp;Analysis'!BJ19:BK19)</f>
        <v>3.3749599999999997</v>
      </c>
      <c r="D63" s="98" t="str">
        <f t="shared" si="0"/>
        <v>CEE Tier 3</v>
      </c>
      <c r="E63" s="119">
        <f>MIN('SavingsData&amp;Analysis'!BL18:BM18)</f>
        <v>2.6777000000000002</v>
      </c>
      <c r="F63" s="119">
        <f>'Eff. Standards &amp; Certifications'!C31</f>
        <v>3.2</v>
      </c>
      <c r="I63" s="88"/>
      <c r="J63" s="88"/>
      <c r="K63" s="88"/>
      <c r="L63" s="88"/>
      <c r="M63" s="88"/>
    </row>
    <row r="64" spans="1:13" s="84" customFormat="1">
      <c r="A64" s="587" t="s">
        <v>1263</v>
      </c>
      <c r="B64" s="588"/>
      <c r="C64" s="588"/>
      <c r="D64" s="589"/>
      <c r="E64" s="590"/>
      <c r="F64" s="591"/>
      <c r="I64" s="88"/>
      <c r="J64" s="88"/>
      <c r="K64" s="88"/>
      <c r="L64" s="88"/>
      <c r="M64" s="88"/>
    </row>
    <row r="65" spans="1:13" s="84" customFormat="1">
      <c r="A65" s="587" t="s">
        <v>1264</v>
      </c>
      <c r="B65" s="588"/>
      <c r="C65" s="588"/>
      <c r="D65" s="589"/>
      <c r="E65" s="590"/>
      <c r="F65" s="591"/>
      <c r="I65" s="88"/>
      <c r="J65" s="88"/>
      <c r="K65" s="88"/>
      <c r="L65" s="88"/>
      <c r="M65" s="88"/>
    </row>
    <row r="66" spans="1:13" s="84" customFormat="1">
      <c r="A66" s="120" t="s">
        <v>1265</v>
      </c>
      <c r="B66" s="121">
        <f>B55</f>
        <v>1.29</v>
      </c>
      <c r="C66" s="121">
        <f>C55</f>
        <v>3.1575999999999995</v>
      </c>
      <c r="D66" s="118"/>
      <c r="E66" s="121">
        <f>E55</f>
        <v>3.6925800000000004</v>
      </c>
      <c r="F66" s="121">
        <f>F55</f>
        <v>8.4</v>
      </c>
      <c r="I66" s="88"/>
      <c r="J66" s="88"/>
      <c r="K66" s="88"/>
      <c r="L66" s="88"/>
      <c r="M66" s="88"/>
    </row>
    <row r="67" spans="1:13" s="84" customFormat="1">
      <c r="A67" s="120" t="s">
        <v>1266</v>
      </c>
      <c r="B67" s="121">
        <f>B56</f>
        <v>1.84</v>
      </c>
      <c r="C67" s="121">
        <f>C56</f>
        <v>3.3749599999999997</v>
      </c>
      <c r="D67" s="118"/>
      <c r="E67" s="121">
        <f>'Northwest Retail Cost Data'!C284</f>
        <v>2.48</v>
      </c>
      <c r="F67" s="121">
        <f>F56</f>
        <v>4.7</v>
      </c>
      <c r="I67" s="88"/>
      <c r="J67" s="88"/>
      <c r="K67" s="88"/>
      <c r="L67" s="88"/>
      <c r="M67" s="88"/>
    </row>
    <row r="68" spans="1:13" s="84" customFormat="1">
      <c r="A68" s="120"/>
      <c r="B68" s="121"/>
      <c r="C68" s="121"/>
      <c r="D68" s="118"/>
      <c r="E68" s="121"/>
      <c r="F68" s="121"/>
      <c r="I68" s="88"/>
      <c r="J68" s="88"/>
      <c r="K68" s="88"/>
      <c r="L68" s="88"/>
      <c r="M68" s="88"/>
    </row>
    <row r="69" spans="1:13" s="84" customFormat="1">
      <c r="A69" s="120"/>
      <c r="B69" s="121"/>
      <c r="C69" s="121"/>
      <c r="D69" s="118"/>
      <c r="E69" s="121"/>
      <c r="F69" s="121"/>
      <c r="I69" s="88"/>
      <c r="J69" s="88"/>
      <c r="K69" s="88"/>
      <c r="L69" s="88"/>
      <c r="M69" s="88"/>
    </row>
    <row r="70" spans="1:13" s="84" customFormat="1">
      <c r="A70" s="120"/>
      <c r="B70" s="121"/>
      <c r="C70" s="121"/>
      <c r="D70" s="118"/>
      <c r="E70" s="121"/>
      <c r="F70" s="121"/>
      <c r="I70" s="124"/>
      <c r="J70" s="124"/>
      <c r="K70" s="124"/>
      <c r="L70" s="124"/>
      <c r="M70" s="124"/>
    </row>
    <row r="72" spans="1:13">
      <c r="A72" s="122" t="s">
        <v>208</v>
      </c>
      <c r="B72" s="123"/>
      <c r="C72" s="123"/>
      <c r="D72" s="123"/>
      <c r="E72" s="123"/>
      <c r="F72" s="123"/>
      <c r="G72" s="123"/>
    </row>
    <row r="73" spans="1:13" s="88" customFormat="1">
      <c r="A73" s="88" t="s">
        <v>209</v>
      </c>
      <c r="B73" s="101">
        <v>1</v>
      </c>
      <c r="I73" s="124"/>
      <c r="J73" s="124"/>
      <c r="K73" s="124"/>
      <c r="L73" s="124"/>
      <c r="M73" s="124"/>
    </row>
    <row r="74" spans="1:13" s="88" customFormat="1">
      <c r="A74" s="88" t="s">
        <v>210</v>
      </c>
      <c r="B74" s="101">
        <v>8.3148999999999997</v>
      </c>
      <c r="I74" s="124"/>
      <c r="J74" s="124"/>
      <c r="K74" s="124"/>
      <c r="L74" s="124"/>
      <c r="M74" s="124"/>
    </row>
    <row r="75" spans="1:13" s="88" customFormat="1">
      <c r="A75" s="88" t="s">
        <v>211</v>
      </c>
      <c r="B75" s="125">
        <v>3413</v>
      </c>
      <c r="I75" s="124"/>
      <c r="J75" s="124"/>
      <c r="K75" s="124"/>
      <c r="L75" s="124"/>
      <c r="M75" s="124"/>
    </row>
    <row r="76" spans="1:13" s="88" customFormat="1">
      <c r="A76" s="100" t="s">
        <v>212</v>
      </c>
      <c r="B76" s="101">
        <v>65</v>
      </c>
      <c r="C76" s="100" t="s">
        <v>213</v>
      </c>
      <c r="I76" s="124"/>
      <c r="J76" s="124"/>
      <c r="K76" s="124"/>
      <c r="L76" s="124"/>
      <c r="M76" s="124"/>
    </row>
    <row r="77" spans="1:13" s="88" customFormat="1">
      <c r="A77" s="88" t="s">
        <v>214</v>
      </c>
      <c r="B77" s="126">
        <v>0.98</v>
      </c>
      <c r="C77" s="100" t="s">
        <v>215</v>
      </c>
      <c r="I77" s="124"/>
      <c r="J77" s="124"/>
      <c r="K77" s="124"/>
      <c r="L77" s="124"/>
      <c r="M77" s="124"/>
    </row>
    <row r="78" spans="1:13" s="88" customFormat="1">
      <c r="A78" s="88" t="s">
        <v>216</v>
      </c>
      <c r="B78" s="126">
        <v>0.75</v>
      </c>
      <c r="C78" s="100" t="s">
        <v>217</v>
      </c>
      <c r="I78" s="124"/>
      <c r="J78" s="124"/>
      <c r="K78" s="124"/>
      <c r="L78" s="124"/>
      <c r="M78" s="124"/>
    </row>
    <row r="79" spans="1:13" s="88" customFormat="1">
      <c r="A79" s="88" t="s">
        <v>218</v>
      </c>
      <c r="B79" s="101">
        <v>1.1200000000000001</v>
      </c>
      <c r="C79" s="100" t="s">
        <v>217</v>
      </c>
      <c r="I79" s="124"/>
      <c r="J79" s="124"/>
      <c r="K79" s="124"/>
      <c r="L79" s="124"/>
      <c r="M79" s="124"/>
    </row>
    <row r="81" spans="1:2">
      <c r="A81" s="127" t="s">
        <v>219</v>
      </c>
      <c r="B81" s="128"/>
    </row>
    <row r="82" spans="1:2">
      <c r="A82" s="129" t="s">
        <v>220</v>
      </c>
      <c r="B82" s="129" t="s">
        <v>221</v>
      </c>
    </row>
    <row r="83" spans="1:2">
      <c r="A83" s="130">
        <v>1</v>
      </c>
      <c r="B83" s="130" t="s">
        <v>222</v>
      </c>
    </row>
    <row r="84" spans="1:2">
      <c r="A84" s="130">
        <f>A83+1</f>
        <v>2</v>
      </c>
      <c r="B84" s="130" t="s">
        <v>223</v>
      </c>
    </row>
    <row r="85" spans="1:2">
      <c r="A85" s="130">
        <f t="shared" ref="A85:A148" si="1">A84+1</f>
        <v>3</v>
      </c>
      <c r="B85" s="130" t="s">
        <v>224</v>
      </c>
    </row>
    <row r="86" spans="1:2">
      <c r="A86" s="130">
        <f t="shared" si="1"/>
        <v>4</v>
      </c>
      <c r="B86" s="130" t="s">
        <v>225</v>
      </c>
    </row>
    <row r="87" spans="1:2">
      <c r="A87" s="130">
        <f t="shared" si="1"/>
        <v>5</v>
      </c>
      <c r="B87" s="130" t="s">
        <v>226</v>
      </c>
    </row>
    <row r="88" spans="1:2">
      <c r="A88" s="130">
        <f t="shared" si="1"/>
        <v>6</v>
      </c>
      <c r="B88" s="130" t="s">
        <v>227</v>
      </c>
    </row>
    <row r="89" spans="1:2">
      <c r="A89" s="130">
        <f t="shared" si="1"/>
        <v>7</v>
      </c>
      <c r="B89" s="130" t="s">
        <v>228</v>
      </c>
    </row>
    <row r="90" spans="1:2">
      <c r="A90" s="130">
        <f t="shared" si="1"/>
        <v>8</v>
      </c>
      <c r="B90" s="130" t="s">
        <v>229</v>
      </c>
    </row>
    <row r="91" spans="1:2">
      <c r="A91" s="130">
        <f t="shared" si="1"/>
        <v>9</v>
      </c>
      <c r="B91" s="130" t="s">
        <v>230</v>
      </c>
    </row>
    <row r="92" spans="1:2">
      <c r="A92" s="130">
        <f t="shared" si="1"/>
        <v>10</v>
      </c>
      <c r="B92" s="130" t="s">
        <v>231</v>
      </c>
    </row>
    <row r="93" spans="1:2">
      <c r="A93" s="130">
        <f t="shared" si="1"/>
        <v>11</v>
      </c>
      <c r="B93" s="130" t="s">
        <v>232</v>
      </c>
    </row>
    <row r="94" spans="1:2">
      <c r="A94" s="130">
        <f t="shared" si="1"/>
        <v>12</v>
      </c>
      <c r="B94" s="130" t="s">
        <v>233</v>
      </c>
    </row>
    <row r="95" spans="1:2">
      <c r="A95" s="130">
        <f t="shared" si="1"/>
        <v>13</v>
      </c>
      <c r="B95" s="130" t="s">
        <v>234</v>
      </c>
    </row>
    <row r="96" spans="1:2">
      <c r="A96" s="130">
        <f t="shared" si="1"/>
        <v>14</v>
      </c>
      <c r="B96" s="130" t="s">
        <v>235</v>
      </c>
    </row>
    <row r="97" spans="1:2">
      <c r="A97" s="130">
        <f t="shared" si="1"/>
        <v>15</v>
      </c>
      <c r="B97" s="130" t="s">
        <v>236</v>
      </c>
    </row>
    <row r="98" spans="1:2">
      <c r="A98" s="130">
        <f t="shared" si="1"/>
        <v>16</v>
      </c>
      <c r="B98" s="130" t="s">
        <v>237</v>
      </c>
    </row>
    <row r="99" spans="1:2">
      <c r="A99" s="130">
        <f t="shared" si="1"/>
        <v>17</v>
      </c>
      <c r="B99" s="130" t="s">
        <v>238</v>
      </c>
    </row>
    <row r="100" spans="1:2">
      <c r="A100" s="130">
        <f t="shared" si="1"/>
        <v>18</v>
      </c>
      <c r="B100" s="130" t="s">
        <v>239</v>
      </c>
    </row>
    <row r="101" spans="1:2">
      <c r="A101" s="130">
        <f t="shared" si="1"/>
        <v>19</v>
      </c>
      <c r="B101" s="130" t="s">
        <v>240</v>
      </c>
    </row>
    <row r="102" spans="1:2">
      <c r="A102" s="130">
        <f t="shared" si="1"/>
        <v>20</v>
      </c>
      <c r="B102" s="130" t="s">
        <v>241</v>
      </c>
    </row>
    <row r="103" spans="1:2">
      <c r="A103" s="130">
        <f t="shared" si="1"/>
        <v>21</v>
      </c>
      <c r="B103" s="130" t="s">
        <v>242</v>
      </c>
    </row>
    <row r="104" spans="1:2">
      <c r="A104" s="130">
        <f t="shared" si="1"/>
        <v>22</v>
      </c>
      <c r="B104" s="130" t="s">
        <v>243</v>
      </c>
    </row>
    <row r="105" spans="1:2">
      <c r="A105" s="130">
        <f t="shared" si="1"/>
        <v>23</v>
      </c>
      <c r="B105" s="130" t="s">
        <v>244</v>
      </c>
    </row>
    <row r="106" spans="1:2">
      <c r="A106" s="130">
        <f t="shared" si="1"/>
        <v>24</v>
      </c>
      <c r="B106" s="130" t="s">
        <v>245</v>
      </c>
    </row>
    <row r="107" spans="1:2">
      <c r="A107" s="130">
        <f t="shared" si="1"/>
        <v>25</v>
      </c>
      <c r="B107" s="130" t="s">
        <v>246</v>
      </c>
    </row>
    <row r="108" spans="1:2">
      <c r="A108" s="130">
        <f t="shared" si="1"/>
        <v>26</v>
      </c>
      <c r="B108" s="130" t="s">
        <v>247</v>
      </c>
    </row>
    <row r="109" spans="1:2">
      <c r="A109" s="130">
        <f t="shared" si="1"/>
        <v>27</v>
      </c>
      <c r="B109" s="130" t="s">
        <v>248</v>
      </c>
    </row>
    <row r="110" spans="1:2">
      <c r="A110" s="130">
        <f t="shared" si="1"/>
        <v>28</v>
      </c>
      <c r="B110" s="130" t="s">
        <v>249</v>
      </c>
    </row>
    <row r="111" spans="1:2">
      <c r="A111" s="130">
        <f t="shared" si="1"/>
        <v>29</v>
      </c>
      <c r="B111" s="130" t="s">
        <v>250</v>
      </c>
    </row>
    <row r="112" spans="1:2">
      <c r="A112" s="130">
        <f t="shared" si="1"/>
        <v>30</v>
      </c>
      <c r="B112" s="130" t="s">
        <v>251</v>
      </c>
    </row>
    <row r="113" spans="1:2">
      <c r="A113" s="130">
        <f t="shared" si="1"/>
        <v>31</v>
      </c>
      <c r="B113" s="130" t="s">
        <v>252</v>
      </c>
    </row>
    <row r="114" spans="1:2">
      <c r="A114" s="130">
        <f t="shared" si="1"/>
        <v>32</v>
      </c>
      <c r="B114" s="130" t="s">
        <v>253</v>
      </c>
    </row>
    <row r="115" spans="1:2">
      <c r="A115" s="130">
        <f t="shared" si="1"/>
        <v>33</v>
      </c>
      <c r="B115" s="130" t="s">
        <v>254</v>
      </c>
    </row>
    <row r="116" spans="1:2">
      <c r="A116" s="130">
        <f t="shared" si="1"/>
        <v>34</v>
      </c>
      <c r="B116" s="130" t="s">
        <v>255</v>
      </c>
    </row>
    <row r="117" spans="1:2">
      <c r="A117" s="130">
        <f t="shared" si="1"/>
        <v>35</v>
      </c>
      <c r="B117" s="130" t="s">
        <v>256</v>
      </c>
    </row>
    <row r="118" spans="1:2">
      <c r="A118" s="130">
        <f t="shared" si="1"/>
        <v>36</v>
      </c>
      <c r="B118" s="130" t="s">
        <v>257</v>
      </c>
    </row>
    <row r="119" spans="1:2">
      <c r="A119" s="130">
        <f t="shared" si="1"/>
        <v>37</v>
      </c>
      <c r="B119" s="130" t="s">
        <v>258</v>
      </c>
    </row>
    <row r="120" spans="1:2">
      <c r="A120" s="130">
        <f t="shared" si="1"/>
        <v>38</v>
      </c>
      <c r="B120" s="130" t="s">
        <v>259</v>
      </c>
    </row>
    <row r="121" spans="1:2">
      <c r="A121" s="130">
        <f t="shared" si="1"/>
        <v>39</v>
      </c>
      <c r="B121" s="130" t="s">
        <v>260</v>
      </c>
    </row>
    <row r="122" spans="1:2">
      <c r="A122" s="130">
        <f t="shared" si="1"/>
        <v>40</v>
      </c>
      <c r="B122" s="130" t="s">
        <v>261</v>
      </c>
    </row>
    <row r="123" spans="1:2">
      <c r="A123" s="130">
        <f t="shared" si="1"/>
        <v>41</v>
      </c>
      <c r="B123" s="130" t="s">
        <v>262</v>
      </c>
    </row>
    <row r="124" spans="1:2">
      <c r="A124" s="130">
        <f t="shared" si="1"/>
        <v>42</v>
      </c>
      <c r="B124" s="130" t="s">
        <v>263</v>
      </c>
    </row>
    <row r="125" spans="1:2">
      <c r="A125" s="130">
        <f t="shared" si="1"/>
        <v>43</v>
      </c>
      <c r="B125" s="130" t="s">
        <v>264</v>
      </c>
    </row>
    <row r="126" spans="1:2">
      <c r="A126" s="130">
        <f t="shared" si="1"/>
        <v>44</v>
      </c>
      <c r="B126" s="130" t="s">
        <v>265</v>
      </c>
    </row>
    <row r="127" spans="1:2">
      <c r="A127" s="130">
        <f t="shared" si="1"/>
        <v>45</v>
      </c>
      <c r="B127" s="130" t="s">
        <v>266</v>
      </c>
    </row>
    <row r="128" spans="1:2">
      <c r="A128" s="130">
        <f t="shared" si="1"/>
        <v>46</v>
      </c>
      <c r="B128" s="130" t="s">
        <v>267</v>
      </c>
    </row>
    <row r="129" spans="1:2">
      <c r="A129" s="130">
        <f t="shared" si="1"/>
        <v>47</v>
      </c>
      <c r="B129" s="130" t="s">
        <v>268</v>
      </c>
    </row>
    <row r="130" spans="1:2">
      <c r="A130" s="130">
        <f t="shared" si="1"/>
        <v>48</v>
      </c>
      <c r="B130" s="130" t="s">
        <v>269</v>
      </c>
    </row>
    <row r="131" spans="1:2">
      <c r="A131" s="130">
        <f t="shared" si="1"/>
        <v>49</v>
      </c>
      <c r="B131" s="130" t="s">
        <v>270</v>
      </c>
    </row>
    <row r="132" spans="1:2">
      <c r="A132" s="130">
        <f t="shared" si="1"/>
        <v>50</v>
      </c>
      <c r="B132" s="130" t="s">
        <v>271</v>
      </c>
    </row>
    <row r="133" spans="1:2">
      <c r="A133" s="130">
        <f t="shared" si="1"/>
        <v>51</v>
      </c>
      <c r="B133" s="130" t="s">
        <v>272</v>
      </c>
    </row>
    <row r="134" spans="1:2">
      <c r="A134" s="130">
        <f t="shared" si="1"/>
        <v>52</v>
      </c>
      <c r="B134" s="130" t="s">
        <v>273</v>
      </c>
    </row>
    <row r="135" spans="1:2">
      <c r="A135" s="130">
        <f t="shared" si="1"/>
        <v>53</v>
      </c>
      <c r="B135" s="130" t="s">
        <v>274</v>
      </c>
    </row>
    <row r="136" spans="1:2">
      <c r="A136" s="130">
        <f t="shared" si="1"/>
        <v>54</v>
      </c>
      <c r="B136" s="130" t="s">
        <v>275</v>
      </c>
    </row>
    <row r="137" spans="1:2">
      <c r="A137" s="130">
        <f t="shared" si="1"/>
        <v>55</v>
      </c>
      <c r="B137" s="130" t="s">
        <v>276</v>
      </c>
    </row>
    <row r="138" spans="1:2">
      <c r="A138" s="130">
        <f t="shared" si="1"/>
        <v>56</v>
      </c>
      <c r="B138" s="130" t="s">
        <v>277</v>
      </c>
    </row>
    <row r="139" spans="1:2">
      <c r="A139" s="130">
        <f t="shared" si="1"/>
        <v>57</v>
      </c>
      <c r="B139" s="130" t="s">
        <v>278</v>
      </c>
    </row>
    <row r="140" spans="1:2">
      <c r="A140" s="130">
        <f t="shared" si="1"/>
        <v>58</v>
      </c>
      <c r="B140" s="130" t="s">
        <v>279</v>
      </c>
    </row>
    <row r="141" spans="1:2">
      <c r="A141" s="130">
        <f t="shared" si="1"/>
        <v>59</v>
      </c>
      <c r="B141" s="130" t="s">
        <v>280</v>
      </c>
    </row>
    <row r="142" spans="1:2">
      <c r="A142" s="130">
        <f t="shared" si="1"/>
        <v>60</v>
      </c>
      <c r="B142" s="130" t="s">
        <v>281</v>
      </c>
    </row>
    <row r="143" spans="1:2">
      <c r="A143" s="130">
        <f t="shared" si="1"/>
        <v>61</v>
      </c>
      <c r="B143" s="130" t="s">
        <v>282</v>
      </c>
    </row>
    <row r="144" spans="1:2">
      <c r="A144" s="130">
        <f t="shared" si="1"/>
        <v>62</v>
      </c>
      <c r="B144" s="130" t="s">
        <v>283</v>
      </c>
    </row>
    <row r="145" spans="1:2">
      <c r="A145" s="130">
        <f t="shared" si="1"/>
        <v>63</v>
      </c>
      <c r="B145" s="130" t="s">
        <v>284</v>
      </c>
    </row>
    <row r="146" spans="1:2">
      <c r="A146" s="130">
        <f t="shared" si="1"/>
        <v>64</v>
      </c>
      <c r="B146" s="130" t="s">
        <v>285</v>
      </c>
    </row>
    <row r="147" spans="1:2">
      <c r="A147" s="130">
        <f t="shared" si="1"/>
        <v>65</v>
      </c>
      <c r="B147" s="130" t="s">
        <v>286</v>
      </c>
    </row>
    <row r="148" spans="1:2">
      <c r="A148" s="130">
        <f t="shared" si="1"/>
        <v>66</v>
      </c>
      <c r="B148" s="130" t="s">
        <v>287</v>
      </c>
    </row>
    <row r="149" spans="1:2">
      <c r="A149" s="130">
        <f t="shared" ref="A149:A186" si="2">A148+1</f>
        <v>67</v>
      </c>
      <c r="B149" s="130" t="s">
        <v>288</v>
      </c>
    </row>
    <row r="150" spans="1:2">
      <c r="A150" s="130">
        <f t="shared" si="2"/>
        <v>68</v>
      </c>
      <c r="B150" s="130" t="s">
        <v>289</v>
      </c>
    </row>
    <row r="151" spans="1:2">
      <c r="A151" s="130">
        <f t="shared" si="2"/>
        <v>69</v>
      </c>
      <c r="B151" s="130" t="s">
        <v>290</v>
      </c>
    </row>
    <row r="152" spans="1:2">
      <c r="A152" s="130">
        <f t="shared" si="2"/>
        <v>70</v>
      </c>
      <c r="B152" s="130" t="s">
        <v>291</v>
      </c>
    </row>
    <row r="153" spans="1:2">
      <c r="A153" s="130">
        <f t="shared" si="2"/>
        <v>71</v>
      </c>
      <c r="B153" s="130" t="s">
        <v>292</v>
      </c>
    </row>
    <row r="154" spans="1:2">
      <c r="A154" s="130">
        <f t="shared" si="2"/>
        <v>72</v>
      </c>
      <c r="B154" s="130" t="s">
        <v>293</v>
      </c>
    </row>
    <row r="155" spans="1:2">
      <c r="A155" s="130">
        <f t="shared" si="2"/>
        <v>73</v>
      </c>
      <c r="B155" s="130" t="s">
        <v>294</v>
      </c>
    </row>
    <row r="156" spans="1:2">
      <c r="A156" s="130">
        <f t="shared" si="2"/>
        <v>74</v>
      </c>
      <c r="B156" s="130" t="s">
        <v>295</v>
      </c>
    </row>
    <row r="157" spans="1:2">
      <c r="A157" s="130">
        <f t="shared" si="2"/>
        <v>75</v>
      </c>
      <c r="B157" s="130" t="s">
        <v>296</v>
      </c>
    </row>
    <row r="158" spans="1:2">
      <c r="A158" s="130">
        <f t="shared" si="2"/>
        <v>76</v>
      </c>
      <c r="B158" s="130" t="s">
        <v>297</v>
      </c>
    </row>
    <row r="159" spans="1:2">
      <c r="A159" s="130">
        <f t="shared" si="2"/>
        <v>77</v>
      </c>
      <c r="B159" s="130" t="s">
        <v>298</v>
      </c>
    </row>
    <row r="160" spans="1:2">
      <c r="A160" s="130">
        <f t="shared" si="2"/>
        <v>78</v>
      </c>
      <c r="B160" s="130" t="s">
        <v>299</v>
      </c>
    </row>
    <row r="161" spans="1:2">
      <c r="A161" s="130">
        <f t="shared" si="2"/>
        <v>79</v>
      </c>
      <c r="B161" s="130" t="s">
        <v>300</v>
      </c>
    </row>
    <row r="162" spans="1:2">
      <c r="A162" s="130">
        <f t="shared" si="2"/>
        <v>80</v>
      </c>
      <c r="B162" s="130" t="s">
        <v>301</v>
      </c>
    </row>
    <row r="163" spans="1:2">
      <c r="A163" s="130">
        <f t="shared" si="2"/>
        <v>81</v>
      </c>
      <c r="B163" s="130" t="s">
        <v>302</v>
      </c>
    </row>
    <row r="164" spans="1:2">
      <c r="A164" s="130">
        <f t="shared" si="2"/>
        <v>82</v>
      </c>
      <c r="B164" s="130" t="s">
        <v>303</v>
      </c>
    </row>
    <row r="165" spans="1:2">
      <c r="A165" s="130">
        <f t="shared" si="2"/>
        <v>83</v>
      </c>
      <c r="B165" s="130" t="s">
        <v>304</v>
      </c>
    </row>
    <row r="166" spans="1:2">
      <c r="A166" s="130">
        <f t="shared" si="2"/>
        <v>84</v>
      </c>
      <c r="B166" s="130" t="s">
        <v>305</v>
      </c>
    </row>
    <row r="167" spans="1:2">
      <c r="A167" s="130">
        <f t="shared" si="2"/>
        <v>85</v>
      </c>
      <c r="B167" s="130" t="s">
        <v>306</v>
      </c>
    </row>
    <row r="168" spans="1:2">
      <c r="A168" s="130">
        <f t="shared" si="2"/>
        <v>86</v>
      </c>
      <c r="B168" s="130" t="s">
        <v>307</v>
      </c>
    </row>
    <row r="169" spans="1:2">
      <c r="A169" s="130">
        <f t="shared" si="2"/>
        <v>87</v>
      </c>
      <c r="B169" s="130" t="s">
        <v>308</v>
      </c>
    </row>
    <row r="170" spans="1:2">
      <c r="A170" s="130">
        <f t="shared" si="2"/>
        <v>88</v>
      </c>
      <c r="B170" s="130" t="s">
        <v>309</v>
      </c>
    </row>
    <row r="171" spans="1:2">
      <c r="A171" s="130">
        <f t="shared" si="2"/>
        <v>89</v>
      </c>
      <c r="B171" s="130" t="s">
        <v>310</v>
      </c>
    </row>
    <row r="172" spans="1:2">
      <c r="A172" s="130">
        <f t="shared" si="2"/>
        <v>90</v>
      </c>
      <c r="B172" s="130" t="s">
        <v>311</v>
      </c>
    </row>
    <row r="173" spans="1:2">
      <c r="A173" s="130">
        <f t="shared" si="2"/>
        <v>91</v>
      </c>
      <c r="B173" s="130" t="s">
        <v>312</v>
      </c>
    </row>
    <row r="174" spans="1:2">
      <c r="A174" s="130">
        <f t="shared" si="2"/>
        <v>92</v>
      </c>
      <c r="B174" s="130" t="s">
        <v>313</v>
      </c>
    </row>
    <row r="175" spans="1:2">
      <c r="A175" s="130">
        <f t="shared" si="2"/>
        <v>93</v>
      </c>
      <c r="B175" s="130" t="s">
        <v>314</v>
      </c>
    </row>
    <row r="176" spans="1:2">
      <c r="A176" s="130">
        <f t="shared" si="2"/>
        <v>94</v>
      </c>
      <c r="B176" s="130" t="s">
        <v>315</v>
      </c>
    </row>
    <row r="177" spans="1:2">
      <c r="A177" s="130">
        <f t="shared" si="2"/>
        <v>95</v>
      </c>
      <c r="B177" s="130" t="s">
        <v>316</v>
      </c>
    </row>
    <row r="178" spans="1:2">
      <c r="A178" s="130">
        <f t="shared" si="2"/>
        <v>96</v>
      </c>
      <c r="B178" s="130" t="s">
        <v>317</v>
      </c>
    </row>
    <row r="179" spans="1:2">
      <c r="A179" s="130">
        <f t="shared" si="2"/>
        <v>97</v>
      </c>
      <c r="B179" s="130" t="s">
        <v>318</v>
      </c>
    </row>
    <row r="180" spans="1:2">
      <c r="A180" s="130">
        <f t="shared" si="2"/>
        <v>98</v>
      </c>
      <c r="B180" s="130" t="s">
        <v>319</v>
      </c>
    </row>
    <row r="181" spans="1:2">
      <c r="A181" s="130">
        <f t="shared" si="2"/>
        <v>99</v>
      </c>
      <c r="B181" s="130" t="s">
        <v>320</v>
      </c>
    </row>
    <row r="182" spans="1:2">
      <c r="A182" s="130">
        <f t="shared" si="2"/>
        <v>100</v>
      </c>
      <c r="B182" s="130" t="s">
        <v>321</v>
      </c>
    </row>
    <row r="183" spans="1:2">
      <c r="A183" s="130">
        <f t="shared" si="2"/>
        <v>101</v>
      </c>
      <c r="B183" s="130" t="s">
        <v>322</v>
      </c>
    </row>
    <row r="184" spans="1:2">
      <c r="A184" s="130">
        <f t="shared" si="2"/>
        <v>102</v>
      </c>
      <c r="B184" s="130" t="s">
        <v>323</v>
      </c>
    </row>
    <row r="185" spans="1:2">
      <c r="A185" s="130">
        <f t="shared" si="2"/>
        <v>103</v>
      </c>
      <c r="B185" s="130" t="s">
        <v>324</v>
      </c>
    </row>
    <row r="186" spans="1:2">
      <c r="A186" s="130">
        <f t="shared" si="2"/>
        <v>104</v>
      </c>
      <c r="B186" s="130" t="s">
        <v>325</v>
      </c>
    </row>
  </sheetData>
  <mergeCells count="15">
    <mergeCell ref="A24:G25"/>
    <mergeCell ref="A5:B5"/>
    <mergeCell ref="D5:G5"/>
    <mergeCell ref="D6:G6"/>
    <mergeCell ref="D7:G7"/>
    <mergeCell ref="A6:B6"/>
    <mergeCell ref="A7:B7"/>
    <mergeCell ref="D8:G8"/>
    <mergeCell ref="D9:G9"/>
    <mergeCell ref="J2:L2"/>
    <mergeCell ref="A3:B3"/>
    <mergeCell ref="D3:G3"/>
    <mergeCell ref="J3:L3"/>
    <mergeCell ref="A4:B4"/>
    <mergeCell ref="D4:G4"/>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sheetPr codeName="Sheet13"/>
  <dimension ref="A1:M186"/>
  <sheetViews>
    <sheetView topLeftCell="A19" zoomScaleNormal="100" workbookViewId="0">
      <selection activeCell="E26" sqref="E26"/>
    </sheetView>
  </sheetViews>
  <sheetFormatPr defaultColWidth="8.85546875" defaultRowHeight="15"/>
  <cols>
    <col min="1" max="1" width="47" style="124" customWidth="1"/>
    <col min="2" max="2" width="14.42578125" style="124" customWidth="1"/>
    <col min="3" max="3" width="18.7109375" style="124" customWidth="1"/>
    <col min="4" max="4" width="38.42578125" style="124" customWidth="1"/>
    <col min="5" max="5" width="14.42578125" style="124" customWidth="1"/>
    <col min="6" max="6" width="13.7109375" style="124" customWidth="1"/>
    <col min="7" max="7" width="31.7109375" style="124" customWidth="1"/>
    <col min="8" max="9" width="8.85546875" style="124"/>
    <col min="10" max="12" width="15.5703125" style="124" customWidth="1"/>
    <col min="13" max="16384" width="8.85546875" style="124"/>
  </cols>
  <sheetData>
    <row r="1" spans="1:13" s="84" customFormat="1">
      <c r="A1" s="82" t="s">
        <v>166</v>
      </c>
      <c r="B1" s="83"/>
      <c r="C1" s="83"/>
      <c r="D1" s="83"/>
      <c r="E1" s="83"/>
      <c r="F1" s="83"/>
      <c r="G1" s="83"/>
    </row>
    <row r="2" spans="1:13" s="88" customFormat="1">
      <c r="A2" s="85"/>
      <c r="B2" s="85"/>
      <c r="C2" s="86" t="s">
        <v>167</v>
      </c>
      <c r="D2" s="87" t="s">
        <v>168</v>
      </c>
      <c r="I2" s="131"/>
      <c r="J2" s="903">
        <v>2013</v>
      </c>
      <c r="K2" s="904"/>
      <c r="L2" s="905"/>
    </row>
    <row r="3" spans="1:13" s="88" customFormat="1" ht="32.25" customHeight="1">
      <c r="A3" s="906" t="s">
        <v>169</v>
      </c>
      <c r="B3" s="906"/>
      <c r="C3" s="89">
        <f>4.43*52.1775</f>
        <v>231.14632499999999</v>
      </c>
      <c r="D3" s="907" t="s">
        <v>1136</v>
      </c>
      <c r="E3" s="913"/>
      <c r="F3" s="913"/>
      <c r="G3" s="913"/>
      <c r="I3" s="132"/>
      <c r="J3" s="908" t="s">
        <v>326</v>
      </c>
      <c r="K3" s="909"/>
      <c r="L3" s="910"/>
    </row>
    <row r="4" spans="1:13" s="88" customFormat="1" ht="32.25" customHeight="1">
      <c r="A4" s="906" t="s">
        <v>1245</v>
      </c>
      <c r="B4" s="906"/>
      <c r="C4" s="581">
        <v>0.89200000000000002</v>
      </c>
      <c r="D4" s="907" t="s">
        <v>1246</v>
      </c>
      <c r="E4" s="907"/>
      <c r="F4" s="907"/>
      <c r="G4" s="907"/>
      <c r="I4" s="132"/>
      <c r="J4" s="133" t="s">
        <v>328</v>
      </c>
      <c r="K4" s="134" t="s">
        <v>329</v>
      </c>
      <c r="L4" s="134" t="s">
        <v>330</v>
      </c>
    </row>
    <row r="5" spans="1:13" s="88" customFormat="1" ht="34.5" customHeight="1">
      <c r="A5" s="907" t="s">
        <v>1247</v>
      </c>
      <c r="B5" s="907"/>
      <c r="C5" s="90">
        <f>L9</f>
        <v>0.54313</v>
      </c>
      <c r="D5" s="907" t="s">
        <v>327</v>
      </c>
      <c r="E5" s="907"/>
      <c r="F5" s="907"/>
      <c r="G5" s="907"/>
      <c r="I5" s="135" t="s">
        <v>331</v>
      </c>
      <c r="J5" s="136">
        <v>0.43</v>
      </c>
      <c r="K5" s="137">
        <v>0</v>
      </c>
      <c r="L5" s="137">
        <v>0.57000000000000006</v>
      </c>
    </row>
    <row r="6" spans="1:13" s="88" customFormat="1" ht="33.75" customHeight="1">
      <c r="A6" s="907" t="s">
        <v>1248</v>
      </c>
      <c r="B6" s="907"/>
      <c r="C6" s="90">
        <f ca="1">'SavingsData&amp;Analysis'!BD2/'SavingsData&amp;Analysis'!AX2</f>
        <v>0.31021897810218979</v>
      </c>
      <c r="D6" s="907" t="s">
        <v>1567</v>
      </c>
      <c r="E6" s="907"/>
      <c r="F6" s="907"/>
      <c r="G6" s="907"/>
      <c r="I6" s="135" t="s">
        <v>332</v>
      </c>
      <c r="J6" s="136">
        <v>0.44</v>
      </c>
      <c r="K6" s="137">
        <v>0</v>
      </c>
      <c r="L6" s="137">
        <v>0.56000000000000005</v>
      </c>
    </row>
    <row r="7" spans="1:13" s="88" customFormat="1" ht="48.75" customHeight="1">
      <c r="A7" s="907" t="s">
        <v>171</v>
      </c>
      <c r="B7" s="907"/>
      <c r="C7" s="91">
        <v>14</v>
      </c>
      <c r="D7" s="907" t="s">
        <v>172</v>
      </c>
      <c r="E7" s="907"/>
      <c r="F7" s="907"/>
      <c r="G7" s="907"/>
      <c r="I7" s="135" t="s">
        <v>333</v>
      </c>
      <c r="J7" s="136">
        <v>0.46</v>
      </c>
      <c r="K7" s="137">
        <v>0</v>
      </c>
      <c r="L7" s="137">
        <v>0.54</v>
      </c>
    </row>
    <row r="8" spans="1:13" s="88" customFormat="1" ht="31.5" customHeight="1">
      <c r="A8" s="92" t="s">
        <v>1249</v>
      </c>
      <c r="B8" s="93"/>
      <c r="C8" s="94">
        <f ca="1">'SavingsData&amp;Analysis'!BH11</f>
        <v>3.7770072992700716</v>
      </c>
      <c r="D8" s="907" t="s">
        <v>1250</v>
      </c>
      <c r="E8" s="907"/>
      <c r="F8" s="907"/>
      <c r="G8" s="907"/>
      <c r="I8" s="135" t="s">
        <v>334</v>
      </c>
      <c r="J8" s="136">
        <v>0.46</v>
      </c>
      <c r="K8" s="137">
        <v>0</v>
      </c>
      <c r="L8" s="137">
        <v>0.54</v>
      </c>
    </row>
    <row r="9" spans="1:13" s="88" customFormat="1" ht="30.75" customHeight="1">
      <c r="A9" s="92" t="s">
        <v>173</v>
      </c>
      <c r="C9" s="95">
        <v>0.18525826938380099</v>
      </c>
      <c r="D9" s="912" t="s">
        <v>1251</v>
      </c>
      <c r="E9" s="912"/>
      <c r="F9" s="912"/>
      <c r="G9" s="912"/>
      <c r="I9" s="138" t="s">
        <v>335</v>
      </c>
      <c r="J9" s="137">
        <v>0.45687</v>
      </c>
      <c r="K9" s="137">
        <v>0</v>
      </c>
      <c r="L9" s="137">
        <v>0.54313</v>
      </c>
      <c r="M9" s="84"/>
    </row>
    <row r="10" spans="1:13" s="88" customFormat="1">
      <c r="I10" s="110"/>
      <c r="J10" s="84"/>
      <c r="K10" s="84"/>
      <c r="L10" s="84"/>
      <c r="M10" s="84"/>
    </row>
    <row r="11" spans="1:13" s="84" customFormat="1">
      <c r="J11" s="110"/>
    </row>
    <row r="12" spans="1:13" s="84" customFormat="1">
      <c r="A12" s="82" t="s">
        <v>174</v>
      </c>
      <c r="B12" s="83"/>
      <c r="C12" s="83"/>
      <c r="D12" s="83"/>
      <c r="E12" s="83"/>
      <c r="F12" s="83"/>
      <c r="G12" s="83"/>
      <c r="I12" s="88"/>
      <c r="J12" s="88"/>
      <c r="K12" s="88"/>
      <c r="L12" s="88"/>
      <c r="M12" s="88"/>
    </row>
    <row r="13" spans="1:13" s="84" customFormat="1">
      <c r="A13" s="96" t="s">
        <v>175</v>
      </c>
      <c r="B13" s="96" t="s">
        <v>176</v>
      </c>
      <c r="I13" s="88"/>
      <c r="J13" s="88"/>
      <c r="K13" s="88"/>
      <c r="L13" s="88"/>
      <c r="M13" s="88"/>
    </row>
    <row r="14" spans="1:13" s="88" customFormat="1">
      <c r="A14" s="88" t="s">
        <v>177</v>
      </c>
      <c r="B14" s="97">
        <v>1</v>
      </c>
      <c r="I14" s="98"/>
      <c r="J14" s="98"/>
      <c r="K14" s="98"/>
      <c r="L14" s="98"/>
      <c r="M14" s="98"/>
    </row>
    <row r="15" spans="1:13" s="88" customFormat="1">
      <c r="A15" s="88" t="s">
        <v>178</v>
      </c>
      <c r="B15" s="97">
        <v>0</v>
      </c>
    </row>
    <row r="16" spans="1:13" s="88" customFormat="1">
      <c r="A16" s="88" t="s">
        <v>179</v>
      </c>
      <c r="B16" s="97">
        <f>[2]SATS!$E$47</f>
        <v>0.94699999999999995</v>
      </c>
      <c r="C16" s="98" t="s">
        <v>1361</v>
      </c>
      <c r="D16" s="98"/>
      <c r="E16" s="98"/>
      <c r="F16" s="98"/>
      <c r="G16" s="98"/>
      <c r="H16" s="98"/>
    </row>
    <row r="17" spans="1:13" s="88" customFormat="1">
      <c r="A17" s="99" t="s">
        <v>175</v>
      </c>
      <c r="B17" s="99" t="s">
        <v>181</v>
      </c>
    </row>
    <row r="18" spans="1:13" s="88" customFormat="1">
      <c r="A18" s="88" t="s">
        <v>182</v>
      </c>
      <c r="B18" s="97">
        <v>1</v>
      </c>
      <c r="I18" s="98"/>
      <c r="J18" s="98"/>
      <c r="K18" s="98"/>
      <c r="L18" s="98"/>
      <c r="M18" s="98"/>
    </row>
    <row r="19" spans="1:13" s="88" customFormat="1">
      <c r="A19" s="88" t="s">
        <v>183</v>
      </c>
      <c r="B19" s="97">
        <v>0</v>
      </c>
      <c r="C19" s="88" t="s">
        <v>184</v>
      </c>
      <c r="I19" s="84"/>
      <c r="J19" s="84"/>
      <c r="K19" s="84"/>
      <c r="L19" s="84"/>
      <c r="M19" s="84"/>
    </row>
    <row r="20" spans="1:13" s="88" customFormat="1">
      <c r="A20" s="88" t="s">
        <v>185</v>
      </c>
      <c r="B20" s="97">
        <v>0.99</v>
      </c>
      <c r="C20" s="98" t="s">
        <v>1361</v>
      </c>
      <c r="D20" s="98"/>
      <c r="E20" s="98"/>
      <c r="F20" s="98"/>
      <c r="G20" s="98"/>
      <c r="H20" s="98"/>
      <c r="I20" s="84"/>
      <c r="J20" s="84"/>
      <c r="K20" s="84"/>
      <c r="L20" s="84"/>
      <c r="M20" s="84"/>
    </row>
    <row r="21" spans="1:13" s="84" customFormat="1"/>
    <row r="22" spans="1:13" s="84" customFormat="1"/>
    <row r="23" spans="1:13" s="84" customFormat="1">
      <c r="A23" s="82" t="s">
        <v>186</v>
      </c>
      <c r="B23" s="83"/>
      <c r="C23" s="83"/>
      <c r="D23" s="83"/>
      <c r="E23" s="83"/>
      <c r="F23" s="83"/>
      <c r="G23" s="83"/>
    </row>
    <row r="24" spans="1:13" s="84" customFormat="1" ht="19.5" customHeight="1">
      <c r="A24" s="911" t="s">
        <v>1252</v>
      </c>
      <c r="B24" s="911"/>
      <c r="C24" s="911"/>
      <c r="D24" s="911"/>
      <c r="E24" s="911"/>
      <c r="F24" s="911"/>
      <c r="G24" s="911"/>
      <c r="I24" s="88"/>
      <c r="J24" s="88"/>
      <c r="K24" s="88"/>
      <c r="L24" s="88"/>
      <c r="M24" s="88"/>
    </row>
    <row r="25" spans="1:13" s="84" customFormat="1" ht="19.5" customHeight="1">
      <c r="A25" s="911"/>
      <c r="B25" s="911"/>
      <c r="C25" s="911"/>
      <c r="D25" s="911"/>
      <c r="E25" s="911"/>
      <c r="F25" s="911"/>
      <c r="G25" s="911"/>
      <c r="I25" s="88"/>
      <c r="J25" s="88"/>
      <c r="K25" s="88"/>
      <c r="L25" s="88"/>
      <c r="M25" s="88"/>
    </row>
    <row r="26" spans="1:13" s="88" customFormat="1">
      <c r="A26" s="100" t="s">
        <v>187</v>
      </c>
      <c r="C26" s="885">
        <f>'[3]Savings and Cost'!$F$21</f>
        <v>3.6841444395749776</v>
      </c>
      <c r="D26" s="100" t="s">
        <v>188</v>
      </c>
      <c r="E26" s="88" t="s">
        <v>1651</v>
      </c>
    </row>
    <row r="27" spans="1:13" s="88" customFormat="1">
      <c r="A27" s="100" t="s">
        <v>189</v>
      </c>
      <c r="C27" s="102">
        <v>13.844487905012464</v>
      </c>
      <c r="D27" s="100" t="s">
        <v>190</v>
      </c>
    </row>
    <row r="28" spans="1:13" s="88" customFormat="1">
      <c r="A28" s="103"/>
      <c r="B28" s="104"/>
      <c r="D28" s="104"/>
      <c r="E28" s="104"/>
    </row>
    <row r="29" spans="1:13" s="88" customFormat="1">
      <c r="I29" s="84"/>
      <c r="J29" s="84"/>
      <c r="K29" s="84"/>
      <c r="L29" s="84"/>
      <c r="M29" s="84"/>
    </row>
    <row r="30" spans="1:13" s="88" customFormat="1"/>
    <row r="31" spans="1:13" s="84" customFormat="1">
      <c r="A31" s="82" t="s">
        <v>191</v>
      </c>
      <c r="B31" s="83"/>
      <c r="C31" s="83"/>
      <c r="D31" s="83"/>
      <c r="E31" s="83"/>
      <c r="F31" s="83"/>
      <c r="G31" s="83"/>
      <c r="I31" s="88"/>
      <c r="J31" s="88"/>
      <c r="K31" s="88"/>
      <c r="L31" s="88"/>
      <c r="M31" s="88"/>
    </row>
    <row r="32" spans="1:13" s="88" customFormat="1">
      <c r="A32" s="101">
        <v>1</v>
      </c>
      <c r="B32" s="88" t="s">
        <v>192</v>
      </c>
    </row>
    <row r="33" spans="1:13" s="88" customFormat="1">
      <c r="A33" s="105">
        <v>2.9329719999999999E-4</v>
      </c>
      <c r="B33" s="88" t="s">
        <v>193</v>
      </c>
    </row>
    <row r="34" spans="1:13" s="88" customFormat="1">
      <c r="A34" s="106">
        <f>1/8.345</f>
        <v>0.11983223487118033</v>
      </c>
      <c r="B34" s="88" t="s">
        <v>194</v>
      </c>
      <c r="I34" s="84"/>
      <c r="J34" s="84"/>
      <c r="K34" s="84"/>
      <c r="L34" s="84"/>
      <c r="M34" s="84"/>
    </row>
    <row r="35" spans="1:13" s="88" customFormat="1">
      <c r="A35" s="105">
        <f>A32*A33/A34</f>
        <v>2.4475651340000004E-3</v>
      </c>
      <c r="B35" s="88" t="s">
        <v>195</v>
      </c>
      <c r="I35" s="84"/>
      <c r="J35" s="84"/>
      <c r="K35" s="84"/>
      <c r="L35" s="84"/>
      <c r="M35" s="84"/>
    </row>
    <row r="36" spans="1:13" s="84" customFormat="1"/>
    <row r="37" spans="1:13" s="84" customFormat="1">
      <c r="A37" s="82" t="s">
        <v>196</v>
      </c>
      <c r="B37" s="83"/>
      <c r="C37" s="83"/>
      <c r="D37" s="83"/>
      <c r="E37" s="83"/>
      <c r="F37" s="83"/>
      <c r="G37" s="83"/>
      <c r="I37" s="88"/>
      <c r="J37" s="88"/>
      <c r="K37" s="88"/>
      <c r="L37" s="88"/>
      <c r="M37" s="88"/>
    </row>
    <row r="38" spans="1:13" s="84" customFormat="1">
      <c r="A38" s="582" t="s">
        <v>1251</v>
      </c>
      <c r="I38" s="88"/>
      <c r="J38" s="88"/>
      <c r="K38" s="88"/>
      <c r="L38" s="88"/>
      <c r="M38" s="88"/>
    </row>
    <row r="39" spans="1:13" s="88" customFormat="1">
      <c r="B39" s="97"/>
    </row>
    <row r="40" spans="1:13" s="88" customFormat="1">
      <c r="A40" s="107" t="s">
        <v>197</v>
      </c>
      <c r="B40" s="108" t="s">
        <v>198</v>
      </c>
    </row>
    <row r="41" spans="1:13" s="88" customFormat="1">
      <c r="A41" s="108"/>
      <c r="B41" s="109" t="s">
        <v>199</v>
      </c>
    </row>
    <row r="42" spans="1:13" s="88" customFormat="1">
      <c r="A42" s="583">
        <v>2003</v>
      </c>
      <c r="B42" s="584">
        <v>1.0940643717281311</v>
      </c>
    </row>
    <row r="43" spans="1:13" s="88" customFormat="1">
      <c r="A43" s="583">
        <v>2004</v>
      </c>
      <c r="B43" s="584">
        <v>1.0645276947042166</v>
      </c>
    </row>
    <row r="44" spans="1:13" s="88" customFormat="1">
      <c r="A44" s="583">
        <v>2005</v>
      </c>
      <c r="B44" s="584">
        <v>1.0335426999999999</v>
      </c>
    </row>
    <row r="45" spans="1:13" s="88" customFormat="1">
      <c r="A45" s="583">
        <v>2006</v>
      </c>
      <c r="B45" s="585">
        <v>1</v>
      </c>
    </row>
    <row r="46" spans="1:13" s="88" customFormat="1">
      <c r="A46" s="583">
        <v>2007</v>
      </c>
      <c r="B46" s="584">
        <v>0.97329963761977745</v>
      </c>
    </row>
    <row r="47" spans="1:13" s="88" customFormat="1">
      <c r="A47" s="583">
        <v>2008</v>
      </c>
      <c r="B47" s="584">
        <v>0.95565941982820291</v>
      </c>
    </row>
    <row r="48" spans="1:13" s="88" customFormat="1">
      <c r="A48" s="583">
        <v>2009</v>
      </c>
      <c r="B48" s="584">
        <v>0.94692526782402087</v>
      </c>
    </row>
    <row r="49" spans="1:13" s="88" customFormat="1">
      <c r="A49" s="583">
        <v>2010</v>
      </c>
      <c r="B49" s="584">
        <v>0.93697377860065689</v>
      </c>
      <c r="I49" s="84"/>
      <c r="J49" s="84"/>
      <c r="K49" s="84"/>
      <c r="L49" s="84"/>
      <c r="M49" s="84"/>
    </row>
    <row r="50" spans="1:13" s="88" customFormat="1">
      <c r="A50" s="583">
        <v>2011</v>
      </c>
      <c r="B50" s="584">
        <v>0.91838020951532329</v>
      </c>
      <c r="I50" s="84"/>
      <c r="J50" s="84"/>
      <c r="K50" s="84"/>
      <c r="L50" s="84"/>
      <c r="M50" s="84"/>
    </row>
    <row r="51" spans="1:13" s="84" customFormat="1">
      <c r="A51" s="583">
        <v>2012</v>
      </c>
      <c r="B51" s="584">
        <v>0.90305488179949944</v>
      </c>
      <c r="D51" s="110" t="s">
        <v>200</v>
      </c>
    </row>
    <row r="52" spans="1:13" s="84" customFormat="1">
      <c r="B52" s="88"/>
    </row>
    <row r="53" spans="1:13" s="84" customFormat="1">
      <c r="A53" s="82" t="s">
        <v>201</v>
      </c>
      <c r="B53" s="83"/>
      <c r="C53" s="83"/>
      <c r="D53" s="83"/>
      <c r="E53" s="83"/>
      <c r="F53" s="83"/>
      <c r="G53" s="83"/>
    </row>
    <row r="54" spans="1:13" s="84" customFormat="1">
      <c r="A54" s="111" t="s">
        <v>202</v>
      </c>
      <c r="B54" s="112" t="s">
        <v>1253</v>
      </c>
      <c r="C54" s="113" t="s">
        <v>1254</v>
      </c>
      <c r="D54" s="113" t="s">
        <v>203</v>
      </c>
      <c r="E54" s="113" t="s">
        <v>1255</v>
      </c>
      <c r="F54" s="113" t="s">
        <v>1256</v>
      </c>
    </row>
    <row r="55" spans="1:13" s="84" customFormat="1">
      <c r="A55" s="114" t="s">
        <v>1257</v>
      </c>
      <c r="B55" s="115">
        <f>'Eff. Standards &amp; Certifications'!B20</f>
        <v>1.29</v>
      </c>
      <c r="C55" s="115">
        <f>'SavingsData&amp;Analysis'!BJ19</f>
        <v>3.1575999999999995</v>
      </c>
      <c r="D55" s="116"/>
      <c r="E55" s="119">
        <f>'SavingsData&amp;Analysis'!BL18</f>
        <v>3.6925800000000004</v>
      </c>
      <c r="F55" s="119">
        <f>'Eff. Standards &amp; Certifications'!C20</f>
        <v>8.4</v>
      </c>
    </row>
    <row r="56" spans="1:13" s="84" customFormat="1">
      <c r="A56" s="114" t="s">
        <v>1258</v>
      </c>
      <c r="B56" s="115">
        <f>'Eff. Standards &amp; Certifications'!B21</f>
        <v>1.84</v>
      </c>
      <c r="C56" s="115">
        <f>'SavingsData&amp;Analysis'!BK19</f>
        <v>3.3749599999999997</v>
      </c>
      <c r="D56" s="116"/>
      <c r="E56" s="119">
        <f>'SavingsData&amp;Analysis'!BM18</f>
        <v>2.6777000000000002</v>
      </c>
      <c r="F56" s="119">
        <f>'Eff. Standards &amp; Certifications'!C21</f>
        <v>4.7</v>
      </c>
    </row>
    <row r="57" spans="1:13" s="84" customFormat="1">
      <c r="A57" s="114" t="s">
        <v>1259</v>
      </c>
      <c r="B57" s="115">
        <f>B55</f>
        <v>1.29</v>
      </c>
      <c r="C57" s="115">
        <f>B59-0.01</f>
        <v>2.0500000000000003</v>
      </c>
      <c r="D57" s="116"/>
      <c r="E57" s="117">
        <f>F59+0.01</f>
        <v>4.3099999999999996</v>
      </c>
      <c r="F57" s="119">
        <f>F55</f>
        <v>8.4</v>
      </c>
    </row>
    <row r="58" spans="1:13" s="84" customFormat="1">
      <c r="A58" s="114" t="s">
        <v>1260</v>
      </c>
      <c r="B58" s="115">
        <f>B56</f>
        <v>1.84</v>
      </c>
      <c r="C58" s="115">
        <f>B60-0.01</f>
        <v>2.37</v>
      </c>
      <c r="D58" s="116"/>
      <c r="E58" s="117">
        <f>F60+0.01</f>
        <v>3.71</v>
      </c>
      <c r="F58" s="119">
        <f>F56</f>
        <v>4.7</v>
      </c>
    </row>
    <row r="59" spans="1:13" s="84" customFormat="1">
      <c r="A59" s="110" t="s">
        <v>1261</v>
      </c>
      <c r="B59" s="115">
        <f>'Eff. Standards &amp; Certifications'!B25</f>
        <v>2.06</v>
      </c>
      <c r="C59" s="115">
        <f>C55</f>
        <v>3.1575999999999995</v>
      </c>
      <c r="D59" s="98" t="str">
        <f t="shared" ref="D59:D63" si="0">A59</f>
        <v>ENERGY STAR - Top-Load</v>
      </c>
      <c r="E59" s="119">
        <f>E55</f>
        <v>3.6925800000000004</v>
      </c>
      <c r="F59" s="119">
        <f>'Eff. Standards &amp; Certifications'!C25</f>
        <v>4.3</v>
      </c>
    </row>
    <row r="60" spans="1:13" s="84" customFormat="1">
      <c r="A60" s="110" t="s">
        <v>1262</v>
      </c>
      <c r="B60" s="115">
        <f>'Eff. Standards &amp; Certifications'!B26</f>
        <v>2.38</v>
      </c>
      <c r="C60" s="115">
        <f>C56</f>
        <v>3.3749599999999997</v>
      </c>
      <c r="D60" s="98" t="str">
        <f t="shared" si="0"/>
        <v>ENERGY STAR - Front-Load</v>
      </c>
      <c r="E60" s="119">
        <f>E56</f>
        <v>2.6777000000000002</v>
      </c>
      <c r="F60" s="119">
        <f>'Eff. Standards &amp; Certifications'!C26</f>
        <v>3.7</v>
      </c>
    </row>
    <row r="61" spans="1:13" s="84" customFormat="1">
      <c r="A61" s="101" t="s">
        <v>205</v>
      </c>
      <c r="B61" s="115">
        <f>'Eff. Standards &amp; Certifications'!B29</f>
        <v>2.38</v>
      </c>
      <c r="C61" s="115">
        <f>B62-0.01</f>
        <v>2.75</v>
      </c>
      <c r="D61" s="98" t="str">
        <f t="shared" si="0"/>
        <v>CEE Tier 1</v>
      </c>
      <c r="E61" s="117">
        <f>F62+0.01</f>
        <v>3.51</v>
      </c>
      <c r="F61" s="119">
        <f>'Eff. Standards &amp; Certifications'!C29</f>
        <v>3.7</v>
      </c>
      <c r="I61" s="124"/>
      <c r="J61" s="124"/>
      <c r="K61" s="124"/>
      <c r="L61" s="124"/>
      <c r="M61" s="124"/>
    </row>
    <row r="62" spans="1:13" s="84" customFormat="1">
      <c r="A62" s="586" t="s">
        <v>206</v>
      </c>
      <c r="B62" s="115">
        <f>'Eff. Standards &amp; Certifications'!B30</f>
        <v>2.76</v>
      </c>
      <c r="C62" s="115">
        <f>B63-0.01</f>
        <v>2.91</v>
      </c>
      <c r="D62" s="98" t="str">
        <f t="shared" si="0"/>
        <v>CEE Tier 2</v>
      </c>
      <c r="E62" s="117">
        <f>F63+0.01</f>
        <v>3.21</v>
      </c>
      <c r="F62" s="119">
        <f>'Eff. Standards &amp; Certifications'!C30</f>
        <v>3.5</v>
      </c>
      <c r="I62" s="124"/>
      <c r="J62" s="124"/>
      <c r="K62" s="124"/>
      <c r="L62" s="124"/>
      <c r="M62" s="124"/>
    </row>
    <row r="63" spans="1:13" s="84" customFormat="1">
      <c r="A63" s="118" t="s">
        <v>207</v>
      </c>
      <c r="B63" s="115">
        <f>'Eff. Standards &amp; Certifications'!B31</f>
        <v>2.92</v>
      </c>
      <c r="C63" s="115">
        <f>MAX('SavingsData&amp;Analysis'!BJ19:BK19)</f>
        <v>3.3749599999999997</v>
      </c>
      <c r="D63" s="98" t="str">
        <f t="shared" si="0"/>
        <v>CEE Tier 3</v>
      </c>
      <c r="E63" s="119">
        <f>MIN('SavingsData&amp;Analysis'!BL18:BM18)</f>
        <v>2.6777000000000002</v>
      </c>
      <c r="F63" s="119">
        <f>'Eff. Standards &amp; Certifications'!C31</f>
        <v>3.2</v>
      </c>
      <c r="I63" s="88"/>
      <c r="J63" s="88"/>
      <c r="K63" s="88"/>
      <c r="L63" s="88"/>
      <c r="M63" s="88"/>
    </row>
    <row r="64" spans="1:13" s="84" customFormat="1">
      <c r="A64" s="587" t="s">
        <v>1263</v>
      </c>
      <c r="B64" s="588"/>
      <c r="C64" s="588"/>
      <c r="D64" s="589"/>
      <c r="E64" s="590"/>
      <c r="F64" s="591"/>
      <c r="I64" s="88"/>
      <c r="J64" s="88"/>
      <c r="K64" s="88"/>
      <c r="L64" s="88"/>
      <c r="M64" s="88"/>
    </row>
    <row r="65" spans="1:13" s="84" customFormat="1">
      <c r="A65" s="587" t="s">
        <v>1264</v>
      </c>
      <c r="B65" s="588"/>
      <c r="C65" s="588"/>
      <c r="D65" s="589"/>
      <c r="E65" s="590"/>
      <c r="F65" s="591"/>
      <c r="I65" s="88"/>
      <c r="J65" s="88"/>
      <c r="K65" s="88"/>
      <c r="L65" s="88"/>
      <c r="M65" s="88"/>
    </row>
    <row r="66" spans="1:13" s="84" customFormat="1">
      <c r="A66" s="120" t="s">
        <v>1265</v>
      </c>
      <c r="B66" s="121">
        <f>B55</f>
        <v>1.29</v>
      </c>
      <c r="C66" s="121">
        <f>C55</f>
        <v>3.1575999999999995</v>
      </c>
      <c r="D66" s="118"/>
      <c r="E66" s="121">
        <f>E55</f>
        <v>3.6925800000000004</v>
      </c>
      <c r="F66" s="121">
        <f>F55</f>
        <v>8.4</v>
      </c>
      <c r="I66" s="88"/>
      <c r="J66" s="88"/>
      <c r="K66" s="88"/>
      <c r="L66" s="88"/>
      <c r="M66" s="88"/>
    </row>
    <row r="67" spans="1:13" s="84" customFormat="1">
      <c r="A67" s="120" t="s">
        <v>1266</v>
      </c>
      <c r="B67" s="121">
        <f>B56</f>
        <v>1.84</v>
      </c>
      <c r="C67" s="121">
        <f>C56</f>
        <v>3.3749599999999997</v>
      </c>
      <c r="D67" s="118"/>
      <c r="E67" s="121">
        <f>'Northwest Retail Cost Data'!C284</f>
        <v>2.48</v>
      </c>
      <c r="F67" s="121">
        <f>F56</f>
        <v>4.7</v>
      </c>
      <c r="I67" s="88"/>
      <c r="J67" s="88"/>
      <c r="K67" s="88"/>
      <c r="L67" s="88"/>
      <c r="M67" s="88"/>
    </row>
    <row r="68" spans="1:13" s="84" customFormat="1">
      <c r="A68" s="120"/>
      <c r="B68" s="121"/>
      <c r="C68" s="121"/>
      <c r="D68" s="118"/>
      <c r="E68" s="121"/>
      <c r="F68" s="121"/>
      <c r="I68" s="88"/>
      <c r="J68" s="88"/>
      <c r="K68" s="88"/>
      <c r="L68" s="88"/>
      <c r="M68" s="88"/>
    </row>
    <row r="69" spans="1:13" s="84" customFormat="1">
      <c r="A69" s="120"/>
      <c r="B69" s="121"/>
      <c r="C69" s="121"/>
      <c r="D69" s="118"/>
      <c r="E69" s="121"/>
      <c r="F69" s="121"/>
      <c r="I69" s="88"/>
      <c r="J69" s="88"/>
      <c r="K69" s="88"/>
      <c r="L69" s="88"/>
      <c r="M69" s="88"/>
    </row>
    <row r="70" spans="1:13" s="84" customFormat="1">
      <c r="A70" s="120"/>
      <c r="B70" s="121"/>
      <c r="C70" s="121"/>
      <c r="D70" s="118"/>
      <c r="E70" s="121"/>
      <c r="F70" s="121"/>
      <c r="I70" s="124"/>
      <c r="J70" s="124"/>
      <c r="K70" s="124"/>
      <c r="L70" s="124"/>
      <c r="M70" s="124"/>
    </row>
    <row r="72" spans="1:13">
      <c r="A72" s="122" t="s">
        <v>208</v>
      </c>
      <c r="B72" s="123"/>
      <c r="C72" s="123"/>
      <c r="D72" s="123"/>
      <c r="E72" s="123"/>
      <c r="F72" s="123"/>
      <c r="G72" s="123"/>
    </row>
    <row r="73" spans="1:13" s="88" customFormat="1">
      <c r="A73" s="88" t="s">
        <v>209</v>
      </c>
      <c r="B73" s="101">
        <v>1</v>
      </c>
      <c r="I73" s="124"/>
      <c r="J73" s="124"/>
      <c r="K73" s="124"/>
      <c r="L73" s="124"/>
      <c r="M73" s="124"/>
    </row>
    <row r="74" spans="1:13" s="88" customFormat="1">
      <c r="A74" s="88" t="s">
        <v>210</v>
      </c>
      <c r="B74" s="101">
        <v>8.3148999999999997</v>
      </c>
      <c r="I74" s="124"/>
      <c r="J74" s="124"/>
      <c r="K74" s="124"/>
      <c r="L74" s="124"/>
      <c r="M74" s="124"/>
    </row>
    <row r="75" spans="1:13" s="88" customFormat="1">
      <c r="A75" s="88" t="s">
        <v>211</v>
      </c>
      <c r="B75" s="125">
        <v>3413</v>
      </c>
      <c r="I75" s="124"/>
      <c r="J75" s="124"/>
      <c r="K75" s="124"/>
      <c r="L75" s="124"/>
      <c r="M75" s="124"/>
    </row>
    <row r="76" spans="1:13" s="88" customFormat="1">
      <c r="A76" s="100" t="s">
        <v>212</v>
      </c>
      <c r="B76" s="101">
        <v>65</v>
      </c>
      <c r="C76" s="100" t="s">
        <v>213</v>
      </c>
      <c r="I76" s="124"/>
      <c r="J76" s="124"/>
      <c r="K76" s="124"/>
      <c r="L76" s="124"/>
      <c r="M76" s="124"/>
    </row>
    <row r="77" spans="1:13" s="88" customFormat="1">
      <c r="A77" s="88" t="s">
        <v>214</v>
      </c>
      <c r="B77" s="126">
        <v>0.98</v>
      </c>
      <c r="C77" s="100" t="s">
        <v>215</v>
      </c>
      <c r="I77" s="124"/>
      <c r="J77" s="124"/>
      <c r="K77" s="124"/>
      <c r="L77" s="124"/>
      <c r="M77" s="124"/>
    </row>
    <row r="78" spans="1:13" s="88" customFormat="1">
      <c r="A78" s="88" t="s">
        <v>216</v>
      </c>
      <c r="B78" s="126">
        <v>0.75</v>
      </c>
      <c r="C78" s="100" t="s">
        <v>217</v>
      </c>
      <c r="I78" s="124"/>
      <c r="J78" s="124"/>
      <c r="K78" s="124"/>
      <c r="L78" s="124"/>
      <c r="M78" s="124"/>
    </row>
    <row r="79" spans="1:13" s="88" customFormat="1">
      <c r="A79" s="88" t="s">
        <v>218</v>
      </c>
      <c r="B79" s="101">
        <v>1.1200000000000001</v>
      </c>
      <c r="C79" s="100" t="s">
        <v>217</v>
      </c>
      <c r="I79" s="124"/>
      <c r="J79" s="124"/>
      <c r="K79" s="124"/>
      <c r="L79" s="124"/>
      <c r="M79" s="124"/>
    </row>
    <row r="81" spans="1:2">
      <c r="A81" s="127" t="s">
        <v>219</v>
      </c>
      <c r="B81" s="128"/>
    </row>
    <row r="82" spans="1:2">
      <c r="A82" s="129" t="s">
        <v>220</v>
      </c>
      <c r="B82" s="129" t="s">
        <v>221</v>
      </c>
    </row>
    <row r="83" spans="1:2">
      <c r="A83" s="130">
        <v>1</v>
      </c>
      <c r="B83" s="130" t="s">
        <v>222</v>
      </c>
    </row>
    <row r="84" spans="1:2">
      <c r="A84" s="130">
        <f>A83+1</f>
        <v>2</v>
      </c>
      <c r="B84" s="130" t="s">
        <v>223</v>
      </c>
    </row>
    <row r="85" spans="1:2">
      <c r="A85" s="130">
        <f t="shared" ref="A85:A148" si="1">A84+1</f>
        <v>3</v>
      </c>
      <c r="B85" s="130" t="s">
        <v>224</v>
      </c>
    </row>
    <row r="86" spans="1:2">
      <c r="A86" s="130">
        <f t="shared" si="1"/>
        <v>4</v>
      </c>
      <c r="B86" s="130" t="s">
        <v>225</v>
      </c>
    </row>
    <row r="87" spans="1:2">
      <c r="A87" s="130">
        <f t="shared" si="1"/>
        <v>5</v>
      </c>
      <c r="B87" s="130" t="s">
        <v>226</v>
      </c>
    </row>
    <row r="88" spans="1:2">
      <c r="A88" s="130">
        <f t="shared" si="1"/>
        <v>6</v>
      </c>
      <c r="B88" s="130" t="s">
        <v>227</v>
      </c>
    </row>
    <row r="89" spans="1:2">
      <c r="A89" s="130">
        <f t="shared" si="1"/>
        <v>7</v>
      </c>
      <c r="B89" s="130" t="s">
        <v>228</v>
      </c>
    </row>
    <row r="90" spans="1:2">
      <c r="A90" s="130">
        <f t="shared" si="1"/>
        <v>8</v>
      </c>
      <c r="B90" s="130" t="s">
        <v>229</v>
      </c>
    </row>
    <row r="91" spans="1:2">
      <c r="A91" s="130">
        <f t="shared" si="1"/>
        <v>9</v>
      </c>
      <c r="B91" s="130" t="s">
        <v>230</v>
      </c>
    </row>
    <row r="92" spans="1:2">
      <c r="A92" s="130">
        <f t="shared" si="1"/>
        <v>10</v>
      </c>
      <c r="B92" s="130" t="s">
        <v>231</v>
      </c>
    </row>
    <row r="93" spans="1:2">
      <c r="A93" s="130">
        <f t="shared" si="1"/>
        <v>11</v>
      </c>
      <c r="B93" s="130" t="s">
        <v>232</v>
      </c>
    </row>
    <row r="94" spans="1:2">
      <c r="A94" s="130">
        <f t="shared" si="1"/>
        <v>12</v>
      </c>
      <c r="B94" s="130" t="s">
        <v>233</v>
      </c>
    </row>
    <row r="95" spans="1:2">
      <c r="A95" s="130">
        <f t="shared" si="1"/>
        <v>13</v>
      </c>
      <c r="B95" s="130" t="s">
        <v>234</v>
      </c>
    </row>
    <row r="96" spans="1:2">
      <c r="A96" s="130">
        <f t="shared" si="1"/>
        <v>14</v>
      </c>
      <c r="B96" s="130" t="s">
        <v>235</v>
      </c>
    </row>
    <row r="97" spans="1:2">
      <c r="A97" s="130">
        <f t="shared" si="1"/>
        <v>15</v>
      </c>
      <c r="B97" s="130" t="s">
        <v>236</v>
      </c>
    </row>
    <row r="98" spans="1:2">
      <c r="A98" s="130">
        <f t="shared" si="1"/>
        <v>16</v>
      </c>
      <c r="B98" s="130" t="s">
        <v>237</v>
      </c>
    </row>
    <row r="99" spans="1:2">
      <c r="A99" s="130">
        <f t="shared" si="1"/>
        <v>17</v>
      </c>
      <c r="B99" s="130" t="s">
        <v>238</v>
      </c>
    </row>
    <row r="100" spans="1:2">
      <c r="A100" s="130">
        <f t="shared" si="1"/>
        <v>18</v>
      </c>
      <c r="B100" s="130" t="s">
        <v>239</v>
      </c>
    </row>
    <row r="101" spans="1:2">
      <c r="A101" s="130">
        <f t="shared" si="1"/>
        <v>19</v>
      </c>
      <c r="B101" s="130" t="s">
        <v>240</v>
      </c>
    </row>
    <row r="102" spans="1:2">
      <c r="A102" s="130">
        <f t="shared" si="1"/>
        <v>20</v>
      </c>
      <c r="B102" s="130" t="s">
        <v>241</v>
      </c>
    </row>
    <row r="103" spans="1:2">
      <c r="A103" s="130">
        <f t="shared" si="1"/>
        <v>21</v>
      </c>
      <c r="B103" s="130" t="s">
        <v>242</v>
      </c>
    </row>
    <row r="104" spans="1:2">
      <c r="A104" s="130">
        <f t="shared" si="1"/>
        <v>22</v>
      </c>
      <c r="B104" s="130" t="s">
        <v>243</v>
      </c>
    </row>
    <row r="105" spans="1:2">
      <c r="A105" s="130">
        <f t="shared" si="1"/>
        <v>23</v>
      </c>
      <c r="B105" s="130" t="s">
        <v>244</v>
      </c>
    </row>
    <row r="106" spans="1:2">
      <c r="A106" s="130">
        <f t="shared" si="1"/>
        <v>24</v>
      </c>
      <c r="B106" s="130" t="s">
        <v>245</v>
      </c>
    </row>
    <row r="107" spans="1:2">
      <c r="A107" s="130">
        <f t="shared" si="1"/>
        <v>25</v>
      </c>
      <c r="B107" s="130" t="s">
        <v>246</v>
      </c>
    </row>
    <row r="108" spans="1:2">
      <c r="A108" s="130">
        <f t="shared" si="1"/>
        <v>26</v>
      </c>
      <c r="B108" s="130" t="s">
        <v>247</v>
      </c>
    </row>
    <row r="109" spans="1:2">
      <c r="A109" s="130">
        <f t="shared" si="1"/>
        <v>27</v>
      </c>
      <c r="B109" s="130" t="s">
        <v>248</v>
      </c>
    </row>
    <row r="110" spans="1:2">
      <c r="A110" s="130">
        <f t="shared" si="1"/>
        <v>28</v>
      </c>
      <c r="B110" s="130" t="s">
        <v>249</v>
      </c>
    </row>
    <row r="111" spans="1:2">
      <c r="A111" s="130">
        <f t="shared" si="1"/>
        <v>29</v>
      </c>
      <c r="B111" s="130" t="s">
        <v>250</v>
      </c>
    </row>
    <row r="112" spans="1:2">
      <c r="A112" s="130">
        <f t="shared" si="1"/>
        <v>30</v>
      </c>
      <c r="B112" s="130" t="s">
        <v>251</v>
      </c>
    </row>
    <row r="113" spans="1:2">
      <c r="A113" s="130">
        <f t="shared" si="1"/>
        <v>31</v>
      </c>
      <c r="B113" s="130" t="s">
        <v>252</v>
      </c>
    </row>
    <row r="114" spans="1:2">
      <c r="A114" s="130">
        <f t="shared" si="1"/>
        <v>32</v>
      </c>
      <c r="B114" s="130" t="s">
        <v>253</v>
      </c>
    </row>
    <row r="115" spans="1:2">
      <c r="A115" s="130">
        <f t="shared" si="1"/>
        <v>33</v>
      </c>
      <c r="B115" s="130" t="s">
        <v>254</v>
      </c>
    </row>
    <row r="116" spans="1:2">
      <c r="A116" s="130">
        <f t="shared" si="1"/>
        <v>34</v>
      </c>
      <c r="B116" s="130" t="s">
        <v>255</v>
      </c>
    </row>
    <row r="117" spans="1:2">
      <c r="A117" s="130">
        <f t="shared" si="1"/>
        <v>35</v>
      </c>
      <c r="B117" s="130" t="s">
        <v>256</v>
      </c>
    </row>
    <row r="118" spans="1:2">
      <c r="A118" s="130">
        <f t="shared" si="1"/>
        <v>36</v>
      </c>
      <c r="B118" s="130" t="s">
        <v>257</v>
      </c>
    </row>
    <row r="119" spans="1:2">
      <c r="A119" s="130">
        <f t="shared" si="1"/>
        <v>37</v>
      </c>
      <c r="B119" s="130" t="s">
        <v>258</v>
      </c>
    </row>
    <row r="120" spans="1:2">
      <c r="A120" s="130">
        <f t="shared" si="1"/>
        <v>38</v>
      </c>
      <c r="B120" s="130" t="s">
        <v>259</v>
      </c>
    </row>
    <row r="121" spans="1:2">
      <c r="A121" s="130">
        <f t="shared" si="1"/>
        <v>39</v>
      </c>
      <c r="B121" s="130" t="s">
        <v>260</v>
      </c>
    </row>
    <row r="122" spans="1:2">
      <c r="A122" s="130">
        <f t="shared" si="1"/>
        <v>40</v>
      </c>
      <c r="B122" s="130" t="s">
        <v>261</v>
      </c>
    </row>
    <row r="123" spans="1:2">
      <c r="A123" s="130">
        <f t="shared" si="1"/>
        <v>41</v>
      </c>
      <c r="B123" s="130" t="s">
        <v>262</v>
      </c>
    </row>
    <row r="124" spans="1:2">
      <c r="A124" s="130">
        <f t="shared" si="1"/>
        <v>42</v>
      </c>
      <c r="B124" s="130" t="s">
        <v>263</v>
      </c>
    </row>
    <row r="125" spans="1:2">
      <c r="A125" s="130">
        <f t="shared" si="1"/>
        <v>43</v>
      </c>
      <c r="B125" s="130" t="s">
        <v>264</v>
      </c>
    </row>
    <row r="126" spans="1:2">
      <c r="A126" s="130">
        <f t="shared" si="1"/>
        <v>44</v>
      </c>
      <c r="B126" s="130" t="s">
        <v>265</v>
      </c>
    </row>
    <row r="127" spans="1:2">
      <c r="A127" s="130">
        <f t="shared" si="1"/>
        <v>45</v>
      </c>
      <c r="B127" s="130" t="s">
        <v>266</v>
      </c>
    </row>
    <row r="128" spans="1:2">
      <c r="A128" s="130">
        <f t="shared" si="1"/>
        <v>46</v>
      </c>
      <c r="B128" s="130" t="s">
        <v>267</v>
      </c>
    </row>
    <row r="129" spans="1:2">
      <c r="A129" s="130">
        <f t="shared" si="1"/>
        <v>47</v>
      </c>
      <c r="B129" s="130" t="s">
        <v>268</v>
      </c>
    </row>
    <row r="130" spans="1:2">
      <c r="A130" s="130">
        <f t="shared" si="1"/>
        <v>48</v>
      </c>
      <c r="B130" s="130" t="s">
        <v>269</v>
      </c>
    </row>
    <row r="131" spans="1:2">
      <c r="A131" s="130">
        <f t="shared" si="1"/>
        <v>49</v>
      </c>
      <c r="B131" s="130" t="s">
        <v>270</v>
      </c>
    </row>
    <row r="132" spans="1:2">
      <c r="A132" s="130">
        <f t="shared" si="1"/>
        <v>50</v>
      </c>
      <c r="B132" s="130" t="s">
        <v>271</v>
      </c>
    </row>
    <row r="133" spans="1:2">
      <c r="A133" s="130">
        <f t="shared" si="1"/>
        <v>51</v>
      </c>
      <c r="B133" s="130" t="s">
        <v>272</v>
      </c>
    </row>
    <row r="134" spans="1:2">
      <c r="A134" s="130">
        <f t="shared" si="1"/>
        <v>52</v>
      </c>
      <c r="B134" s="130" t="s">
        <v>273</v>
      </c>
    </row>
    <row r="135" spans="1:2">
      <c r="A135" s="130">
        <f t="shared" si="1"/>
        <v>53</v>
      </c>
      <c r="B135" s="130" t="s">
        <v>274</v>
      </c>
    </row>
    <row r="136" spans="1:2">
      <c r="A136" s="130">
        <f t="shared" si="1"/>
        <v>54</v>
      </c>
      <c r="B136" s="130" t="s">
        <v>275</v>
      </c>
    </row>
    <row r="137" spans="1:2">
      <c r="A137" s="130">
        <f t="shared" si="1"/>
        <v>55</v>
      </c>
      <c r="B137" s="130" t="s">
        <v>276</v>
      </c>
    </row>
    <row r="138" spans="1:2">
      <c r="A138" s="130">
        <f t="shared" si="1"/>
        <v>56</v>
      </c>
      <c r="B138" s="130" t="s">
        <v>277</v>
      </c>
    </row>
    <row r="139" spans="1:2">
      <c r="A139" s="130">
        <f t="shared" si="1"/>
        <v>57</v>
      </c>
      <c r="B139" s="130" t="s">
        <v>278</v>
      </c>
    </row>
    <row r="140" spans="1:2">
      <c r="A140" s="130">
        <f t="shared" si="1"/>
        <v>58</v>
      </c>
      <c r="B140" s="130" t="s">
        <v>279</v>
      </c>
    </row>
    <row r="141" spans="1:2">
      <c r="A141" s="130">
        <f t="shared" si="1"/>
        <v>59</v>
      </c>
      <c r="B141" s="130" t="s">
        <v>280</v>
      </c>
    </row>
    <row r="142" spans="1:2">
      <c r="A142" s="130">
        <f t="shared" si="1"/>
        <v>60</v>
      </c>
      <c r="B142" s="130" t="s">
        <v>281</v>
      </c>
    </row>
    <row r="143" spans="1:2">
      <c r="A143" s="130">
        <f t="shared" si="1"/>
        <v>61</v>
      </c>
      <c r="B143" s="130" t="s">
        <v>282</v>
      </c>
    </row>
    <row r="144" spans="1:2">
      <c r="A144" s="130">
        <f t="shared" si="1"/>
        <v>62</v>
      </c>
      <c r="B144" s="130" t="s">
        <v>283</v>
      </c>
    </row>
    <row r="145" spans="1:2">
      <c r="A145" s="130">
        <f t="shared" si="1"/>
        <v>63</v>
      </c>
      <c r="B145" s="130" t="s">
        <v>284</v>
      </c>
    </row>
    <row r="146" spans="1:2">
      <c r="A146" s="130">
        <f t="shared" si="1"/>
        <v>64</v>
      </c>
      <c r="B146" s="130" t="s">
        <v>285</v>
      </c>
    </row>
    <row r="147" spans="1:2">
      <c r="A147" s="130">
        <f t="shared" si="1"/>
        <v>65</v>
      </c>
      <c r="B147" s="130" t="s">
        <v>286</v>
      </c>
    </row>
    <row r="148" spans="1:2">
      <c r="A148" s="130">
        <f t="shared" si="1"/>
        <v>66</v>
      </c>
      <c r="B148" s="130" t="s">
        <v>287</v>
      </c>
    </row>
    <row r="149" spans="1:2">
      <c r="A149" s="130">
        <f t="shared" ref="A149:A186" si="2">A148+1</f>
        <v>67</v>
      </c>
      <c r="B149" s="130" t="s">
        <v>288</v>
      </c>
    </row>
    <row r="150" spans="1:2">
      <c r="A150" s="130">
        <f t="shared" si="2"/>
        <v>68</v>
      </c>
      <c r="B150" s="130" t="s">
        <v>289</v>
      </c>
    </row>
    <row r="151" spans="1:2">
      <c r="A151" s="130">
        <f t="shared" si="2"/>
        <v>69</v>
      </c>
      <c r="B151" s="130" t="s">
        <v>290</v>
      </c>
    </row>
    <row r="152" spans="1:2">
      <c r="A152" s="130">
        <f t="shared" si="2"/>
        <v>70</v>
      </c>
      <c r="B152" s="130" t="s">
        <v>291</v>
      </c>
    </row>
    <row r="153" spans="1:2">
      <c r="A153" s="130">
        <f t="shared" si="2"/>
        <v>71</v>
      </c>
      <c r="B153" s="130" t="s">
        <v>292</v>
      </c>
    </row>
    <row r="154" spans="1:2">
      <c r="A154" s="130">
        <f t="shared" si="2"/>
        <v>72</v>
      </c>
      <c r="B154" s="130" t="s">
        <v>293</v>
      </c>
    </row>
    <row r="155" spans="1:2">
      <c r="A155" s="130">
        <f t="shared" si="2"/>
        <v>73</v>
      </c>
      <c r="B155" s="130" t="s">
        <v>294</v>
      </c>
    </row>
    <row r="156" spans="1:2">
      <c r="A156" s="130">
        <f t="shared" si="2"/>
        <v>74</v>
      </c>
      <c r="B156" s="130" t="s">
        <v>295</v>
      </c>
    </row>
    <row r="157" spans="1:2">
      <c r="A157" s="130">
        <f t="shared" si="2"/>
        <v>75</v>
      </c>
      <c r="B157" s="130" t="s">
        <v>296</v>
      </c>
    </row>
    <row r="158" spans="1:2">
      <c r="A158" s="130">
        <f t="shared" si="2"/>
        <v>76</v>
      </c>
      <c r="B158" s="130" t="s">
        <v>297</v>
      </c>
    </row>
    <row r="159" spans="1:2">
      <c r="A159" s="130">
        <f t="shared" si="2"/>
        <v>77</v>
      </c>
      <c r="B159" s="130" t="s">
        <v>298</v>
      </c>
    </row>
    <row r="160" spans="1:2">
      <c r="A160" s="130">
        <f t="shared" si="2"/>
        <v>78</v>
      </c>
      <c r="B160" s="130" t="s">
        <v>299</v>
      </c>
    </row>
    <row r="161" spans="1:2">
      <c r="A161" s="130">
        <f t="shared" si="2"/>
        <v>79</v>
      </c>
      <c r="B161" s="130" t="s">
        <v>300</v>
      </c>
    </row>
    <row r="162" spans="1:2">
      <c r="A162" s="130">
        <f t="shared" si="2"/>
        <v>80</v>
      </c>
      <c r="B162" s="130" t="s">
        <v>301</v>
      </c>
    </row>
    <row r="163" spans="1:2">
      <c r="A163" s="130">
        <f t="shared" si="2"/>
        <v>81</v>
      </c>
      <c r="B163" s="130" t="s">
        <v>302</v>
      </c>
    </row>
    <row r="164" spans="1:2">
      <c r="A164" s="130">
        <f t="shared" si="2"/>
        <v>82</v>
      </c>
      <c r="B164" s="130" t="s">
        <v>303</v>
      </c>
    </row>
    <row r="165" spans="1:2">
      <c r="A165" s="130">
        <f t="shared" si="2"/>
        <v>83</v>
      </c>
      <c r="B165" s="130" t="s">
        <v>304</v>
      </c>
    </row>
    <row r="166" spans="1:2">
      <c r="A166" s="130">
        <f t="shared" si="2"/>
        <v>84</v>
      </c>
      <c r="B166" s="130" t="s">
        <v>305</v>
      </c>
    </row>
    <row r="167" spans="1:2">
      <c r="A167" s="130">
        <f t="shared" si="2"/>
        <v>85</v>
      </c>
      <c r="B167" s="130" t="s">
        <v>306</v>
      </c>
    </row>
    <row r="168" spans="1:2">
      <c r="A168" s="130">
        <f t="shared" si="2"/>
        <v>86</v>
      </c>
      <c r="B168" s="130" t="s">
        <v>307</v>
      </c>
    </row>
    <row r="169" spans="1:2">
      <c r="A169" s="130">
        <f t="shared" si="2"/>
        <v>87</v>
      </c>
      <c r="B169" s="130" t="s">
        <v>308</v>
      </c>
    </row>
    <row r="170" spans="1:2">
      <c r="A170" s="130">
        <f t="shared" si="2"/>
        <v>88</v>
      </c>
      <c r="B170" s="130" t="s">
        <v>309</v>
      </c>
    </row>
    <row r="171" spans="1:2">
      <c r="A171" s="130">
        <f t="shared" si="2"/>
        <v>89</v>
      </c>
      <c r="B171" s="130" t="s">
        <v>310</v>
      </c>
    </row>
    <row r="172" spans="1:2">
      <c r="A172" s="130">
        <f t="shared" si="2"/>
        <v>90</v>
      </c>
      <c r="B172" s="130" t="s">
        <v>311</v>
      </c>
    </row>
    <row r="173" spans="1:2">
      <c r="A173" s="130">
        <f t="shared" si="2"/>
        <v>91</v>
      </c>
      <c r="B173" s="130" t="s">
        <v>312</v>
      </c>
    </row>
    <row r="174" spans="1:2">
      <c r="A174" s="130">
        <f t="shared" si="2"/>
        <v>92</v>
      </c>
      <c r="B174" s="130" t="s">
        <v>313</v>
      </c>
    </row>
    <row r="175" spans="1:2">
      <c r="A175" s="130">
        <f t="shared" si="2"/>
        <v>93</v>
      </c>
      <c r="B175" s="130" t="s">
        <v>314</v>
      </c>
    </row>
    <row r="176" spans="1:2">
      <c r="A176" s="130">
        <f t="shared" si="2"/>
        <v>94</v>
      </c>
      <c r="B176" s="130" t="s">
        <v>315</v>
      </c>
    </row>
    <row r="177" spans="1:2">
      <c r="A177" s="130">
        <f t="shared" si="2"/>
        <v>95</v>
      </c>
      <c r="B177" s="130" t="s">
        <v>316</v>
      </c>
    </row>
    <row r="178" spans="1:2">
      <c r="A178" s="130">
        <f t="shared" si="2"/>
        <v>96</v>
      </c>
      <c r="B178" s="130" t="s">
        <v>317</v>
      </c>
    </row>
    <row r="179" spans="1:2">
      <c r="A179" s="130">
        <f t="shared" si="2"/>
        <v>97</v>
      </c>
      <c r="B179" s="130" t="s">
        <v>318</v>
      </c>
    </row>
    <row r="180" spans="1:2">
      <c r="A180" s="130">
        <f t="shared" si="2"/>
        <v>98</v>
      </c>
      <c r="B180" s="130" t="s">
        <v>319</v>
      </c>
    </row>
    <row r="181" spans="1:2">
      <c r="A181" s="130">
        <f t="shared" si="2"/>
        <v>99</v>
      </c>
      <c r="B181" s="130" t="s">
        <v>320</v>
      </c>
    </row>
    <row r="182" spans="1:2">
      <c r="A182" s="130">
        <f t="shared" si="2"/>
        <v>100</v>
      </c>
      <c r="B182" s="130" t="s">
        <v>321</v>
      </c>
    </row>
    <row r="183" spans="1:2">
      <c r="A183" s="130">
        <f t="shared" si="2"/>
        <v>101</v>
      </c>
      <c r="B183" s="130" t="s">
        <v>322</v>
      </c>
    </row>
    <row r="184" spans="1:2">
      <c r="A184" s="130">
        <f t="shared" si="2"/>
        <v>102</v>
      </c>
      <c r="B184" s="130" t="s">
        <v>323</v>
      </c>
    </row>
    <row r="185" spans="1:2">
      <c r="A185" s="130">
        <f t="shared" si="2"/>
        <v>103</v>
      </c>
      <c r="B185" s="130" t="s">
        <v>324</v>
      </c>
    </row>
    <row r="186" spans="1:2">
      <c r="A186" s="130">
        <f t="shared" si="2"/>
        <v>104</v>
      </c>
      <c r="B186" s="130" t="s">
        <v>325</v>
      </c>
    </row>
  </sheetData>
  <mergeCells count="15">
    <mergeCell ref="A24:G25"/>
    <mergeCell ref="A5:B5"/>
    <mergeCell ref="D5:G5"/>
    <mergeCell ref="D6:G6"/>
    <mergeCell ref="D7:G7"/>
    <mergeCell ref="A6:B6"/>
    <mergeCell ref="A7:B7"/>
    <mergeCell ref="D8:G8"/>
    <mergeCell ref="D9:G9"/>
    <mergeCell ref="J2:L2"/>
    <mergeCell ref="A3:B3"/>
    <mergeCell ref="D3:G3"/>
    <mergeCell ref="J3:L3"/>
    <mergeCell ref="A4:B4"/>
    <mergeCell ref="D4:G4"/>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sheetPr codeName="Sheet14"/>
  <dimension ref="A1:M186"/>
  <sheetViews>
    <sheetView topLeftCell="A16" zoomScaleNormal="100" workbookViewId="0">
      <selection activeCell="D44" sqref="D44"/>
    </sheetView>
  </sheetViews>
  <sheetFormatPr defaultColWidth="8.85546875" defaultRowHeight="15"/>
  <cols>
    <col min="1" max="1" width="47" style="124" customWidth="1"/>
    <col min="2" max="2" width="14.42578125" style="124" customWidth="1"/>
    <col min="3" max="3" width="18.7109375" style="124" customWidth="1"/>
    <col min="4" max="4" width="38.42578125" style="124" customWidth="1"/>
    <col min="5" max="5" width="14.42578125" style="124" customWidth="1"/>
    <col min="6" max="6" width="13.7109375" style="124" customWidth="1"/>
    <col min="7" max="7" width="31.7109375" style="124" customWidth="1"/>
    <col min="8" max="9" width="8.85546875" style="124"/>
    <col min="10" max="12" width="15.5703125" style="124" customWidth="1"/>
    <col min="13" max="16384" width="8.85546875" style="124"/>
  </cols>
  <sheetData>
    <row r="1" spans="1:13" s="84" customFormat="1">
      <c r="A1" s="82" t="s">
        <v>166</v>
      </c>
      <c r="B1" s="83"/>
      <c r="C1" s="83"/>
      <c r="D1" s="83"/>
      <c r="E1" s="83"/>
      <c r="F1" s="83"/>
      <c r="G1" s="83"/>
    </row>
    <row r="2" spans="1:13" s="88" customFormat="1">
      <c r="A2" s="85"/>
      <c r="B2" s="85"/>
      <c r="C2" s="86" t="s">
        <v>167</v>
      </c>
      <c r="D2" s="87" t="s">
        <v>168</v>
      </c>
      <c r="I2" s="131"/>
      <c r="J2" s="903">
        <v>2013</v>
      </c>
      <c r="K2" s="904"/>
      <c r="L2" s="905"/>
    </row>
    <row r="3" spans="1:13" s="88" customFormat="1" ht="32.25" customHeight="1">
      <c r="A3" s="906" t="s">
        <v>169</v>
      </c>
      <c r="B3" s="906"/>
      <c r="C3" s="89">
        <f>4.47*52.1775</f>
        <v>233.23342499999998</v>
      </c>
      <c r="D3" s="907" t="s">
        <v>1137</v>
      </c>
      <c r="E3" s="913"/>
      <c r="F3" s="913"/>
      <c r="G3" s="913"/>
      <c r="I3" s="132"/>
      <c r="J3" s="908" t="s">
        <v>326</v>
      </c>
      <c r="K3" s="909"/>
      <c r="L3" s="910"/>
    </row>
    <row r="4" spans="1:13" s="88" customFormat="1" ht="32.25" customHeight="1">
      <c r="A4" s="906" t="s">
        <v>1245</v>
      </c>
      <c r="B4" s="906"/>
      <c r="C4" s="581">
        <v>0.89200000000000002</v>
      </c>
      <c r="D4" s="907" t="s">
        <v>1246</v>
      </c>
      <c r="E4" s="907"/>
      <c r="F4" s="907"/>
      <c r="G4" s="907"/>
      <c r="I4" s="132"/>
      <c r="J4" s="133" t="s">
        <v>328</v>
      </c>
      <c r="K4" s="134" t="s">
        <v>329</v>
      </c>
      <c r="L4" s="134" t="s">
        <v>330</v>
      </c>
    </row>
    <row r="5" spans="1:13" s="88" customFormat="1" ht="34.5" customHeight="1">
      <c r="A5" s="907" t="s">
        <v>1247</v>
      </c>
      <c r="B5" s="907"/>
      <c r="C5" s="90">
        <f>L9</f>
        <v>0.54313</v>
      </c>
      <c r="D5" s="907" t="s">
        <v>327</v>
      </c>
      <c r="E5" s="907"/>
      <c r="F5" s="907"/>
      <c r="G5" s="907"/>
      <c r="I5" s="135" t="s">
        <v>331</v>
      </c>
      <c r="J5" s="136">
        <v>0.43</v>
      </c>
      <c r="K5" s="137">
        <v>0</v>
      </c>
      <c r="L5" s="137">
        <v>0.57000000000000006</v>
      </c>
    </row>
    <row r="6" spans="1:13" s="88" customFormat="1" ht="33.75" customHeight="1">
      <c r="A6" s="907" t="s">
        <v>1248</v>
      </c>
      <c r="B6" s="907"/>
      <c r="C6" s="90">
        <f ca="1">'SavingsData&amp;Analysis'!BD2/'SavingsData&amp;Analysis'!AX2</f>
        <v>0.31021897810218979</v>
      </c>
      <c r="D6" s="907" t="s">
        <v>1567</v>
      </c>
      <c r="E6" s="907"/>
      <c r="F6" s="907"/>
      <c r="G6" s="907"/>
      <c r="I6" s="135" t="s">
        <v>332</v>
      </c>
      <c r="J6" s="136">
        <v>0.44</v>
      </c>
      <c r="K6" s="137">
        <v>0</v>
      </c>
      <c r="L6" s="137">
        <v>0.56000000000000005</v>
      </c>
    </row>
    <row r="7" spans="1:13" s="88" customFormat="1" ht="48.75" customHeight="1">
      <c r="A7" s="907" t="s">
        <v>171</v>
      </c>
      <c r="B7" s="907"/>
      <c r="C7" s="91">
        <v>14</v>
      </c>
      <c r="D7" s="907" t="s">
        <v>172</v>
      </c>
      <c r="E7" s="907"/>
      <c r="F7" s="907"/>
      <c r="G7" s="907"/>
      <c r="I7" s="135" t="s">
        <v>333</v>
      </c>
      <c r="J7" s="136">
        <v>0.46</v>
      </c>
      <c r="K7" s="137">
        <v>0</v>
      </c>
      <c r="L7" s="137">
        <v>0.54</v>
      </c>
    </row>
    <row r="8" spans="1:13" s="88" customFormat="1" ht="31.5" customHeight="1">
      <c r="A8" s="92" t="s">
        <v>1249</v>
      </c>
      <c r="B8" s="93"/>
      <c r="C8" s="94">
        <f ca="1">'SavingsData&amp;Analysis'!BH11</f>
        <v>3.7770072992700716</v>
      </c>
      <c r="D8" s="907" t="s">
        <v>1250</v>
      </c>
      <c r="E8" s="907"/>
      <c r="F8" s="907"/>
      <c r="G8" s="907"/>
      <c r="I8" s="135" t="s">
        <v>334</v>
      </c>
      <c r="J8" s="136">
        <v>0.46</v>
      </c>
      <c r="K8" s="137">
        <v>0</v>
      </c>
      <c r="L8" s="137">
        <v>0.54</v>
      </c>
    </row>
    <row r="9" spans="1:13" s="88" customFormat="1" ht="30.75" customHeight="1">
      <c r="A9" s="92" t="s">
        <v>173</v>
      </c>
      <c r="C9" s="95">
        <v>0.18525826938380099</v>
      </c>
      <c r="D9" s="912" t="s">
        <v>1251</v>
      </c>
      <c r="E9" s="912"/>
      <c r="F9" s="912"/>
      <c r="G9" s="912"/>
      <c r="I9" s="138" t="s">
        <v>335</v>
      </c>
      <c r="J9" s="137">
        <v>0.45687</v>
      </c>
      <c r="K9" s="137">
        <v>0</v>
      </c>
      <c r="L9" s="137">
        <v>0.54313</v>
      </c>
      <c r="M9" s="84"/>
    </row>
    <row r="10" spans="1:13" s="88" customFormat="1">
      <c r="I10" s="110"/>
      <c r="J10" s="84"/>
      <c r="K10" s="84"/>
      <c r="L10" s="84"/>
      <c r="M10" s="84"/>
    </row>
    <row r="11" spans="1:13" s="84" customFormat="1">
      <c r="J11" s="110"/>
    </row>
    <row r="12" spans="1:13" s="84" customFormat="1">
      <c r="A12" s="82" t="s">
        <v>174</v>
      </c>
      <c r="B12" s="83"/>
      <c r="C12" s="83"/>
      <c r="D12" s="83"/>
      <c r="E12" s="83"/>
      <c r="F12" s="83"/>
      <c r="G12" s="83"/>
      <c r="I12" s="88"/>
      <c r="J12" s="88"/>
      <c r="K12" s="88"/>
      <c r="L12" s="88"/>
      <c r="M12" s="88"/>
    </row>
    <row r="13" spans="1:13" s="84" customFormat="1">
      <c r="A13" s="96" t="s">
        <v>175</v>
      </c>
      <c r="B13" s="96" t="s">
        <v>176</v>
      </c>
      <c r="I13" s="88"/>
      <c r="J13" s="88"/>
      <c r="K13" s="88"/>
      <c r="L13" s="88"/>
      <c r="M13" s="88"/>
    </row>
    <row r="14" spans="1:13" s="88" customFormat="1">
      <c r="A14" s="88" t="s">
        <v>177</v>
      </c>
      <c r="B14" s="97">
        <v>1</v>
      </c>
      <c r="I14" s="98"/>
      <c r="J14" s="98"/>
      <c r="K14" s="98"/>
      <c r="L14" s="98"/>
      <c r="M14" s="98"/>
    </row>
    <row r="15" spans="1:13" s="88" customFormat="1">
      <c r="A15" s="88" t="s">
        <v>178</v>
      </c>
      <c r="B15" s="97">
        <v>0</v>
      </c>
    </row>
    <row r="16" spans="1:13" s="88" customFormat="1">
      <c r="A16" s="88" t="s">
        <v>179</v>
      </c>
      <c r="B16" s="97">
        <f>[2]SATS!$F$47</f>
        <v>0.88900000000000001</v>
      </c>
      <c r="C16" s="98" t="s">
        <v>1360</v>
      </c>
      <c r="D16" s="98"/>
      <c r="E16" s="98"/>
      <c r="F16" s="98"/>
      <c r="G16" s="98"/>
      <c r="H16" s="98"/>
    </row>
    <row r="17" spans="1:13" s="88" customFormat="1">
      <c r="A17" s="99" t="s">
        <v>175</v>
      </c>
      <c r="B17" s="99" t="s">
        <v>181</v>
      </c>
    </row>
    <row r="18" spans="1:13" s="88" customFormat="1">
      <c r="A18" s="88" t="s">
        <v>182</v>
      </c>
      <c r="B18" s="97">
        <v>1</v>
      </c>
      <c r="I18" s="98"/>
      <c r="J18" s="98"/>
      <c r="K18" s="98"/>
      <c r="L18" s="98"/>
      <c r="M18" s="98"/>
    </row>
    <row r="19" spans="1:13" s="88" customFormat="1">
      <c r="A19" s="88" t="s">
        <v>183</v>
      </c>
      <c r="B19" s="97">
        <v>0</v>
      </c>
      <c r="C19" s="88" t="s">
        <v>184</v>
      </c>
      <c r="I19" s="84"/>
      <c r="J19" s="84"/>
      <c r="K19" s="84"/>
      <c r="L19" s="84"/>
      <c r="M19" s="84"/>
    </row>
    <row r="20" spans="1:13" s="88" customFormat="1">
      <c r="A20" s="88" t="s">
        <v>185</v>
      </c>
      <c r="B20" s="97">
        <v>0.95</v>
      </c>
      <c r="C20" s="98" t="s">
        <v>1360</v>
      </c>
      <c r="D20" s="98"/>
      <c r="E20" s="98"/>
      <c r="F20" s="98"/>
      <c r="G20" s="98"/>
      <c r="H20" s="98"/>
      <c r="I20" s="84"/>
      <c r="J20" s="84"/>
      <c r="K20" s="84"/>
      <c r="L20" s="84"/>
      <c r="M20" s="84"/>
    </row>
    <row r="21" spans="1:13" s="84" customFormat="1"/>
    <row r="22" spans="1:13" s="84" customFormat="1"/>
    <row r="23" spans="1:13" s="84" customFormat="1">
      <c r="A23" s="82" t="s">
        <v>186</v>
      </c>
      <c r="B23" s="83"/>
      <c r="C23" s="83"/>
      <c r="D23" s="83"/>
      <c r="E23" s="83"/>
      <c r="F23" s="83"/>
      <c r="G23" s="83"/>
    </row>
    <row r="24" spans="1:13" s="84" customFormat="1" ht="19.5" customHeight="1">
      <c r="A24" s="911" t="s">
        <v>1252</v>
      </c>
      <c r="B24" s="911"/>
      <c r="C24" s="911"/>
      <c r="D24" s="911"/>
      <c r="E24" s="911"/>
      <c r="F24" s="911"/>
      <c r="G24" s="911"/>
      <c r="I24" s="88"/>
      <c r="J24" s="88"/>
      <c r="K24" s="88"/>
      <c r="L24" s="88"/>
      <c r="M24" s="88"/>
    </row>
    <row r="25" spans="1:13" s="84" customFormat="1" ht="19.5" customHeight="1">
      <c r="A25" s="911"/>
      <c r="B25" s="911"/>
      <c r="C25" s="911"/>
      <c r="D25" s="911"/>
      <c r="E25" s="911"/>
      <c r="F25" s="911"/>
      <c r="G25" s="911"/>
      <c r="I25" s="88"/>
      <c r="J25" s="88"/>
      <c r="K25" s="88"/>
      <c r="L25" s="88"/>
      <c r="M25" s="88"/>
    </row>
    <row r="26" spans="1:13" s="88" customFormat="1">
      <c r="A26" s="100" t="s">
        <v>187</v>
      </c>
      <c r="C26" s="885">
        <f>'[3]Savings and Cost'!$F$21</f>
        <v>3.6841444395749776</v>
      </c>
      <c r="D26" s="100" t="s">
        <v>188</v>
      </c>
      <c r="E26" s="88" t="s">
        <v>1651</v>
      </c>
    </row>
    <row r="27" spans="1:13" s="88" customFormat="1">
      <c r="A27" s="100" t="s">
        <v>189</v>
      </c>
      <c r="C27" s="102">
        <v>13.844487905012464</v>
      </c>
      <c r="D27" s="100" t="s">
        <v>190</v>
      </c>
    </row>
    <row r="28" spans="1:13" s="88" customFormat="1">
      <c r="A28" s="103"/>
      <c r="B28" s="104"/>
      <c r="D28" s="104"/>
      <c r="E28" s="104"/>
    </row>
    <row r="29" spans="1:13" s="88" customFormat="1">
      <c r="I29" s="84"/>
      <c r="J29" s="84"/>
      <c r="K29" s="84"/>
      <c r="L29" s="84"/>
      <c r="M29" s="84"/>
    </row>
    <row r="30" spans="1:13" s="88" customFormat="1"/>
    <row r="31" spans="1:13" s="84" customFormat="1">
      <c r="A31" s="82" t="s">
        <v>191</v>
      </c>
      <c r="B31" s="83"/>
      <c r="C31" s="83"/>
      <c r="D31" s="83"/>
      <c r="E31" s="83"/>
      <c r="F31" s="83"/>
      <c r="G31" s="83"/>
      <c r="I31" s="88"/>
      <c r="J31" s="88"/>
      <c r="K31" s="88"/>
      <c r="L31" s="88"/>
      <c r="M31" s="88"/>
    </row>
    <row r="32" spans="1:13" s="88" customFormat="1">
      <c r="A32" s="101">
        <v>1</v>
      </c>
      <c r="B32" s="88" t="s">
        <v>192</v>
      </c>
    </row>
    <row r="33" spans="1:13" s="88" customFormat="1">
      <c r="A33" s="105">
        <v>2.9329719999999999E-4</v>
      </c>
      <c r="B33" s="88" t="s">
        <v>193</v>
      </c>
    </row>
    <row r="34" spans="1:13" s="88" customFormat="1">
      <c r="A34" s="106">
        <f>1/8.345</f>
        <v>0.11983223487118033</v>
      </c>
      <c r="B34" s="88" t="s">
        <v>194</v>
      </c>
      <c r="I34" s="84"/>
      <c r="J34" s="84"/>
      <c r="K34" s="84"/>
      <c r="L34" s="84"/>
      <c r="M34" s="84"/>
    </row>
    <row r="35" spans="1:13" s="88" customFormat="1">
      <c r="A35" s="105">
        <f>A32*A33/A34</f>
        <v>2.4475651340000004E-3</v>
      </c>
      <c r="B35" s="88" t="s">
        <v>195</v>
      </c>
      <c r="I35" s="84"/>
      <c r="J35" s="84"/>
      <c r="K35" s="84"/>
      <c r="L35" s="84"/>
      <c r="M35" s="84"/>
    </row>
    <row r="36" spans="1:13" s="84" customFormat="1"/>
    <row r="37" spans="1:13" s="84" customFormat="1">
      <c r="A37" s="82" t="s">
        <v>196</v>
      </c>
      <c r="B37" s="83"/>
      <c r="C37" s="83"/>
      <c r="D37" s="83"/>
      <c r="E37" s="83"/>
      <c r="F37" s="83"/>
      <c r="G37" s="83"/>
      <c r="I37" s="88"/>
      <c r="J37" s="88"/>
      <c r="K37" s="88"/>
      <c r="L37" s="88"/>
      <c r="M37" s="88"/>
    </row>
    <row r="38" spans="1:13" s="84" customFormat="1">
      <c r="A38" s="582" t="s">
        <v>1251</v>
      </c>
      <c r="I38" s="88"/>
      <c r="J38" s="88"/>
      <c r="K38" s="88"/>
      <c r="L38" s="88"/>
      <c r="M38" s="88"/>
    </row>
    <row r="39" spans="1:13" s="88" customFormat="1">
      <c r="B39" s="97"/>
    </row>
    <row r="40" spans="1:13" s="88" customFormat="1">
      <c r="A40" s="107" t="s">
        <v>197</v>
      </c>
      <c r="B40" s="108" t="s">
        <v>198</v>
      </c>
    </row>
    <row r="41" spans="1:13" s="88" customFormat="1">
      <c r="A41" s="108"/>
      <c r="B41" s="109" t="s">
        <v>199</v>
      </c>
    </row>
    <row r="42" spans="1:13" s="88" customFormat="1">
      <c r="A42" s="583">
        <v>2003</v>
      </c>
      <c r="B42" s="584">
        <v>1.0940643717281311</v>
      </c>
    </row>
    <row r="43" spans="1:13" s="88" customFormat="1">
      <c r="A43" s="583">
        <v>2004</v>
      </c>
      <c r="B43" s="584">
        <v>1.0645276947042166</v>
      </c>
    </row>
    <row r="44" spans="1:13" s="88" customFormat="1">
      <c r="A44" s="583">
        <v>2005</v>
      </c>
      <c r="B44" s="584">
        <v>1.0335426999999999</v>
      </c>
    </row>
    <row r="45" spans="1:13" s="88" customFormat="1">
      <c r="A45" s="583">
        <v>2006</v>
      </c>
      <c r="B45" s="585">
        <v>1</v>
      </c>
    </row>
    <row r="46" spans="1:13" s="88" customFormat="1">
      <c r="A46" s="583">
        <v>2007</v>
      </c>
      <c r="B46" s="584">
        <v>0.97329963761977745</v>
      </c>
    </row>
    <row r="47" spans="1:13" s="88" customFormat="1">
      <c r="A47" s="583">
        <v>2008</v>
      </c>
      <c r="B47" s="584">
        <v>0.95565941982820291</v>
      </c>
    </row>
    <row r="48" spans="1:13" s="88" customFormat="1">
      <c r="A48" s="583">
        <v>2009</v>
      </c>
      <c r="B48" s="584">
        <v>0.94692526782402087</v>
      </c>
    </row>
    <row r="49" spans="1:13" s="88" customFormat="1">
      <c r="A49" s="583">
        <v>2010</v>
      </c>
      <c r="B49" s="584">
        <v>0.93697377860065689</v>
      </c>
      <c r="I49" s="84"/>
      <c r="J49" s="84"/>
      <c r="K49" s="84"/>
      <c r="L49" s="84"/>
      <c r="M49" s="84"/>
    </row>
    <row r="50" spans="1:13" s="88" customFormat="1">
      <c r="A50" s="583">
        <v>2011</v>
      </c>
      <c r="B50" s="584">
        <v>0.91838020951532329</v>
      </c>
      <c r="I50" s="84"/>
      <c r="J50" s="84"/>
      <c r="K50" s="84"/>
      <c r="L50" s="84"/>
      <c r="M50" s="84"/>
    </row>
    <row r="51" spans="1:13" s="84" customFormat="1">
      <c r="A51" s="583">
        <v>2012</v>
      </c>
      <c r="B51" s="584">
        <v>0.90305488179949944</v>
      </c>
      <c r="D51" s="110" t="s">
        <v>200</v>
      </c>
    </row>
    <row r="52" spans="1:13" s="84" customFormat="1">
      <c r="B52" s="88"/>
    </row>
    <row r="53" spans="1:13" s="84" customFormat="1">
      <c r="A53" s="82" t="s">
        <v>201</v>
      </c>
      <c r="B53" s="83"/>
      <c r="C53" s="83"/>
      <c r="D53" s="83"/>
      <c r="E53" s="83"/>
      <c r="F53" s="83"/>
      <c r="G53" s="83"/>
    </row>
    <row r="54" spans="1:13" s="84" customFormat="1">
      <c r="A54" s="111" t="s">
        <v>202</v>
      </c>
      <c r="B54" s="112" t="s">
        <v>1253</v>
      </c>
      <c r="C54" s="113" t="s">
        <v>1254</v>
      </c>
      <c r="D54" s="113" t="s">
        <v>203</v>
      </c>
      <c r="E54" s="113" t="s">
        <v>1255</v>
      </c>
      <c r="F54" s="113" t="s">
        <v>1256</v>
      </c>
    </row>
    <row r="55" spans="1:13" s="84" customFormat="1">
      <c r="A55" s="114" t="s">
        <v>1257</v>
      </c>
      <c r="B55" s="115">
        <f>'Eff. Standards &amp; Certifications'!B20</f>
        <v>1.29</v>
      </c>
      <c r="C55" s="115">
        <f>'SavingsData&amp;Analysis'!BJ19</f>
        <v>3.1575999999999995</v>
      </c>
      <c r="D55" s="116"/>
      <c r="E55" s="119">
        <f>'SavingsData&amp;Analysis'!BL18</f>
        <v>3.6925800000000004</v>
      </c>
      <c r="F55" s="119">
        <f>'Eff. Standards &amp; Certifications'!C20</f>
        <v>8.4</v>
      </c>
    </row>
    <row r="56" spans="1:13" s="84" customFormat="1">
      <c r="A56" s="114" t="s">
        <v>1258</v>
      </c>
      <c r="B56" s="115">
        <f>'Eff. Standards &amp; Certifications'!B21</f>
        <v>1.84</v>
      </c>
      <c r="C56" s="115">
        <f>'SavingsData&amp;Analysis'!BK19</f>
        <v>3.3749599999999997</v>
      </c>
      <c r="D56" s="116"/>
      <c r="E56" s="119">
        <f>'SavingsData&amp;Analysis'!BM18</f>
        <v>2.6777000000000002</v>
      </c>
      <c r="F56" s="119">
        <f>'Eff. Standards &amp; Certifications'!C21</f>
        <v>4.7</v>
      </c>
    </row>
    <row r="57" spans="1:13" s="84" customFormat="1">
      <c r="A57" s="114" t="s">
        <v>1259</v>
      </c>
      <c r="B57" s="115">
        <f>B55</f>
        <v>1.29</v>
      </c>
      <c r="C57" s="115">
        <f>B59-0.01</f>
        <v>2.0500000000000003</v>
      </c>
      <c r="D57" s="116"/>
      <c r="E57" s="117">
        <f>F59+0.01</f>
        <v>4.3099999999999996</v>
      </c>
      <c r="F57" s="119">
        <f>F55</f>
        <v>8.4</v>
      </c>
    </row>
    <row r="58" spans="1:13" s="84" customFormat="1">
      <c r="A58" s="114" t="s">
        <v>1260</v>
      </c>
      <c r="B58" s="115">
        <f>B56</f>
        <v>1.84</v>
      </c>
      <c r="C58" s="115">
        <f>B60-0.01</f>
        <v>2.37</v>
      </c>
      <c r="D58" s="116"/>
      <c r="E58" s="117">
        <f>F60+0.01</f>
        <v>3.71</v>
      </c>
      <c r="F58" s="119">
        <f>F56</f>
        <v>4.7</v>
      </c>
    </row>
    <row r="59" spans="1:13" s="84" customFormat="1">
      <c r="A59" s="110" t="s">
        <v>1261</v>
      </c>
      <c r="B59" s="115">
        <f>'Eff. Standards &amp; Certifications'!B25</f>
        <v>2.06</v>
      </c>
      <c r="C59" s="115">
        <f>C55</f>
        <v>3.1575999999999995</v>
      </c>
      <c r="D59" s="98" t="str">
        <f t="shared" ref="D59:D63" si="0">A59</f>
        <v>ENERGY STAR - Top-Load</v>
      </c>
      <c r="E59" s="119">
        <f>E55</f>
        <v>3.6925800000000004</v>
      </c>
      <c r="F59" s="119">
        <f>'Eff. Standards &amp; Certifications'!C25</f>
        <v>4.3</v>
      </c>
    </row>
    <row r="60" spans="1:13" s="84" customFormat="1">
      <c r="A60" s="110" t="s">
        <v>1262</v>
      </c>
      <c r="B60" s="115">
        <f>'Eff. Standards &amp; Certifications'!B26</f>
        <v>2.38</v>
      </c>
      <c r="C60" s="115">
        <f>C56</f>
        <v>3.3749599999999997</v>
      </c>
      <c r="D60" s="98" t="str">
        <f t="shared" si="0"/>
        <v>ENERGY STAR - Front-Load</v>
      </c>
      <c r="E60" s="119">
        <f>E56</f>
        <v>2.6777000000000002</v>
      </c>
      <c r="F60" s="119">
        <f>'Eff. Standards &amp; Certifications'!C26</f>
        <v>3.7</v>
      </c>
    </row>
    <row r="61" spans="1:13" s="84" customFormat="1">
      <c r="A61" s="101" t="s">
        <v>205</v>
      </c>
      <c r="B61" s="115">
        <f>'Eff. Standards &amp; Certifications'!B29</f>
        <v>2.38</v>
      </c>
      <c r="C61" s="115">
        <f>B62-0.01</f>
        <v>2.75</v>
      </c>
      <c r="D61" s="98" t="str">
        <f t="shared" si="0"/>
        <v>CEE Tier 1</v>
      </c>
      <c r="E61" s="117">
        <f>F62+0.01</f>
        <v>3.51</v>
      </c>
      <c r="F61" s="119">
        <f>'Eff. Standards &amp; Certifications'!C29</f>
        <v>3.7</v>
      </c>
      <c r="I61" s="124"/>
      <c r="J61" s="124"/>
      <c r="K61" s="124"/>
      <c r="L61" s="124"/>
      <c r="M61" s="124"/>
    </row>
    <row r="62" spans="1:13" s="84" customFormat="1">
      <c r="A62" s="586" t="s">
        <v>206</v>
      </c>
      <c r="B62" s="115">
        <f>'Eff. Standards &amp; Certifications'!B30</f>
        <v>2.76</v>
      </c>
      <c r="C62" s="115">
        <f>B63-0.01</f>
        <v>2.91</v>
      </c>
      <c r="D62" s="98" t="str">
        <f t="shared" si="0"/>
        <v>CEE Tier 2</v>
      </c>
      <c r="E62" s="117">
        <f>F63+0.01</f>
        <v>3.21</v>
      </c>
      <c r="F62" s="119">
        <f>'Eff. Standards &amp; Certifications'!C30</f>
        <v>3.5</v>
      </c>
      <c r="I62" s="124"/>
      <c r="J62" s="124"/>
      <c r="K62" s="124"/>
      <c r="L62" s="124"/>
      <c r="M62" s="124"/>
    </row>
    <row r="63" spans="1:13" s="84" customFormat="1">
      <c r="A63" s="118" t="s">
        <v>207</v>
      </c>
      <c r="B63" s="115">
        <f>'Eff. Standards &amp; Certifications'!B31</f>
        <v>2.92</v>
      </c>
      <c r="C63" s="115">
        <f>MAX('SavingsData&amp;Analysis'!BJ19:BK19)</f>
        <v>3.3749599999999997</v>
      </c>
      <c r="D63" s="98" t="str">
        <f t="shared" si="0"/>
        <v>CEE Tier 3</v>
      </c>
      <c r="E63" s="119">
        <f>MIN('SavingsData&amp;Analysis'!BL18:BM18)</f>
        <v>2.6777000000000002</v>
      </c>
      <c r="F63" s="119">
        <f>'Eff. Standards &amp; Certifications'!C31</f>
        <v>3.2</v>
      </c>
      <c r="I63" s="88"/>
      <c r="J63" s="88"/>
      <c r="K63" s="88"/>
      <c r="L63" s="88"/>
      <c r="M63" s="88"/>
    </row>
    <row r="64" spans="1:13" s="84" customFormat="1">
      <c r="A64" s="587" t="s">
        <v>1263</v>
      </c>
      <c r="B64" s="588"/>
      <c r="C64" s="588"/>
      <c r="D64" s="589"/>
      <c r="E64" s="590"/>
      <c r="F64" s="591"/>
      <c r="I64" s="88"/>
      <c r="J64" s="88"/>
      <c r="K64" s="88"/>
      <c r="L64" s="88"/>
      <c r="M64" s="88"/>
    </row>
    <row r="65" spans="1:13" s="84" customFormat="1">
      <c r="A65" s="587" t="s">
        <v>1264</v>
      </c>
      <c r="B65" s="588"/>
      <c r="C65" s="588"/>
      <c r="D65" s="589"/>
      <c r="E65" s="590"/>
      <c r="F65" s="591"/>
      <c r="I65" s="88"/>
      <c r="J65" s="88"/>
      <c r="K65" s="88"/>
      <c r="L65" s="88"/>
      <c r="M65" s="88"/>
    </row>
    <row r="66" spans="1:13" s="84" customFormat="1">
      <c r="A66" s="120" t="s">
        <v>1265</v>
      </c>
      <c r="B66" s="121">
        <f>B55</f>
        <v>1.29</v>
      </c>
      <c r="C66" s="121">
        <f>C55</f>
        <v>3.1575999999999995</v>
      </c>
      <c r="D66" s="118"/>
      <c r="E66" s="121">
        <f>E55</f>
        <v>3.6925800000000004</v>
      </c>
      <c r="F66" s="121">
        <f>F55</f>
        <v>8.4</v>
      </c>
      <c r="I66" s="88"/>
      <c r="J66" s="88"/>
      <c r="K66" s="88"/>
      <c r="L66" s="88"/>
      <c r="M66" s="88"/>
    </row>
    <row r="67" spans="1:13" s="84" customFormat="1">
      <c r="A67" s="120" t="s">
        <v>1266</v>
      </c>
      <c r="B67" s="121">
        <f>B56</f>
        <v>1.84</v>
      </c>
      <c r="C67" s="121">
        <f>C56</f>
        <v>3.3749599999999997</v>
      </c>
      <c r="D67" s="118"/>
      <c r="E67" s="121">
        <f>'Northwest Retail Cost Data'!C284</f>
        <v>2.48</v>
      </c>
      <c r="F67" s="121">
        <f>F56</f>
        <v>4.7</v>
      </c>
      <c r="I67" s="88"/>
      <c r="J67" s="88"/>
      <c r="K67" s="88"/>
      <c r="L67" s="88"/>
      <c r="M67" s="88"/>
    </row>
    <row r="68" spans="1:13" s="84" customFormat="1">
      <c r="A68" s="120"/>
      <c r="B68" s="121"/>
      <c r="C68" s="121"/>
      <c r="D68" s="118"/>
      <c r="E68" s="121"/>
      <c r="F68" s="121"/>
      <c r="I68" s="88"/>
      <c r="J68" s="88"/>
      <c r="K68" s="88"/>
      <c r="L68" s="88"/>
      <c r="M68" s="88"/>
    </row>
    <row r="69" spans="1:13" s="84" customFormat="1">
      <c r="A69" s="120"/>
      <c r="B69" s="121"/>
      <c r="C69" s="121"/>
      <c r="D69" s="118"/>
      <c r="E69" s="121"/>
      <c r="F69" s="121"/>
      <c r="I69" s="88"/>
      <c r="J69" s="88"/>
      <c r="K69" s="88"/>
      <c r="L69" s="88"/>
      <c r="M69" s="88"/>
    </row>
    <row r="70" spans="1:13" s="84" customFormat="1">
      <c r="A70" s="120"/>
      <c r="B70" s="121"/>
      <c r="C70" s="121"/>
      <c r="D70" s="118"/>
      <c r="E70" s="121"/>
      <c r="F70" s="121"/>
      <c r="I70" s="124"/>
      <c r="J70" s="124"/>
      <c r="K70" s="124"/>
      <c r="L70" s="124"/>
      <c r="M70" s="124"/>
    </row>
    <row r="72" spans="1:13">
      <c r="A72" s="122" t="s">
        <v>208</v>
      </c>
      <c r="B72" s="123"/>
      <c r="C72" s="123"/>
      <c r="D72" s="123"/>
      <c r="E72" s="123"/>
      <c r="F72" s="123"/>
      <c r="G72" s="123"/>
    </row>
    <row r="73" spans="1:13" s="88" customFormat="1">
      <c r="A73" s="88" t="s">
        <v>209</v>
      </c>
      <c r="B73" s="101">
        <v>1</v>
      </c>
      <c r="I73" s="124"/>
      <c r="J73" s="124"/>
      <c r="K73" s="124"/>
      <c r="L73" s="124"/>
      <c r="M73" s="124"/>
    </row>
    <row r="74" spans="1:13" s="88" customFormat="1">
      <c r="A74" s="88" t="s">
        <v>210</v>
      </c>
      <c r="B74" s="101">
        <v>8.3148999999999997</v>
      </c>
      <c r="I74" s="124"/>
      <c r="J74" s="124"/>
      <c r="K74" s="124"/>
      <c r="L74" s="124"/>
      <c r="M74" s="124"/>
    </row>
    <row r="75" spans="1:13" s="88" customFormat="1">
      <c r="A75" s="88" t="s">
        <v>211</v>
      </c>
      <c r="B75" s="125">
        <v>3413</v>
      </c>
      <c r="I75" s="124"/>
      <c r="J75" s="124"/>
      <c r="K75" s="124"/>
      <c r="L75" s="124"/>
      <c r="M75" s="124"/>
    </row>
    <row r="76" spans="1:13" s="88" customFormat="1">
      <c r="A76" s="100" t="s">
        <v>212</v>
      </c>
      <c r="B76" s="101">
        <v>65</v>
      </c>
      <c r="C76" s="100" t="s">
        <v>213</v>
      </c>
      <c r="I76" s="124"/>
      <c r="J76" s="124"/>
      <c r="K76" s="124"/>
      <c r="L76" s="124"/>
      <c r="M76" s="124"/>
    </row>
    <row r="77" spans="1:13" s="88" customFormat="1">
      <c r="A77" s="88" t="s">
        <v>214</v>
      </c>
      <c r="B77" s="126">
        <v>0.98</v>
      </c>
      <c r="C77" s="100" t="s">
        <v>215</v>
      </c>
      <c r="I77" s="124"/>
      <c r="J77" s="124"/>
      <c r="K77" s="124"/>
      <c r="L77" s="124"/>
      <c r="M77" s="124"/>
    </row>
    <row r="78" spans="1:13" s="88" customFormat="1">
      <c r="A78" s="88" t="s">
        <v>216</v>
      </c>
      <c r="B78" s="126">
        <v>0.75</v>
      </c>
      <c r="C78" s="100" t="s">
        <v>217</v>
      </c>
      <c r="I78" s="124"/>
      <c r="J78" s="124"/>
      <c r="K78" s="124"/>
      <c r="L78" s="124"/>
      <c r="M78" s="124"/>
    </row>
    <row r="79" spans="1:13" s="88" customFormat="1">
      <c r="A79" s="88" t="s">
        <v>218</v>
      </c>
      <c r="B79" s="101">
        <v>1.1200000000000001</v>
      </c>
      <c r="C79" s="100" t="s">
        <v>217</v>
      </c>
      <c r="I79" s="124"/>
      <c r="J79" s="124"/>
      <c r="K79" s="124"/>
      <c r="L79" s="124"/>
      <c r="M79" s="124"/>
    </row>
    <row r="81" spans="1:2">
      <c r="A81" s="127" t="s">
        <v>219</v>
      </c>
      <c r="B81" s="128"/>
    </row>
    <row r="82" spans="1:2">
      <c r="A82" s="129" t="s">
        <v>220</v>
      </c>
      <c r="B82" s="129" t="s">
        <v>221</v>
      </c>
    </row>
    <row r="83" spans="1:2">
      <c r="A83" s="130">
        <v>1</v>
      </c>
      <c r="B83" s="130" t="s">
        <v>222</v>
      </c>
    </row>
    <row r="84" spans="1:2">
      <c r="A84" s="130">
        <f>A83+1</f>
        <v>2</v>
      </c>
      <c r="B84" s="130" t="s">
        <v>223</v>
      </c>
    </row>
    <row r="85" spans="1:2">
      <c r="A85" s="130">
        <f t="shared" ref="A85:A148" si="1">A84+1</f>
        <v>3</v>
      </c>
      <c r="B85" s="130" t="s">
        <v>224</v>
      </c>
    </row>
    <row r="86" spans="1:2">
      <c r="A86" s="130">
        <f t="shared" si="1"/>
        <v>4</v>
      </c>
      <c r="B86" s="130" t="s">
        <v>225</v>
      </c>
    </row>
    <row r="87" spans="1:2">
      <c r="A87" s="130">
        <f t="shared" si="1"/>
        <v>5</v>
      </c>
      <c r="B87" s="130" t="s">
        <v>226</v>
      </c>
    </row>
    <row r="88" spans="1:2">
      <c r="A88" s="130">
        <f t="shared" si="1"/>
        <v>6</v>
      </c>
      <c r="B88" s="130" t="s">
        <v>227</v>
      </c>
    </row>
    <row r="89" spans="1:2">
      <c r="A89" s="130">
        <f t="shared" si="1"/>
        <v>7</v>
      </c>
      <c r="B89" s="130" t="s">
        <v>228</v>
      </c>
    </row>
    <row r="90" spans="1:2">
      <c r="A90" s="130">
        <f t="shared" si="1"/>
        <v>8</v>
      </c>
      <c r="B90" s="130" t="s">
        <v>229</v>
      </c>
    </row>
    <row r="91" spans="1:2">
      <c r="A91" s="130">
        <f t="shared" si="1"/>
        <v>9</v>
      </c>
      <c r="B91" s="130" t="s">
        <v>230</v>
      </c>
    </row>
    <row r="92" spans="1:2">
      <c r="A92" s="130">
        <f t="shared" si="1"/>
        <v>10</v>
      </c>
      <c r="B92" s="130" t="s">
        <v>231</v>
      </c>
    </row>
    <row r="93" spans="1:2">
      <c r="A93" s="130">
        <f t="shared" si="1"/>
        <v>11</v>
      </c>
      <c r="B93" s="130" t="s">
        <v>232</v>
      </c>
    </row>
    <row r="94" spans="1:2">
      <c r="A94" s="130">
        <f t="shared" si="1"/>
        <v>12</v>
      </c>
      <c r="B94" s="130" t="s">
        <v>233</v>
      </c>
    </row>
    <row r="95" spans="1:2">
      <c r="A95" s="130">
        <f t="shared" si="1"/>
        <v>13</v>
      </c>
      <c r="B95" s="130" t="s">
        <v>234</v>
      </c>
    </row>
    <row r="96" spans="1:2">
      <c r="A96" s="130">
        <f t="shared" si="1"/>
        <v>14</v>
      </c>
      <c r="B96" s="130" t="s">
        <v>235</v>
      </c>
    </row>
    <row r="97" spans="1:2">
      <c r="A97" s="130">
        <f t="shared" si="1"/>
        <v>15</v>
      </c>
      <c r="B97" s="130" t="s">
        <v>236</v>
      </c>
    </row>
    <row r="98" spans="1:2">
      <c r="A98" s="130">
        <f t="shared" si="1"/>
        <v>16</v>
      </c>
      <c r="B98" s="130" t="s">
        <v>237</v>
      </c>
    </row>
    <row r="99" spans="1:2">
      <c r="A99" s="130">
        <f t="shared" si="1"/>
        <v>17</v>
      </c>
      <c r="B99" s="130" t="s">
        <v>238</v>
      </c>
    </row>
    <row r="100" spans="1:2">
      <c r="A100" s="130">
        <f t="shared" si="1"/>
        <v>18</v>
      </c>
      <c r="B100" s="130" t="s">
        <v>239</v>
      </c>
    </row>
    <row r="101" spans="1:2">
      <c r="A101" s="130">
        <f t="shared" si="1"/>
        <v>19</v>
      </c>
      <c r="B101" s="130" t="s">
        <v>240</v>
      </c>
    </row>
    <row r="102" spans="1:2">
      <c r="A102" s="130">
        <f t="shared" si="1"/>
        <v>20</v>
      </c>
      <c r="B102" s="130" t="s">
        <v>241</v>
      </c>
    </row>
    <row r="103" spans="1:2">
      <c r="A103" s="130">
        <f t="shared" si="1"/>
        <v>21</v>
      </c>
      <c r="B103" s="130" t="s">
        <v>242</v>
      </c>
    </row>
    <row r="104" spans="1:2">
      <c r="A104" s="130">
        <f t="shared" si="1"/>
        <v>22</v>
      </c>
      <c r="B104" s="130" t="s">
        <v>243</v>
      </c>
    </row>
    <row r="105" spans="1:2">
      <c r="A105" s="130">
        <f t="shared" si="1"/>
        <v>23</v>
      </c>
      <c r="B105" s="130" t="s">
        <v>244</v>
      </c>
    </row>
    <row r="106" spans="1:2">
      <c r="A106" s="130">
        <f t="shared" si="1"/>
        <v>24</v>
      </c>
      <c r="B106" s="130" t="s">
        <v>245</v>
      </c>
    </row>
    <row r="107" spans="1:2">
      <c r="A107" s="130">
        <f t="shared" si="1"/>
        <v>25</v>
      </c>
      <c r="B107" s="130" t="s">
        <v>246</v>
      </c>
    </row>
    <row r="108" spans="1:2">
      <c r="A108" s="130">
        <f t="shared" si="1"/>
        <v>26</v>
      </c>
      <c r="B108" s="130" t="s">
        <v>247</v>
      </c>
    </row>
    <row r="109" spans="1:2">
      <c r="A109" s="130">
        <f t="shared" si="1"/>
        <v>27</v>
      </c>
      <c r="B109" s="130" t="s">
        <v>248</v>
      </c>
    </row>
    <row r="110" spans="1:2">
      <c r="A110" s="130">
        <f t="shared" si="1"/>
        <v>28</v>
      </c>
      <c r="B110" s="130" t="s">
        <v>249</v>
      </c>
    </row>
    <row r="111" spans="1:2">
      <c r="A111" s="130">
        <f t="shared" si="1"/>
        <v>29</v>
      </c>
      <c r="B111" s="130" t="s">
        <v>250</v>
      </c>
    </row>
    <row r="112" spans="1:2">
      <c r="A112" s="130">
        <f t="shared" si="1"/>
        <v>30</v>
      </c>
      <c r="B112" s="130" t="s">
        <v>251</v>
      </c>
    </row>
    <row r="113" spans="1:2">
      <c r="A113" s="130">
        <f t="shared" si="1"/>
        <v>31</v>
      </c>
      <c r="B113" s="130" t="s">
        <v>252</v>
      </c>
    </row>
    <row r="114" spans="1:2">
      <c r="A114" s="130">
        <f t="shared" si="1"/>
        <v>32</v>
      </c>
      <c r="B114" s="130" t="s">
        <v>253</v>
      </c>
    </row>
    <row r="115" spans="1:2">
      <c r="A115" s="130">
        <f t="shared" si="1"/>
        <v>33</v>
      </c>
      <c r="B115" s="130" t="s">
        <v>254</v>
      </c>
    </row>
    <row r="116" spans="1:2">
      <c r="A116" s="130">
        <f t="shared" si="1"/>
        <v>34</v>
      </c>
      <c r="B116" s="130" t="s">
        <v>255</v>
      </c>
    </row>
    <row r="117" spans="1:2">
      <c r="A117" s="130">
        <f t="shared" si="1"/>
        <v>35</v>
      </c>
      <c r="B117" s="130" t="s">
        <v>256</v>
      </c>
    </row>
    <row r="118" spans="1:2">
      <c r="A118" s="130">
        <f t="shared" si="1"/>
        <v>36</v>
      </c>
      <c r="B118" s="130" t="s">
        <v>257</v>
      </c>
    </row>
    <row r="119" spans="1:2">
      <c r="A119" s="130">
        <f t="shared" si="1"/>
        <v>37</v>
      </c>
      <c r="B119" s="130" t="s">
        <v>258</v>
      </c>
    </row>
    <row r="120" spans="1:2">
      <c r="A120" s="130">
        <f t="shared" si="1"/>
        <v>38</v>
      </c>
      <c r="B120" s="130" t="s">
        <v>259</v>
      </c>
    </row>
    <row r="121" spans="1:2">
      <c r="A121" s="130">
        <f t="shared" si="1"/>
        <v>39</v>
      </c>
      <c r="B121" s="130" t="s">
        <v>260</v>
      </c>
    </row>
    <row r="122" spans="1:2">
      <c r="A122" s="130">
        <f t="shared" si="1"/>
        <v>40</v>
      </c>
      <c r="B122" s="130" t="s">
        <v>261</v>
      </c>
    </row>
    <row r="123" spans="1:2">
      <c r="A123" s="130">
        <f t="shared" si="1"/>
        <v>41</v>
      </c>
      <c r="B123" s="130" t="s">
        <v>262</v>
      </c>
    </row>
    <row r="124" spans="1:2">
      <c r="A124" s="130">
        <f t="shared" si="1"/>
        <v>42</v>
      </c>
      <c r="B124" s="130" t="s">
        <v>263</v>
      </c>
    </row>
    <row r="125" spans="1:2">
      <c r="A125" s="130">
        <f t="shared" si="1"/>
        <v>43</v>
      </c>
      <c r="B125" s="130" t="s">
        <v>264</v>
      </c>
    </row>
    <row r="126" spans="1:2">
      <c r="A126" s="130">
        <f t="shared" si="1"/>
        <v>44</v>
      </c>
      <c r="B126" s="130" t="s">
        <v>265</v>
      </c>
    </row>
    <row r="127" spans="1:2">
      <c r="A127" s="130">
        <f t="shared" si="1"/>
        <v>45</v>
      </c>
      <c r="B127" s="130" t="s">
        <v>266</v>
      </c>
    </row>
    <row r="128" spans="1:2">
      <c r="A128" s="130">
        <f t="shared" si="1"/>
        <v>46</v>
      </c>
      <c r="B128" s="130" t="s">
        <v>267</v>
      </c>
    </row>
    <row r="129" spans="1:2">
      <c r="A129" s="130">
        <f t="shared" si="1"/>
        <v>47</v>
      </c>
      <c r="B129" s="130" t="s">
        <v>268</v>
      </c>
    </row>
    <row r="130" spans="1:2">
      <c r="A130" s="130">
        <f t="shared" si="1"/>
        <v>48</v>
      </c>
      <c r="B130" s="130" t="s">
        <v>269</v>
      </c>
    </row>
    <row r="131" spans="1:2">
      <c r="A131" s="130">
        <f t="shared" si="1"/>
        <v>49</v>
      </c>
      <c r="B131" s="130" t="s">
        <v>270</v>
      </c>
    </row>
    <row r="132" spans="1:2">
      <c r="A132" s="130">
        <f t="shared" si="1"/>
        <v>50</v>
      </c>
      <c r="B132" s="130" t="s">
        <v>271</v>
      </c>
    </row>
    <row r="133" spans="1:2">
      <c r="A133" s="130">
        <f t="shared" si="1"/>
        <v>51</v>
      </c>
      <c r="B133" s="130" t="s">
        <v>272</v>
      </c>
    </row>
    <row r="134" spans="1:2">
      <c r="A134" s="130">
        <f t="shared" si="1"/>
        <v>52</v>
      </c>
      <c r="B134" s="130" t="s">
        <v>273</v>
      </c>
    </row>
    <row r="135" spans="1:2">
      <c r="A135" s="130">
        <f t="shared" si="1"/>
        <v>53</v>
      </c>
      <c r="B135" s="130" t="s">
        <v>274</v>
      </c>
    </row>
    <row r="136" spans="1:2">
      <c r="A136" s="130">
        <f t="shared" si="1"/>
        <v>54</v>
      </c>
      <c r="B136" s="130" t="s">
        <v>275</v>
      </c>
    </row>
    <row r="137" spans="1:2">
      <c r="A137" s="130">
        <f t="shared" si="1"/>
        <v>55</v>
      </c>
      <c r="B137" s="130" t="s">
        <v>276</v>
      </c>
    </row>
    <row r="138" spans="1:2">
      <c r="A138" s="130">
        <f t="shared" si="1"/>
        <v>56</v>
      </c>
      <c r="B138" s="130" t="s">
        <v>277</v>
      </c>
    </row>
    <row r="139" spans="1:2">
      <c r="A139" s="130">
        <f t="shared" si="1"/>
        <v>57</v>
      </c>
      <c r="B139" s="130" t="s">
        <v>278</v>
      </c>
    </row>
    <row r="140" spans="1:2">
      <c r="A140" s="130">
        <f t="shared" si="1"/>
        <v>58</v>
      </c>
      <c r="B140" s="130" t="s">
        <v>279</v>
      </c>
    </row>
    <row r="141" spans="1:2">
      <c r="A141" s="130">
        <f t="shared" si="1"/>
        <v>59</v>
      </c>
      <c r="B141" s="130" t="s">
        <v>280</v>
      </c>
    </row>
    <row r="142" spans="1:2">
      <c r="A142" s="130">
        <f t="shared" si="1"/>
        <v>60</v>
      </c>
      <c r="B142" s="130" t="s">
        <v>281</v>
      </c>
    </row>
    <row r="143" spans="1:2">
      <c r="A143" s="130">
        <f t="shared" si="1"/>
        <v>61</v>
      </c>
      <c r="B143" s="130" t="s">
        <v>282</v>
      </c>
    </row>
    <row r="144" spans="1:2">
      <c r="A144" s="130">
        <f t="shared" si="1"/>
        <v>62</v>
      </c>
      <c r="B144" s="130" t="s">
        <v>283</v>
      </c>
    </row>
    <row r="145" spans="1:2">
      <c r="A145" s="130">
        <f t="shared" si="1"/>
        <v>63</v>
      </c>
      <c r="B145" s="130" t="s">
        <v>284</v>
      </c>
    </row>
    <row r="146" spans="1:2">
      <c r="A146" s="130">
        <f t="shared" si="1"/>
        <v>64</v>
      </c>
      <c r="B146" s="130" t="s">
        <v>285</v>
      </c>
    </row>
    <row r="147" spans="1:2">
      <c r="A147" s="130">
        <f t="shared" si="1"/>
        <v>65</v>
      </c>
      <c r="B147" s="130" t="s">
        <v>286</v>
      </c>
    </row>
    <row r="148" spans="1:2">
      <c r="A148" s="130">
        <f t="shared" si="1"/>
        <v>66</v>
      </c>
      <c r="B148" s="130" t="s">
        <v>287</v>
      </c>
    </row>
    <row r="149" spans="1:2">
      <c r="A149" s="130">
        <f t="shared" ref="A149:A186" si="2">A148+1</f>
        <v>67</v>
      </c>
      <c r="B149" s="130" t="s">
        <v>288</v>
      </c>
    </row>
    <row r="150" spans="1:2">
      <c r="A150" s="130">
        <f t="shared" si="2"/>
        <v>68</v>
      </c>
      <c r="B150" s="130" t="s">
        <v>289</v>
      </c>
    </row>
    <row r="151" spans="1:2">
      <c r="A151" s="130">
        <f t="shared" si="2"/>
        <v>69</v>
      </c>
      <c r="B151" s="130" t="s">
        <v>290</v>
      </c>
    </row>
    <row r="152" spans="1:2">
      <c r="A152" s="130">
        <f t="shared" si="2"/>
        <v>70</v>
      </c>
      <c r="B152" s="130" t="s">
        <v>291</v>
      </c>
    </row>
    <row r="153" spans="1:2">
      <c r="A153" s="130">
        <f t="shared" si="2"/>
        <v>71</v>
      </c>
      <c r="B153" s="130" t="s">
        <v>292</v>
      </c>
    </row>
    <row r="154" spans="1:2">
      <c r="A154" s="130">
        <f t="shared" si="2"/>
        <v>72</v>
      </c>
      <c r="B154" s="130" t="s">
        <v>293</v>
      </c>
    </row>
    <row r="155" spans="1:2">
      <c r="A155" s="130">
        <f t="shared" si="2"/>
        <v>73</v>
      </c>
      <c r="B155" s="130" t="s">
        <v>294</v>
      </c>
    </row>
    <row r="156" spans="1:2">
      <c r="A156" s="130">
        <f t="shared" si="2"/>
        <v>74</v>
      </c>
      <c r="B156" s="130" t="s">
        <v>295</v>
      </c>
    </row>
    <row r="157" spans="1:2">
      <c r="A157" s="130">
        <f t="shared" si="2"/>
        <v>75</v>
      </c>
      <c r="B157" s="130" t="s">
        <v>296</v>
      </c>
    </row>
    <row r="158" spans="1:2">
      <c r="A158" s="130">
        <f t="shared" si="2"/>
        <v>76</v>
      </c>
      <c r="B158" s="130" t="s">
        <v>297</v>
      </c>
    </row>
    <row r="159" spans="1:2">
      <c r="A159" s="130">
        <f t="shared" si="2"/>
        <v>77</v>
      </c>
      <c r="B159" s="130" t="s">
        <v>298</v>
      </c>
    </row>
    <row r="160" spans="1:2">
      <c r="A160" s="130">
        <f t="shared" si="2"/>
        <v>78</v>
      </c>
      <c r="B160" s="130" t="s">
        <v>299</v>
      </c>
    </row>
    <row r="161" spans="1:2">
      <c r="A161" s="130">
        <f t="shared" si="2"/>
        <v>79</v>
      </c>
      <c r="B161" s="130" t="s">
        <v>300</v>
      </c>
    </row>
    <row r="162" spans="1:2">
      <c r="A162" s="130">
        <f t="shared" si="2"/>
        <v>80</v>
      </c>
      <c r="B162" s="130" t="s">
        <v>301</v>
      </c>
    </row>
    <row r="163" spans="1:2">
      <c r="A163" s="130">
        <f t="shared" si="2"/>
        <v>81</v>
      </c>
      <c r="B163" s="130" t="s">
        <v>302</v>
      </c>
    </row>
    <row r="164" spans="1:2">
      <c r="A164" s="130">
        <f t="shared" si="2"/>
        <v>82</v>
      </c>
      <c r="B164" s="130" t="s">
        <v>303</v>
      </c>
    </row>
    <row r="165" spans="1:2">
      <c r="A165" s="130">
        <f t="shared" si="2"/>
        <v>83</v>
      </c>
      <c r="B165" s="130" t="s">
        <v>304</v>
      </c>
    </row>
    <row r="166" spans="1:2">
      <c r="A166" s="130">
        <f t="shared" si="2"/>
        <v>84</v>
      </c>
      <c r="B166" s="130" t="s">
        <v>305</v>
      </c>
    </row>
    <row r="167" spans="1:2">
      <c r="A167" s="130">
        <f t="shared" si="2"/>
        <v>85</v>
      </c>
      <c r="B167" s="130" t="s">
        <v>306</v>
      </c>
    </row>
    <row r="168" spans="1:2">
      <c r="A168" s="130">
        <f t="shared" si="2"/>
        <v>86</v>
      </c>
      <c r="B168" s="130" t="s">
        <v>307</v>
      </c>
    </row>
    <row r="169" spans="1:2">
      <c r="A169" s="130">
        <f t="shared" si="2"/>
        <v>87</v>
      </c>
      <c r="B169" s="130" t="s">
        <v>308</v>
      </c>
    </row>
    <row r="170" spans="1:2">
      <c r="A170" s="130">
        <f t="shared" si="2"/>
        <v>88</v>
      </c>
      <c r="B170" s="130" t="s">
        <v>309</v>
      </c>
    </row>
    <row r="171" spans="1:2">
      <c r="A171" s="130">
        <f t="shared" si="2"/>
        <v>89</v>
      </c>
      <c r="B171" s="130" t="s">
        <v>310</v>
      </c>
    </row>
    <row r="172" spans="1:2">
      <c r="A172" s="130">
        <f t="shared" si="2"/>
        <v>90</v>
      </c>
      <c r="B172" s="130" t="s">
        <v>311</v>
      </c>
    </row>
    <row r="173" spans="1:2">
      <c r="A173" s="130">
        <f t="shared" si="2"/>
        <v>91</v>
      </c>
      <c r="B173" s="130" t="s">
        <v>312</v>
      </c>
    </row>
    <row r="174" spans="1:2">
      <c r="A174" s="130">
        <f t="shared" si="2"/>
        <v>92</v>
      </c>
      <c r="B174" s="130" t="s">
        <v>313</v>
      </c>
    </row>
    <row r="175" spans="1:2">
      <c r="A175" s="130">
        <f t="shared" si="2"/>
        <v>93</v>
      </c>
      <c r="B175" s="130" t="s">
        <v>314</v>
      </c>
    </row>
    <row r="176" spans="1:2">
      <c r="A176" s="130">
        <f t="shared" si="2"/>
        <v>94</v>
      </c>
      <c r="B176" s="130" t="s">
        <v>315</v>
      </c>
    </row>
    <row r="177" spans="1:2">
      <c r="A177" s="130">
        <f t="shared" si="2"/>
        <v>95</v>
      </c>
      <c r="B177" s="130" t="s">
        <v>316</v>
      </c>
    </row>
    <row r="178" spans="1:2">
      <c r="A178" s="130">
        <f t="shared" si="2"/>
        <v>96</v>
      </c>
      <c r="B178" s="130" t="s">
        <v>317</v>
      </c>
    </row>
    <row r="179" spans="1:2">
      <c r="A179" s="130">
        <f t="shared" si="2"/>
        <v>97</v>
      </c>
      <c r="B179" s="130" t="s">
        <v>318</v>
      </c>
    </row>
    <row r="180" spans="1:2">
      <c r="A180" s="130">
        <f t="shared" si="2"/>
        <v>98</v>
      </c>
      <c r="B180" s="130" t="s">
        <v>319</v>
      </c>
    </row>
    <row r="181" spans="1:2">
      <c r="A181" s="130">
        <f t="shared" si="2"/>
        <v>99</v>
      </c>
      <c r="B181" s="130" t="s">
        <v>320</v>
      </c>
    </row>
    <row r="182" spans="1:2">
      <c r="A182" s="130">
        <f t="shared" si="2"/>
        <v>100</v>
      </c>
      <c r="B182" s="130" t="s">
        <v>321</v>
      </c>
    </row>
    <row r="183" spans="1:2">
      <c r="A183" s="130">
        <f t="shared" si="2"/>
        <v>101</v>
      </c>
      <c r="B183" s="130" t="s">
        <v>322</v>
      </c>
    </row>
    <row r="184" spans="1:2">
      <c r="A184" s="130">
        <f t="shared" si="2"/>
        <v>102</v>
      </c>
      <c r="B184" s="130" t="s">
        <v>323</v>
      </c>
    </row>
    <row r="185" spans="1:2">
      <c r="A185" s="130">
        <f t="shared" si="2"/>
        <v>103</v>
      </c>
      <c r="B185" s="130" t="s">
        <v>324</v>
      </c>
    </row>
    <row r="186" spans="1:2">
      <c r="A186" s="130">
        <f t="shared" si="2"/>
        <v>104</v>
      </c>
      <c r="B186" s="130" t="s">
        <v>325</v>
      </c>
    </row>
  </sheetData>
  <mergeCells count="15">
    <mergeCell ref="A24:G25"/>
    <mergeCell ref="A5:B5"/>
    <mergeCell ref="D5:G5"/>
    <mergeCell ref="D6:G6"/>
    <mergeCell ref="D7:G7"/>
    <mergeCell ref="A6:B6"/>
    <mergeCell ref="A7:B7"/>
    <mergeCell ref="D8:G8"/>
    <mergeCell ref="D9:G9"/>
    <mergeCell ref="J2:L2"/>
    <mergeCell ref="A3:B3"/>
    <mergeCell ref="D3:G3"/>
    <mergeCell ref="J3:L3"/>
    <mergeCell ref="A4:B4"/>
    <mergeCell ref="D4:G4"/>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sheetPr codeName="Sheet16"/>
  <dimension ref="A1:BX1527"/>
  <sheetViews>
    <sheetView topLeftCell="AC16" zoomScale="90" zoomScaleNormal="90" workbookViewId="0">
      <selection activeCell="AT30" sqref="AT30"/>
    </sheetView>
  </sheetViews>
  <sheetFormatPr defaultColWidth="8.85546875" defaultRowHeight="12.75"/>
  <cols>
    <col min="1" max="1" width="8.85546875" style="9" bestFit="1" customWidth="1"/>
    <col min="2" max="2" width="36.42578125" style="9" bestFit="1" customWidth="1"/>
    <col min="3" max="3" width="31.140625" style="9" bestFit="1" customWidth="1"/>
    <col min="4" max="4" width="18.85546875" style="9" bestFit="1" customWidth="1"/>
    <col min="5" max="5" width="13.42578125" style="9" bestFit="1" customWidth="1"/>
    <col min="6" max="6" width="15.7109375" style="9" bestFit="1" customWidth="1"/>
    <col min="7" max="7" width="11.85546875" style="9" bestFit="1" customWidth="1"/>
    <col min="8" max="8" width="16.140625" style="9" customWidth="1"/>
    <col min="9" max="9" width="30.7109375" style="9" customWidth="1"/>
    <col min="10" max="10" width="11.42578125" style="9" customWidth="1"/>
    <col min="11" max="11" width="32.85546875" style="9" customWidth="1"/>
    <col min="12" max="12" width="26.42578125" style="9" customWidth="1"/>
    <col min="13" max="13" width="19.28515625" style="9" customWidth="1"/>
    <col min="14" max="14" width="19" style="9" customWidth="1"/>
    <col min="15" max="15" width="12.28515625" style="9" customWidth="1"/>
    <col min="16" max="16" width="12.85546875" style="9" customWidth="1"/>
    <col min="17" max="17" width="21.140625" style="9" customWidth="1"/>
    <col min="18" max="18" width="21.85546875" style="9" customWidth="1"/>
    <col min="19" max="23" width="20" style="9" customWidth="1"/>
    <col min="24" max="25" width="11.5703125" style="9" customWidth="1"/>
    <col min="26" max="26" width="11.42578125" style="9" customWidth="1"/>
    <col min="27" max="27" width="8.85546875" style="9" customWidth="1"/>
    <col min="28" max="28" width="9.140625" style="9" customWidth="1"/>
    <col min="29" max="32" width="8.85546875" style="9" customWidth="1"/>
    <col min="33" max="34" width="8.85546875" style="9"/>
    <col min="35" max="35" width="12.28515625" style="9" customWidth="1"/>
    <col min="36" max="36" width="14.5703125" style="9" customWidth="1"/>
    <col min="37" max="41" width="11.140625" style="9" customWidth="1"/>
    <col min="42" max="42" width="14.5703125" style="9" customWidth="1"/>
    <col min="43" max="44" width="11.140625" style="9" customWidth="1"/>
    <col min="45" max="45" width="12.28515625" style="9" customWidth="1"/>
    <col min="46" max="46" width="15" style="9" customWidth="1"/>
    <col min="47" max="47" width="40.28515625" style="9" customWidth="1"/>
    <col min="48" max="49" width="13.5703125" style="9" customWidth="1"/>
    <col min="50" max="50" width="15.28515625" style="9" customWidth="1"/>
    <col min="51" max="51" width="14.5703125" style="9" customWidth="1"/>
    <col min="52" max="52" width="13.85546875" style="9" customWidth="1"/>
    <col min="53" max="53" width="14.42578125" style="9" customWidth="1"/>
    <col min="54" max="54" width="13.85546875" style="9" customWidth="1"/>
    <col min="55" max="55" width="13" style="9" customWidth="1"/>
    <col min="56" max="56" width="14" style="9" customWidth="1"/>
    <col min="57" max="58" width="12.42578125" style="9" customWidth="1"/>
    <col min="59" max="59" width="13.42578125" style="9" customWidth="1"/>
    <col min="60" max="61" width="18.42578125" style="9" customWidth="1"/>
    <col min="62" max="62" width="15.85546875" style="9" customWidth="1"/>
    <col min="63" max="63" width="16.140625" style="9" customWidth="1"/>
    <col min="64" max="64" width="18.42578125" style="9" customWidth="1"/>
    <col min="65" max="65" width="16.140625" style="9" customWidth="1"/>
    <col min="66" max="66" width="8.7109375" style="9" customWidth="1"/>
    <col min="67" max="67" width="6.85546875" style="9" customWidth="1"/>
    <col min="68" max="68" width="7.28515625" style="9" customWidth="1"/>
    <col min="69" max="69" width="7.85546875" style="9" customWidth="1"/>
    <col min="70" max="71" width="8.85546875" style="9" customWidth="1"/>
    <col min="72" max="16384" width="8.85546875" style="9"/>
  </cols>
  <sheetData>
    <row r="1" spans="1:62" s="139" customFormat="1" ht="60.75" thickBot="1">
      <c r="Z1" s="140"/>
      <c r="AP1" s="621"/>
      <c r="AS1" s="621" t="s">
        <v>1267</v>
      </c>
      <c r="AT1" s="622"/>
      <c r="AU1" s="124" t="str">
        <f>VLOOKUP(COLUMN(AI28),SFAssumptions!A88:B192,2,FALSE)</f>
        <v>AI</v>
      </c>
      <c r="AV1" s="623" t="str">
        <f>SFAssumptions!A55</f>
        <v>All Models Meeting Fed Standard - Top-Load</v>
      </c>
      <c r="AW1" s="624" t="str">
        <f>SFAssumptions!A56</f>
        <v>All Models Meeting Fed Standard - Front-Load</v>
      </c>
      <c r="AX1" s="624" t="s">
        <v>1268</v>
      </c>
      <c r="AY1" s="625" t="str">
        <f>SFAssumptions!A57</f>
        <v>All Models Below ENERGY STAR - Top-Load</v>
      </c>
      <c r="AZ1" s="626" t="str">
        <f>SFAssumptions!A58</f>
        <v>All Models Below ENERGY STAR - Front-Load</v>
      </c>
      <c r="BA1" s="625" t="s">
        <v>1269</v>
      </c>
      <c r="BB1" s="627" t="str">
        <f>SFAssumptions!A59</f>
        <v>ENERGY STAR - Top-Load</v>
      </c>
      <c r="BC1" s="627" t="str">
        <f>SFAssumptions!A60</f>
        <v>ENERGY STAR - Front-Load</v>
      </c>
      <c r="BD1" s="627" t="s">
        <v>1270</v>
      </c>
      <c r="BE1" s="628" t="str">
        <f>SFAssumptions!A61</f>
        <v>CEE Tier 1</v>
      </c>
      <c r="BF1" s="628" t="str">
        <f>SFAssumptions!A62</f>
        <v>CEE Tier 2</v>
      </c>
      <c r="BG1" s="629" t="str">
        <f>SFAssumptions!A63</f>
        <v>CEE Tier 3</v>
      </c>
      <c r="BH1" s="630" t="s">
        <v>1271</v>
      </c>
      <c r="BI1" s="630" t="s">
        <v>1272</v>
      </c>
    </row>
    <row r="2" spans="1:62" s="124" customFormat="1" ht="15.75" thickBot="1">
      <c r="Z2" s="141"/>
      <c r="AK2" s="142"/>
      <c r="AL2" s="142"/>
      <c r="AM2" s="142"/>
      <c r="AN2" s="142"/>
      <c r="AO2" s="142"/>
      <c r="AP2" s="142"/>
      <c r="AQ2" s="142"/>
      <c r="AR2" s="142"/>
      <c r="AS2" s="142" t="s">
        <v>336</v>
      </c>
      <c r="AT2" s="142" t="s">
        <v>337</v>
      </c>
      <c r="AU2" s="143" t="s">
        <v>338</v>
      </c>
      <c r="AV2" s="631">
        <f t="shared" ref="AV2:BG2" ca="1" si="0">COUNTIF(INDIRECT(AV17),AV15)</f>
        <v>87</v>
      </c>
      <c r="AW2" s="632">
        <f t="shared" ca="1" si="0"/>
        <v>187</v>
      </c>
      <c r="AX2" s="632">
        <f t="shared" ca="1" si="0"/>
        <v>274</v>
      </c>
      <c r="AY2" s="632">
        <f t="shared" ca="1" si="0"/>
        <v>63</v>
      </c>
      <c r="AZ2" s="633">
        <f t="shared" ca="1" si="0"/>
        <v>126</v>
      </c>
      <c r="BA2" s="633">
        <f t="shared" ca="1" si="0"/>
        <v>189</v>
      </c>
      <c r="BB2" s="633">
        <f t="shared" ca="1" si="0"/>
        <v>24</v>
      </c>
      <c r="BC2" s="633">
        <f t="shared" ca="1" si="0"/>
        <v>61</v>
      </c>
      <c r="BD2" s="633">
        <f t="shared" ca="1" si="0"/>
        <v>85</v>
      </c>
      <c r="BE2" s="633">
        <f t="shared" ca="1" si="0"/>
        <v>36</v>
      </c>
      <c r="BF2" s="633">
        <f t="shared" ca="1" si="0"/>
        <v>20</v>
      </c>
      <c r="BG2" s="634">
        <f t="shared" ca="1" si="0"/>
        <v>5</v>
      </c>
      <c r="BH2" s="635"/>
      <c r="BI2" s="635"/>
    </row>
    <row r="3" spans="1:62" s="124" customFormat="1" ht="15">
      <c r="Z3" s="141"/>
      <c r="AU3" s="636" t="s">
        <v>1273</v>
      </c>
      <c r="AV3" s="637">
        <f>VLOOKUP(AV1,SFAssumptions!$A$55:$F$66,2,FALSE)</f>
        <v>1.29</v>
      </c>
      <c r="AW3" s="638">
        <f>VLOOKUP(AW1,SFAssumptions!$A$55:$F$66,2,FALSE)</f>
        <v>1.84</v>
      </c>
      <c r="AX3" s="639" t="s">
        <v>1274</v>
      </c>
      <c r="AY3" s="638">
        <f>VLOOKUP(AY1,SFAssumptions!$A$55:$F$66,2,FALSE)</f>
        <v>1.29</v>
      </c>
      <c r="AZ3" s="640">
        <f>VLOOKUP(AZ1,SFAssumptions!$A$55:$F$66,2,FALSE)</f>
        <v>1.84</v>
      </c>
      <c r="BA3" s="639" t="s">
        <v>1274</v>
      </c>
      <c r="BB3" s="640">
        <f>VLOOKUP(BB1,SFAssumptions!$A$55:$F$66,2,FALSE)</f>
        <v>2.06</v>
      </c>
      <c r="BC3" s="640">
        <f>VLOOKUP(BC1,SFAssumptions!$A$55:$F$66,2,FALSE)</f>
        <v>2.38</v>
      </c>
      <c r="BD3" s="641" t="s">
        <v>1274</v>
      </c>
      <c r="BE3" s="640">
        <f>VLOOKUP(BE1,SFAssumptions!$A$55:$F$66,2,FALSE)</f>
        <v>2.38</v>
      </c>
      <c r="BF3" s="640">
        <f>VLOOKUP(BF1,SFAssumptions!$A$55:$F$66,2,FALSE)</f>
        <v>2.76</v>
      </c>
      <c r="BG3" s="642">
        <f>VLOOKUP(BG1,SFAssumptions!$A$55:$F$66,2,FALSE)</f>
        <v>2.92</v>
      </c>
      <c r="BH3" s="643"/>
      <c r="BI3" s="643"/>
    </row>
    <row r="4" spans="1:62" s="124" customFormat="1" ht="15.75" thickBot="1">
      <c r="Z4" s="141"/>
      <c r="AU4" s="644" t="s">
        <v>1275</v>
      </c>
      <c r="AV4" s="645">
        <f>VLOOKUP(AV1,SFAssumptions!$A$55:$F$66,3,FALSE)</f>
        <v>3.1575999999999995</v>
      </c>
      <c r="AW4" s="646">
        <f>VLOOKUP(AW1,SFAssumptions!$A$55:$F$66,3,FALSE)</f>
        <v>3.3749599999999997</v>
      </c>
      <c r="AX4" s="647" t="s">
        <v>1274</v>
      </c>
      <c r="AY4" s="646">
        <f>VLOOKUP(AY1,SFAssumptions!$A$55:$F$66,3,FALSE)</f>
        <v>2.0500000000000003</v>
      </c>
      <c r="AZ4" s="648">
        <f>VLOOKUP(AZ1,SFAssumptions!$A$55:$F$66,3,FALSE)</f>
        <v>2.37</v>
      </c>
      <c r="BA4" s="647" t="s">
        <v>1274</v>
      </c>
      <c r="BB4" s="648">
        <f>VLOOKUP(BB1,SFAssumptions!$A$55:$F$66,3,FALSE)</f>
        <v>3.1575999999999995</v>
      </c>
      <c r="BC4" s="648">
        <f>VLOOKUP(BC1,SFAssumptions!$A$55:$F$66,3,FALSE)</f>
        <v>3.3749599999999997</v>
      </c>
      <c r="BD4" s="649" t="s">
        <v>1274</v>
      </c>
      <c r="BE4" s="648">
        <f>VLOOKUP(BE1,SFAssumptions!$A$55:$F$66,3,FALSE)</f>
        <v>2.75</v>
      </c>
      <c r="BF4" s="648">
        <f>VLOOKUP(BF1,SFAssumptions!$A$55:$F$66,3,FALSE)</f>
        <v>2.91</v>
      </c>
      <c r="BG4" s="650">
        <f>VLOOKUP(BG1,SFAssumptions!$A$55:$F$66,3,FALSE)</f>
        <v>3.3749599999999997</v>
      </c>
      <c r="BH4" s="651"/>
      <c r="BI4" s="651"/>
    </row>
    <row r="5" spans="1:62" s="124" customFormat="1" ht="15">
      <c r="Z5" s="141"/>
      <c r="AU5" s="652" t="s">
        <v>1276</v>
      </c>
      <c r="AV5" s="653">
        <f>VLOOKUP(AV1,SFAssumptions!$A$55:$F$66,5,FALSE)</f>
        <v>3.6925800000000004</v>
      </c>
      <c r="AW5" s="654">
        <f>VLOOKUP(AW1,SFAssumptions!$A$55:$F$66,5,FALSE)</f>
        <v>2.6777000000000002</v>
      </c>
      <c r="AX5" s="655" t="s">
        <v>1274</v>
      </c>
      <c r="AY5" s="654">
        <f>VLOOKUP(AY1,SFAssumptions!$A$55:$F$66,5,FALSE)</f>
        <v>4.3099999999999996</v>
      </c>
      <c r="AZ5" s="656">
        <f>VLOOKUP(AZ1,SFAssumptions!$A$55:$F$66,5,FALSE)</f>
        <v>3.71</v>
      </c>
      <c r="BA5" s="655" t="s">
        <v>1274</v>
      </c>
      <c r="BB5" s="656">
        <f>VLOOKUP(BB1,SFAssumptions!$A$55:$F$66,5,FALSE)</f>
        <v>3.6925800000000004</v>
      </c>
      <c r="BC5" s="656">
        <f>VLOOKUP(BC1,SFAssumptions!$A$55:$F$66,5,FALSE)</f>
        <v>2.6777000000000002</v>
      </c>
      <c r="BD5" s="657" t="s">
        <v>1274</v>
      </c>
      <c r="BE5" s="656">
        <f>VLOOKUP(BE1,SFAssumptions!$A$55:$F$66,5,FALSE)</f>
        <v>3.51</v>
      </c>
      <c r="BF5" s="656">
        <f>VLOOKUP(BF1,SFAssumptions!$A$55:$F$66,5,FALSE)</f>
        <v>3.21</v>
      </c>
      <c r="BG5" s="658">
        <f>VLOOKUP(BG1,SFAssumptions!$A$55:$F$66,5,FALSE)</f>
        <v>2.6777000000000002</v>
      </c>
      <c r="BH5" s="643"/>
      <c r="BI5" s="643"/>
    </row>
    <row r="6" spans="1:62" s="124" customFormat="1" ht="15.75" thickBot="1">
      <c r="Z6" s="141"/>
      <c r="AU6" s="659" t="s">
        <v>1256</v>
      </c>
      <c r="AV6" s="660">
        <f>VLOOKUP(AV1,SFAssumptions!$A$55:$F$66,6,FALSE)</f>
        <v>8.4</v>
      </c>
      <c r="AW6" s="661">
        <f>VLOOKUP(AW1,SFAssumptions!$A$55:$F$66,6,FALSE)</f>
        <v>4.7</v>
      </c>
      <c r="AX6" s="662" t="s">
        <v>1274</v>
      </c>
      <c r="AY6" s="661">
        <f>VLOOKUP(AY1,SFAssumptions!$A$55:$F$66,6,FALSE)</f>
        <v>8.4</v>
      </c>
      <c r="AZ6" s="663">
        <f>VLOOKUP(AZ1,SFAssumptions!$A$55:$F$66,6,FALSE)</f>
        <v>4.7</v>
      </c>
      <c r="BA6" s="662" t="s">
        <v>1274</v>
      </c>
      <c r="BB6" s="663">
        <f>VLOOKUP(BB1,SFAssumptions!$A$55:$F$66,6,FALSE)</f>
        <v>4.3</v>
      </c>
      <c r="BC6" s="663">
        <f>VLOOKUP(BC1,SFAssumptions!$A$55:$F$66,6,FALSE)</f>
        <v>3.7</v>
      </c>
      <c r="BD6" s="664" t="s">
        <v>1274</v>
      </c>
      <c r="BE6" s="663">
        <f>VLOOKUP(BE1,SFAssumptions!$A$55:$F$66,6,FALSE)</f>
        <v>3.7</v>
      </c>
      <c r="BF6" s="663">
        <f>VLOOKUP(BF1,SFAssumptions!$A$55:$F$66,6,FALSE)</f>
        <v>3.5</v>
      </c>
      <c r="BG6" s="665">
        <f>VLOOKUP(BG1,SFAssumptions!$A$55:$F$66,6,FALSE)</f>
        <v>3.2</v>
      </c>
      <c r="BH6" s="651"/>
      <c r="BI6" s="651"/>
    </row>
    <row r="7" spans="1:62" s="124" customFormat="1" ht="15">
      <c r="Z7" s="141"/>
      <c r="AS7" s="124" t="str">
        <f>VLOOKUP(COLUMN(X23),SFAssumptions!A82:B186,2,FALSE)</f>
        <v>X</v>
      </c>
      <c r="AT7" s="124" t="str">
        <f t="shared" ref="AT7:AT14" ca="1" si="1">AS7&amp;$B$19&amp;":"&amp;AS7&amp;$B$20</f>
        <v>X23:X478</v>
      </c>
      <c r="AU7" s="156" t="s">
        <v>1277</v>
      </c>
      <c r="AV7" s="157">
        <f t="shared" ref="AV7:BG14" ca="1" si="2">AVERAGEIF(INDIRECT(AV$17),AV$15,INDIRECT($AT7))</f>
        <v>1.873786206896551</v>
      </c>
      <c r="AW7" s="666">
        <f t="shared" ca="1" si="2"/>
        <v>2.3177588770053492</v>
      </c>
      <c r="AX7" s="666">
        <f t="shared" ca="1" si="2"/>
        <v>2.1767894525547473</v>
      </c>
      <c r="AY7" s="666">
        <f t="shared" ca="1" si="2"/>
        <v>1.7071714285714283</v>
      </c>
      <c r="AZ7" s="158">
        <f t="shared" ca="1" si="2"/>
        <v>2.1332722222222222</v>
      </c>
      <c r="BA7" s="158">
        <f t="shared" ca="1" si="2"/>
        <v>1.9912386243386235</v>
      </c>
      <c r="BB7" s="158">
        <f t="shared" ca="1" si="2"/>
        <v>2.31115</v>
      </c>
      <c r="BC7" s="158">
        <f t="shared" ca="1" si="2"/>
        <v>2.6988296721311471</v>
      </c>
      <c r="BD7" s="158">
        <f t="shared" ca="1" si="2"/>
        <v>2.5893671764705872</v>
      </c>
      <c r="BE7" s="158">
        <f t="shared" ca="1" si="2"/>
        <v>2.5856956944444445</v>
      </c>
      <c r="BF7" s="158">
        <f t="shared" ca="1" si="2"/>
        <v>2.8331187499999997</v>
      </c>
      <c r="BG7" s="667">
        <f t="shared" ca="1" si="2"/>
        <v>2.9762379999999999</v>
      </c>
      <c r="BH7" s="668">
        <f ca="1">BD7*SFAssumptions!$C$6+'SavingsData&amp;Analysis'!BA7*(1-SFAssumptions!$C$6)</f>
        <v>2.1767894525547438</v>
      </c>
      <c r="BI7" s="668">
        <f ca="1">BD7*SFAssumptions!$C$5+'SavingsData&amp;Analysis'!BA7*(1-SFAssumptions!$C$5)</f>
        <v>2.3161001848580569</v>
      </c>
      <c r="BJ7" s="669"/>
    </row>
    <row r="8" spans="1:62" s="124" customFormat="1" ht="15">
      <c r="Z8" s="141"/>
      <c r="AS8" s="124" t="str">
        <f>VLOOKUP(COLUMN(AC23),SFAssumptions!A83:B187,2,FALSE)</f>
        <v>AC</v>
      </c>
      <c r="AT8" s="124" t="str">
        <f t="shared" ca="1" si="1"/>
        <v>AC23:AC478</v>
      </c>
      <c r="AU8" s="159" t="s">
        <v>339</v>
      </c>
      <c r="AV8" s="160">
        <f t="shared" ca="1" si="2"/>
        <v>547.72424823345295</v>
      </c>
      <c r="AW8" s="670">
        <f t="shared" ca="1" si="2"/>
        <v>413.3317016309224</v>
      </c>
      <c r="AX8" s="670">
        <f t="shared" ca="1" si="2"/>
        <v>456.0037875959593</v>
      </c>
      <c r="AY8" s="670">
        <f t="shared" ca="1" si="2"/>
        <v>561.00028059341867</v>
      </c>
      <c r="AZ8" s="161">
        <f t="shared" ca="1" si="2"/>
        <v>425.69109244277695</v>
      </c>
      <c r="BA8" s="161">
        <f t="shared" ca="1" si="2"/>
        <v>470.79415515965741</v>
      </c>
      <c r="BB8" s="161">
        <f t="shared" ca="1" si="2"/>
        <v>512.87466328854259</v>
      </c>
      <c r="BC8" s="161">
        <f t="shared" ca="1" si="2"/>
        <v>387.80246815069842</v>
      </c>
      <c r="BD8" s="161">
        <f t="shared" ca="1" si="2"/>
        <v>423.11697030726629</v>
      </c>
      <c r="BE8" s="161">
        <f t="shared" ca="1" si="2"/>
        <v>394.26318322709756</v>
      </c>
      <c r="BF8" s="161">
        <f t="shared" ca="1" si="2"/>
        <v>370.20049757692635</v>
      </c>
      <c r="BG8" s="671">
        <f t="shared" ca="1" si="2"/>
        <v>411.6932018957126</v>
      </c>
      <c r="BH8" s="672">
        <f ca="1">BD8*SFAssumptions!$C$6+'SavingsData&amp;Analysis'!BA8*(1-SFAssumptions!$C$6)</f>
        <v>456.00378759595941</v>
      </c>
      <c r="BI8" s="672">
        <f ca="1">BD8*SFAssumptions!$C$5+'SavingsData&amp;Analysis'!BA8*(1-SFAssumptions!$C$5)</f>
        <v>444.89924575077822</v>
      </c>
      <c r="BJ8" s="669"/>
    </row>
    <row r="9" spans="1:62" s="124" customFormat="1" ht="15">
      <c r="Z9" s="141"/>
      <c r="AS9" s="124" t="str">
        <f>VLOOKUP(COLUMN(Y24),SFAssumptions!A84:B188,2,FALSE)</f>
        <v>Y</v>
      </c>
      <c r="AT9" s="124" t="str">
        <f t="shared" ca="1" si="1"/>
        <v>Y23:Y478</v>
      </c>
      <c r="AU9" s="159" t="s">
        <v>1278</v>
      </c>
      <c r="AV9" s="162">
        <f t="shared" ca="1" si="2"/>
        <v>5.277093333333335</v>
      </c>
      <c r="AW9" s="673">
        <f t="shared" ca="1" si="2"/>
        <v>3.6619178609625633</v>
      </c>
      <c r="AX9" s="673">
        <f t="shared" ca="1" si="2"/>
        <v>4.1747655474452596</v>
      </c>
      <c r="AY9" s="673">
        <f t="shared" ca="1" si="2"/>
        <v>5.7284582539682534</v>
      </c>
      <c r="AZ9" s="163">
        <f t="shared" ca="1" si="2"/>
        <v>3.9034885714285732</v>
      </c>
      <c r="BA9" s="163">
        <f t="shared" ca="1" si="2"/>
        <v>4.511811798941797</v>
      </c>
      <c r="BB9" s="163">
        <f t="shared" ca="1" si="2"/>
        <v>4.0922604166666652</v>
      </c>
      <c r="BC9" s="163">
        <f t="shared" ca="1" si="2"/>
        <v>3.1629357377049185</v>
      </c>
      <c r="BD9" s="163">
        <f t="shared" ca="1" si="2"/>
        <v>3.4253332941176473</v>
      </c>
      <c r="BE9" s="163">
        <f t="shared" ca="1" si="2"/>
        <v>3.2865300000000008</v>
      </c>
      <c r="BF9" s="163">
        <f t="shared" ca="1" si="2"/>
        <v>2.9900809999999991</v>
      </c>
      <c r="BG9" s="674">
        <f t="shared" ca="1" si="2"/>
        <v>2.9644759999999999</v>
      </c>
      <c r="BH9" s="675">
        <f ca="1">BD9*SFAssumptions!$C$6+'SavingsData&amp;Analysis'!BA9*(1-SFAssumptions!$C$6)</f>
        <v>4.1747655474452543</v>
      </c>
      <c r="BI9" s="675">
        <f ca="1">BD9*SFAssumptions!$C$5+'SavingsData&amp;Analysis'!BA9*(1-SFAssumptions!$C$5)</f>
        <v>3.9217127286166567</v>
      </c>
      <c r="BJ9" s="669"/>
    </row>
    <row r="10" spans="1:62" s="124" customFormat="1" ht="15">
      <c r="Z10" s="141"/>
      <c r="AS10" s="124" t="str">
        <f>VLOOKUP(COLUMN(AE25),SFAssumptions!A85:B189,2,FALSE)</f>
        <v>AE</v>
      </c>
      <c r="AT10" s="124" t="str">
        <f t="shared" ca="1" si="1"/>
        <v>AE23:AE478</v>
      </c>
      <c r="AU10" s="159" t="s">
        <v>340</v>
      </c>
      <c r="AV10" s="164">
        <f t="shared" ca="1" si="2"/>
        <v>5225.8539758326751</v>
      </c>
      <c r="AW10" s="676">
        <f t="shared" ca="1" si="2"/>
        <v>3435.0783527619051</v>
      </c>
      <c r="AX10" s="676">
        <f t="shared" ca="1" si="2"/>
        <v>4003.6822914741583</v>
      </c>
      <c r="AY10" s="676">
        <f t="shared" ca="1" si="2"/>
        <v>5376.3451382935282</v>
      </c>
      <c r="AZ10" s="165">
        <f t="shared" ca="1" si="2"/>
        <v>3506.3833975971415</v>
      </c>
      <c r="BA10" s="165">
        <f t="shared" ca="1" si="2"/>
        <v>4129.7039778292719</v>
      </c>
      <c r="BB10" s="165">
        <f t="shared" ca="1" si="2"/>
        <v>4830.8146743729385</v>
      </c>
      <c r="BC10" s="165">
        <f t="shared" ca="1" si="2"/>
        <v>3287.7925224464952</v>
      </c>
      <c r="BD10" s="165">
        <f t="shared" ca="1" si="2"/>
        <v>3723.4693653433706</v>
      </c>
      <c r="BE10" s="165">
        <f t="shared" ca="1" si="2"/>
        <v>3326.88198706515</v>
      </c>
      <c r="BF10" s="165">
        <f t="shared" ca="1" si="2"/>
        <v>3132.3528431841605</v>
      </c>
      <c r="BG10" s="677">
        <f t="shared" ca="1" si="2"/>
        <v>3628.1070942415199</v>
      </c>
      <c r="BH10" s="672">
        <f ca="1">BD10*SFAssumptions!$C$6+'SavingsData&amp;Analysis'!BA10*(1-SFAssumptions!$C$6)</f>
        <v>4003.6822914741565</v>
      </c>
      <c r="BI10" s="672">
        <f ca="1">BD10*SFAssumptions!$C$5+'SavingsData&amp;Analysis'!BA10*(1-SFAssumptions!$C$5)</f>
        <v>3909.0657727498042</v>
      </c>
      <c r="BJ10" s="669"/>
    </row>
    <row r="11" spans="1:62" s="124" customFormat="1" ht="15">
      <c r="Z11" s="141"/>
      <c r="AS11" s="124" t="str">
        <f>VLOOKUP(COLUMN(L26),SFAssumptions!A86:B190,2,FALSE)</f>
        <v>L</v>
      </c>
      <c r="AT11" s="124" t="str">
        <f t="shared" ca="1" si="1"/>
        <v>L23:L478</v>
      </c>
      <c r="AU11" s="159" t="s">
        <v>341</v>
      </c>
      <c r="AV11" s="166">
        <f t="shared" ca="1" si="2"/>
        <v>3.9448275862068964</v>
      </c>
      <c r="AW11" s="678">
        <f t="shared" ca="1" si="2"/>
        <v>3.6989304812834178</v>
      </c>
      <c r="AX11" s="678">
        <f t="shared" ca="1" si="2"/>
        <v>3.7770072992700698</v>
      </c>
      <c r="AY11" s="678">
        <f t="shared" ca="1" si="2"/>
        <v>3.6984126984126982</v>
      </c>
      <c r="AZ11" s="167">
        <f t="shared" ca="1" si="2"/>
        <v>3.5190476190476194</v>
      </c>
      <c r="BA11" s="167">
        <f t="shared" ca="1" si="2"/>
        <v>3.5788359788359765</v>
      </c>
      <c r="BB11" s="167">
        <f t="shared" ca="1" si="2"/>
        <v>4.5916666666666668</v>
      </c>
      <c r="BC11" s="167">
        <f t="shared" ca="1" si="2"/>
        <v>4.0704918032786903</v>
      </c>
      <c r="BD11" s="167">
        <f t="shared" ca="1" si="2"/>
        <v>4.2176470588235304</v>
      </c>
      <c r="BE11" s="167">
        <f t="shared" ca="1" si="2"/>
        <v>3.9638888888888895</v>
      </c>
      <c r="BF11" s="167">
        <f t="shared" ca="1" si="2"/>
        <v>4.0849999999999991</v>
      </c>
      <c r="BG11" s="679">
        <f t="shared" ca="1" si="2"/>
        <v>4.7799999999999994</v>
      </c>
      <c r="BH11" s="668">
        <f ca="1">BD11*SFAssumptions!$C$6+'SavingsData&amp;Analysis'!BA11*(1-SFAssumptions!$C$6)</f>
        <v>3.7770072992700716</v>
      </c>
      <c r="BI11" s="668">
        <f ca="1">BD11*SFAssumptions!$C$5+'SavingsData&amp;Analysis'!BA11*(1-SFAssumptions!$C$5)</f>
        <v>3.9257934407096169</v>
      </c>
      <c r="BJ11" s="669"/>
    </row>
    <row r="12" spans="1:62" s="124" customFormat="1" ht="15">
      <c r="Z12" s="141"/>
      <c r="AS12" s="124" t="str">
        <f>VLOOKUP(COLUMN(U27),SFAssumptions!A87:B191,2,FALSE)</f>
        <v>U</v>
      </c>
      <c r="AT12" s="124" t="str">
        <f t="shared" ca="1" si="1"/>
        <v>U23:U478</v>
      </c>
      <c r="AU12" s="159" t="s">
        <v>342</v>
      </c>
      <c r="AV12" s="160">
        <f t="shared" ca="1" si="2"/>
        <v>38.696202531645568</v>
      </c>
      <c r="AW12" s="670">
        <f t="shared" ca="1" si="2"/>
        <v>34.946368715083786</v>
      </c>
      <c r="AX12" s="670">
        <f t="shared" ca="1" si="2"/>
        <v>36.094573643410847</v>
      </c>
      <c r="AY12" s="670">
        <f t="shared" ca="1" si="2"/>
        <v>40.186440677966104</v>
      </c>
      <c r="AZ12" s="161">
        <f t="shared" ca="1" si="2"/>
        <v>36.454237288135602</v>
      </c>
      <c r="BA12" s="161">
        <f t="shared" ca="1" si="2"/>
        <v>37.698305084745748</v>
      </c>
      <c r="BB12" s="161">
        <f t="shared" ca="1" si="2"/>
        <v>34.299999999999997</v>
      </c>
      <c r="BC12" s="161">
        <f t="shared" ca="1" si="2"/>
        <v>32.029508196721316</v>
      </c>
      <c r="BD12" s="161">
        <f t="shared" ca="1" si="2"/>
        <v>32.590123456790117</v>
      </c>
      <c r="BE12" s="161">
        <f t="shared" ca="1" si="2"/>
        <v>32.638888888888893</v>
      </c>
      <c r="BF12" s="161">
        <f t="shared" ca="1" si="2"/>
        <v>31.444999999999993</v>
      </c>
      <c r="BG12" s="671">
        <f t="shared" ca="1" si="2"/>
        <v>29.98</v>
      </c>
      <c r="BH12" s="672">
        <f ca="1">BD12*SFAssumptions!$C$6+'SavingsData&amp;Analysis'!BA12*(1-SFAssumptions!$C$6)</f>
        <v>36.113650200160976</v>
      </c>
      <c r="BI12" s="672">
        <f ca="1">BD12*SFAssumptions!$C$5+'SavingsData&amp;Analysis'!BA12*(1-SFAssumptions!$C$5)</f>
        <v>34.923898397154204</v>
      </c>
      <c r="BJ12" s="669"/>
    </row>
    <row r="13" spans="1:62" s="124" customFormat="1" ht="15">
      <c r="Z13" s="141"/>
      <c r="AT13" s="124" t="str">
        <f ca="1">AU1&amp;$B$19&amp;":"&amp;AU1&amp;$B$20</f>
        <v>AI23:AI478</v>
      </c>
      <c r="AU13" s="159" t="s">
        <v>343</v>
      </c>
      <c r="AV13" s="160">
        <f t="shared" ca="1" si="2"/>
        <v>534.95582565627842</v>
      </c>
      <c r="AW13" s="670">
        <f t="shared" ca="1" si="2"/>
        <v>426.70281304365676</v>
      </c>
      <c r="AX13" s="670">
        <f t="shared" ca="1" si="2"/>
        <v>461.07511996810234</v>
      </c>
      <c r="AY13" s="670">
        <f t="shared" ca="1" si="2"/>
        <v>577.74110760922952</v>
      </c>
      <c r="AZ13" s="161">
        <f t="shared" ca="1" si="2"/>
        <v>458.63040324731901</v>
      </c>
      <c r="BA13" s="161">
        <f t="shared" ca="1" si="2"/>
        <v>498.3339713679556</v>
      </c>
      <c r="BB13" s="161">
        <f t="shared" ca="1" si="2"/>
        <v>422.64446052978178</v>
      </c>
      <c r="BC13" s="161">
        <f t="shared" ca="1" si="2"/>
        <v>360.75402016396106</v>
      </c>
      <c r="BD13" s="161">
        <f t="shared" ca="1" si="2"/>
        <v>378.22896803195749</v>
      </c>
      <c r="BE13" s="161">
        <f t="shared" ca="1" si="2"/>
        <v>375.83477824196774</v>
      </c>
      <c r="BF13" s="161">
        <f t="shared" ca="1" si="2"/>
        <v>342.32766956622078</v>
      </c>
      <c r="BG13" s="671">
        <f t="shared" ca="1" si="2"/>
        <v>325.87796439327468</v>
      </c>
      <c r="BH13" s="672">
        <f ca="1">BD13*SFAssumptions!$C$6+'SavingsData&amp;Analysis'!BA13*(1-SFAssumptions!$C$6)</f>
        <v>461.07511996810217</v>
      </c>
      <c r="BI13" s="672">
        <f ca="1">BD13*SFAssumptions!$C$5+'SavingsData&amp;Analysis'!BA13*(1-SFAssumptions!$C$5)</f>
        <v>433.10134090607494</v>
      </c>
      <c r="BJ13" s="669"/>
    </row>
    <row r="14" spans="1:62" s="124" customFormat="1" ht="15.75" thickBot="1">
      <c r="Z14" s="141"/>
      <c r="AS14" s="124" t="str">
        <f>VLOOKUP(COLUMN(AJ30),SFAssumptions!A90:B194,2,FALSE)</f>
        <v>AJ</v>
      </c>
      <c r="AT14" s="124" t="str">
        <f t="shared" ca="1" si="1"/>
        <v>AJ23:AJ478</v>
      </c>
      <c r="AU14" s="168" t="s">
        <v>344</v>
      </c>
      <c r="AV14" s="169">
        <f t="shared" ca="1" si="2"/>
        <v>5116.7119545397045</v>
      </c>
      <c r="AW14" s="680">
        <f t="shared" ca="1" si="2"/>
        <v>3550.6248823335127</v>
      </c>
      <c r="AX14" s="680">
        <f t="shared" ca="1" si="2"/>
        <v>4047.8861059902201</v>
      </c>
      <c r="AY14" s="680">
        <f t="shared" ca="1" si="2"/>
        <v>5554.3589960813679</v>
      </c>
      <c r="AZ14" s="170">
        <f t="shared" ca="1" si="2"/>
        <v>3784.8537776802045</v>
      </c>
      <c r="BA14" s="170">
        <f t="shared" ca="1" si="2"/>
        <v>4374.6888504805966</v>
      </c>
      <c r="BB14" s="170">
        <f t="shared" ca="1" si="2"/>
        <v>3967.88847049284</v>
      </c>
      <c r="BC14" s="170">
        <f t="shared" ca="1" si="2"/>
        <v>3066.8078198141188</v>
      </c>
      <c r="BD14" s="170">
        <f t="shared" ca="1" si="2"/>
        <v>3321.230591770463</v>
      </c>
      <c r="BE14" s="170">
        <f t="shared" ca="1" si="2"/>
        <v>3186.6458062683578</v>
      </c>
      <c r="BF14" s="170">
        <f t="shared" ca="1" si="2"/>
        <v>2899.206481928567</v>
      </c>
      <c r="BG14" s="681">
        <f t="shared" ca="1" si="2"/>
        <v>2874.3796688857838</v>
      </c>
      <c r="BH14" s="682">
        <f ca="1">BD14*SFAssumptions!$C$6+'SavingsData&amp;Analysis'!BA14*(1-SFAssumptions!$C$6)</f>
        <v>4047.8861059902265</v>
      </c>
      <c r="BI14" s="682">
        <f ca="1">BD14*SFAssumptions!$C$5+'SavingsData&amp;Analysis'!BA14*(1-SFAssumptions!$C$5)</f>
        <v>3802.5240664273615</v>
      </c>
      <c r="BJ14" s="669"/>
    </row>
    <row r="15" spans="1:62" s="124" customFormat="1" ht="15">
      <c r="Z15" s="141"/>
      <c r="AU15" s="99" t="s">
        <v>345</v>
      </c>
      <c r="AV15" s="99" t="s">
        <v>346</v>
      </c>
      <c r="AW15" s="99" t="s">
        <v>346</v>
      </c>
      <c r="AX15" s="99" t="s">
        <v>346</v>
      </c>
      <c r="AY15" s="99" t="s">
        <v>346</v>
      </c>
      <c r="AZ15" s="99" t="s">
        <v>346</v>
      </c>
      <c r="BA15" s="99" t="s">
        <v>346</v>
      </c>
      <c r="BB15" s="99" t="s">
        <v>346</v>
      </c>
      <c r="BC15" s="99" t="s">
        <v>346</v>
      </c>
      <c r="BD15" s="99" t="s">
        <v>346</v>
      </c>
      <c r="BE15" s="99" t="s">
        <v>346</v>
      </c>
      <c r="BF15" s="99" t="s">
        <v>346</v>
      </c>
      <c r="BG15" s="99" t="s">
        <v>346</v>
      </c>
      <c r="BH15" s="99"/>
      <c r="BI15" s="9"/>
    </row>
    <row r="16" spans="1:62" s="124" customFormat="1" ht="15">
      <c r="A16" s="171" t="s">
        <v>347</v>
      </c>
      <c r="Z16" s="141"/>
      <c r="AU16" s="99" t="s">
        <v>348</v>
      </c>
      <c r="AV16" s="88" t="str">
        <f>VLOOKUP(COLUMN(),SFAssumptions!$A$83:$B$186,2,FALSE)</f>
        <v>AV</v>
      </c>
      <c r="AW16" s="88" t="str">
        <f>VLOOKUP(COLUMN(),SFAssumptions!$A$83:$B$186,2,FALSE)</f>
        <v>AW</v>
      </c>
      <c r="AX16" s="88" t="str">
        <f>VLOOKUP(COLUMN(),SFAssumptions!$A$83:$B$186,2,FALSE)</f>
        <v>AX</v>
      </c>
      <c r="AY16" s="88" t="str">
        <f>VLOOKUP(COLUMN(),SFAssumptions!$A$83:$B$186,2,FALSE)</f>
        <v>AY</v>
      </c>
      <c r="AZ16" s="88" t="str">
        <f>VLOOKUP(COLUMN(),SFAssumptions!$A$83:$B$186,2,FALSE)</f>
        <v>AZ</v>
      </c>
      <c r="BA16" s="88" t="str">
        <f>VLOOKUP(COLUMN(),SFAssumptions!$A$83:$B$186,2,FALSE)</f>
        <v>BA</v>
      </c>
      <c r="BB16" s="88" t="str">
        <f>VLOOKUP(COLUMN(),SFAssumptions!$A$83:$B$186,2,FALSE)</f>
        <v>BB</v>
      </c>
      <c r="BC16" s="88" t="str">
        <f>VLOOKUP(COLUMN(),SFAssumptions!$A$83:$B$186,2,FALSE)</f>
        <v>BC</v>
      </c>
      <c r="BD16" s="88" t="str">
        <f>VLOOKUP(COLUMN(),SFAssumptions!$A$83:$B$186,2,FALSE)</f>
        <v>BD</v>
      </c>
      <c r="BE16" s="88" t="str">
        <f>VLOOKUP(COLUMN(),SFAssumptions!$A$83:$B$186,2,FALSE)</f>
        <v>BE</v>
      </c>
      <c r="BF16" s="88" t="str">
        <f>VLOOKUP(COLUMN(),SFAssumptions!$A$83:$B$186,2,FALSE)</f>
        <v>BF</v>
      </c>
      <c r="BG16" s="88" t="str">
        <f>VLOOKUP(COLUMN(),SFAssumptions!$A$83:$B$186,2,FALSE)</f>
        <v>BG</v>
      </c>
      <c r="BH16" s="88"/>
      <c r="BI16" s="9"/>
    </row>
    <row r="17" spans="1:76" s="124" customFormat="1" ht="15">
      <c r="A17" s="171" t="s">
        <v>349</v>
      </c>
      <c r="Z17" s="141"/>
      <c r="AU17" s="96" t="s">
        <v>350</v>
      </c>
      <c r="AV17" s="84" t="str">
        <f t="shared" ref="AV17:BG17" ca="1" si="3">AV16&amp;$B$19&amp;":"&amp;AV16&amp;$B$20</f>
        <v>AV23:AV478</v>
      </c>
      <c r="AW17" s="84" t="str">
        <f t="shared" ca="1" si="3"/>
        <v>AW23:AW478</v>
      </c>
      <c r="AX17" s="84" t="str">
        <f t="shared" ca="1" si="3"/>
        <v>AX23:AX478</v>
      </c>
      <c r="AY17" s="84" t="str">
        <f t="shared" ca="1" si="3"/>
        <v>AY23:AY478</v>
      </c>
      <c r="AZ17" s="84" t="str">
        <f t="shared" ca="1" si="3"/>
        <v>AZ23:AZ478</v>
      </c>
      <c r="BA17" s="84" t="str">
        <f t="shared" ca="1" si="3"/>
        <v>BA23:BA478</v>
      </c>
      <c r="BB17" s="84" t="str">
        <f t="shared" ca="1" si="3"/>
        <v>BB23:BB478</v>
      </c>
      <c r="BC17" s="84" t="str">
        <f t="shared" ca="1" si="3"/>
        <v>BC23:BC478</v>
      </c>
      <c r="BD17" s="84" t="str">
        <f t="shared" ca="1" si="3"/>
        <v>BD23:BD478</v>
      </c>
      <c r="BE17" s="84" t="str">
        <f t="shared" ca="1" si="3"/>
        <v>BE23:BE478</v>
      </c>
      <c r="BF17" s="84" t="str">
        <f t="shared" ca="1" si="3"/>
        <v>BF23:BF478</v>
      </c>
      <c r="BG17" s="84" t="str">
        <f t="shared" ca="1" si="3"/>
        <v>BG23:BG478</v>
      </c>
      <c r="BH17" s="88"/>
      <c r="BI17" s="9"/>
    </row>
    <row r="18" spans="1:76" s="124" customFormat="1" ht="15">
      <c r="A18" s="171"/>
      <c r="Z18" s="141"/>
      <c r="AU18" s="683" t="s">
        <v>1279</v>
      </c>
      <c r="AV18" s="173" t="s">
        <v>393</v>
      </c>
      <c r="AW18" s="173" t="s">
        <v>387</v>
      </c>
      <c r="AX18" s="173"/>
      <c r="AY18" s="173" t="s">
        <v>393</v>
      </c>
      <c r="AZ18" s="173" t="s">
        <v>387</v>
      </c>
      <c r="BA18" s="173"/>
      <c r="BB18" s="173" t="s">
        <v>393</v>
      </c>
      <c r="BC18" s="173" t="s">
        <v>387</v>
      </c>
      <c r="BD18" s="173"/>
      <c r="BE18" s="172"/>
      <c r="BF18" s="172"/>
      <c r="BG18" s="172"/>
      <c r="BH18" s="172"/>
      <c r="BI18" s="100" t="s">
        <v>1280</v>
      </c>
      <c r="BJ18" s="669">
        <f>MIN(BJ$23:BJ$467)</f>
        <v>1.3260999999999998</v>
      </c>
      <c r="BK18" s="669">
        <f t="shared" ref="BK18:BM18" si="4">MIN(BK$23:BK$467)</f>
        <v>1.847745</v>
      </c>
      <c r="BL18" s="669">
        <f t="shared" si="4"/>
        <v>3.6925800000000004</v>
      </c>
      <c r="BM18" s="669">
        <f t="shared" si="4"/>
        <v>2.6777000000000002</v>
      </c>
      <c r="BN18" s="88"/>
      <c r="BO18" s="88"/>
      <c r="BP18" s="88"/>
      <c r="BQ18" s="88"/>
      <c r="BR18" s="88"/>
      <c r="BS18" s="88"/>
      <c r="BT18" s="88"/>
      <c r="BU18" s="88"/>
      <c r="BV18" s="88"/>
      <c r="BW18" s="88"/>
      <c r="BX18" s="88"/>
    </row>
    <row r="19" spans="1:76" s="124" customFormat="1" ht="15">
      <c r="A19" s="171" t="s">
        <v>351</v>
      </c>
      <c r="B19" s="124">
        <f>ROW(A23)</f>
        <v>23</v>
      </c>
      <c r="N19" s="173"/>
      <c r="Z19" s="141"/>
      <c r="BC19" s="173"/>
      <c r="BD19" s="173"/>
      <c r="BH19" s="88"/>
      <c r="BI19" s="684" t="s">
        <v>1281</v>
      </c>
      <c r="BJ19" s="669">
        <f>MAX(BJ$23:BJ$467)</f>
        <v>3.1575999999999995</v>
      </c>
      <c r="BK19" s="669">
        <f t="shared" ref="BK19:BM19" si="5">MAX(BK$23:BK$467)</f>
        <v>3.3749599999999997</v>
      </c>
      <c r="BL19" s="669">
        <f t="shared" si="5"/>
        <v>8.3404100000000003</v>
      </c>
      <c r="BM19" s="669">
        <f t="shared" si="5"/>
        <v>4.6236800000000011</v>
      </c>
      <c r="BN19" s="175"/>
      <c r="BO19" s="88"/>
      <c r="BP19" s="88"/>
      <c r="BQ19" s="88"/>
      <c r="BR19" s="88"/>
      <c r="BS19" s="88"/>
      <c r="BT19" s="88"/>
      <c r="BU19" s="88"/>
      <c r="BV19" s="88"/>
      <c r="BW19" s="88"/>
      <c r="BX19" s="88"/>
    </row>
    <row r="20" spans="1:76" s="124" customFormat="1" ht="15">
      <c r="A20" s="171" t="s">
        <v>352</v>
      </c>
      <c r="B20" s="124">
        <f ca="1">COUNTA(INDIRECT("A"&amp;B19&amp;":a"&amp;1000))+B19-1</f>
        <v>478</v>
      </c>
      <c r="N20" s="173"/>
      <c r="Z20" s="141"/>
      <c r="AB20" s="914" t="s">
        <v>1282</v>
      </c>
      <c r="AC20" s="915"/>
      <c r="AD20" s="915"/>
      <c r="AE20" s="915"/>
      <c r="AF20" s="915"/>
      <c r="AG20" s="915"/>
      <c r="AH20" s="915"/>
      <c r="AI20" s="915"/>
      <c r="AJ20" s="916"/>
      <c r="AK20" s="914" t="s">
        <v>1283</v>
      </c>
      <c r="AL20" s="915"/>
      <c r="AM20" s="915"/>
      <c r="AN20" s="915"/>
      <c r="AO20" s="915"/>
      <c r="AP20" s="915"/>
      <c r="AQ20" s="915"/>
      <c r="AR20" s="916"/>
      <c r="BC20" s="173"/>
      <c r="BD20" s="173"/>
      <c r="BH20" s="88"/>
      <c r="BI20" s="9"/>
      <c r="BJ20" s="174"/>
      <c r="BK20" s="175"/>
      <c r="BL20" s="176"/>
      <c r="BM20" s="99"/>
      <c r="BN20" s="99"/>
      <c r="BO20" s="88"/>
      <c r="BP20" s="88"/>
      <c r="BQ20" s="88"/>
      <c r="BR20" s="88"/>
      <c r="BS20" s="88"/>
      <c r="BT20" s="88"/>
      <c r="BU20" s="88"/>
      <c r="BV20" s="88"/>
      <c r="BW20" s="88"/>
      <c r="BX20" s="88"/>
    </row>
    <row r="21" spans="1:76" s="124" customFormat="1" ht="15">
      <c r="A21" s="185"/>
      <c r="B21" s="185"/>
      <c r="C21" s="185"/>
      <c r="D21" s="185"/>
      <c r="E21" s="185"/>
      <c r="F21" s="185"/>
      <c r="G21" s="185"/>
      <c r="H21" s="185"/>
      <c r="I21" s="185"/>
      <c r="J21" s="185"/>
      <c r="K21" s="185"/>
      <c r="L21" s="185"/>
      <c r="M21" s="185"/>
      <c r="N21" s="185"/>
      <c r="O21" s="185"/>
      <c r="P21" s="185"/>
      <c r="Q21" s="185"/>
      <c r="R21" s="185"/>
      <c r="S21" s="185"/>
      <c r="Z21" s="141"/>
      <c r="AA21" s="177" t="s">
        <v>353</v>
      </c>
      <c r="AB21" s="178"/>
      <c r="AC21" s="178"/>
      <c r="AD21" s="178"/>
      <c r="AE21" s="178"/>
      <c r="AF21" s="178"/>
      <c r="AG21" s="178"/>
      <c r="AH21" s="178"/>
      <c r="AI21" s="178"/>
      <c r="AJ21" s="178"/>
      <c r="AK21" s="178"/>
      <c r="AL21" s="178"/>
      <c r="AM21" s="178"/>
      <c r="AN21" s="178"/>
      <c r="AO21" s="178"/>
      <c r="AP21" s="178"/>
      <c r="AQ21" s="178"/>
      <c r="AR21" s="178"/>
      <c r="AS21" s="178"/>
      <c r="AT21" s="178"/>
      <c r="AU21" s="178"/>
      <c r="AV21" s="179" t="s">
        <v>354</v>
      </c>
      <c r="AW21" s="179"/>
      <c r="AX21" s="179"/>
      <c r="AY21" s="179"/>
      <c r="AZ21" s="179"/>
      <c r="BA21" s="179"/>
      <c r="BB21" s="180"/>
      <c r="BC21" s="180"/>
      <c r="BD21" s="180"/>
      <c r="BE21" s="180"/>
      <c r="BF21" s="180"/>
      <c r="BG21" s="180"/>
      <c r="BH21" s="88"/>
      <c r="BI21" s="9"/>
      <c r="BJ21" s="685" t="s">
        <v>393</v>
      </c>
      <c r="BK21" s="685" t="s">
        <v>387</v>
      </c>
      <c r="BL21" s="685" t="s">
        <v>393</v>
      </c>
      <c r="BM21" s="685" t="s">
        <v>387</v>
      </c>
      <c r="BN21" s="175"/>
      <c r="BO21" s="99"/>
      <c r="BP21" s="99"/>
      <c r="BQ21" s="88"/>
      <c r="BR21" s="88"/>
      <c r="BS21" s="88"/>
      <c r="BT21" s="99"/>
      <c r="BU21" s="99"/>
      <c r="BV21" s="88"/>
      <c r="BW21" s="88"/>
      <c r="BX21" s="88"/>
    </row>
    <row r="22" spans="1:76" s="186" customFormat="1" ht="75">
      <c r="A22" s="686" t="s">
        <v>355</v>
      </c>
      <c r="B22" s="686" t="s">
        <v>356</v>
      </c>
      <c r="C22" s="686" t="s">
        <v>357</v>
      </c>
      <c r="D22" s="686" t="s">
        <v>358</v>
      </c>
      <c r="E22" s="686" t="s">
        <v>359</v>
      </c>
      <c r="F22" s="686" t="s">
        <v>360</v>
      </c>
      <c r="G22" s="686" t="s">
        <v>361</v>
      </c>
      <c r="H22" s="686" t="s">
        <v>362</v>
      </c>
      <c r="I22" s="686" t="s">
        <v>363</v>
      </c>
      <c r="J22" s="686" t="s">
        <v>364</v>
      </c>
      <c r="K22" s="686" t="s">
        <v>365</v>
      </c>
      <c r="L22" s="686" t="s">
        <v>366</v>
      </c>
      <c r="M22" s="686" t="s">
        <v>367</v>
      </c>
      <c r="N22" s="686" t="s">
        <v>368</v>
      </c>
      <c r="O22" s="686" t="s">
        <v>369</v>
      </c>
      <c r="P22" s="686" t="s">
        <v>370</v>
      </c>
      <c r="Q22" s="686" t="s">
        <v>1284</v>
      </c>
      <c r="R22" s="686" t="s">
        <v>1285</v>
      </c>
      <c r="S22" s="686" t="s">
        <v>1286</v>
      </c>
      <c r="T22" s="686" t="s">
        <v>1287</v>
      </c>
      <c r="U22" s="686" t="s">
        <v>371</v>
      </c>
      <c r="V22" s="686" t="s">
        <v>372</v>
      </c>
      <c r="W22" s="686" t="s">
        <v>373</v>
      </c>
      <c r="X22" s="687" t="s">
        <v>1288</v>
      </c>
      <c r="Y22" s="687" t="s">
        <v>1289</v>
      </c>
      <c r="Z22" s="181"/>
      <c r="AA22" s="182" t="s">
        <v>374</v>
      </c>
      <c r="AB22" s="183" t="s">
        <v>375</v>
      </c>
      <c r="AC22" s="183" t="s">
        <v>376</v>
      </c>
      <c r="AD22" s="183" t="s">
        <v>377</v>
      </c>
      <c r="AE22" s="183" t="s">
        <v>378</v>
      </c>
      <c r="AF22" s="183" t="str">
        <f t="shared" ref="AF22:AF85" si="6">L22</f>
        <v>Compartment Capacity Cu Ft</v>
      </c>
      <c r="AG22" s="183" t="s">
        <v>1122</v>
      </c>
      <c r="AH22" s="183" t="s">
        <v>1290</v>
      </c>
      <c r="AI22" s="183" t="s">
        <v>379</v>
      </c>
      <c r="AJ22" s="183" t="s">
        <v>380</v>
      </c>
      <c r="AK22" s="183" t="str">
        <f>AB22</f>
        <v>Energy (kWh /cycle)</v>
      </c>
      <c r="AL22" s="183" t="str">
        <f t="shared" ref="AL22:AN22" si="7">AC22</f>
        <v>Energy (kWh /year)</v>
      </c>
      <c r="AM22" s="183" t="str">
        <f t="shared" si="7"/>
        <v>Water (gallons /cycle)</v>
      </c>
      <c r="AN22" s="183" t="str">
        <f t="shared" si="7"/>
        <v>Water (gallons /year)</v>
      </c>
      <c r="AO22" s="183" t="s">
        <v>825</v>
      </c>
      <c r="AP22" s="183" t="s">
        <v>824</v>
      </c>
      <c r="AQ22" s="183" t="str">
        <f>AI22</f>
        <v>kWh /year normalized to baseline volume</v>
      </c>
      <c r="AR22" s="183" t="str">
        <f>AJ22</f>
        <v>gallons /year, normalized to baseline tub volume</v>
      </c>
      <c r="AS22" s="183" t="s">
        <v>1291</v>
      </c>
      <c r="AT22" s="182" t="s">
        <v>381</v>
      </c>
      <c r="AU22" s="182" t="s">
        <v>1292</v>
      </c>
      <c r="AV22" s="184" t="str">
        <f t="shared" ref="AV22:BG22" si="8">AV1</f>
        <v>All Models Meeting Fed Standard - Top-Load</v>
      </c>
      <c r="AW22" s="184" t="str">
        <f t="shared" si="8"/>
        <v>All Models Meeting Fed Standard - Front-Load</v>
      </c>
      <c r="AX22" s="184" t="str">
        <f t="shared" si="8"/>
        <v>All Models Meeting Fed Standard (Top- or Front-Load)</v>
      </c>
      <c r="AY22" s="184" t="str">
        <f t="shared" si="8"/>
        <v>All Models Below ENERGY STAR - Top-Load</v>
      </c>
      <c r="AZ22" s="184" t="str">
        <f t="shared" si="8"/>
        <v>All Models Below ENERGY STAR - Front-Load</v>
      </c>
      <c r="BA22" s="184" t="str">
        <f t="shared" si="8"/>
        <v>All Models Below ENERGY STAR (Top- or Front-Load)</v>
      </c>
      <c r="BB22" s="184" t="str">
        <f t="shared" si="8"/>
        <v>ENERGY STAR - Top-Load</v>
      </c>
      <c r="BC22" s="184" t="str">
        <f t="shared" si="8"/>
        <v>ENERGY STAR - Front-Load</v>
      </c>
      <c r="BD22" s="184" t="str">
        <f t="shared" si="8"/>
        <v>Any ENERGY STAR (Top- or Front-Load)</v>
      </c>
      <c r="BE22" s="184" t="str">
        <f t="shared" si="8"/>
        <v>CEE Tier 1</v>
      </c>
      <c r="BF22" s="184" t="str">
        <f t="shared" si="8"/>
        <v>CEE Tier 2</v>
      </c>
      <c r="BG22" s="184" t="str">
        <f t="shared" si="8"/>
        <v>CEE Tier 3</v>
      </c>
      <c r="BH22" s="181"/>
      <c r="BI22" s="9"/>
      <c r="BJ22" s="688" t="s">
        <v>1293</v>
      </c>
      <c r="BK22" s="688" t="s">
        <v>1294</v>
      </c>
      <c r="BL22" s="688" t="s">
        <v>1295</v>
      </c>
      <c r="BM22" s="688" t="s">
        <v>1296</v>
      </c>
      <c r="BN22" s="185"/>
      <c r="BO22" s="185"/>
      <c r="BP22" s="181"/>
      <c r="BQ22" s="181"/>
      <c r="BR22" s="181"/>
      <c r="BS22" s="181"/>
      <c r="BT22" s="185"/>
      <c r="BU22" s="185"/>
      <c r="BV22" s="185"/>
      <c r="BW22" s="185"/>
      <c r="BX22" s="185"/>
    </row>
    <row r="23" spans="1:76" s="196" customFormat="1" ht="15">
      <c r="A23" s="689">
        <v>759</v>
      </c>
      <c r="B23" s="689" t="s">
        <v>382</v>
      </c>
      <c r="C23" s="689" t="s">
        <v>383</v>
      </c>
      <c r="D23" s="689" t="s">
        <v>384</v>
      </c>
      <c r="E23" s="689" t="s">
        <v>385</v>
      </c>
      <c r="F23" s="689" t="s">
        <v>386</v>
      </c>
      <c r="G23" s="689" t="s">
        <v>387</v>
      </c>
      <c r="H23" s="689" t="b">
        <v>0</v>
      </c>
      <c r="I23" s="689" t="s">
        <v>388</v>
      </c>
      <c r="J23" s="689" t="s">
        <v>389</v>
      </c>
      <c r="K23" s="689" t="b">
        <v>1</v>
      </c>
      <c r="L23" s="689">
        <v>2.8</v>
      </c>
      <c r="M23" s="689">
        <v>0.56999999999999995</v>
      </c>
      <c r="N23" s="689"/>
      <c r="O23" s="689"/>
      <c r="P23" s="689">
        <v>4.12</v>
      </c>
      <c r="Q23" s="689"/>
      <c r="R23" s="689"/>
      <c r="S23" s="689"/>
      <c r="T23" s="689"/>
      <c r="U23" s="689"/>
      <c r="V23" s="689">
        <v>1.89</v>
      </c>
      <c r="W23" s="690">
        <v>38160</v>
      </c>
      <c r="X23" s="691">
        <f t="shared" ref="X23:X39" si="9">IF($V23="","",IF($G23="Horizontal",V23*slope_FrontLoad_MEF+int_FrontLoad_MEF,IF($G23="Vertical",V23*slope_TopLoad_MEF+int_TopLoad_MEF,"")))</f>
        <v>1.555105</v>
      </c>
      <c r="Y23" s="691" t="str">
        <f t="shared" ref="Y23:Y86" si="10">IF($O23="","",IF($G23="Horizontal",O23*slope_FrontLoad_WF+int_FrontLoad_WF,IF($G23="Vertical",O23*slope_TopLoad_WF+int_TopLoad_WF,"")))</f>
        <v/>
      </c>
      <c r="Z23" s="189"/>
      <c r="AA23" s="190">
        <f>YEAR(W23)</f>
        <v>2004</v>
      </c>
      <c r="AB23" s="191">
        <f>IF(OR(L23="",X23=""),"",L23/X23)</f>
        <v>1.8005215081939805</v>
      </c>
      <c r="AC23" s="192">
        <f>IF(AB23="","",AB23*SFAssumptions!$C$3)</f>
        <v>462.21781808945377</v>
      </c>
      <c r="AD23" s="193" t="str">
        <f>IF(OR(Y23="",L23=""),"",Y23*L23)</f>
        <v/>
      </c>
      <c r="AE23" s="194" t="str">
        <f>IF(AD23="","",AD23*SFAssumptions!$C$3)</f>
        <v/>
      </c>
      <c r="AF23" s="192">
        <f t="shared" si="6"/>
        <v>2.8</v>
      </c>
      <c r="AG23" s="192" t="str">
        <f>IF(Y23="","",Y23)</f>
        <v/>
      </c>
      <c r="AH23" s="192">
        <f>IF(X23="","",X23)</f>
        <v>1.555105</v>
      </c>
      <c r="AI23" s="692">
        <f ca="1">IF(AC23="","",AC23*SFAssumptions!$C$8/'SavingsData&amp;Analysis'!AF23)</f>
        <v>623.5000259916261</v>
      </c>
      <c r="AJ23" s="692" t="str">
        <f>IF(OR(AE23="",AF23=""),"",AE23*SFAssumptions!$C$8/AF23)</f>
        <v/>
      </c>
      <c r="AK23" s="191">
        <f>IF(OR(L23="",V23=""),"",L23/V23)</f>
        <v>1.4814814814814814</v>
      </c>
      <c r="AL23" s="692">
        <f>IF(AK23="","",AK23*SFAssumptions!$C$3)</f>
        <v>380.31599999999997</v>
      </c>
      <c r="AM23" s="193" t="str">
        <f>IF(OR(L23="",O23=""),"",O23*L23)</f>
        <v/>
      </c>
      <c r="AN23" s="194" t="str">
        <f>IF(AM23="","",AM23*SFAssumptions!$C$3)</f>
        <v/>
      </c>
      <c r="AO23" s="693" t="str">
        <f>IF(O23="","",O23)</f>
        <v/>
      </c>
      <c r="AP23" s="693">
        <f>IF(V23="","",V23)</f>
        <v>1.89</v>
      </c>
      <c r="AQ23" s="692">
        <f ca="1">IF(AL23="","",AL23*SFAssumptions!$C$8/'SavingsData&amp;Analysis'!AF23)</f>
        <v>513.02011001042729</v>
      </c>
      <c r="AR23" s="692" t="str">
        <f>IF(OR(AN23="",AF23=""),"",AN23*SFAssumptions!$C$8/AF23)</f>
        <v/>
      </c>
      <c r="AS23" s="190" t="str">
        <f>IF(OR(AG23="",AH23=""),"No",IF(AND(G23="Horizontal",AH23&gt;='Eff. Standards &amp; Certifications'!$B$21,AG23&lt;='Eff. Standards &amp; Certifications'!$C$21),"Consider",IF(AND(G23="Vertical",AH23&gt;='Eff. Standards &amp; Certifications'!$B$20,AG23&lt;='Eff. Standards &amp; Certifications'!$C$20),"Consider","No")))</f>
        <v>No</v>
      </c>
      <c r="AT23" s="190" t="str">
        <f t="shared" ref="AT23:AT86" si="11">J23</f>
        <v>Residential</v>
      </c>
      <c r="AU23" s="190"/>
      <c r="AV23" s="190" t="str">
        <f t="shared" ref="AV23:AW42" si="12">IF(AND($G23=AV$18,$AS23="Consider",$AT23="Residential",$AH23&gt;=AV$3,$AH23&lt;=AV$4,$AG23&gt;=AV$5,$AG23&lt;=AV$6),"YES","NO")</f>
        <v>NO</v>
      </c>
      <c r="AW23" s="190" t="str">
        <f t="shared" si="12"/>
        <v>NO</v>
      </c>
      <c r="AX23" s="190" t="str">
        <f>IF(OR(AV23="YES",AW23="YES"),"YES","NO")</f>
        <v>NO</v>
      </c>
      <c r="AY23" s="190" t="str">
        <f t="shared" ref="AY23:AZ86" si="13">IF(AND($AS23="Consider",$AT23="Residential",$G23=AY$18,$AH23&gt;=BB$3,$AG23&lt;=BB$6),"NO",IF(AND($AS23="Consider",$AT23="Residential",$G23=AY$18,$AH23&gt;=AY$3,$AG23&lt;=AY$6),"YES","NO"))</f>
        <v>NO</v>
      </c>
      <c r="AZ23" s="190" t="str">
        <f t="shared" si="13"/>
        <v>NO</v>
      </c>
      <c r="BA23" s="190" t="str">
        <f>IF(OR(AY23="YES",AZ23="YES"),"YES","NO")</f>
        <v>NO</v>
      </c>
      <c r="BB23" s="190" t="str">
        <f t="shared" ref="BB23:BB86" si="14">IF(AND($AS23="Consider",$AT23="Residential",$G23=BB$18,$AH23&gt;=BB$3,$AG23&lt;=BB$6),"YES","NO")</f>
        <v>NO</v>
      </c>
      <c r="BC23" s="190" t="str">
        <f t="shared" ref="BC23:BC86" si="15">IF(AND($G23=BC$18,$AS23="Consider",$AT23="Residential",$AH23&gt;=BC$3,$AH23&lt;=BC$4,$AG23&gt;=BC$5,$AG23&lt;=BC$6),"YES","NO")</f>
        <v>NO</v>
      </c>
      <c r="BD23" s="190" t="str">
        <f>IF(OR(BB23="YES",BC23="YES"),"YES","NO")</f>
        <v>NO</v>
      </c>
      <c r="BE23" s="190" t="str">
        <f t="shared" ref="BE23:BE86" si="16">IF(AND($AS23="Consider",$AT23="Residential",$AH23&gt;=BG$3,$AG23&lt;=BG$6),"NO",IF(AND($AS23="Consider",$AT23="Residential",$AH23&gt;=BF$3,$AG23&lt;=BF$6),"NO",IF(AND($AS23="Consider",$AT23="Residential",$AH23&gt;=BE$3,$AG23&lt;=BE$6),"YES","NO")))</f>
        <v>NO</v>
      </c>
      <c r="BF23" s="190" t="str">
        <f t="shared" ref="BF23:BF86" si="17">IF(AND($AS23="Consider",$AT23="Residential",$AH23&gt;=BG$3,$AG23&lt;=BG$6),"NO",IF(AND($AS23="Consider",$AT23="Residential",$AH23&gt;=BF$3,$AG23&lt;=BF$6),"YES","NO"))</f>
        <v>NO</v>
      </c>
      <c r="BG23" s="190" t="str">
        <f t="shared" ref="BG23:BG86" si="18">IF(AND($AS23="Consider",$AT23="Residential",$AH23&gt;=BG$3,$AG23&lt;=BG$6),"YES","NO")</f>
        <v>NO</v>
      </c>
      <c r="BH23" s="88"/>
      <c r="BI23" s="9"/>
      <c r="BJ23" s="694" t="str">
        <f t="shared" ref="BJ23:BK42" si="19">IF(AND($G23=BJ$21,$AT23="Residential",$AS23="Consider"),$X23,"")</f>
        <v/>
      </c>
      <c r="BK23" s="694" t="str">
        <f t="shared" si="19"/>
        <v/>
      </c>
      <c r="BL23" s="694" t="str">
        <f t="shared" ref="BL23:BM42" si="20">IF(AND($G23=BL$21,$AT23="Residential",$AS23="Consider"),$Y23,"")</f>
        <v/>
      </c>
      <c r="BM23" s="694" t="str">
        <f t="shared" si="20"/>
        <v/>
      </c>
      <c r="BN23" s="88"/>
      <c r="BO23" s="195"/>
      <c r="BP23" s="195"/>
      <c r="BQ23" s="195"/>
      <c r="BR23" s="195"/>
      <c r="BS23" s="195"/>
      <c r="BT23" s="195"/>
      <c r="BU23" s="195"/>
      <c r="BV23" s="195"/>
      <c r="BW23" s="195"/>
      <c r="BX23" s="195"/>
    </row>
    <row r="24" spans="1:76" s="124" customFormat="1" ht="15">
      <c r="A24" s="187">
        <v>1446</v>
      </c>
      <c r="B24" s="187" t="s">
        <v>382</v>
      </c>
      <c r="C24" s="187" t="s">
        <v>383</v>
      </c>
      <c r="D24" s="187" t="s">
        <v>390</v>
      </c>
      <c r="E24" s="187" t="s">
        <v>385</v>
      </c>
      <c r="F24" s="187" t="s">
        <v>386</v>
      </c>
      <c r="G24" s="187" t="s">
        <v>387</v>
      </c>
      <c r="H24" s="187" t="b">
        <v>0</v>
      </c>
      <c r="I24" s="187" t="s">
        <v>388</v>
      </c>
      <c r="J24" s="187" t="s">
        <v>389</v>
      </c>
      <c r="K24" s="187" t="b">
        <v>1</v>
      </c>
      <c r="L24" s="187">
        <v>2.8</v>
      </c>
      <c r="M24" s="187">
        <v>0.46</v>
      </c>
      <c r="N24" s="187">
        <v>13.92</v>
      </c>
      <c r="O24" s="187">
        <v>4.9000000000000004</v>
      </c>
      <c r="P24" s="187">
        <v>6.16</v>
      </c>
      <c r="Q24" s="187"/>
      <c r="R24" s="187"/>
      <c r="S24" s="187"/>
      <c r="T24" s="187"/>
      <c r="U24" s="187">
        <v>39.1</v>
      </c>
      <c r="V24" s="187">
        <v>2.04</v>
      </c>
      <c r="W24" s="188">
        <v>39072</v>
      </c>
      <c r="X24" s="691">
        <f t="shared" si="9"/>
        <v>1.69228</v>
      </c>
      <c r="Y24" s="691">
        <f t="shared" si="10"/>
        <v>5.1357800000000005</v>
      </c>
      <c r="Z24" s="189"/>
      <c r="AA24" s="190">
        <f t="shared" ref="AA24:AA87" si="21">YEAR(W24)</f>
        <v>2006</v>
      </c>
      <c r="AB24" s="191">
        <f t="shared" ref="AB24:AB87" si="22">IF(OR(L24="",X24=""),"",L24/X24)</f>
        <v>1.6545725293686624</v>
      </c>
      <c r="AC24" s="192">
        <f>IF(AB24="","",AB24*SFAssumptions!$C$3)</f>
        <v>424.75077410357625</v>
      </c>
      <c r="AD24" s="193">
        <f t="shared" ref="AD24:AD87" si="23">IF(OR(Y24="",L24=""),"",Y24*L24)</f>
        <v>14.380184</v>
      </c>
      <c r="AE24" s="194">
        <f>IF(AD24="","",AD24*SFAssumptions!$C$3)</f>
        <v>3691.5844892472001</v>
      </c>
      <c r="AF24" s="192">
        <f t="shared" si="6"/>
        <v>2.8</v>
      </c>
      <c r="AG24" s="192">
        <f t="shared" ref="AG24:AG87" si="24">IF(Y24="","",Y24)</f>
        <v>5.1357800000000005</v>
      </c>
      <c r="AH24" s="192">
        <f t="shared" ref="AH24:AH87" si="25">IF(X24="","",X24)</f>
        <v>1.69228</v>
      </c>
      <c r="AI24" s="692">
        <f ca="1">IF(AC24="","",AC24*SFAssumptions!$C$8/'SavingsData&amp;Analysis'!AF24)</f>
        <v>572.95956219993604</v>
      </c>
      <c r="AJ24" s="692">
        <f ca="1">IF(OR(AE24="",AF24=""),"",AE24*SFAssumptions!$C$8/AF24)</f>
        <v>4979.6934149138769</v>
      </c>
      <c r="AK24" s="191">
        <f t="shared" ref="AK24:AK87" si="26">IF(OR(L24="",V24=""),"",L24/V24)</f>
        <v>1.3725490196078429</v>
      </c>
      <c r="AL24" s="692">
        <f>IF(AK24="","",AK24*SFAssumptions!$C$3)</f>
        <v>352.35158823529406</v>
      </c>
      <c r="AM24" s="193">
        <f t="shared" ref="AM24:AM87" si="27">IF(OR(L24="",O24=""),"",O24*L24)</f>
        <v>13.72</v>
      </c>
      <c r="AN24" s="194">
        <f>IF(AM24="","",AM24*SFAssumptions!$C$3)</f>
        <v>3522.1064760000004</v>
      </c>
      <c r="AO24" s="693">
        <f t="shared" ref="AO24:AO87" si="28">IF(O24="","",O24)</f>
        <v>4.9000000000000004</v>
      </c>
      <c r="AP24" s="693">
        <f t="shared" ref="AP24:AP87" si="29">IF(V24="","",V24)</f>
        <v>2.04</v>
      </c>
      <c r="AQ24" s="692">
        <f ca="1">IF(AL24="","",AL24*SFAssumptions!$C$8/'SavingsData&amp;Analysis'!AF24)</f>
        <v>475.29804309789586</v>
      </c>
      <c r="AR24" s="692">
        <f ca="1">IF(OR(AN24="",AF24=""),"",AN24*SFAssumptions!$C$8/AF24)</f>
        <v>4751.0792388065684</v>
      </c>
      <c r="AS24" s="190" t="str">
        <f>IF(OR(AG24="",AH24=""),"No",IF(AND(G24="Horizontal",AH24&gt;='Eff. Standards &amp; Certifications'!$B$21,AG24&lt;='Eff. Standards &amp; Certifications'!$C$21),"Consider",IF(AND(G24="Vertical",AH24&gt;='Eff. Standards &amp; Certifications'!$B$20,AG24&lt;='Eff. Standards &amp; Certifications'!$C$20),"Consider","No")))</f>
        <v>No</v>
      </c>
      <c r="AT24" s="190" t="str">
        <f t="shared" si="11"/>
        <v>Residential</v>
      </c>
      <c r="AU24" s="190"/>
      <c r="AV24" s="190" t="str">
        <f t="shared" si="12"/>
        <v>NO</v>
      </c>
      <c r="AW24" s="190" t="str">
        <f t="shared" si="12"/>
        <v>NO</v>
      </c>
      <c r="AX24" s="190" t="str">
        <f t="shared" ref="AX24:AX87" si="30">IF(OR(AV24="YES",AW24="YES"),"YES","NO")</f>
        <v>NO</v>
      </c>
      <c r="AY24" s="190" t="str">
        <f t="shared" si="13"/>
        <v>NO</v>
      </c>
      <c r="AZ24" s="190" t="str">
        <f t="shared" si="13"/>
        <v>NO</v>
      </c>
      <c r="BA24" s="190" t="str">
        <f t="shared" ref="BA24:BA87" si="31">IF(OR(AY24="YES",AZ24="YES"),"YES","NO")</f>
        <v>NO</v>
      </c>
      <c r="BB24" s="190" t="str">
        <f t="shared" si="14"/>
        <v>NO</v>
      </c>
      <c r="BC24" s="190" t="str">
        <f t="shared" si="15"/>
        <v>NO</v>
      </c>
      <c r="BD24" s="190" t="str">
        <f t="shared" ref="BD24:BD87" si="32">IF(OR(BB24="YES",BC24="YES"),"YES","NO")</f>
        <v>NO</v>
      </c>
      <c r="BE24" s="190" t="str">
        <f t="shared" si="16"/>
        <v>NO</v>
      </c>
      <c r="BF24" s="190" t="str">
        <f t="shared" si="17"/>
        <v>NO</v>
      </c>
      <c r="BG24" s="190" t="str">
        <f t="shared" si="18"/>
        <v>NO</v>
      </c>
      <c r="BH24" s="88"/>
      <c r="BI24" s="9"/>
      <c r="BJ24" s="694" t="str">
        <f t="shared" si="19"/>
        <v/>
      </c>
      <c r="BK24" s="694" t="str">
        <f t="shared" si="19"/>
        <v/>
      </c>
      <c r="BL24" s="694" t="str">
        <f t="shared" si="20"/>
        <v/>
      </c>
      <c r="BM24" s="694" t="str">
        <f t="shared" si="20"/>
        <v/>
      </c>
      <c r="BN24" s="88"/>
      <c r="BO24" s="195"/>
      <c r="BP24" s="195"/>
      <c r="BQ24" s="195"/>
      <c r="BR24" s="195"/>
      <c r="BS24" s="195"/>
      <c r="BT24" s="195"/>
      <c r="BU24" s="195"/>
      <c r="BV24" s="195"/>
      <c r="BW24" s="195"/>
      <c r="BX24" s="195"/>
    </row>
    <row r="25" spans="1:76" s="124" customFormat="1" ht="15">
      <c r="A25" s="187">
        <v>1435</v>
      </c>
      <c r="B25" s="187" t="s">
        <v>382</v>
      </c>
      <c r="C25" s="187" t="s">
        <v>383</v>
      </c>
      <c r="D25" s="187" t="s">
        <v>391</v>
      </c>
      <c r="E25" s="187" t="s">
        <v>392</v>
      </c>
      <c r="F25" s="187" t="s">
        <v>386</v>
      </c>
      <c r="G25" s="187" t="s">
        <v>393</v>
      </c>
      <c r="H25" s="187" t="b">
        <v>0</v>
      </c>
      <c r="I25" s="187" t="s">
        <v>388</v>
      </c>
      <c r="J25" s="187" t="s">
        <v>389</v>
      </c>
      <c r="K25" s="187" t="b">
        <v>1</v>
      </c>
      <c r="L25" s="187">
        <v>3.3</v>
      </c>
      <c r="M25" s="187">
        <v>1.1399999999999999</v>
      </c>
      <c r="N25" s="187">
        <v>36.74</v>
      </c>
      <c r="O25" s="187">
        <v>11</v>
      </c>
      <c r="P25" s="187">
        <v>2.93</v>
      </c>
      <c r="Q25" s="187"/>
      <c r="R25" s="187"/>
      <c r="S25" s="187"/>
      <c r="T25" s="187"/>
      <c r="U25" s="187">
        <v>54</v>
      </c>
      <c r="V25" s="187">
        <v>1.27</v>
      </c>
      <c r="W25" s="188">
        <v>39072</v>
      </c>
      <c r="X25" s="691">
        <f t="shared" si="9"/>
        <v>0.84100000000000008</v>
      </c>
      <c r="Y25" s="691">
        <f t="shared" si="10"/>
        <v>11.406000000000001</v>
      </c>
      <c r="Z25" s="189"/>
      <c r="AA25" s="190">
        <f t="shared" si="21"/>
        <v>2006</v>
      </c>
      <c r="AB25" s="191">
        <f t="shared" si="22"/>
        <v>3.9239001189060638</v>
      </c>
      <c r="AC25" s="192">
        <f>IF(AB25="","",AB25*SFAssumptions!$C$3)</f>
        <v>1007.317348394768</v>
      </c>
      <c r="AD25" s="193">
        <f t="shared" si="23"/>
        <v>37.639800000000001</v>
      </c>
      <c r="AE25" s="194">
        <f>IF(AD25="","",AD25*SFAssumptions!$C$3)</f>
        <v>9662.6372693400008</v>
      </c>
      <c r="AF25" s="192">
        <f t="shared" si="6"/>
        <v>3.3</v>
      </c>
      <c r="AG25" s="192">
        <f t="shared" si="24"/>
        <v>11.406000000000001</v>
      </c>
      <c r="AH25" s="192">
        <f t="shared" si="25"/>
        <v>0.84100000000000008</v>
      </c>
      <c r="AI25" s="692">
        <f ca="1">IF(AC25="","",AC25*SFAssumptions!$C$8/'SavingsData&amp;Analysis'!AF25)</f>
        <v>1152.9227204752767</v>
      </c>
      <c r="AJ25" s="692">
        <f ca="1">IF(OR(AE25="",AF25=""),"",AE25*SFAssumptions!$C$8/AF25)</f>
        <v>11059.348938332187</v>
      </c>
      <c r="AK25" s="191">
        <f t="shared" si="26"/>
        <v>2.5984251968503935</v>
      </c>
      <c r="AL25" s="692">
        <f>IF(AK25="","",AK25*SFAssumptions!$C$3)</f>
        <v>667.05030708661411</v>
      </c>
      <c r="AM25" s="193">
        <f t="shared" si="27"/>
        <v>36.299999999999997</v>
      </c>
      <c r="AN25" s="194">
        <f>IF(AM25="","",AM25*SFAssumptions!$C$3)</f>
        <v>9318.6927899999991</v>
      </c>
      <c r="AO25" s="693">
        <f t="shared" si="28"/>
        <v>11</v>
      </c>
      <c r="AP25" s="693">
        <f t="shared" si="29"/>
        <v>1.27</v>
      </c>
      <c r="AQ25" s="692">
        <f ca="1">IF(AL25="","",AL25*SFAssumptions!$C$8/'SavingsData&amp;Analysis'!AF25)</f>
        <v>763.47087237772257</v>
      </c>
      <c r="AR25" s="692">
        <f ca="1">IF(OR(AN25="",AF25=""),"",AN25*SFAssumptions!$C$8/AF25)</f>
        <v>10665.688087116783</v>
      </c>
      <c r="AS25" s="190" t="str">
        <f>IF(OR(AG25="",AH25=""),"No",IF(AND(G25="Horizontal",AH25&gt;='Eff. Standards &amp; Certifications'!$B$21,AG25&lt;='Eff. Standards &amp; Certifications'!$C$21),"Consider",IF(AND(G25="Vertical",AH25&gt;='Eff. Standards &amp; Certifications'!$B$20,AG25&lt;='Eff. Standards &amp; Certifications'!$C$20),"Consider","No")))</f>
        <v>No</v>
      </c>
      <c r="AT25" s="190" t="str">
        <f t="shared" si="11"/>
        <v>Residential</v>
      </c>
      <c r="AU25" s="190"/>
      <c r="AV25" s="190" t="str">
        <f t="shared" si="12"/>
        <v>NO</v>
      </c>
      <c r="AW25" s="190" t="str">
        <f t="shared" si="12"/>
        <v>NO</v>
      </c>
      <c r="AX25" s="190" t="str">
        <f t="shared" si="30"/>
        <v>NO</v>
      </c>
      <c r="AY25" s="190" t="str">
        <f t="shared" si="13"/>
        <v>NO</v>
      </c>
      <c r="AZ25" s="190" t="str">
        <f t="shared" si="13"/>
        <v>NO</v>
      </c>
      <c r="BA25" s="190" t="str">
        <f t="shared" si="31"/>
        <v>NO</v>
      </c>
      <c r="BB25" s="190" t="str">
        <f t="shared" si="14"/>
        <v>NO</v>
      </c>
      <c r="BC25" s="190" t="str">
        <f t="shared" si="15"/>
        <v>NO</v>
      </c>
      <c r="BD25" s="190" t="str">
        <f t="shared" si="32"/>
        <v>NO</v>
      </c>
      <c r="BE25" s="190" t="str">
        <f t="shared" si="16"/>
        <v>NO</v>
      </c>
      <c r="BF25" s="190" t="str">
        <f t="shared" si="17"/>
        <v>NO</v>
      </c>
      <c r="BG25" s="190" t="str">
        <f t="shared" si="18"/>
        <v>NO</v>
      </c>
      <c r="BH25" s="88"/>
      <c r="BI25" s="9"/>
      <c r="BJ25" s="694" t="str">
        <f t="shared" si="19"/>
        <v/>
      </c>
      <c r="BK25" s="694" t="str">
        <f t="shared" si="19"/>
        <v/>
      </c>
      <c r="BL25" s="694" t="str">
        <f t="shared" si="20"/>
        <v/>
      </c>
      <c r="BM25" s="694" t="str">
        <f t="shared" si="20"/>
        <v/>
      </c>
      <c r="BN25" s="88"/>
      <c r="BO25" s="195"/>
      <c r="BP25" s="195"/>
      <c r="BQ25" s="195"/>
      <c r="BR25" s="195"/>
      <c r="BS25" s="195"/>
      <c r="BT25" s="195"/>
      <c r="BU25" s="195"/>
      <c r="BV25" s="195"/>
      <c r="BW25" s="195"/>
      <c r="BX25" s="195"/>
    </row>
    <row r="26" spans="1:76" s="124" customFormat="1" ht="15">
      <c r="A26" s="187">
        <v>599</v>
      </c>
      <c r="B26" s="187" t="s">
        <v>382</v>
      </c>
      <c r="C26" s="187" t="s">
        <v>394</v>
      </c>
      <c r="D26" s="187" t="s">
        <v>395</v>
      </c>
      <c r="E26" s="187" t="s">
        <v>385</v>
      </c>
      <c r="F26" s="187" t="s">
        <v>386</v>
      </c>
      <c r="G26" s="187" t="s">
        <v>387</v>
      </c>
      <c r="H26" s="187" t="b">
        <v>0</v>
      </c>
      <c r="I26" s="187" t="s">
        <v>388</v>
      </c>
      <c r="J26" s="187" t="s">
        <v>389</v>
      </c>
      <c r="K26" s="187" t="b">
        <v>1</v>
      </c>
      <c r="L26" s="187">
        <v>2.8</v>
      </c>
      <c r="M26" s="187">
        <v>0.53</v>
      </c>
      <c r="N26" s="187">
        <v>13.92</v>
      </c>
      <c r="O26" s="187">
        <v>4.9000000000000004</v>
      </c>
      <c r="P26" s="187">
        <v>5.41</v>
      </c>
      <c r="Q26" s="187"/>
      <c r="R26" s="187"/>
      <c r="S26" s="187"/>
      <c r="T26" s="187"/>
      <c r="U26" s="187">
        <v>39.1</v>
      </c>
      <c r="V26" s="187">
        <v>1.96</v>
      </c>
      <c r="W26" s="188">
        <v>40116</v>
      </c>
      <c r="X26" s="691">
        <f t="shared" si="9"/>
        <v>1.6191199999999999</v>
      </c>
      <c r="Y26" s="691">
        <f t="shared" si="10"/>
        <v>5.1357800000000005</v>
      </c>
      <c r="Z26" s="189"/>
      <c r="AA26" s="190">
        <f t="shared" si="21"/>
        <v>2009</v>
      </c>
      <c r="AB26" s="191">
        <f t="shared" si="22"/>
        <v>1.7293344532832651</v>
      </c>
      <c r="AC26" s="192">
        <f>IF(AB26="","",AB26*SFAssumptions!$C$3)</f>
        <v>443.9431543060428</v>
      </c>
      <c r="AD26" s="193">
        <f t="shared" si="23"/>
        <v>14.380184</v>
      </c>
      <c r="AE26" s="194">
        <f>IF(AD26="","",AD26*SFAssumptions!$C$3)</f>
        <v>3691.5844892472001</v>
      </c>
      <c r="AF26" s="192">
        <f t="shared" si="6"/>
        <v>2.8</v>
      </c>
      <c r="AG26" s="192">
        <f t="shared" si="24"/>
        <v>5.1357800000000005</v>
      </c>
      <c r="AH26" s="192">
        <f t="shared" si="25"/>
        <v>1.6191199999999999</v>
      </c>
      <c r="AI26" s="692">
        <f ca="1">IF(AC26="","",AC26*SFAssumptions!$C$8/'SavingsData&amp;Analysis'!AF26)</f>
        <v>598.84876224103687</v>
      </c>
      <c r="AJ26" s="692">
        <f ca="1">IF(OR(AE26="",AF26=""),"",AE26*SFAssumptions!$C$8/AF26)</f>
        <v>4979.6934149138769</v>
      </c>
      <c r="AK26" s="191">
        <f t="shared" si="26"/>
        <v>1.4285714285714286</v>
      </c>
      <c r="AL26" s="692">
        <f>IF(AK26="","",AK26*SFAssumptions!$C$3)</f>
        <v>366.73328571428573</v>
      </c>
      <c r="AM26" s="193">
        <f t="shared" si="27"/>
        <v>13.72</v>
      </c>
      <c r="AN26" s="194">
        <f>IF(AM26="","",AM26*SFAssumptions!$C$3)</f>
        <v>3522.1064760000004</v>
      </c>
      <c r="AO26" s="693">
        <f t="shared" si="28"/>
        <v>4.9000000000000004</v>
      </c>
      <c r="AP26" s="693">
        <f t="shared" si="29"/>
        <v>1.96</v>
      </c>
      <c r="AQ26" s="692">
        <f ca="1">IF(AL26="","",AL26*SFAssumptions!$C$8/'SavingsData&amp;Analysis'!AF26)</f>
        <v>494.6979632243407</v>
      </c>
      <c r="AR26" s="692">
        <f ca="1">IF(OR(AN26="",AF26=""),"",AN26*SFAssumptions!$C$8/AF26)</f>
        <v>4751.0792388065684</v>
      </c>
      <c r="AS26" s="190" t="str">
        <f>IF(OR(AG26="",AH26=""),"No",IF(AND(G26="Horizontal",AH26&gt;='Eff. Standards &amp; Certifications'!$B$21,AG26&lt;='Eff. Standards &amp; Certifications'!$C$21),"Consider",IF(AND(G26="Vertical",AH26&gt;='Eff. Standards &amp; Certifications'!$B$20,AG26&lt;='Eff. Standards &amp; Certifications'!$C$20),"Consider","No")))</f>
        <v>No</v>
      </c>
      <c r="AT26" s="190" t="str">
        <f t="shared" si="11"/>
        <v>Residential</v>
      </c>
      <c r="AU26" s="190"/>
      <c r="AV26" s="190" t="str">
        <f t="shared" si="12"/>
        <v>NO</v>
      </c>
      <c r="AW26" s="190" t="str">
        <f t="shared" si="12"/>
        <v>NO</v>
      </c>
      <c r="AX26" s="190" t="str">
        <f t="shared" si="30"/>
        <v>NO</v>
      </c>
      <c r="AY26" s="190" t="str">
        <f t="shared" si="13"/>
        <v>NO</v>
      </c>
      <c r="AZ26" s="190" t="str">
        <f t="shared" si="13"/>
        <v>NO</v>
      </c>
      <c r="BA26" s="190" t="str">
        <f t="shared" si="31"/>
        <v>NO</v>
      </c>
      <c r="BB26" s="190" t="str">
        <f t="shared" si="14"/>
        <v>NO</v>
      </c>
      <c r="BC26" s="190" t="str">
        <f t="shared" si="15"/>
        <v>NO</v>
      </c>
      <c r="BD26" s="190" t="str">
        <f t="shared" si="32"/>
        <v>NO</v>
      </c>
      <c r="BE26" s="190" t="str">
        <f t="shared" si="16"/>
        <v>NO</v>
      </c>
      <c r="BF26" s="190" t="str">
        <f t="shared" si="17"/>
        <v>NO</v>
      </c>
      <c r="BG26" s="190" t="str">
        <f t="shared" si="18"/>
        <v>NO</v>
      </c>
      <c r="BH26" s="88"/>
      <c r="BI26" s="9"/>
      <c r="BJ26" s="694" t="str">
        <f t="shared" si="19"/>
        <v/>
      </c>
      <c r="BK26" s="694" t="str">
        <f t="shared" si="19"/>
        <v/>
      </c>
      <c r="BL26" s="694" t="str">
        <f t="shared" si="20"/>
        <v/>
      </c>
      <c r="BM26" s="694" t="str">
        <f t="shared" si="20"/>
        <v/>
      </c>
      <c r="BN26" s="88"/>
      <c r="BO26" s="195"/>
      <c r="BP26" s="195"/>
      <c r="BQ26" s="195"/>
      <c r="BR26" s="195"/>
      <c r="BS26" s="195"/>
      <c r="BT26" s="195"/>
      <c r="BU26" s="195"/>
      <c r="BV26" s="195"/>
      <c r="BW26" s="195"/>
      <c r="BX26" s="195"/>
    </row>
    <row r="27" spans="1:76" s="124" customFormat="1" ht="15">
      <c r="A27" s="187">
        <v>521</v>
      </c>
      <c r="B27" s="187" t="s">
        <v>382</v>
      </c>
      <c r="C27" s="187" t="s">
        <v>396</v>
      </c>
      <c r="D27" s="187" t="s">
        <v>397</v>
      </c>
      <c r="E27" s="187" t="s">
        <v>385</v>
      </c>
      <c r="F27" s="187" t="s">
        <v>386</v>
      </c>
      <c r="G27" s="187" t="s">
        <v>387</v>
      </c>
      <c r="H27" s="187" t="b">
        <v>0</v>
      </c>
      <c r="I27" s="187" t="s">
        <v>388</v>
      </c>
      <c r="J27" s="187" t="s">
        <v>389</v>
      </c>
      <c r="K27" s="187" t="b">
        <v>1</v>
      </c>
      <c r="L27" s="187">
        <v>2.8</v>
      </c>
      <c r="M27" s="187">
        <v>0.39</v>
      </c>
      <c r="N27" s="187">
        <v>12.8</v>
      </c>
      <c r="O27" s="187">
        <v>4.5</v>
      </c>
      <c r="P27" s="187">
        <v>7.24</v>
      </c>
      <c r="Q27" s="187"/>
      <c r="R27" s="187"/>
      <c r="S27" s="187"/>
      <c r="T27" s="187"/>
      <c r="U27" s="187">
        <v>38.4</v>
      </c>
      <c r="V27" s="187">
        <v>2.2400000000000002</v>
      </c>
      <c r="W27" s="188">
        <v>40309</v>
      </c>
      <c r="X27" s="691">
        <f t="shared" si="9"/>
        <v>1.8751800000000001</v>
      </c>
      <c r="Y27" s="691">
        <f t="shared" si="10"/>
        <v>4.7261000000000006</v>
      </c>
      <c r="Z27" s="189"/>
      <c r="AA27" s="190">
        <f t="shared" si="21"/>
        <v>2010</v>
      </c>
      <c r="AB27" s="191">
        <f t="shared" si="22"/>
        <v>1.4931899870945722</v>
      </c>
      <c r="AC27" s="192">
        <f>IF(AB27="","",AB27*SFAssumptions!$C$3)</f>
        <v>383.32172911400505</v>
      </c>
      <c r="AD27" s="193">
        <f t="shared" si="23"/>
        <v>13.233080000000001</v>
      </c>
      <c r="AE27" s="194">
        <f>IF(AD27="","",AD27*SFAssumptions!$C$3)</f>
        <v>3397.1076359640001</v>
      </c>
      <c r="AF27" s="192">
        <f t="shared" si="6"/>
        <v>2.8</v>
      </c>
      <c r="AG27" s="192">
        <f t="shared" si="24"/>
        <v>4.7261000000000006</v>
      </c>
      <c r="AH27" s="192">
        <f t="shared" si="25"/>
        <v>1.8751800000000001</v>
      </c>
      <c r="AI27" s="692">
        <f ca="1">IF(AC27="","",AC27*SFAssumptions!$C$8/'SavingsData&amp;Analysis'!AF27)</f>
        <v>517.07463172586506</v>
      </c>
      <c r="AJ27" s="692">
        <f ca="1">IF(OR(AE27="",AF27=""),"",AE27*SFAssumptions!$C$8/AF27)</f>
        <v>4582.464406229331</v>
      </c>
      <c r="AK27" s="191">
        <f t="shared" si="26"/>
        <v>1.2499999999999998</v>
      </c>
      <c r="AL27" s="692">
        <f>IF(AK27="","",AK27*SFAssumptions!$C$3)</f>
        <v>320.89162499999992</v>
      </c>
      <c r="AM27" s="193">
        <f t="shared" si="27"/>
        <v>12.6</v>
      </c>
      <c r="AN27" s="194">
        <f>IF(AM27="","",AM27*SFAssumptions!$C$3)</f>
        <v>3234.5875799999999</v>
      </c>
      <c r="AO27" s="693">
        <f t="shared" si="28"/>
        <v>4.5</v>
      </c>
      <c r="AP27" s="693">
        <f t="shared" si="29"/>
        <v>2.2400000000000002</v>
      </c>
      <c r="AQ27" s="692">
        <f ca="1">IF(AL27="","",AL27*SFAssumptions!$C$8/'SavingsData&amp;Analysis'!AF27)</f>
        <v>432.86071782129795</v>
      </c>
      <c r="AR27" s="692">
        <f ca="1">IF(OR(AN27="",AF27=""),"",AN27*SFAssumptions!$C$8/AF27)</f>
        <v>4363.2360356386844</v>
      </c>
      <c r="AS27" s="190" t="str">
        <f>IF(OR(AG27="",AH27=""),"No",IF(AND(G27="Horizontal",AH27&gt;='Eff. Standards &amp; Certifications'!$B$21,AG27&lt;='Eff. Standards &amp; Certifications'!$C$21),"Consider",IF(AND(G27="Vertical",AH27&gt;='Eff. Standards &amp; Certifications'!$B$20,AG27&lt;='Eff. Standards &amp; Certifications'!$C$20),"Consider","No")))</f>
        <v>No</v>
      </c>
      <c r="AT27" s="190" t="str">
        <f t="shared" si="11"/>
        <v>Residential</v>
      </c>
      <c r="AU27" s="190"/>
      <c r="AV27" s="190" t="str">
        <f t="shared" si="12"/>
        <v>NO</v>
      </c>
      <c r="AW27" s="190" t="str">
        <f t="shared" si="12"/>
        <v>NO</v>
      </c>
      <c r="AX27" s="190" t="str">
        <f t="shared" si="30"/>
        <v>NO</v>
      </c>
      <c r="AY27" s="190" t="str">
        <f t="shared" si="13"/>
        <v>NO</v>
      </c>
      <c r="AZ27" s="190" t="str">
        <f t="shared" si="13"/>
        <v>NO</v>
      </c>
      <c r="BA27" s="190" t="str">
        <f t="shared" si="31"/>
        <v>NO</v>
      </c>
      <c r="BB27" s="190" t="str">
        <f t="shared" si="14"/>
        <v>NO</v>
      </c>
      <c r="BC27" s="190" t="str">
        <f t="shared" si="15"/>
        <v>NO</v>
      </c>
      <c r="BD27" s="190" t="str">
        <f t="shared" si="32"/>
        <v>NO</v>
      </c>
      <c r="BE27" s="190" t="str">
        <f t="shared" si="16"/>
        <v>NO</v>
      </c>
      <c r="BF27" s="190" t="str">
        <f t="shared" si="17"/>
        <v>NO</v>
      </c>
      <c r="BG27" s="190" t="str">
        <f t="shared" si="18"/>
        <v>NO</v>
      </c>
      <c r="BH27" s="88"/>
      <c r="BI27" s="9"/>
      <c r="BJ27" s="694" t="str">
        <f t="shared" si="19"/>
        <v/>
      </c>
      <c r="BK27" s="694" t="str">
        <f t="shared" si="19"/>
        <v/>
      </c>
      <c r="BL27" s="694" t="str">
        <f t="shared" si="20"/>
        <v/>
      </c>
      <c r="BM27" s="694" t="str">
        <f t="shared" si="20"/>
        <v/>
      </c>
      <c r="BN27" s="88"/>
      <c r="BO27" s="195"/>
      <c r="BP27" s="195"/>
      <c r="BQ27" s="195"/>
      <c r="BR27" s="195"/>
      <c r="BS27" s="195"/>
      <c r="BT27" s="195"/>
      <c r="BU27" s="195"/>
      <c r="BV27" s="195"/>
      <c r="BW27" s="195"/>
      <c r="BX27" s="195"/>
    </row>
    <row r="28" spans="1:76" s="124" customFormat="1" ht="15">
      <c r="A28" s="187">
        <v>6167</v>
      </c>
      <c r="B28" s="187" t="s">
        <v>382</v>
      </c>
      <c r="C28" s="187" t="s">
        <v>396</v>
      </c>
      <c r="D28" s="187" t="s">
        <v>1297</v>
      </c>
      <c r="E28" s="187" t="s">
        <v>392</v>
      </c>
      <c r="F28" s="187" t="s">
        <v>386</v>
      </c>
      <c r="G28" s="187" t="s">
        <v>393</v>
      </c>
      <c r="H28" s="187" t="b">
        <v>0</v>
      </c>
      <c r="I28" s="187" t="s">
        <v>388</v>
      </c>
      <c r="J28" s="187" t="s">
        <v>389</v>
      </c>
      <c r="K28" s="187" t="b">
        <v>1</v>
      </c>
      <c r="L28" s="187">
        <v>3.3</v>
      </c>
      <c r="M28" s="187">
        <v>1.02</v>
      </c>
      <c r="N28" s="187">
        <v>31.39</v>
      </c>
      <c r="O28" s="187">
        <v>9.4</v>
      </c>
      <c r="P28" s="187">
        <v>3.27</v>
      </c>
      <c r="Q28" s="187"/>
      <c r="R28" s="187"/>
      <c r="S28" s="187"/>
      <c r="T28" s="187"/>
      <c r="U28" s="187">
        <v>54.1</v>
      </c>
      <c r="V28" s="187">
        <v>1.33</v>
      </c>
      <c r="W28" s="188">
        <v>41683</v>
      </c>
      <c r="X28" s="691">
        <f t="shared" si="9"/>
        <v>0.90039999999999998</v>
      </c>
      <c r="Y28" s="691">
        <f t="shared" si="10"/>
        <v>9.82376</v>
      </c>
      <c r="Z28" s="189"/>
      <c r="AA28" s="190">
        <f t="shared" si="21"/>
        <v>2014</v>
      </c>
      <c r="AB28" s="191">
        <f t="shared" si="22"/>
        <v>3.665037760995113</v>
      </c>
      <c r="AC28" s="192">
        <f>IF(AB28="","",AB28*SFAssumptions!$C$3)</f>
        <v>940.86393824966672</v>
      </c>
      <c r="AD28" s="193">
        <f t="shared" si="23"/>
        <v>32.418407999999999</v>
      </c>
      <c r="AE28" s="194">
        <f>IF(AD28="","",AD28*SFAssumptions!$C$3)</f>
        <v>8322.2364984264004</v>
      </c>
      <c r="AF28" s="192">
        <f t="shared" si="6"/>
        <v>3.3</v>
      </c>
      <c r="AG28" s="192">
        <f t="shared" si="24"/>
        <v>9.82376</v>
      </c>
      <c r="AH28" s="192">
        <f t="shared" si="25"/>
        <v>0.90039999999999998</v>
      </c>
      <c r="AI28" s="692">
        <f ca="1">IF(AC28="","",AC28*SFAssumptions!$C$8/'SavingsData&amp;Analysis'!AF28)</f>
        <v>1076.8636249663568</v>
      </c>
      <c r="AJ28" s="692">
        <f ca="1">IF(OR(AE28="",AF28=""),"",AE28*SFAssumptions!$C$8/AF28)</f>
        <v>9525.1963638813086</v>
      </c>
      <c r="AK28" s="191">
        <f t="shared" si="26"/>
        <v>2.4812030075187965</v>
      </c>
      <c r="AL28" s="692">
        <f>IF(AK28="","",AK28*SFAssumptions!$C$3)</f>
        <v>636.95781203007505</v>
      </c>
      <c r="AM28" s="193">
        <f t="shared" si="27"/>
        <v>31.02</v>
      </c>
      <c r="AN28" s="194">
        <f>IF(AM28="","",AM28*SFAssumptions!$C$3)</f>
        <v>7963.2465659999998</v>
      </c>
      <c r="AO28" s="693">
        <f t="shared" si="28"/>
        <v>9.4</v>
      </c>
      <c r="AP28" s="693">
        <f t="shared" si="29"/>
        <v>1.33</v>
      </c>
      <c r="AQ28" s="692">
        <f ca="1">IF(AL28="","",AL28*SFAssumptions!$C$8/'SavingsData&amp;Analysis'!AF28)</f>
        <v>729.02857738323871</v>
      </c>
      <c r="AR28" s="692">
        <f ca="1">IF(OR(AN28="",AF28=""),"",AN28*SFAssumptions!$C$8/AF28)</f>
        <v>9114.3152744452527</v>
      </c>
      <c r="AS28" s="190" t="str">
        <f>IF(OR(AG28="",AH28=""),"No",IF(AND(G28="Horizontal",AH28&gt;='Eff. Standards &amp; Certifications'!$B$21,AG28&lt;='Eff. Standards &amp; Certifications'!$C$21),"Consider",IF(AND(G28="Vertical",AH28&gt;='Eff. Standards &amp; Certifications'!$B$20,AG28&lt;='Eff. Standards &amp; Certifications'!$C$20),"Consider","No")))</f>
        <v>No</v>
      </c>
      <c r="AT28" s="190" t="str">
        <f t="shared" si="11"/>
        <v>Residential</v>
      </c>
      <c r="AU28" s="190"/>
      <c r="AV28" s="190" t="str">
        <f t="shared" si="12"/>
        <v>NO</v>
      </c>
      <c r="AW28" s="190" t="str">
        <f t="shared" si="12"/>
        <v>NO</v>
      </c>
      <c r="AX28" s="190" t="str">
        <f t="shared" si="30"/>
        <v>NO</v>
      </c>
      <c r="AY28" s="190" t="str">
        <f t="shared" si="13"/>
        <v>NO</v>
      </c>
      <c r="AZ28" s="190" t="str">
        <f t="shared" si="13"/>
        <v>NO</v>
      </c>
      <c r="BA28" s="190" t="str">
        <f t="shared" si="31"/>
        <v>NO</v>
      </c>
      <c r="BB28" s="190" t="str">
        <f t="shared" si="14"/>
        <v>NO</v>
      </c>
      <c r="BC28" s="190" t="str">
        <f t="shared" si="15"/>
        <v>NO</v>
      </c>
      <c r="BD28" s="190" t="str">
        <f t="shared" si="32"/>
        <v>NO</v>
      </c>
      <c r="BE28" s="190" t="str">
        <f t="shared" si="16"/>
        <v>NO</v>
      </c>
      <c r="BF28" s="190" t="str">
        <f t="shared" si="17"/>
        <v>NO</v>
      </c>
      <c r="BG28" s="190" t="str">
        <f t="shared" si="18"/>
        <v>NO</v>
      </c>
      <c r="BH28" s="88"/>
      <c r="BI28" s="9"/>
      <c r="BJ28" s="694" t="str">
        <f t="shared" si="19"/>
        <v/>
      </c>
      <c r="BK28" s="694" t="str">
        <f t="shared" si="19"/>
        <v/>
      </c>
      <c r="BL28" s="694" t="str">
        <f t="shared" si="20"/>
        <v/>
      </c>
      <c r="BM28" s="694" t="str">
        <f t="shared" si="20"/>
        <v/>
      </c>
      <c r="BN28" s="88"/>
      <c r="BO28" s="195"/>
      <c r="BP28" s="195"/>
      <c r="BQ28" s="195"/>
      <c r="BR28" s="195"/>
      <c r="BS28" s="195"/>
      <c r="BT28" s="195"/>
      <c r="BU28" s="195"/>
      <c r="BV28" s="195"/>
      <c r="BW28" s="195"/>
      <c r="BX28" s="195"/>
    </row>
    <row r="29" spans="1:76" s="124" customFormat="1" ht="15">
      <c r="A29" s="187">
        <v>947</v>
      </c>
      <c r="B29" s="187" t="s">
        <v>382</v>
      </c>
      <c r="C29" s="187" t="s">
        <v>396</v>
      </c>
      <c r="D29" s="187" t="s">
        <v>398</v>
      </c>
      <c r="E29" s="187" t="s">
        <v>392</v>
      </c>
      <c r="F29" s="187" t="s">
        <v>386</v>
      </c>
      <c r="G29" s="187" t="s">
        <v>393</v>
      </c>
      <c r="H29" s="187" t="b">
        <v>0</v>
      </c>
      <c r="I29" s="187" t="s">
        <v>388</v>
      </c>
      <c r="J29" s="187" t="s">
        <v>389</v>
      </c>
      <c r="K29" s="187" t="b">
        <v>1</v>
      </c>
      <c r="L29" s="187">
        <v>3.3</v>
      </c>
      <c r="M29" s="187">
        <v>0.74</v>
      </c>
      <c r="N29" s="187"/>
      <c r="O29" s="187"/>
      <c r="P29" s="187"/>
      <c r="Q29" s="187"/>
      <c r="R29" s="187"/>
      <c r="S29" s="187"/>
      <c r="T29" s="187"/>
      <c r="U29" s="187"/>
      <c r="V29" s="187">
        <v>1.55</v>
      </c>
      <c r="W29" s="188">
        <v>38184</v>
      </c>
      <c r="X29" s="691">
        <f t="shared" si="9"/>
        <v>1.1181999999999999</v>
      </c>
      <c r="Y29" s="691" t="str">
        <f t="shared" si="10"/>
        <v/>
      </c>
      <c r="Z29" s="189"/>
      <c r="AA29" s="190">
        <f t="shared" si="21"/>
        <v>2004</v>
      </c>
      <c r="AB29" s="191">
        <f t="shared" si="22"/>
        <v>2.9511715256662496</v>
      </c>
      <c r="AC29" s="192">
        <f>IF(AB29="","",AB29*SFAssumptions!$C$3)</f>
        <v>757.60498121981766</v>
      </c>
      <c r="AD29" s="193" t="str">
        <f t="shared" si="23"/>
        <v/>
      </c>
      <c r="AE29" s="194" t="str">
        <f>IF(AD29="","",AD29*SFAssumptions!$C$3)</f>
        <v/>
      </c>
      <c r="AF29" s="192">
        <f t="shared" si="6"/>
        <v>3.3</v>
      </c>
      <c r="AG29" s="192" t="str">
        <f t="shared" si="24"/>
        <v/>
      </c>
      <c r="AH29" s="192">
        <f t="shared" si="25"/>
        <v>1.1181999999999999</v>
      </c>
      <c r="AI29" s="692">
        <f ca="1">IF(AC29="","",AC29*SFAssumptions!$C$8/'SavingsData&amp;Analysis'!AF29)</f>
        <v>867.11501334261129</v>
      </c>
      <c r="AJ29" s="692" t="str">
        <f>IF(OR(AE29="",AF29=""),"",AE29*SFAssumptions!$C$8/AF29)</f>
        <v/>
      </c>
      <c r="AK29" s="191">
        <f t="shared" si="26"/>
        <v>2.129032258064516</v>
      </c>
      <c r="AL29" s="692">
        <f>IF(AK29="","",AK29*SFAssumptions!$C$3)</f>
        <v>546.55089677419357</v>
      </c>
      <c r="AM29" s="193" t="str">
        <f t="shared" si="27"/>
        <v/>
      </c>
      <c r="AN29" s="194" t="str">
        <f>IF(AM29="","",AM29*SFAssumptions!$C$3)</f>
        <v/>
      </c>
      <c r="AO29" s="693" t="str">
        <f t="shared" si="28"/>
        <v/>
      </c>
      <c r="AP29" s="693">
        <f t="shared" si="29"/>
        <v>1.55</v>
      </c>
      <c r="AQ29" s="692">
        <f ca="1">IF(AL29="","",AL29*SFAssumptions!$C$8/'SavingsData&amp;Analysis'!AF29)</f>
        <v>625.55355349658566</v>
      </c>
      <c r="AR29" s="692" t="str">
        <f>IF(OR(AN29="",AF29=""),"",AN29*SFAssumptions!$C$8/AF29)</f>
        <v/>
      </c>
      <c r="AS29" s="190" t="str">
        <f>IF(OR(AG29="",AH29=""),"No",IF(AND(G29="Horizontal",AH29&gt;='Eff. Standards &amp; Certifications'!$B$21,AG29&lt;='Eff. Standards &amp; Certifications'!$C$21),"Consider",IF(AND(G29="Vertical",AH29&gt;='Eff. Standards &amp; Certifications'!$B$20,AG29&lt;='Eff. Standards &amp; Certifications'!$C$20),"Consider","No")))</f>
        <v>No</v>
      </c>
      <c r="AT29" s="190" t="str">
        <f t="shared" si="11"/>
        <v>Residential</v>
      </c>
      <c r="AU29" s="190"/>
      <c r="AV29" s="190" t="str">
        <f t="shared" si="12"/>
        <v>NO</v>
      </c>
      <c r="AW29" s="190" t="str">
        <f t="shared" si="12"/>
        <v>NO</v>
      </c>
      <c r="AX29" s="190" t="str">
        <f t="shared" si="30"/>
        <v>NO</v>
      </c>
      <c r="AY29" s="190" t="str">
        <f t="shared" si="13"/>
        <v>NO</v>
      </c>
      <c r="AZ29" s="190" t="str">
        <f t="shared" si="13"/>
        <v>NO</v>
      </c>
      <c r="BA29" s="190" t="str">
        <f t="shared" si="31"/>
        <v>NO</v>
      </c>
      <c r="BB29" s="190" t="str">
        <f t="shared" si="14"/>
        <v>NO</v>
      </c>
      <c r="BC29" s="190" t="str">
        <f t="shared" si="15"/>
        <v>NO</v>
      </c>
      <c r="BD29" s="190" t="str">
        <f t="shared" si="32"/>
        <v>NO</v>
      </c>
      <c r="BE29" s="190" t="str">
        <f t="shared" si="16"/>
        <v>NO</v>
      </c>
      <c r="BF29" s="190" t="str">
        <f t="shared" si="17"/>
        <v>NO</v>
      </c>
      <c r="BG29" s="190" t="str">
        <f t="shared" si="18"/>
        <v>NO</v>
      </c>
      <c r="BH29" s="88"/>
      <c r="BI29" s="9"/>
      <c r="BJ29" s="694" t="str">
        <f t="shared" si="19"/>
        <v/>
      </c>
      <c r="BK29" s="694" t="str">
        <f t="shared" si="19"/>
        <v/>
      </c>
      <c r="BL29" s="694" t="str">
        <f t="shared" si="20"/>
        <v/>
      </c>
      <c r="BM29" s="694" t="str">
        <f t="shared" si="20"/>
        <v/>
      </c>
      <c r="BN29" s="88"/>
      <c r="BO29" s="195"/>
      <c r="BP29" s="195"/>
      <c r="BQ29" s="195"/>
      <c r="BR29" s="195"/>
      <c r="BS29" s="195"/>
      <c r="BT29" s="195"/>
      <c r="BU29" s="195"/>
      <c r="BV29" s="195"/>
      <c r="BW29" s="195"/>
      <c r="BX29" s="195"/>
    </row>
    <row r="30" spans="1:76" s="124" customFormat="1" ht="15">
      <c r="A30" s="187">
        <v>97</v>
      </c>
      <c r="B30" s="187" t="s">
        <v>382</v>
      </c>
      <c r="C30" s="187" t="s">
        <v>396</v>
      </c>
      <c r="D30" s="187" t="s">
        <v>399</v>
      </c>
      <c r="E30" s="187" t="s">
        <v>392</v>
      </c>
      <c r="F30" s="187" t="s">
        <v>386</v>
      </c>
      <c r="G30" s="187" t="s">
        <v>393</v>
      </c>
      <c r="H30" s="187" t="b">
        <v>0</v>
      </c>
      <c r="I30" s="187" t="s">
        <v>388</v>
      </c>
      <c r="J30" s="187" t="s">
        <v>389</v>
      </c>
      <c r="K30" s="187" t="b">
        <v>1</v>
      </c>
      <c r="L30" s="187">
        <v>3.3</v>
      </c>
      <c r="M30" s="187">
        <v>0.86</v>
      </c>
      <c r="N30" s="187">
        <v>30.6</v>
      </c>
      <c r="O30" s="187">
        <v>9.4</v>
      </c>
      <c r="P30" s="187">
        <v>3.83</v>
      </c>
      <c r="Q30" s="187"/>
      <c r="R30" s="187"/>
      <c r="S30" s="187"/>
      <c r="T30" s="187"/>
      <c r="U30" s="187">
        <v>50</v>
      </c>
      <c r="V30" s="187">
        <v>1.47</v>
      </c>
      <c r="W30" s="188">
        <v>38555</v>
      </c>
      <c r="X30" s="691">
        <f t="shared" si="9"/>
        <v>1.0390000000000001</v>
      </c>
      <c r="Y30" s="691">
        <f t="shared" si="10"/>
        <v>9.82376</v>
      </c>
      <c r="Z30" s="189"/>
      <c r="AA30" s="190">
        <f t="shared" si="21"/>
        <v>2005</v>
      </c>
      <c r="AB30" s="191">
        <f t="shared" si="22"/>
        <v>3.1761308950914335</v>
      </c>
      <c r="AC30" s="192">
        <f>IF(AB30="","",AB30*SFAssumptions!$C$3)</f>
        <v>815.35504331087577</v>
      </c>
      <c r="AD30" s="193">
        <f t="shared" si="23"/>
        <v>32.418407999999999</v>
      </c>
      <c r="AE30" s="194">
        <f>IF(AD30="","",AD30*SFAssumptions!$C$3)</f>
        <v>8322.2364984264004</v>
      </c>
      <c r="AF30" s="192">
        <f t="shared" si="6"/>
        <v>3.3</v>
      </c>
      <c r="AG30" s="192">
        <f t="shared" si="24"/>
        <v>9.82376</v>
      </c>
      <c r="AH30" s="192">
        <f t="shared" si="25"/>
        <v>1.0390000000000001</v>
      </c>
      <c r="AI30" s="692">
        <f ca="1">IF(AC30="","",AC30*SFAssumptions!$C$8/'SavingsData&amp;Analysis'!AF30)</f>
        <v>933.21271214601325</v>
      </c>
      <c r="AJ30" s="692">
        <f ca="1">IF(OR(AE30="",AF30=""),"",AE30*SFAssumptions!$C$8/AF30)</f>
        <v>9525.1963638813086</v>
      </c>
      <c r="AK30" s="191">
        <f t="shared" si="26"/>
        <v>2.2448979591836733</v>
      </c>
      <c r="AL30" s="692">
        <f>IF(AK30="","",AK30*SFAssumptions!$C$3)</f>
        <v>576.29516326530609</v>
      </c>
      <c r="AM30" s="193">
        <f t="shared" si="27"/>
        <v>31.02</v>
      </c>
      <c r="AN30" s="194">
        <f>IF(AM30="","",AM30*SFAssumptions!$C$3)</f>
        <v>7963.2465659999998</v>
      </c>
      <c r="AO30" s="693">
        <f t="shared" si="28"/>
        <v>9.4</v>
      </c>
      <c r="AP30" s="693">
        <f t="shared" si="29"/>
        <v>1.47</v>
      </c>
      <c r="AQ30" s="692">
        <f ca="1">IF(AL30="","",AL30*SFAssumptions!$C$8/'SavingsData&amp;Analysis'!AF30)</f>
        <v>659.59728429912093</v>
      </c>
      <c r="AR30" s="692">
        <f ca="1">IF(OR(AN30="",AF30=""),"",AN30*SFAssumptions!$C$8/AF30)</f>
        <v>9114.3152744452527</v>
      </c>
      <c r="AS30" s="190" t="str">
        <f>IF(OR(AG30="",AH30=""),"No",IF(AND(G30="Horizontal",AH30&gt;='Eff. Standards &amp; Certifications'!$B$21,AG30&lt;='Eff. Standards &amp; Certifications'!$C$21),"Consider",IF(AND(G30="Vertical",AH30&gt;='Eff. Standards &amp; Certifications'!$B$20,AG30&lt;='Eff. Standards &amp; Certifications'!$C$20),"Consider","No")))</f>
        <v>No</v>
      </c>
      <c r="AT30" s="190" t="str">
        <f t="shared" si="11"/>
        <v>Residential</v>
      </c>
      <c r="AU30" s="190"/>
      <c r="AV30" s="190" t="str">
        <f t="shared" si="12"/>
        <v>NO</v>
      </c>
      <c r="AW30" s="190" t="str">
        <f t="shared" si="12"/>
        <v>NO</v>
      </c>
      <c r="AX30" s="190" t="str">
        <f t="shared" si="30"/>
        <v>NO</v>
      </c>
      <c r="AY30" s="190" t="str">
        <f t="shared" si="13"/>
        <v>NO</v>
      </c>
      <c r="AZ30" s="190" t="str">
        <f t="shared" si="13"/>
        <v>NO</v>
      </c>
      <c r="BA30" s="190" t="str">
        <f t="shared" si="31"/>
        <v>NO</v>
      </c>
      <c r="BB30" s="190" t="str">
        <f t="shared" si="14"/>
        <v>NO</v>
      </c>
      <c r="BC30" s="190" t="str">
        <f t="shared" si="15"/>
        <v>NO</v>
      </c>
      <c r="BD30" s="190" t="str">
        <f t="shared" si="32"/>
        <v>NO</v>
      </c>
      <c r="BE30" s="190" t="str">
        <f t="shared" si="16"/>
        <v>NO</v>
      </c>
      <c r="BF30" s="190" t="str">
        <f t="shared" si="17"/>
        <v>NO</v>
      </c>
      <c r="BG30" s="190" t="str">
        <f t="shared" si="18"/>
        <v>NO</v>
      </c>
      <c r="BH30" s="88"/>
      <c r="BI30" s="9"/>
      <c r="BJ30" s="694" t="str">
        <f t="shared" si="19"/>
        <v/>
      </c>
      <c r="BK30" s="694" t="str">
        <f t="shared" si="19"/>
        <v/>
      </c>
      <c r="BL30" s="694" t="str">
        <f t="shared" si="20"/>
        <v/>
      </c>
      <c r="BM30" s="694" t="str">
        <f t="shared" si="20"/>
        <v/>
      </c>
      <c r="BN30" s="88"/>
      <c r="BO30" s="195"/>
      <c r="BP30" s="195"/>
      <c r="BQ30" s="195"/>
      <c r="BR30" s="195"/>
      <c r="BS30" s="195"/>
      <c r="BT30" s="195"/>
      <c r="BU30" s="195"/>
      <c r="BV30" s="195"/>
      <c r="BW30" s="195"/>
      <c r="BX30" s="195"/>
    </row>
    <row r="31" spans="1:76" s="124" customFormat="1" ht="15">
      <c r="A31" s="187">
        <v>765</v>
      </c>
      <c r="B31" s="187" t="s">
        <v>382</v>
      </c>
      <c r="C31" s="187" t="s">
        <v>396</v>
      </c>
      <c r="D31" s="187" t="s">
        <v>400</v>
      </c>
      <c r="E31" s="187" t="s">
        <v>385</v>
      </c>
      <c r="F31" s="187" t="s">
        <v>386</v>
      </c>
      <c r="G31" s="187" t="s">
        <v>387</v>
      </c>
      <c r="H31" s="187" t="b">
        <v>0</v>
      </c>
      <c r="I31" s="187" t="s">
        <v>388</v>
      </c>
      <c r="J31" s="187" t="s">
        <v>389</v>
      </c>
      <c r="K31" s="187" t="b">
        <v>1</v>
      </c>
      <c r="L31" s="187">
        <v>2.8</v>
      </c>
      <c r="M31" s="187">
        <v>0.56999999999999995</v>
      </c>
      <c r="N31" s="187"/>
      <c r="O31" s="187"/>
      <c r="P31" s="187">
        <v>3.8</v>
      </c>
      <c r="Q31" s="187"/>
      <c r="R31" s="187"/>
      <c r="S31" s="187"/>
      <c r="T31" s="187"/>
      <c r="U31" s="187"/>
      <c r="V31" s="187">
        <v>2.0299999999999998</v>
      </c>
      <c r="W31" s="188">
        <v>38160</v>
      </c>
      <c r="X31" s="691">
        <f t="shared" si="9"/>
        <v>1.6831349999999998</v>
      </c>
      <c r="Y31" s="691" t="str">
        <f t="shared" si="10"/>
        <v/>
      </c>
      <c r="Z31" s="189"/>
      <c r="AA31" s="190">
        <f t="shared" si="21"/>
        <v>2004</v>
      </c>
      <c r="AB31" s="191">
        <f t="shared" si="22"/>
        <v>1.6635623405133872</v>
      </c>
      <c r="AC31" s="192">
        <f>IF(AB31="","",AB31*SFAssumptions!$C$3)</f>
        <v>427.05857818891536</v>
      </c>
      <c r="AD31" s="193" t="str">
        <f t="shared" si="23"/>
        <v/>
      </c>
      <c r="AE31" s="194" t="str">
        <f>IF(AD31="","",AD31*SFAssumptions!$C$3)</f>
        <v/>
      </c>
      <c r="AF31" s="192">
        <f t="shared" si="6"/>
        <v>2.8</v>
      </c>
      <c r="AG31" s="192" t="str">
        <f t="shared" si="24"/>
        <v/>
      </c>
      <c r="AH31" s="192">
        <f t="shared" si="25"/>
        <v>1.6831349999999998</v>
      </c>
      <c r="AI31" s="692">
        <f ca="1">IF(AC31="","",AC31*SFAssumptions!$C$8/'SavingsData&amp;Analysis'!AF31)</f>
        <v>576.0726310840829</v>
      </c>
      <c r="AJ31" s="692" t="str">
        <f>IF(OR(AE31="",AF31=""),"",AE31*SFAssumptions!$C$8/AF31)</f>
        <v/>
      </c>
      <c r="AK31" s="191">
        <f t="shared" si="26"/>
        <v>1.3793103448275863</v>
      </c>
      <c r="AL31" s="692">
        <f>IF(AK31="","",AK31*SFAssumptions!$C$3)</f>
        <v>354.08731034482764</v>
      </c>
      <c r="AM31" s="193" t="str">
        <f t="shared" si="27"/>
        <v/>
      </c>
      <c r="AN31" s="194" t="str">
        <f>IF(AM31="","",AM31*SFAssumptions!$C$3)</f>
        <v/>
      </c>
      <c r="AO31" s="693" t="str">
        <f t="shared" si="28"/>
        <v/>
      </c>
      <c r="AP31" s="693">
        <f t="shared" si="29"/>
        <v>2.0299999999999998</v>
      </c>
      <c r="AQ31" s="692">
        <f ca="1">IF(AL31="","",AL31*SFAssumptions!$C$8/'SavingsData&amp;Analysis'!AF31)</f>
        <v>477.63941276832901</v>
      </c>
      <c r="AR31" s="692" t="str">
        <f>IF(OR(AN31="",AF31=""),"",AN31*SFAssumptions!$C$8/AF31)</f>
        <v/>
      </c>
      <c r="AS31" s="190" t="str">
        <f>IF(OR(AG31="",AH31=""),"No",IF(AND(G31="Horizontal",AH31&gt;='Eff. Standards &amp; Certifications'!$B$21,AG31&lt;='Eff. Standards &amp; Certifications'!$C$21),"Consider",IF(AND(G31="Vertical",AH31&gt;='Eff. Standards &amp; Certifications'!$B$20,AG31&lt;='Eff. Standards &amp; Certifications'!$C$20),"Consider","No")))</f>
        <v>No</v>
      </c>
      <c r="AT31" s="190" t="str">
        <f t="shared" si="11"/>
        <v>Residential</v>
      </c>
      <c r="AU31" s="190"/>
      <c r="AV31" s="190" t="str">
        <f t="shared" si="12"/>
        <v>NO</v>
      </c>
      <c r="AW31" s="190" t="str">
        <f t="shared" si="12"/>
        <v>NO</v>
      </c>
      <c r="AX31" s="190" t="str">
        <f t="shared" si="30"/>
        <v>NO</v>
      </c>
      <c r="AY31" s="190" t="str">
        <f t="shared" si="13"/>
        <v>NO</v>
      </c>
      <c r="AZ31" s="190" t="str">
        <f t="shared" si="13"/>
        <v>NO</v>
      </c>
      <c r="BA31" s="190" t="str">
        <f t="shared" si="31"/>
        <v>NO</v>
      </c>
      <c r="BB31" s="190" t="str">
        <f t="shared" si="14"/>
        <v>NO</v>
      </c>
      <c r="BC31" s="190" t="str">
        <f t="shared" si="15"/>
        <v>NO</v>
      </c>
      <c r="BD31" s="190" t="str">
        <f t="shared" si="32"/>
        <v>NO</v>
      </c>
      <c r="BE31" s="190" t="str">
        <f t="shared" si="16"/>
        <v>NO</v>
      </c>
      <c r="BF31" s="190" t="str">
        <f t="shared" si="17"/>
        <v>NO</v>
      </c>
      <c r="BG31" s="190" t="str">
        <f t="shared" si="18"/>
        <v>NO</v>
      </c>
      <c r="BH31" s="88"/>
      <c r="BI31" s="9"/>
      <c r="BJ31" s="694" t="str">
        <f t="shared" si="19"/>
        <v/>
      </c>
      <c r="BK31" s="694" t="str">
        <f t="shared" si="19"/>
        <v/>
      </c>
      <c r="BL31" s="694" t="str">
        <f t="shared" si="20"/>
        <v/>
      </c>
      <c r="BM31" s="694" t="str">
        <f t="shared" si="20"/>
        <v/>
      </c>
      <c r="BN31" s="88"/>
      <c r="BO31" s="195"/>
      <c r="BP31" s="195"/>
      <c r="BQ31" s="195"/>
      <c r="BR31" s="195"/>
      <c r="BS31" s="195"/>
      <c r="BT31" s="195"/>
      <c r="BU31" s="195"/>
      <c r="BV31" s="195"/>
      <c r="BW31" s="195"/>
      <c r="BX31" s="195"/>
    </row>
    <row r="32" spans="1:76" s="124" customFormat="1" ht="15">
      <c r="A32" s="187">
        <v>5563</v>
      </c>
      <c r="B32" s="187" t="s">
        <v>382</v>
      </c>
      <c r="C32" s="187" t="s">
        <v>396</v>
      </c>
      <c r="D32" s="187" t="s">
        <v>401</v>
      </c>
      <c r="E32" s="187" t="s">
        <v>392</v>
      </c>
      <c r="F32" s="187" t="s">
        <v>386</v>
      </c>
      <c r="G32" s="187" t="s">
        <v>393</v>
      </c>
      <c r="H32" s="187" t="b">
        <v>0</v>
      </c>
      <c r="I32" s="187" t="s">
        <v>388</v>
      </c>
      <c r="J32" s="187" t="s">
        <v>389</v>
      </c>
      <c r="K32" s="187" t="b">
        <v>1</v>
      </c>
      <c r="L32" s="187">
        <v>3.3</v>
      </c>
      <c r="M32" s="187">
        <v>1.1000000000000001</v>
      </c>
      <c r="N32" s="187">
        <v>31.39</v>
      </c>
      <c r="O32" s="187">
        <v>9.4</v>
      </c>
      <c r="P32" s="187">
        <v>3.02</v>
      </c>
      <c r="Q32" s="187"/>
      <c r="R32" s="187"/>
      <c r="S32" s="187"/>
      <c r="T32" s="187"/>
      <c r="U32" s="187">
        <v>54.1</v>
      </c>
      <c r="V32" s="187">
        <v>1.29</v>
      </c>
      <c r="W32" s="188">
        <v>41215</v>
      </c>
      <c r="X32" s="691">
        <f t="shared" si="9"/>
        <v>0.86080000000000012</v>
      </c>
      <c r="Y32" s="691">
        <f t="shared" si="10"/>
        <v>9.82376</v>
      </c>
      <c r="Z32" s="189"/>
      <c r="AA32" s="190">
        <f t="shared" si="21"/>
        <v>2012</v>
      </c>
      <c r="AB32" s="191">
        <f t="shared" si="22"/>
        <v>3.833643122676579</v>
      </c>
      <c r="AC32" s="192">
        <f>IF(AB32="","",AB32*SFAssumptions!$C$3)</f>
        <v>984.14717704460941</v>
      </c>
      <c r="AD32" s="193">
        <f t="shared" si="23"/>
        <v>32.418407999999999</v>
      </c>
      <c r="AE32" s="194">
        <f>IF(AD32="","",AD32*SFAssumptions!$C$3)</f>
        <v>8322.2364984264004</v>
      </c>
      <c r="AF32" s="192">
        <f t="shared" si="6"/>
        <v>3.3</v>
      </c>
      <c r="AG32" s="192">
        <f t="shared" si="24"/>
        <v>9.82376</v>
      </c>
      <c r="AH32" s="192">
        <f t="shared" si="25"/>
        <v>0.86080000000000012</v>
      </c>
      <c r="AI32" s="692">
        <f ca="1">IF(AC32="","",AC32*SFAssumptions!$C$8/'SavingsData&amp;Analysis'!AF32)</f>
        <v>1126.4033549253106</v>
      </c>
      <c r="AJ32" s="692">
        <f ca="1">IF(OR(AE32="",AF32=""),"",AE32*SFAssumptions!$C$8/AF32)</f>
        <v>9525.1963638813086</v>
      </c>
      <c r="AK32" s="191">
        <f t="shared" si="26"/>
        <v>2.5581395348837206</v>
      </c>
      <c r="AL32" s="692">
        <f>IF(AK32="","",AK32*SFAssumptions!$C$3)</f>
        <v>656.70844186046509</v>
      </c>
      <c r="AM32" s="193">
        <f t="shared" si="27"/>
        <v>31.02</v>
      </c>
      <c r="AN32" s="194">
        <f>IF(AM32="","",AM32*SFAssumptions!$C$3)</f>
        <v>7963.2465659999998</v>
      </c>
      <c r="AO32" s="693">
        <f t="shared" si="28"/>
        <v>9.4</v>
      </c>
      <c r="AP32" s="693">
        <f t="shared" si="29"/>
        <v>1.29</v>
      </c>
      <c r="AQ32" s="692">
        <f ca="1">IF(AL32="","",AL32*SFAssumptions!$C$8/'SavingsData&amp;Analysis'!AF32)</f>
        <v>751.63411466644015</v>
      </c>
      <c r="AR32" s="692">
        <f ca="1">IF(OR(AN32="",AF32=""),"",AN32*SFAssumptions!$C$8/AF32)</f>
        <v>9114.3152744452527</v>
      </c>
      <c r="AS32" s="190" t="str">
        <f>IF(OR(AG32="",AH32=""),"No",IF(AND(G32="Horizontal",AH32&gt;='Eff. Standards &amp; Certifications'!$B$21,AG32&lt;='Eff. Standards &amp; Certifications'!$C$21),"Consider",IF(AND(G32="Vertical",AH32&gt;='Eff. Standards &amp; Certifications'!$B$20,AG32&lt;='Eff. Standards &amp; Certifications'!$C$20),"Consider","No")))</f>
        <v>No</v>
      </c>
      <c r="AT32" s="190" t="str">
        <f t="shared" si="11"/>
        <v>Residential</v>
      </c>
      <c r="AU32" s="190"/>
      <c r="AV32" s="190" t="str">
        <f t="shared" si="12"/>
        <v>NO</v>
      </c>
      <c r="AW32" s="190" t="str">
        <f t="shared" si="12"/>
        <v>NO</v>
      </c>
      <c r="AX32" s="190" t="str">
        <f t="shared" si="30"/>
        <v>NO</v>
      </c>
      <c r="AY32" s="190" t="str">
        <f t="shared" si="13"/>
        <v>NO</v>
      </c>
      <c r="AZ32" s="190" t="str">
        <f t="shared" si="13"/>
        <v>NO</v>
      </c>
      <c r="BA32" s="190" t="str">
        <f t="shared" si="31"/>
        <v>NO</v>
      </c>
      <c r="BB32" s="190" t="str">
        <f t="shared" si="14"/>
        <v>NO</v>
      </c>
      <c r="BC32" s="190" t="str">
        <f t="shared" si="15"/>
        <v>NO</v>
      </c>
      <c r="BD32" s="190" t="str">
        <f t="shared" si="32"/>
        <v>NO</v>
      </c>
      <c r="BE32" s="190" t="str">
        <f t="shared" si="16"/>
        <v>NO</v>
      </c>
      <c r="BF32" s="190" t="str">
        <f t="shared" si="17"/>
        <v>NO</v>
      </c>
      <c r="BG32" s="190" t="str">
        <f t="shared" si="18"/>
        <v>NO</v>
      </c>
      <c r="BH32" s="88"/>
      <c r="BI32" s="9"/>
      <c r="BJ32" s="694" t="str">
        <f t="shared" si="19"/>
        <v/>
      </c>
      <c r="BK32" s="694" t="str">
        <f t="shared" si="19"/>
        <v/>
      </c>
      <c r="BL32" s="694" t="str">
        <f t="shared" si="20"/>
        <v/>
      </c>
      <c r="BM32" s="694" t="str">
        <f t="shared" si="20"/>
        <v/>
      </c>
      <c r="BN32" s="88"/>
      <c r="BO32" s="195"/>
      <c r="BP32" s="195"/>
      <c r="BQ32" s="195"/>
      <c r="BR32" s="195"/>
      <c r="BS32" s="195"/>
      <c r="BT32" s="195"/>
      <c r="BU32" s="195"/>
      <c r="BV32" s="195"/>
      <c r="BW32" s="195"/>
      <c r="BX32" s="195"/>
    </row>
    <row r="33" spans="1:76" s="124" customFormat="1" ht="15">
      <c r="A33" s="187">
        <v>6283</v>
      </c>
      <c r="B33" s="187" t="s">
        <v>382</v>
      </c>
      <c r="C33" s="187" t="s">
        <v>396</v>
      </c>
      <c r="D33" s="187" t="s">
        <v>1298</v>
      </c>
      <c r="E33" s="187" t="s">
        <v>392</v>
      </c>
      <c r="F33" s="187" t="s">
        <v>386</v>
      </c>
      <c r="G33" s="187" t="s">
        <v>393</v>
      </c>
      <c r="H33" s="187" t="b">
        <v>0</v>
      </c>
      <c r="I33" s="187" t="s">
        <v>388</v>
      </c>
      <c r="J33" s="187" t="s">
        <v>389</v>
      </c>
      <c r="K33" s="187" t="b">
        <v>1</v>
      </c>
      <c r="L33" s="187">
        <v>3.1</v>
      </c>
      <c r="M33" s="187">
        <v>0.33</v>
      </c>
      <c r="N33" s="187">
        <v>18.12</v>
      </c>
      <c r="O33" s="187">
        <v>6</v>
      </c>
      <c r="P33" s="187">
        <v>9.1999999999999993</v>
      </c>
      <c r="Q33" s="187"/>
      <c r="R33" s="187"/>
      <c r="S33" s="187"/>
      <c r="T33" s="187"/>
      <c r="U33" s="187">
        <v>44.3</v>
      </c>
      <c r="V33" s="187">
        <v>2</v>
      </c>
      <c r="W33" s="188">
        <v>41789</v>
      </c>
      <c r="X33" s="691">
        <f t="shared" si="9"/>
        <v>1.5636999999999999</v>
      </c>
      <c r="Y33" s="691">
        <f t="shared" si="10"/>
        <v>6.4615</v>
      </c>
      <c r="Z33" s="189"/>
      <c r="AA33" s="190">
        <f t="shared" si="21"/>
        <v>2014</v>
      </c>
      <c r="AB33" s="191">
        <f t="shared" si="22"/>
        <v>1.9824774573127839</v>
      </c>
      <c r="AC33" s="192">
        <f>IF(AB33="","",AB33*SFAssumptions!$C$3)</f>
        <v>508.92833024237387</v>
      </c>
      <c r="AD33" s="193">
        <f t="shared" si="23"/>
        <v>20.030650000000001</v>
      </c>
      <c r="AE33" s="194">
        <f>IF(AD33="","",AD33*SFAssumptions!$C$3)</f>
        <v>5142.1342626450005</v>
      </c>
      <c r="AF33" s="192">
        <f t="shared" si="6"/>
        <v>3.1</v>
      </c>
      <c r="AG33" s="192">
        <f t="shared" si="24"/>
        <v>6.4615</v>
      </c>
      <c r="AH33" s="192">
        <f t="shared" si="25"/>
        <v>1.5636999999999999</v>
      </c>
      <c r="AI33" s="692">
        <f ca="1">IF(AC33="","",AC33*SFAssumptions!$C$8/'SavingsData&amp;Analysis'!AF33)</f>
        <v>620.07290907444371</v>
      </c>
      <c r="AJ33" s="692">
        <f ca="1">IF(OR(AE33="",AF33=""),"",AE33*SFAssumptions!$C$8/AF33)</f>
        <v>6265.1221431731919</v>
      </c>
      <c r="AK33" s="191">
        <f t="shared" si="26"/>
        <v>1.55</v>
      </c>
      <c r="AL33" s="692">
        <f>IF(AK33="","",AK33*SFAssumptions!$C$3)</f>
        <v>397.90561500000001</v>
      </c>
      <c r="AM33" s="193">
        <f t="shared" si="27"/>
        <v>18.600000000000001</v>
      </c>
      <c r="AN33" s="194">
        <f>IF(AM33="","",AM33*SFAssumptions!$C$3)</f>
        <v>4774.8673800000006</v>
      </c>
      <c r="AO33" s="693">
        <f t="shared" si="28"/>
        <v>6</v>
      </c>
      <c r="AP33" s="693">
        <f t="shared" si="29"/>
        <v>2</v>
      </c>
      <c r="AQ33" s="692">
        <f ca="1">IF(AL33="","",AL33*SFAssumptions!$C$8/'SavingsData&amp;Analysis'!AF33)</f>
        <v>484.80400395985384</v>
      </c>
      <c r="AR33" s="692">
        <f ca="1">IF(OR(AN33="",AF33=""),"",AN33*SFAssumptions!$C$8/AF33)</f>
        <v>5817.6480475182461</v>
      </c>
      <c r="AS33" s="190" t="str">
        <f>IF(OR(AG33="",AH33=""),"No",IF(AND(G33="Horizontal",AH33&gt;='Eff. Standards &amp; Certifications'!$B$21,AG33&lt;='Eff. Standards &amp; Certifications'!$C$21),"Consider",IF(AND(G33="Vertical",AH33&gt;='Eff. Standards &amp; Certifications'!$B$20,AG33&lt;='Eff. Standards &amp; Certifications'!$C$20),"Consider","No")))</f>
        <v>Consider</v>
      </c>
      <c r="AT33" s="190" t="str">
        <f t="shared" si="11"/>
        <v>Residential</v>
      </c>
      <c r="AU33" s="190"/>
      <c r="AV33" s="190" t="str">
        <f t="shared" si="12"/>
        <v>YES</v>
      </c>
      <c r="AW33" s="190" t="str">
        <f t="shared" si="12"/>
        <v>NO</v>
      </c>
      <c r="AX33" s="190" t="str">
        <f t="shared" si="30"/>
        <v>YES</v>
      </c>
      <c r="AY33" s="190" t="str">
        <f t="shared" si="13"/>
        <v>YES</v>
      </c>
      <c r="AZ33" s="190" t="str">
        <f t="shared" si="13"/>
        <v>NO</v>
      </c>
      <c r="BA33" s="190" t="str">
        <f t="shared" si="31"/>
        <v>YES</v>
      </c>
      <c r="BB33" s="190" t="str">
        <f t="shared" si="14"/>
        <v>NO</v>
      </c>
      <c r="BC33" s="190" t="str">
        <f t="shared" si="15"/>
        <v>NO</v>
      </c>
      <c r="BD33" s="190" t="str">
        <f t="shared" si="32"/>
        <v>NO</v>
      </c>
      <c r="BE33" s="190" t="str">
        <f t="shared" si="16"/>
        <v>NO</v>
      </c>
      <c r="BF33" s="190" t="str">
        <f t="shared" si="17"/>
        <v>NO</v>
      </c>
      <c r="BG33" s="190" t="str">
        <f t="shared" si="18"/>
        <v>NO</v>
      </c>
      <c r="BH33" s="88"/>
      <c r="BI33" s="9"/>
      <c r="BJ33" s="694">
        <f t="shared" si="19"/>
        <v>1.5636999999999999</v>
      </c>
      <c r="BK33" s="694" t="str">
        <f t="shared" si="19"/>
        <v/>
      </c>
      <c r="BL33" s="694">
        <f t="shared" si="20"/>
        <v>6.4615</v>
      </c>
      <c r="BM33" s="694" t="str">
        <f t="shared" si="20"/>
        <v/>
      </c>
      <c r="BN33" s="88"/>
      <c r="BO33" s="195"/>
      <c r="BP33" s="195"/>
      <c r="BQ33" s="195"/>
      <c r="BR33" s="195"/>
      <c r="BS33" s="195"/>
      <c r="BT33" s="195"/>
      <c r="BU33" s="195"/>
      <c r="BV33" s="195"/>
      <c r="BW33" s="195"/>
      <c r="BX33" s="195"/>
    </row>
    <row r="34" spans="1:76" s="124" customFormat="1" ht="15">
      <c r="A34" s="187">
        <v>556</v>
      </c>
      <c r="B34" s="187" t="s">
        <v>382</v>
      </c>
      <c r="C34" s="187" t="s">
        <v>396</v>
      </c>
      <c r="D34" s="187" t="s">
        <v>402</v>
      </c>
      <c r="E34" s="187" t="s">
        <v>392</v>
      </c>
      <c r="F34" s="187" t="s">
        <v>386</v>
      </c>
      <c r="G34" s="187" t="s">
        <v>393</v>
      </c>
      <c r="H34" s="187" t="b">
        <v>0</v>
      </c>
      <c r="I34" s="187" t="s">
        <v>388</v>
      </c>
      <c r="J34" s="187" t="s">
        <v>389</v>
      </c>
      <c r="K34" s="187" t="b">
        <v>1</v>
      </c>
      <c r="L34" s="187">
        <v>3.3</v>
      </c>
      <c r="M34" s="187">
        <v>0.37</v>
      </c>
      <c r="N34" s="187">
        <v>23.13</v>
      </c>
      <c r="O34" s="187">
        <v>7</v>
      </c>
      <c r="P34" s="187">
        <v>8.83</v>
      </c>
      <c r="Q34" s="187"/>
      <c r="R34" s="187"/>
      <c r="S34" s="187"/>
      <c r="T34" s="187"/>
      <c r="U34" s="187">
        <v>52.7</v>
      </c>
      <c r="V34" s="187">
        <v>1.82</v>
      </c>
      <c r="W34" s="188">
        <v>40248</v>
      </c>
      <c r="X34" s="691">
        <f t="shared" si="9"/>
        <v>1.3855</v>
      </c>
      <c r="Y34" s="691">
        <f t="shared" si="10"/>
        <v>7.4504000000000001</v>
      </c>
      <c r="Z34" s="189"/>
      <c r="AA34" s="190">
        <f t="shared" si="21"/>
        <v>2010</v>
      </c>
      <c r="AB34" s="191">
        <f t="shared" si="22"/>
        <v>2.381811620353663</v>
      </c>
      <c r="AC34" s="192">
        <f>IF(AB34="","",AB34*SFAssumptions!$C$3)</f>
        <v>611.44272103933599</v>
      </c>
      <c r="AD34" s="193">
        <f t="shared" si="23"/>
        <v>24.586320000000001</v>
      </c>
      <c r="AE34" s="194">
        <f>IF(AD34="","",AD34*SFAssumptions!$C$3)</f>
        <v>6311.6353420559999</v>
      </c>
      <c r="AF34" s="192">
        <f t="shared" si="6"/>
        <v>3.3</v>
      </c>
      <c r="AG34" s="192">
        <f t="shared" si="24"/>
        <v>7.4504000000000001</v>
      </c>
      <c r="AH34" s="192">
        <f t="shared" si="25"/>
        <v>1.3855</v>
      </c>
      <c r="AI34" s="692">
        <f ca="1">IF(AC34="","",AC34*SFAssumptions!$C$8/'SavingsData&amp;Analysis'!AF34)</f>
        <v>699.82533953064433</v>
      </c>
      <c r="AJ34" s="692">
        <f ca="1">IF(OR(AE34="",AF34=""),"",AE34*SFAssumptions!$C$8/AF34)</f>
        <v>7223.9675022049905</v>
      </c>
      <c r="AK34" s="191">
        <f t="shared" si="26"/>
        <v>1.813186813186813</v>
      </c>
      <c r="AL34" s="692">
        <f>IF(AK34="","",AK34*SFAssumptions!$C$3)</f>
        <v>465.46917032967031</v>
      </c>
      <c r="AM34" s="193">
        <f t="shared" si="27"/>
        <v>23.099999999999998</v>
      </c>
      <c r="AN34" s="194">
        <f>IF(AM34="","",AM34*SFAssumptions!$C$3)</f>
        <v>5930.0772299999999</v>
      </c>
      <c r="AO34" s="693">
        <f t="shared" si="28"/>
        <v>7</v>
      </c>
      <c r="AP34" s="693">
        <f t="shared" si="29"/>
        <v>1.82</v>
      </c>
      <c r="AQ34" s="692">
        <f ca="1">IF(AL34="","",AL34*SFAssumptions!$C$8/'SavingsData&amp;Analysis'!AF34)</f>
        <v>532.75165270313607</v>
      </c>
      <c r="AR34" s="692">
        <f ca="1">IF(OR(AN34="",AF34=""),"",AN34*SFAssumptions!$C$8/AF34)</f>
        <v>6787.2560554379534</v>
      </c>
      <c r="AS34" s="190" t="str">
        <f>IF(OR(AG34="",AH34=""),"No",IF(AND(G34="Horizontal",AH34&gt;='Eff. Standards &amp; Certifications'!$B$21,AG34&lt;='Eff. Standards &amp; Certifications'!$C$21),"Consider",IF(AND(G34="Vertical",AH34&gt;='Eff. Standards &amp; Certifications'!$B$20,AG34&lt;='Eff. Standards &amp; Certifications'!$C$20),"Consider","No")))</f>
        <v>Consider</v>
      </c>
      <c r="AT34" s="190" t="str">
        <f t="shared" si="11"/>
        <v>Residential</v>
      </c>
      <c r="AU34" s="190"/>
      <c r="AV34" s="190" t="str">
        <f t="shared" si="12"/>
        <v>YES</v>
      </c>
      <c r="AW34" s="190" t="str">
        <f t="shared" si="12"/>
        <v>NO</v>
      </c>
      <c r="AX34" s="190" t="str">
        <f t="shared" si="30"/>
        <v>YES</v>
      </c>
      <c r="AY34" s="190" t="str">
        <f t="shared" si="13"/>
        <v>YES</v>
      </c>
      <c r="AZ34" s="190" t="str">
        <f t="shared" si="13"/>
        <v>NO</v>
      </c>
      <c r="BA34" s="190" t="str">
        <f t="shared" si="31"/>
        <v>YES</v>
      </c>
      <c r="BB34" s="190" t="str">
        <f t="shared" si="14"/>
        <v>NO</v>
      </c>
      <c r="BC34" s="190" t="str">
        <f t="shared" si="15"/>
        <v>NO</v>
      </c>
      <c r="BD34" s="190" t="str">
        <f t="shared" si="32"/>
        <v>NO</v>
      </c>
      <c r="BE34" s="190" t="str">
        <f t="shared" si="16"/>
        <v>NO</v>
      </c>
      <c r="BF34" s="190" t="str">
        <f t="shared" si="17"/>
        <v>NO</v>
      </c>
      <c r="BG34" s="190" t="str">
        <f t="shared" si="18"/>
        <v>NO</v>
      </c>
      <c r="BH34" s="88"/>
      <c r="BI34" s="9"/>
      <c r="BJ34" s="694">
        <f t="shared" si="19"/>
        <v>1.3855</v>
      </c>
      <c r="BK34" s="694" t="str">
        <f t="shared" si="19"/>
        <v/>
      </c>
      <c r="BL34" s="694">
        <f t="shared" si="20"/>
        <v>7.4504000000000001</v>
      </c>
      <c r="BM34" s="694" t="str">
        <f t="shared" si="20"/>
        <v/>
      </c>
      <c r="BN34" s="88"/>
      <c r="BO34" s="195"/>
      <c r="BP34" s="195"/>
      <c r="BQ34" s="195"/>
      <c r="BR34" s="195"/>
      <c r="BS34" s="195"/>
      <c r="BT34" s="195"/>
      <c r="BU34" s="195"/>
      <c r="BV34" s="195"/>
      <c r="BW34" s="195"/>
      <c r="BX34" s="195"/>
    </row>
    <row r="35" spans="1:76" s="124" customFormat="1" ht="15">
      <c r="A35" s="187">
        <v>839</v>
      </c>
      <c r="B35" s="187" t="s">
        <v>382</v>
      </c>
      <c r="C35" s="187" t="s">
        <v>396</v>
      </c>
      <c r="D35" s="187" t="s">
        <v>403</v>
      </c>
      <c r="E35" s="187" t="s">
        <v>392</v>
      </c>
      <c r="F35" s="187" t="s">
        <v>386</v>
      </c>
      <c r="G35" s="187" t="s">
        <v>393</v>
      </c>
      <c r="H35" s="187" t="b">
        <v>0</v>
      </c>
      <c r="I35" s="187" t="s">
        <v>388</v>
      </c>
      <c r="J35" s="187" t="s">
        <v>389</v>
      </c>
      <c r="K35" s="187" t="b">
        <v>1</v>
      </c>
      <c r="L35" s="187">
        <v>3.3</v>
      </c>
      <c r="M35" s="187">
        <v>1.23</v>
      </c>
      <c r="N35" s="187"/>
      <c r="O35" s="187"/>
      <c r="P35" s="187">
        <v>1.53</v>
      </c>
      <c r="Q35" s="187"/>
      <c r="R35" s="187"/>
      <c r="S35" s="187"/>
      <c r="T35" s="187"/>
      <c r="U35" s="187"/>
      <c r="V35" s="187">
        <v>1.28</v>
      </c>
      <c r="W35" s="188">
        <v>38160</v>
      </c>
      <c r="X35" s="691">
        <f t="shared" si="9"/>
        <v>0.8509000000000001</v>
      </c>
      <c r="Y35" s="691" t="str">
        <f t="shared" si="10"/>
        <v/>
      </c>
      <c r="Z35" s="189"/>
      <c r="AA35" s="190">
        <f t="shared" si="21"/>
        <v>2004</v>
      </c>
      <c r="AB35" s="191">
        <f t="shared" si="22"/>
        <v>3.8782465624632736</v>
      </c>
      <c r="AC35" s="192">
        <f>IF(AB35="","",AB35*SFAssumptions!$C$3)</f>
        <v>995.59747326360309</v>
      </c>
      <c r="AD35" s="193" t="str">
        <f t="shared" si="23"/>
        <v/>
      </c>
      <c r="AE35" s="194" t="str">
        <f>IF(AD35="","",AD35*SFAssumptions!$C$3)</f>
        <v/>
      </c>
      <c r="AF35" s="192">
        <f t="shared" si="6"/>
        <v>3.3</v>
      </c>
      <c r="AG35" s="192" t="str">
        <f t="shared" si="24"/>
        <v/>
      </c>
      <c r="AH35" s="192">
        <f t="shared" si="25"/>
        <v>0.8509000000000001</v>
      </c>
      <c r="AI35" s="692">
        <f ca="1">IF(AC35="","",AC35*SFAssumptions!$C$8/'SavingsData&amp;Analysis'!AF35)</f>
        <v>1139.5087647428695</v>
      </c>
      <c r="AJ35" s="692" t="str">
        <f>IF(OR(AE35="",AF35=""),"",AE35*SFAssumptions!$C$8/AF35)</f>
        <v/>
      </c>
      <c r="AK35" s="191">
        <f t="shared" si="26"/>
        <v>2.578125</v>
      </c>
      <c r="AL35" s="692">
        <f>IF(AK35="","",AK35*SFAssumptions!$C$3)</f>
        <v>661.83897656249997</v>
      </c>
      <c r="AM35" s="193" t="str">
        <f t="shared" si="27"/>
        <v/>
      </c>
      <c r="AN35" s="194" t="str">
        <f>IF(AM35="","",AM35*SFAssumptions!$C$3)</f>
        <v/>
      </c>
      <c r="AO35" s="693" t="str">
        <f t="shared" si="28"/>
        <v/>
      </c>
      <c r="AP35" s="693">
        <f t="shared" si="29"/>
        <v>1.28</v>
      </c>
      <c r="AQ35" s="692">
        <f ca="1">IF(AL35="","",AL35*SFAssumptions!$C$8/'SavingsData&amp;Analysis'!AF35)</f>
        <v>757.50625618727156</v>
      </c>
      <c r="AR35" s="692" t="str">
        <f>IF(OR(AN35="",AF35=""),"",AN35*SFAssumptions!$C$8/AF35)</f>
        <v/>
      </c>
      <c r="AS35" s="190" t="str">
        <f>IF(OR(AG35="",AH35=""),"No",IF(AND(G35="Horizontal",AH35&gt;='Eff. Standards &amp; Certifications'!$B$21,AG35&lt;='Eff. Standards &amp; Certifications'!$C$21),"Consider",IF(AND(G35="Vertical",AH35&gt;='Eff. Standards &amp; Certifications'!$B$20,AG35&lt;='Eff. Standards &amp; Certifications'!$C$20),"Consider","No")))</f>
        <v>No</v>
      </c>
      <c r="AT35" s="190" t="str">
        <f t="shared" si="11"/>
        <v>Residential</v>
      </c>
      <c r="AU35" s="190"/>
      <c r="AV35" s="190" t="str">
        <f t="shared" si="12"/>
        <v>NO</v>
      </c>
      <c r="AW35" s="190" t="str">
        <f t="shared" si="12"/>
        <v>NO</v>
      </c>
      <c r="AX35" s="190" t="str">
        <f t="shared" si="30"/>
        <v>NO</v>
      </c>
      <c r="AY35" s="190" t="str">
        <f t="shared" si="13"/>
        <v>NO</v>
      </c>
      <c r="AZ35" s="190" t="str">
        <f t="shared" si="13"/>
        <v>NO</v>
      </c>
      <c r="BA35" s="190" t="str">
        <f t="shared" si="31"/>
        <v>NO</v>
      </c>
      <c r="BB35" s="190" t="str">
        <f t="shared" si="14"/>
        <v>NO</v>
      </c>
      <c r="BC35" s="190" t="str">
        <f t="shared" si="15"/>
        <v>NO</v>
      </c>
      <c r="BD35" s="190" t="str">
        <f t="shared" si="32"/>
        <v>NO</v>
      </c>
      <c r="BE35" s="190" t="str">
        <f t="shared" si="16"/>
        <v>NO</v>
      </c>
      <c r="BF35" s="190" t="str">
        <f t="shared" si="17"/>
        <v>NO</v>
      </c>
      <c r="BG35" s="190" t="str">
        <f t="shared" si="18"/>
        <v>NO</v>
      </c>
      <c r="BH35" s="88"/>
      <c r="BI35" s="9"/>
      <c r="BJ35" s="694" t="str">
        <f t="shared" si="19"/>
        <v/>
      </c>
      <c r="BK35" s="694" t="str">
        <f t="shared" si="19"/>
        <v/>
      </c>
      <c r="BL35" s="694" t="str">
        <f t="shared" si="20"/>
        <v/>
      </c>
      <c r="BM35" s="694" t="str">
        <f t="shared" si="20"/>
        <v/>
      </c>
      <c r="BN35" s="88"/>
      <c r="BO35" s="195"/>
      <c r="BP35" s="195"/>
      <c r="BQ35" s="195"/>
      <c r="BR35" s="195"/>
      <c r="BS35" s="195"/>
      <c r="BT35" s="195"/>
      <c r="BU35" s="195"/>
      <c r="BV35" s="195"/>
      <c r="BW35" s="195"/>
      <c r="BX35" s="195"/>
    </row>
    <row r="36" spans="1:76" s="124" customFormat="1" ht="15">
      <c r="A36" s="187">
        <v>1434</v>
      </c>
      <c r="B36" s="187" t="s">
        <v>382</v>
      </c>
      <c r="C36" s="187" t="s">
        <v>396</v>
      </c>
      <c r="D36" s="187" t="s">
        <v>404</v>
      </c>
      <c r="E36" s="187" t="s">
        <v>392</v>
      </c>
      <c r="F36" s="187" t="s">
        <v>386</v>
      </c>
      <c r="G36" s="187" t="s">
        <v>393</v>
      </c>
      <c r="H36" s="187" t="b">
        <v>0</v>
      </c>
      <c r="I36" s="187" t="s">
        <v>388</v>
      </c>
      <c r="J36" s="187" t="s">
        <v>389</v>
      </c>
      <c r="K36" s="187" t="b">
        <v>1</v>
      </c>
      <c r="L36" s="187">
        <v>3.3</v>
      </c>
      <c r="M36" s="187">
        <v>0.74</v>
      </c>
      <c r="N36" s="187">
        <v>28.04</v>
      </c>
      <c r="O36" s="187">
        <v>8.6</v>
      </c>
      <c r="P36" s="187">
        <v>2.81</v>
      </c>
      <c r="Q36" s="187"/>
      <c r="R36" s="187"/>
      <c r="S36" s="187"/>
      <c r="T36" s="187"/>
      <c r="U36" s="187">
        <v>50.9</v>
      </c>
      <c r="V36" s="187">
        <v>1.55</v>
      </c>
      <c r="W36" s="188">
        <v>39072</v>
      </c>
      <c r="X36" s="691">
        <f t="shared" si="9"/>
        <v>1.1181999999999999</v>
      </c>
      <c r="Y36" s="691">
        <f t="shared" si="10"/>
        <v>9.0326400000000007</v>
      </c>
      <c r="Z36" s="189"/>
      <c r="AA36" s="190">
        <f t="shared" si="21"/>
        <v>2006</v>
      </c>
      <c r="AB36" s="191">
        <f t="shared" si="22"/>
        <v>2.9511715256662496</v>
      </c>
      <c r="AC36" s="192">
        <f>IF(AB36="","",AB36*SFAssumptions!$C$3)</f>
        <v>757.60498121981766</v>
      </c>
      <c r="AD36" s="193">
        <f t="shared" si="23"/>
        <v>29.807712000000002</v>
      </c>
      <c r="AE36" s="194">
        <f>IF(AD36="","",AD36*SFAssumptions!$C$3)</f>
        <v>7652.0361129696003</v>
      </c>
      <c r="AF36" s="192">
        <f t="shared" si="6"/>
        <v>3.3</v>
      </c>
      <c r="AG36" s="192">
        <f t="shared" si="24"/>
        <v>9.0326400000000007</v>
      </c>
      <c r="AH36" s="192">
        <f t="shared" si="25"/>
        <v>1.1181999999999999</v>
      </c>
      <c r="AI36" s="692">
        <f ca="1">IF(AC36="","",AC36*SFAssumptions!$C$8/'SavingsData&amp;Analysis'!AF36)</f>
        <v>867.11501334261129</v>
      </c>
      <c r="AJ36" s="692">
        <f ca="1">IF(OR(AE36="",AF36=""),"",AE36*SFAssumptions!$C$8/AF36)</f>
        <v>8758.1200766558686</v>
      </c>
      <c r="AK36" s="191">
        <f t="shared" si="26"/>
        <v>2.129032258064516</v>
      </c>
      <c r="AL36" s="692">
        <f>IF(AK36="","",AK36*SFAssumptions!$C$3)</f>
        <v>546.55089677419357</v>
      </c>
      <c r="AM36" s="193">
        <f t="shared" si="27"/>
        <v>28.38</v>
      </c>
      <c r="AN36" s="194">
        <f>IF(AM36="","",AM36*SFAssumptions!$C$3)</f>
        <v>7285.5234540000001</v>
      </c>
      <c r="AO36" s="693">
        <f t="shared" si="28"/>
        <v>8.6</v>
      </c>
      <c r="AP36" s="693">
        <f t="shared" si="29"/>
        <v>1.55</v>
      </c>
      <c r="AQ36" s="692">
        <f ca="1">IF(AL36="","",AL36*SFAssumptions!$C$8/'SavingsData&amp;Analysis'!AF36)</f>
        <v>625.55355349658566</v>
      </c>
      <c r="AR36" s="692">
        <f ca="1">IF(OR(AN36="",AF36=""),"",AN36*SFAssumptions!$C$8/AF36)</f>
        <v>8338.6288681094866</v>
      </c>
      <c r="AS36" s="190" t="str">
        <f>IF(OR(AG36="",AH36=""),"No",IF(AND(G36="Horizontal",AH36&gt;='Eff. Standards &amp; Certifications'!$B$21,AG36&lt;='Eff. Standards &amp; Certifications'!$C$21),"Consider",IF(AND(G36="Vertical",AH36&gt;='Eff. Standards &amp; Certifications'!$B$20,AG36&lt;='Eff. Standards &amp; Certifications'!$C$20),"Consider","No")))</f>
        <v>No</v>
      </c>
      <c r="AT36" s="190" t="str">
        <f t="shared" si="11"/>
        <v>Residential</v>
      </c>
      <c r="AU36" s="190"/>
      <c r="AV36" s="190" t="str">
        <f t="shared" si="12"/>
        <v>NO</v>
      </c>
      <c r="AW36" s="190" t="str">
        <f t="shared" si="12"/>
        <v>NO</v>
      </c>
      <c r="AX36" s="190" t="str">
        <f t="shared" si="30"/>
        <v>NO</v>
      </c>
      <c r="AY36" s="190" t="str">
        <f t="shared" si="13"/>
        <v>NO</v>
      </c>
      <c r="AZ36" s="190" t="str">
        <f t="shared" si="13"/>
        <v>NO</v>
      </c>
      <c r="BA36" s="190" t="str">
        <f t="shared" si="31"/>
        <v>NO</v>
      </c>
      <c r="BB36" s="190" t="str">
        <f t="shared" si="14"/>
        <v>NO</v>
      </c>
      <c r="BC36" s="190" t="str">
        <f t="shared" si="15"/>
        <v>NO</v>
      </c>
      <c r="BD36" s="190" t="str">
        <f t="shared" si="32"/>
        <v>NO</v>
      </c>
      <c r="BE36" s="190" t="str">
        <f t="shared" si="16"/>
        <v>NO</v>
      </c>
      <c r="BF36" s="190" t="str">
        <f t="shared" si="17"/>
        <v>NO</v>
      </c>
      <c r="BG36" s="190" t="str">
        <f t="shared" si="18"/>
        <v>NO</v>
      </c>
      <c r="BH36" s="88"/>
      <c r="BI36" s="9"/>
      <c r="BJ36" s="694" t="str">
        <f t="shared" si="19"/>
        <v/>
      </c>
      <c r="BK36" s="694" t="str">
        <f t="shared" si="19"/>
        <v/>
      </c>
      <c r="BL36" s="694" t="str">
        <f t="shared" si="20"/>
        <v/>
      </c>
      <c r="BM36" s="694" t="str">
        <f t="shared" si="20"/>
        <v/>
      </c>
      <c r="BN36" s="88"/>
      <c r="BO36" s="195"/>
      <c r="BP36" s="195"/>
      <c r="BQ36" s="195"/>
      <c r="BR36" s="195"/>
      <c r="BS36" s="195"/>
      <c r="BT36" s="195"/>
      <c r="BU36" s="195"/>
      <c r="BV36" s="195"/>
      <c r="BW36" s="195"/>
      <c r="BX36" s="195"/>
    </row>
    <row r="37" spans="1:76" s="124" customFormat="1" ht="15">
      <c r="A37" s="187">
        <v>3351</v>
      </c>
      <c r="B37" s="187" t="s">
        <v>405</v>
      </c>
      <c r="C37" s="187" t="s">
        <v>396</v>
      </c>
      <c r="D37" s="187" t="s">
        <v>406</v>
      </c>
      <c r="E37" s="187" t="s">
        <v>385</v>
      </c>
      <c r="F37" s="187" t="s">
        <v>386</v>
      </c>
      <c r="G37" s="187" t="s">
        <v>387</v>
      </c>
      <c r="H37" s="187" t="b">
        <v>0</v>
      </c>
      <c r="I37" s="187" t="s">
        <v>388</v>
      </c>
      <c r="J37" s="187" t="s">
        <v>389</v>
      </c>
      <c r="K37" s="187" t="b">
        <v>1</v>
      </c>
      <c r="L37" s="187">
        <v>2.8</v>
      </c>
      <c r="M37" s="187">
        <v>0.53</v>
      </c>
      <c r="N37" s="187">
        <v>13.92</v>
      </c>
      <c r="O37" s="187">
        <v>4.9000000000000004</v>
      </c>
      <c r="P37" s="187">
        <v>5.41</v>
      </c>
      <c r="Q37" s="187"/>
      <c r="R37" s="187"/>
      <c r="S37" s="187"/>
      <c r="T37" s="187"/>
      <c r="U37" s="187">
        <v>39.1</v>
      </c>
      <c r="V37" s="187">
        <v>1.96</v>
      </c>
      <c r="W37" s="188">
        <v>39786</v>
      </c>
      <c r="X37" s="691">
        <f t="shared" si="9"/>
        <v>1.6191199999999999</v>
      </c>
      <c r="Y37" s="691">
        <f t="shared" si="10"/>
        <v>5.1357800000000005</v>
      </c>
      <c r="Z37" s="189"/>
      <c r="AA37" s="190">
        <f t="shared" si="21"/>
        <v>2008</v>
      </c>
      <c r="AB37" s="191">
        <f t="shared" si="22"/>
        <v>1.7293344532832651</v>
      </c>
      <c r="AC37" s="192">
        <f>IF(AB37="","",AB37*SFAssumptions!$C$3)</f>
        <v>443.9431543060428</v>
      </c>
      <c r="AD37" s="193">
        <f t="shared" si="23"/>
        <v>14.380184</v>
      </c>
      <c r="AE37" s="194">
        <f>IF(AD37="","",AD37*SFAssumptions!$C$3)</f>
        <v>3691.5844892472001</v>
      </c>
      <c r="AF37" s="192">
        <f t="shared" si="6"/>
        <v>2.8</v>
      </c>
      <c r="AG37" s="192">
        <f t="shared" si="24"/>
        <v>5.1357800000000005</v>
      </c>
      <c r="AH37" s="192">
        <f t="shared" si="25"/>
        <v>1.6191199999999999</v>
      </c>
      <c r="AI37" s="692">
        <f ca="1">IF(AC37="","",AC37*SFAssumptions!$C$8/'SavingsData&amp;Analysis'!AF37)</f>
        <v>598.84876224103687</v>
      </c>
      <c r="AJ37" s="692">
        <f ca="1">IF(OR(AE37="",AF37=""),"",AE37*SFAssumptions!$C$8/AF37)</f>
        <v>4979.6934149138769</v>
      </c>
      <c r="AK37" s="191">
        <f t="shared" si="26"/>
        <v>1.4285714285714286</v>
      </c>
      <c r="AL37" s="692">
        <f>IF(AK37="","",AK37*SFAssumptions!$C$3)</f>
        <v>366.73328571428573</v>
      </c>
      <c r="AM37" s="193">
        <f t="shared" si="27"/>
        <v>13.72</v>
      </c>
      <c r="AN37" s="194">
        <f>IF(AM37="","",AM37*SFAssumptions!$C$3)</f>
        <v>3522.1064760000004</v>
      </c>
      <c r="AO37" s="693">
        <f t="shared" si="28"/>
        <v>4.9000000000000004</v>
      </c>
      <c r="AP37" s="693">
        <f t="shared" si="29"/>
        <v>1.96</v>
      </c>
      <c r="AQ37" s="692">
        <f ca="1">IF(AL37="","",AL37*SFAssumptions!$C$8/'SavingsData&amp;Analysis'!AF37)</f>
        <v>494.6979632243407</v>
      </c>
      <c r="AR37" s="692">
        <f ca="1">IF(OR(AN37="",AF37=""),"",AN37*SFAssumptions!$C$8/AF37)</f>
        <v>4751.0792388065684</v>
      </c>
      <c r="AS37" s="190" t="str">
        <f>IF(OR(AG37="",AH37=""),"No",IF(AND(G37="Horizontal",AH37&gt;='Eff. Standards &amp; Certifications'!$B$21,AG37&lt;='Eff. Standards &amp; Certifications'!$C$21),"Consider",IF(AND(G37="Vertical",AH37&gt;='Eff. Standards &amp; Certifications'!$B$20,AG37&lt;='Eff. Standards &amp; Certifications'!$C$20),"Consider","No")))</f>
        <v>No</v>
      </c>
      <c r="AT37" s="190" t="str">
        <f t="shared" si="11"/>
        <v>Residential</v>
      </c>
      <c r="AU37" s="190"/>
      <c r="AV37" s="190" t="str">
        <f t="shared" si="12"/>
        <v>NO</v>
      </c>
      <c r="AW37" s="190" t="str">
        <f t="shared" si="12"/>
        <v>NO</v>
      </c>
      <c r="AX37" s="190" t="str">
        <f t="shared" si="30"/>
        <v>NO</v>
      </c>
      <c r="AY37" s="190" t="str">
        <f t="shared" si="13"/>
        <v>NO</v>
      </c>
      <c r="AZ37" s="190" t="str">
        <f t="shared" si="13"/>
        <v>NO</v>
      </c>
      <c r="BA37" s="190" t="str">
        <f t="shared" si="31"/>
        <v>NO</v>
      </c>
      <c r="BB37" s="190" t="str">
        <f t="shared" si="14"/>
        <v>NO</v>
      </c>
      <c r="BC37" s="190" t="str">
        <f t="shared" si="15"/>
        <v>NO</v>
      </c>
      <c r="BD37" s="190" t="str">
        <f t="shared" si="32"/>
        <v>NO</v>
      </c>
      <c r="BE37" s="190" t="str">
        <f t="shared" si="16"/>
        <v>NO</v>
      </c>
      <c r="BF37" s="190" t="str">
        <f t="shared" si="17"/>
        <v>NO</v>
      </c>
      <c r="BG37" s="190" t="str">
        <f t="shared" si="18"/>
        <v>NO</v>
      </c>
      <c r="BH37" s="88"/>
      <c r="BI37" s="9"/>
      <c r="BJ37" s="694" t="str">
        <f t="shared" si="19"/>
        <v/>
      </c>
      <c r="BK37" s="694" t="str">
        <f t="shared" si="19"/>
        <v/>
      </c>
      <c r="BL37" s="694" t="str">
        <f t="shared" si="20"/>
        <v/>
      </c>
      <c r="BM37" s="694" t="str">
        <f t="shared" si="20"/>
        <v/>
      </c>
      <c r="BN37" s="88"/>
      <c r="BO37" s="195"/>
      <c r="BP37" s="195"/>
      <c r="BQ37" s="195"/>
      <c r="BR37" s="195"/>
      <c r="BS37" s="195"/>
      <c r="BT37" s="195"/>
      <c r="BU37" s="195"/>
      <c r="BV37" s="195"/>
      <c r="BW37" s="195"/>
      <c r="BX37" s="195"/>
    </row>
    <row r="38" spans="1:76" s="124" customFormat="1" ht="15">
      <c r="A38" s="187">
        <v>3348</v>
      </c>
      <c r="B38" s="187" t="s">
        <v>405</v>
      </c>
      <c r="C38" s="187" t="s">
        <v>396</v>
      </c>
      <c r="D38" s="187" t="s">
        <v>407</v>
      </c>
      <c r="E38" s="187" t="s">
        <v>385</v>
      </c>
      <c r="F38" s="187" t="s">
        <v>386</v>
      </c>
      <c r="G38" s="187" t="s">
        <v>387</v>
      </c>
      <c r="H38" s="187" t="b">
        <v>0</v>
      </c>
      <c r="I38" s="187" t="s">
        <v>388</v>
      </c>
      <c r="J38" s="187" t="s">
        <v>389</v>
      </c>
      <c r="K38" s="187" t="b">
        <v>1</v>
      </c>
      <c r="L38" s="187">
        <v>2.8</v>
      </c>
      <c r="M38" s="187">
        <v>0.46</v>
      </c>
      <c r="N38" s="187">
        <v>13.92</v>
      </c>
      <c r="O38" s="187">
        <v>4.9000000000000004</v>
      </c>
      <c r="P38" s="187">
        <v>6.16</v>
      </c>
      <c r="Q38" s="187"/>
      <c r="R38" s="187"/>
      <c r="S38" s="187"/>
      <c r="T38" s="187"/>
      <c r="U38" s="187">
        <v>39.1</v>
      </c>
      <c r="V38" s="187">
        <v>2.04</v>
      </c>
      <c r="W38" s="188">
        <v>39786</v>
      </c>
      <c r="X38" s="691">
        <f t="shared" si="9"/>
        <v>1.69228</v>
      </c>
      <c r="Y38" s="691">
        <f t="shared" si="10"/>
        <v>5.1357800000000005</v>
      </c>
      <c r="Z38" s="189"/>
      <c r="AA38" s="190">
        <f t="shared" si="21"/>
        <v>2008</v>
      </c>
      <c r="AB38" s="191">
        <f t="shared" si="22"/>
        <v>1.6545725293686624</v>
      </c>
      <c r="AC38" s="192">
        <f>IF(AB38="","",AB38*SFAssumptions!$C$3)</f>
        <v>424.75077410357625</v>
      </c>
      <c r="AD38" s="193">
        <f t="shared" si="23"/>
        <v>14.380184</v>
      </c>
      <c r="AE38" s="194">
        <f>IF(AD38="","",AD38*SFAssumptions!$C$3)</f>
        <v>3691.5844892472001</v>
      </c>
      <c r="AF38" s="192">
        <f t="shared" si="6"/>
        <v>2.8</v>
      </c>
      <c r="AG38" s="192">
        <f t="shared" si="24"/>
        <v>5.1357800000000005</v>
      </c>
      <c r="AH38" s="192">
        <f t="shared" si="25"/>
        <v>1.69228</v>
      </c>
      <c r="AI38" s="692">
        <f ca="1">IF(AC38="","",AC38*SFAssumptions!$C$8/'SavingsData&amp;Analysis'!AF38)</f>
        <v>572.95956219993604</v>
      </c>
      <c r="AJ38" s="692">
        <f ca="1">IF(OR(AE38="",AF38=""),"",AE38*SFAssumptions!$C$8/AF38)</f>
        <v>4979.6934149138769</v>
      </c>
      <c r="AK38" s="191">
        <f t="shared" si="26"/>
        <v>1.3725490196078429</v>
      </c>
      <c r="AL38" s="692">
        <f>IF(AK38="","",AK38*SFAssumptions!$C$3)</f>
        <v>352.35158823529406</v>
      </c>
      <c r="AM38" s="193">
        <f t="shared" si="27"/>
        <v>13.72</v>
      </c>
      <c r="AN38" s="194">
        <f>IF(AM38="","",AM38*SFAssumptions!$C$3)</f>
        <v>3522.1064760000004</v>
      </c>
      <c r="AO38" s="693">
        <f t="shared" si="28"/>
        <v>4.9000000000000004</v>
      </c>
      <c r="AP38" s="693">
        <f t="shared" si="29"/>
        <v>2.04</v>
      </c>
      <c r="AQ38" s="692">
        <f ca="1">IF(AL38="","",AL38*SFAssumptions!$C$8/'SavingsData&amp;Analysis'!AF38)</f>
        <v>475.29804309789586</v>
      </c>
      <c r="AR38" s="692">
        <f ca="1">IF(OR(AN38="",AF38=""),"",AN38*SFAssumptions!$C$8/AF38)</f>
        <v>4751.0792388065684</v>
      </c>
      <c r="AS38" s="190" t="str">
        <f>IF(OR(AG38="",AH38=""),"No",IF(AND(G38="Horizontal",AH38&gt;='Eff. Standards &amp; Certifications'!$B$21,AG38&lt;='Eff. Standards &amp; Certifications'!$C$21),"Consider",IF(AND(G38="Vertical",AH38&gt;='Eff. Standards &amp; Certifications'!$B$20,AG38&lt;='Eff. Standards &amp; Certifications'!$C$20),"Consider","No")))</f>
        <v>No</v>
      </c>
      <c r="AT38" s="190" t="str">
        <f t="shared" si="11"/>
        <v>Residential</v>
      </c>
      <c r="AU38" s="190"/>
      <c r="AV38" s="190" t="str">
        <f t="shared" si="12"/>
        <v>NO</v>
      </c>
      <c r="AW38" s="190" t="str">
        <f t="shared" si="12"/>
        <v>NO</v>
      </c>
      <c r="AX38" s="190" t="str">
        <f t="shared" si="30"/>
        <v>NO</v>
      </c>
      <c r="AY38" s="190" t="str">
        <f t="shared" si="13"/>
        <v>NO</v>
      </c>
      <c r="AZ38" s="190" t="str">
        <f t="shared" si="13"/>
        <v>NO</v>
      </c>
      <c r="BA38" s="190" t="str">
        <f t="shared" si="31"/>
        <v>NO</v>
      </c>
      <c r="BB38" s="190" t="str">
        <f t="shared" si="14"/>
        <v>NO</v>
      </c>
      <c r="BC38" s="190" t="str">
        <f t="shared" si="15"/>
        <v>NO</v>
      </c>
      <c r="BD38" s="190" t="str">
        <f t="shared" si="32"/>
        <v>NO</v>
      </c>
      <c r="BE38" s="190" t="str">
        <f t="shared" si="16"/>
        <v>NO</v>
      </c>
      <c r="BF38" s="190" t="str">
        <f t="shared" si="17"/>
        <v>NO</v>
      </c>
      <c r="BG38" s="190" t="str">
        <f t="shared" si="18"/>
        <v>NO</v>
      </c>
      <c r="BH38" s="88"/>
      <c r="BI38" s="9"/>
      <c r="BJ38" s="694" t="str">
        <f t="shared" si="19"/>
        <v/>
      </c>
      <c r="BK38" s="694" t="str">
        <f t="shared" si="19"/>
        <v/>
      </c>
      <c r="BL38" s="694" t="str">
        <f t="shared" si="20"/>
        <v/>
      </c>
      <c r="BM38" s="694" t="str">
        <f t="shared" si="20"/>
        <v/>
      </c>
      <c r="BN38" s="88"/>
      <c r="BO38" s="195"/>
      <c r="BP38" s="195"/>
      <c r="BQ38" s="195"/>
      <c r="BR38" s="195"/>
      <c r="BS38" s="195"/>
      <c r="BT38" s="195"/>
      <c r="BU38" s="195"/>
      <c r="BV38" s="195"/>
      <c r="BW38" s="195"/>
      <c r="BX38" s="195"/>
    </row>
    <row r="39" spans="1:76" s="124" customFormat="1" ht="26.25">
      <c r="A39" s="187">
        <v>5570</v>
      </c>
      <c r="B39" s="187" t="s">
        <v>405</v>
      </c>
      <c r="C39" s="187" t="s">
        <v>396</v>
      </c>
      <c r="D39" s="187" t="s">
        <v>408</v>
      </c>
      <c r="E39" s="187" t="s">
        <v>392</v>
      </c>
      <c r="F39" s="187" t="s">
        <v>386</v>
      </c>
      <c r="G39" s="187" t="s">
        <v>393</v>
      </c>
      <c r="H39" s="187" t="b">
        <v>0</v>
      </c>
      <c r="I39" s="187" t="s">
        <v>388</v>
      </c>
      <c r="J39" s="187" t="s">
        <v>389</v>
      </c>
      <c r="K39" s="187" t="b">
        <v>1</v>
      </c>
      <c r="L39" s="187">
        <v>3.3</v>
      </c>
      <c r="M39" s="187">
        <v>1.1000000000000001</v>
      </c>
      <c r="N39" s="187">
        <v>31.39</v>
      </c>
      <c r="O39" s="187">
        <v>9.4</v>
      </c>
      <c r="P39" s="187">
        <v>3.02</v>
      </c>
      <c r="Q39" s="187"/>
      <c r="R39" s="187"/>
      <c r="S39" s="187"/>
      <c r="T39" s="187"/>
      <c r="U39" s="187">
        <v>54.1</v>
      </c>
      <c r="V39" s="187">
        <v>1.29</v>
      </c>
      <c r="W39" s="188">
        <v>41220</v>
      </c>
      <c r="X39" s="691">
        <f t="shared" si="9"/>
        <v>0.86080000000000012</v>
      </c>
      <c r="Y39" s="691">
        <f t="shared" si="10"/>
        <v>9.82376</v>
      </c>
      <c r="Z39" s="189"/>
      <c r="AA39" s="190">
        <f t="shared" si="21"/>
        <v>2012</v>
      </c>
      <c r="AB39" s="191">
        <f t="shared" si="22"/>
        <v>3.833643122676579</v>
      </c>
      <c r="AC39" s="192">
        <f>IF(AB39="","",AB39*SFAssumptions!$C$3)</f>
        <v>984.14717704460941</v>
      </c>
      <c r="AD39" s="193">
        <f t="shared" si="23"/>
        <v>32.418407999999999</v>
      </c>
      <c r="AE39" s="194">
        <f>IF(AD39="","",AD39*SFAssumptions!$C$3)</f>
        <v>8322.2364984264004</v>
      </c>
      <c r="AF39" s="192">
        <f t="shared" si="6"/>
        <v>3.3</v>
      </c>
      <c r="AG39" s="192">
        <f t="shared" si="24"/>
        <v>9.82376</v>
      </c>
      <c r="AH39" s="192">
        <f t="shared" si="25"/>
        <v>0.86080000000000012</v>
      </c>
      <c r="AI39" s="692">
        <f ca="1">IF(AC39="","",AC39*SFAssumptions!$C$8/'SavingsData&amp;Analysis'!AF39)</f>
        <v>1126.4033549253106</v>
      </c>
      <c r="AJ39" s="692">
        <f ca="1">IF(OR(AE39="",AF39=""),"",AE39*SFAssumptions!$C$8/AF39)</f>
        <v>9525.1963638813086</v>
      </c>
      <c r="AK39" s="191">
        <f t="shared" si="26"/>
        <v>2.5581395348837206</v>
      </c>
      <c r="AL39" s="692">
        <f>IF(AK39="","",AK39*SFAssumptions!$C$3)</f>
        <v>656.70844186046509</v>
      </c>
      <c r="AM39" s="193">
        <f t="shared" si="27"/>
        <v>31.02</v>
      </c>
      <c r="AN39" s="194">
        <f>IF(AM39="","",AM39*SFAssumptions!$C$3)</f>
        <v>7963.2465659999998</v>
      </c>
      <c r="AO39" s="693">
        <f t="shared" si="28"/>
        <v>9.4</v>
      </c>
      <c r="AP39" s="693">
        <f t="shared" si="29"/>
        <v>1.29</v>
      </c>
      <c r="AQ39" s="692">
        <f ca="1">IF(AL39="","",AL39*SFAssumptions!$C$8/'SavingsData&amp;Analysis'!AF39)</f>
        <v>751.63411466644015</v>
      </c>
      <c r="AR39" s="692">
        <f ca="1">IF(OR(AN39="",AF39=""),"",AN39*SFAssumptions!$C$8/AF39)</f>
        <v>9114.3152744452527</v>
      </c>
      <c r="AS39" s="190" t="str">
        <f>IF(OR(AG39="",AH39=""),"No",IF(AND(G39="Horizontal",AH39&gt;='Eff. Standards &amp; Certifications'!$B$21,AG39&lt;='Eff. Standards &amp; Certifications'!$C$21),"Consider",IF(AND(G39="Vertical",AH39&gt;='Eff. Standards &amp; Certifications'!$B$20,AG39&lt;='Eff. Standards &amp; Certifications'!$C$20),"Consider","No")))</f>
        <v>No</v>
      </c>
      <c r="AT39" s="190" t="str">
        <f t="shared" si="11"/>
        <v>Residential</v>
      </c>
      <c r="AU39" s="190"/>
      <c r="AV39" s="190" t="str">
        <f t="shared" si="12"/>
        <v>NO</v>
      </c>
      <c r="AW39" s="190" t="str">
        <f t="shared" si="12"/>
        <v>NO</v>
      </c>
      <c r="AX39" s="190" t="str">
        <f t="shared" si="30"/>
        <v>NO</v>
      </c>
      <c r="AY39" s="190" t="str">
        <f t="shared" si="13"/>
        <v>NO</v>
      </c>
      <c r="AZ39" s="190" t="str">
        <f t="shared" si="13"/>
        <v>NO</v>
      </c>
      <c r="BA39" s="190" t="str">
        <f t="shared" si="31"/>
        <v>NO</v>
      </c>
      <c r="BB39" s="190" t="str">
        <f t="shared" si="14"/>
        <v>NO</v>
      </c>
      <c r="BC39" s="190" t="str">
        <f t="shared" si="15"/>
        <v>NO</v>
      </c>
      <c r="BD39" s="190" t="str">
        <f t="shared" si="32"/>
        <v>NO</v>
      </c>
      <c r="BE39" s="190" t="str">
        <f t="shared" si="16"/>
        <v>NO</v>
      </c>
      <c r="BF39" s="190" t="str">
        <f t="shared" si="17"/>
        <v>NO</v>
      </c>
      <c r="BG39" s="190" t="str">
        <f t="shared" si="18"/>
        <v>NO</v>
      </c>
      <c r="BH39" s="88"/>
      <c r="BI39" s="9"/>
      <c r="BJ39" s="694" t="str">
        <f t="shared" si="19"/>
        <v/>
      </c>
      <c r="BK39" s="694" t="str">
        <f t="shared" si="19"/>
        <v/>
      </c>
      <c r="BL39" s="694" t="str">
        <f t="shared" si="20"/>
        <v/>
      </c>
      <c r="BM39" s="694" t="str">
        <f t="shared" si="20"/>
        <v/>
      </c>
      <c r="BN39" s="88"/>
      <c r="BO39" s="195"/>
      <c r="BP39" s="195"/>
      <c r="BQ39" s="195"/>
      <c r="BR39" s="195"/>
      <c r="BS39" s="195"/>
      <c r="BT39" s="195"/>
      <c r="BU39" s="195"/>
      <c r="BV39" s="195"/>
      <c r="BW39" s="195"/>
      <c r="BX39" s="195"/>
    </row>
    <row r="40" spans="1:76" s="124" customFormat="1" ht="15">
      <c r="A40" s="187">
        <v>6295</v>
      </c>
      <c r="B40" s="187" t="s">
        <v>409</v>
      </c>
      <c r="C40" s="187" t="s">
        <v>409</v>
      </c>
      <c r="D40" s="187" t="s">
        <v>1299</v>
      </c>
      <c r="E40" s="187" t="s">
        <v>392</v>
      </c>
      <c r="F40" s="187" t="s">
        <v>386</v>
      </c>
      <c r="G40" s="187" t="s">
        <v>393</v>
      </c>
      <c r="H40" s="187" t="b">
        <v>0</v>
      </c>
      <c r="I40" s="187" t="s">
        <v>388</v>
      </c>
      <c r="J40" s="187" t="s">
        <v>389</v>
      </c>
      <c r="K40" s="187" t="b">
        <v>1</v>
      </c>
      <c r="L40" s="187">
        <v>1</v>
      </c>
      <c r="M40" s="187">
        <v>198</v>
      </c>
      <c r="N40" s="187">
        <v>19.87</v>
      </c>
      <c r="O40" s="187">
        <v>0.8</v>
      </c>
      <c r="P40" s="187">
        <v>2.58</v>
      </c>
      <c r="Q40" s="187"/>
      <c r="R40" s="187"/>
      <c r="S40" s="187"/>
      <c r="T40" s="187"/>
      <c r="U40" s="187">
        <v>47.9</v>
      </c>
      <c r="V40" s="187"/>
      <c r="W40" s="188">
        <v>41808</v>
      </c>
      <c r="X40" s="691"/>
      <c r="Y40" s="691">
        <f t="shared" si="10"/>
        <v>1.3192200000000001</v>
      </c>
      <c r="Z40" s="189"/>
      <c r="AA40" s="190">
        <f t="shared" si="21"/>
        <v>2014</v>
      </c>
      <c r="AB40" s="191" t="str">
        <f t="shared" si="22"/>
        <v/>
      </c>
      <c r="AC40" s="192" t="str">
        <f>IF(AB40="","",AB40*SFAssumptions!$C$3)</f>
        <v/>
      </c>
      <c r="AD40" s="193">
        <f t="shared" si="23"/>
        <v>1.3192200000000001</v>
      </c>
      <c r="AE40" s="194">
        <f>IF(AD40="","",AD40*SFAssumptions!$C$3)</f>
        <v>338.66131962600002</v>
      </c>
      <c r="AF40" s="192">
        <f t="shared" si="6"/>
        <v>1</v>
      </c>
      <c r="AG40" s="192">
        <f t="shared" si="24"/>
        <v>1.3192200000000001</v>
      </c>
      <c r="AH40" s="192" t="str">
        <f t="shared" si="25"/>
        <v/>
      </c>
      <c r="AI40" s="692" t="str">
        <f>IF(AC40="","",AC40*SFAssumptions!$C$8/'SavingsData&amp;Analysis'!AF40)</f>
        <v/>
      </c>
      <c r="AJ40" s="692">
        <f ca="1">IF(OR(AE40="",AF40=""),"",AE40*SFAssumptions!$C$8/AF40)</f>
        <v>1279.1262762078368</v>
      </c>
      <c r="AK40" s="191" t="str">
        <f t="shared" si="26"/>
        <v/>
      </c>
      <c r="AL40" s="692" t="str">
        <f>IF(AK40="","",AK40*SFAssumptions!$C$3)</f>
        <v/>
      </c>
      <c r="AM40" s="193">
        <f t="shared" si="27"/>
        <v>0.8</v>
      </c>
      <c r="AN40" s="194">
        <f>IF(AM40="","",AM40*SFAssumptions!$C$3)</f>
        <v>205.37064000000001</v>
      </c>
      <c r="AO40" s="693">
        <f t="shared" si="28"/>
        <v>0.8</v>
      </c>
      <c r="AP40" s="693" t="str">
        <f t="shared" si="29"/>
        <v/>
      </c>
      <c r="AQ40" s="692" t="str">
        <f>IF(AL40="","",AL40*SFAssumptions!$C$8/'SavingsData&amp;Analysis'!AF40)</f>
        <v/>
      </c>
      <c r="AR40" s="692">
        <f ca="1">IF(OR(AN40="",AF40=""),"",AN40*SFAssumptions!$C$8/AF40)</f>
        <v>775.68640633576615</v>
      </c>
      <c r="AS40" s="190" t="str">
        <f>IF(OR(AG40="",AH40=""),"No",IF(AND(G40="Horizontal",AH40&gt;='Eff. Standards &amp; Certifications'!$B$21,AG40&lt;='Eff. Standards &amp; Certifications'!$C$21),"Consider",IF(AND(G40="Vertical",AH40&gt;='Eff. Standards &amp; Certifications'!$B$20,AG40&lt;='Eff. Standards &amp; Certifications'!$C$20),"Consider","No")))</f>
        <v>No</v>
      </c>
      <c r="AT40" s="190" t="str">
        <f t="shared" si="11"/>
        <v>Residential</v>
      </c>
      <c r="AU40" s="190"/>
      <c r="AV40" s="190" t="str">
        <f t="shared" si="12"/>
        <v>NO</v>
      </c>
      <c r="AW40" s="190" t="str">
        <f t="shared" si="12"/>
        <v>NO</v>
      </c>
      <c r="AX40" s="190" t="str">
        <f t="shared" si="30"/>
        <v>NO</v>
      </c>
      <c r="AY40" s="190" t="str">
        <f t="shared" si="13"/>
        <v>NO</v>
      </c>
      <c r="AZ40" s="190" t="str">
        <f t="shared" si="13"/>
        <v>NO</v>
      </c>
      <c r="BA40" s="190" t="str">
        <f t="shared" si="31"/>
        <v>NO</v>
      </c>
      <c r="BB40" s="190" t="str">
        <f t="shared" si="14"/>
        <v>NO</v>
      </c>
      <c r="BC40" s="190" t="str">
        <f t="shared" si="15"/>
        <v>NO</v>
      </c>
      <c r="BD40" s="190" t="str">
        <f t="shared" si="32"/>
        <v>NO</v>
      </c>
      <c r="BE40" s="190" t="str">
        <f t="shared" si="16"/>
        <v>NO</v>
      </c>
      <c r="BF40" s="190" t="str">
        <f t="shared" si="17"/>
        <v>NO</v>
      </c>
      <c r="BG40" s="190" t="str">
        <f t="shared" si="18"/>
        <v>NO</v>
      </c>
      <c r="BH40" s="88"/>
      <c r="BI40" s="9"/>
      <c r="BJ40" s="694" t="str">
        <f t="shared" si="19"/>
        <v/>
      </c>
      <c r="BK40" s="694" t="str">
        <f t="shared" si="19"/>
        <v/>
      </c>
      <c r="BL40" s="694" t="str">
        <f t="shared" si="20"/>
        <v/>
      </c>
      <c r="BM40" s="694" t="str">
        <f t="shared" si="20"/>
        <v/>
      </c>
      <c r="BN40" s="88"/>
      <c r="BO40" s="195"/>
      <c r="BP40" s="195"/>
      <c r="BQ40" s="195"/>
      <c r="BR40" s="195"/>
      <c r="BS40" s="195"/>
      <c r="BT40" s="195"/>
      <c r="BU40" s="195"/>
      <c r="BV40" s="195"/>
      <c r="BW40" s="195"/>
      <c r="BX40" s="195"/>
    </row>
    <row r="41" spans="1:76" s="124" customFormat="1" ht="15">
      <c r="A41" s="187">
        <v>6275</v>
      </c>
      <c r="B41" s="187" t="s">
        <v>409</v>
      </c>
      <c r="C41" s="187" t="s">
        <v>409</v>
      </c>
      <c r="D41" s="187" t="s">
        <v>1300</v>
      </c>
      <c r="E41" s="187" t="s">
        <v>392</v>
      </c>
      <c r="F41" s="187" t="s">
        <v>386</v>
      </c>
      <c r="G41" s="187" t="s">
        <v>393</v>
      </c>
      <c r="H41" s="187" t="b">
        <v>0</v>
      </c>
      <c r="I41" s="187" t="s">
        <v>388</v>
      </c>
      <c r="J41" s="187" t="s">
        <v>389</v>
      </c>
      <c r="K41" s="187" t="b">
        <v>1</v>
      </c>
      <c r="L41" s="187">
        <v>1.6</v>
      </c>
      <c r="M41" s="187">
        <v>290</v>
      </c>
      <c r="N41" s="187">
        <v>14.6</v>
      </c>
      <c r="O41" s="187">
        <v>9.4</v>
      </c>
      <c r="P41" s="187">
        <v>2.58</v>
      </c>
      <c r="Q41" s="187"/>
      <c r="R41" s="187"/>
      <c r="S41" s="187"/>
      <c r="T41" s="187"/>
      <c r="U41" s="187">
        <v>38.9</v>
      </c>
      <c r="V41" s="187">
        <v>1.34</v>
      </c>
      <c r="W41" s="188">
        <v>41768</v>
      </c>
      <c r="X41" s="691">
        <f t="shared" ref="X41:X83" si="33">IF($V41="","",IF($G41="Horizontal",V41*slope_FrontLoad_MEF+int_FrontLoad_MEF,IF($G41="Vertical",V41*slope_TopLoad_MEF+int_TopLoad_MEF,"")))</f>
        <v>0.9103</v>
      </c>
      <c r="Y41" s="691">
        <f t="shared" si="10"/>
        <v>9.82376</v>
      </c>
      <c r="Z41" s="189"/>
      <c r="AA41" s="190">
        <f t="shared" si="21"/>
        <v>2014</v>
      </c>
      <c r="AB41" s="191">
        <f t="shared" si="22"/>
        <v>1.7576623091288588</v>
      </c>
      <c r="AC41" s="192">
        <f>IF(AB41="","",AB41*SFAssumptions!$C$3)</f>
        <v>451.2152916620895</v>
      </c>
      <c r="AD41" s="193">
        <f t="shared" si="23"/>
        <v>15.718016</v>
      </c>
      <c r="AE41" s="194">
        <f>IF(AD41="","",AD41*SFAssumptions!$C$3)</f>
        <v>4035.0237568128</v>
      </c>
      <c r="AF41" s="192">
        <f t="shared" si="6"/>
        <v>1.6</v>
      </c>
      <c r="AG41" s="192">
        <f t="shared" si="24"/>
        <v>9.82376</v>
      </c>
      <c r="AH41" s="192">
        <f t="shared" si="25"/>
        <v>0.9103</v>
      </c>
      <c r="AI41" s="692">
        <f ca="1">IF(AC41="","",AC41*SFAssumptions!$C$8/'SavingsData&amp;Analysis'!AF41)</f>
        <v>1065.1521563437414</v>
      </c>
      <c r="AJ41" s="692">
        <f ca="1">IF(OR(AE41="",AF41=""),"",AE41*SFAssumptions!$C$8/AF41)</f>
        <v>9525.1963638813068</v>
      </c>
      <c r="AK41" s="191">
        <f t="shared" si="26"/>
        <v>1.1940298507462686</v>
      </c>
      <c r="AL41" s="692">
        <f>IF(AK41="","",AK41*SFAssumptions!$C$3)</f>
        <v>306.52334328358205</v>
      </c>
      <c r="AM41" s="193">
        <f t="shared" si="27"/>
        <v>15.040000000000001</v>
      </c>
      <c r="AN41" s="194">
        <f>IF(AM41="","",AM41*SFAssumptions!$C$3)</f>
        <v>3860.9680320000002</v>
      </c>
      <c r="AO41" s="693">
        <f t="shared" si="28"/>
        <v>9.4</v>
      </c>
      <c r="AP41" s="693">
        <f t="shared" si="29"/>
        <v>1.34</v>
      </c>
      <c r="AQ41" s="692">
        <f ca="1">IF(AL41="","",AL41*SFAssumptions!$C$8/'SavingsData&amp;Analysis'!AF41)</f>
        <v>723.58806561172196</v>
      </c>
      <c r="AR41" s="692">
        <f ca="1">IF(OR(AN41="",AF41=""),"",AN41*SFAssumptions!$C$8/AF41)</f>
        <v>9114.3152744452527</v>
      </c>
      <c r="AS41" s="190" t="str">
        <f>IF(OR(AG41="",AH41=""),"No",IF(AND(G41="Horizontal",AH41&gt;='Eff. Standards &amp; Certifications'!$B$21,AG41&lt;='Eff. Standards &amp; Certifications'!$C$21),"Consider",IF(AND(G41="Vertical",AH41&gt;='Eff. Standards &amp; Certifications'!$B$20,AG41&lt;='Eff. Standards &amp; Certifications'!$C$20),"Consider","No")))</f>
        <v>No</v>
      </c>
      <c r="AT41" s="190" t="str">
        <f t="shared" si="11"/>
        <v>Residential</v>
      </c>
      <c r="AU41" s="190"/>
      <c r="AV41" s="190" t="str">
        <f t="shared" si="12"/>
        <v>NO</v>
      </c>
      <c r="AW41" s="190" t="str">
        <f t="shared" si="12"/>
        <v>NO</v>
      </c>
      <c r="AX41" s="190" t="str">
        <f t="shared" si="30"/>
        <v>NO</v>
      </c>
      <c r="AY41" s="190" t="str">
        <f t="shared" si="13"/>
        <v>NO</v>
      </c>
      <c r="AZ41" s="190" t="str">
        <f t="shared" si="13"/>
        <v>NO</v>
      </c>
      <c r="BA41" s="190" t="str">
        <f t="shared" si="31"/>
        <v>NO</v>
      </c>
      <c r="BB41" s="190" t="str">
        <f t="shared" si="14"/>
        <v>NO</v>
      </c>
      <c r="BC41" s="190" t="str">
        <f t="shared" si="15"/>
        <v>NO</v>
      </c>
      <c r="BD41" s="190" t="str">
        <f t="shared" si="32"/>
        <v>NO</v>
      </c>
      <c r="BE41" s="190" t="str">
        <f t="shared" si="16"/>
        <v>NO</v>
      </c>
      <c r="BF41" s="190" t="str">
        <f t="shared" si="17"/>
        <v>NO</v>
      </c>
      <c r="BG41" s="190" t="str">
        <f t="shared" si="18"/>
        <v>NO</v>
      </c>
      <c r="BH41" s="88"/>
      <c r="BI41" s="9"/>
      <c r="BJ41" s="694" t="str">
        <f t="shared" si="19"/>
        <v/>
      </c>
      <c r="BK41" s="694" t="str">
        <f t="shared" si="19"/>
        <v/>
      </c>
      <c r="BL41" s="694" t="str">
        <f t="shared" si="20"/>
        <v/>
      </c>
      <c r="BM41" s="694" t="str">
        <f t="shared" si="20"/>
        <v/>
      </c>
      <c r="BN41" s="88"/>
      <c r="BO41" s="195"/>
      <c r="BP41" s="195"/>
      <c r="BQ41" s="195"/>
      <c r="BR41" s="195"/>
      <c r="BS41" s="195"/>
      <c r="BT41" s="195"/>
      <c r="BU41" s="195"/>
      <c r="BV41" s="195"/>
      <c r="BW41" s="195"/>
      <c r="BX41" s="195"/>
    </row>
    <row r="42" spans="1:76" s="124" customFormat="1" ht="15">
      <c r="A42" s="187">
        <v>6276</v>
      </c>
      <c r="B42" s="187" t="s">
        <v>409</v>
      </c>
      <c r="C42" s="187" t="s">
        <v>409</v>
      </c>
      <c r="D42" s="187" t="s">
        <v>1301</v>
      </c>
      <c r="E42" s="187" t="s">
        <v>392</v>
      </c>
      <c r="F42" s="187" t="s">
        <v>386</v>
      </c>
      <c r="G42" s="187" t="s">
        <v>393</v>
      </c>
      <c r="H42" s="187" t="b">
        <v>0</v>
      </c>
      <c r="I42" s="187" t="s">
        <v>388</v>
      </c>
      <c r="J42" s="187" t="s">
        <v>389</v>
      </c>
      <c r="K42" s="187" t="b">
        <v>1</v>
      </c>
      <c r="L42" s="187">
        <v>2.1</v>
      </c>
      <c r="M42" s="187">
        <v>330</v>
      </c>
      <c r="N42" s="187">
        <v>16.899999999999999</v>
      </c>
      <c r="O42" s="187">
        <v>9.4</v>
      </c>
      <c r="P42" s="187">
        <v>2.75</v>
      </c>
      <c r="Q42" s="187"/>
      <c r="R42" s="187"/>
      <c r="S42" s="187"/>
      <c r="T42" s="187"/>
      <c r="U42" s="187">
        <v>39.9</v>
      </c>
      <c r="V42" s="187">
        <v>1.41</v>
      </c>
      <c r="W42" s="188">
        <v>41768</v>
      </c>
      <c r="X42" s="691">
        <f t="shared" si="33"/>
        <v>0.97959999999999992</v>
      </c>
      <c r="Y42" s="691">
        <f t="shared" si="10"/>
        <v>9.82376</v>
      </c>
      <c r="Z42" s="189"/>
      <c r="AA42" s="190">
        <f t="shared" si="21"/>
        <v>2014</v>
      </c>
      <c r="AB42" s="191">
        <f t="shared" si="22"/>
        <v>2.1437321355655374</v>
      </c>
      <c r="AC42" s="192">
        <f>IF(AB42="","",AB42*SFAssumptions!$C$3)</f>
        <v>550.32455083707646</v>
      </c>
      <c r="AD42" s="193">
        <f t="shared" si="23"/>
        <v>20.629896000000002</v>
      </c>
      <c r="AE42" s="194">
        <f>IF(AD42="","",AD42*SFAssumptions!$C$3)</f>
        <v>5295.9686808168008</v>
      </c>
      <c r="AF42" s="192">
        <f t="shared" si="6"/>
        <v>2.1</v>
      </c>
      <c r="AG42" s="192">
        <f t="shared" si="24"/>
        <v>9.82376</v>
      </c>
      <c r="AH42" s="192">
        <f t="shared" si="25"/>
        <v>0.97959999999999992</v>
      </c>
      <c r="AI42" s="692">
        <f ca="1">IF(AC42="","",AC42*SFAssumptions!$C$8/'SavingsData&amp;Analysis'!AF42)</f>
        <v>989.79992641864828</v>
      </c>
      <c r="AJ42" s="692">
        <f ca="1">IF(OR(AE42="",AF42=""),"",AE42*SFAssumptions!$C$8/AF42)</f>
        <v>9525.1963638813086</v>
      </c>
      <c r="AK42" s="191">
        <f t="shared" si="26"/>
        <v>1.4893617021276597</v>
      </c>
      <c r="AL42" s="692">
        <f>IF(AK42="","",AK42*SFAssumptions!$C$3)</f>
        <v>382.33895744680854</v>
      </c>
      <c r="AM42" s="193">
        <f t="shared" si="27"/>
        <v>19.740000000000002</v>
      </c>
      <c r="AN42" s="194">
        <f>IF(AM42="","",AM42*SFAssumptions!$C$3)</f>
        <v>5067.5205420000002</v>
      </c>
      <c r="AO42" s="693">
        <f t="shared" si="28"/>
        <v>9.4</v>
      </c>
      <c r="AP42" s="693">
        <f t="shared" si="29"/>
        <v>1.41</v>
      </c>
      <c r="AQ42" s="692">
        <f ca="1">IF(AL42="","",AL42*SFAssumptions!$C$8/'SavingsData&amp;Analysis'!AF42)</f>
        <v>687.66525384376428</v>
      </c>
      <c r="AR42" s="692">
        <f ca="1">IF(OR(AN42="",AF42=""),"",AN42*SFAssumptions!$C$8/AF42)</f>
        <v>9114.3152744452527</v>
      </c>
      <c r="AS42" s="190" t="str">
        <f>IF(OR(AG42="",AH42=""),"No",IF(AND(G42="Horizontal",AH42&gt;='Eff. Standards &amp; Certifications'!$B$21,AG42&lt;='Eff. Standards &amp; Certifications'!$C$21),"Consider",IF(AND(G42="Vertical",AH42&gt;='Eff. Standards &amp; Certifications'!$B$20,AG42&lt;='Eff. Standards &amp; Certifications'!$C$20),"Consider","No")))</f>
        <v>No</v>
      </c>
      <c r="AT42" s="190" t="str">
        <f t="shared" si="11"/>
        <v>Residential</v>
      </c>
      <c r="AU42" s="190"/>
      <c r="AV42" s="190" t="str">
        <f t="shared" si="12"/>
        <v>NO</v>
      </c>
      <c r="AW42" s="190" t="str">
        <f t="shared" si="12"/>
        <v>NO</v>
      </c>
      <c r="AX42" s="190" t="str">
        <f t="shared" si="30"/>
        <v>NO</v>
      </c>
      <c r="AY42" s="190" t="str">
        <f t="shared" si="13"/>
        <v>NO</v>
      </c>
      <c r="AZ42" s="190" t="str">
        <f t="shared" si="13"/>
        <v>NO</v>
      </c>
      <c r="BA42" s="190" t="str">
        <f t="shared" si="31"/>
        <v>NO</v>
      </c>
      <c r="BB42" s="190" t="str">
        <f t="shared" si="14"/>
        <v>NO</v>
      </c>
      <c r="BC42" s="190" t="str">
        <f t="shared" si="15"/>
        <v>NO</v>
      </c>
      <c r="BD42" s="190" t="str">
        <f t="shared" si="32"/>
        <v>NO</v>
      </c>
      <c r="BE42" s="190" t="str">
        <f t="shared" si="16"/>
        <v>NO</v>
      </c>
      <c r="BF42" s="190" t="str">
        <f t="shared" si="17"/>
        <v>NO</v>
      </c>
      <c r="BG42" s="190" t="str">
        <f t="shared" si="18"/>
        <v>NO</v>
      </c>
      <c r="BH42" s="88"/>
      <c r="BI42" s="9"/>
      <c r="BJ42" s="694" t="str">
        <f t="shared" si="19"/>
        <v/>
      </c>
      <c r="BK42" s="694" t="str">
        <f t="shared" si="19"/>
        <v/>
      </c>
      <c r="BL42" s="694" t="str">
        <f t="shared" si="20"/>
        <v/>
      </c>
      <c r="BM42" s="694" t="str">
        <f t="shared" si="20"/>
        <v/>
      </c>
      <c r="BN42" s="88"/>
      <c r="BO42" s="195"/>
      <c r="BP42" s="195"/>
      <c r="BQ42" s="195"/>
      <c r="BR42" s="195"/>
      <c r="BS42" s="195"/>
      <c r="BT42" s="195"/>
      <c r="BU42" s="195"/>
      <c r="BV42" s="195"/>
      <c r="BW42" s="195"/>
      <c r="BX42" s="195"/>
    </row>
    <row r="43" spans="1:76" s="124" customFormat="1" ht="15">
      <c r="A43" s="187">
        <v>6277</v>
      </c>
      <c r="B43" s="187" t="s">
        <v>409</v>
      </c>
      <c r="C43" s="187" t="s">
        <v>409</v>
      </c>
      <c r="D43" s="187" t="s">
        <v>1302</v>
      </c>
      <c r="E43" s="187" t="s">
        <v>392</v>
      </c>
      <c r="F43" s="187" t="s">
        <v>386</v>
      </c>
      <c r="G43" s="187" t="s">
        <v>393</v>
      </c>
      <c r="H43" s="187" t="b">
        <v>0</v>
      </c>
      <c r="I43" s="187" t="s">
        <v>388</v>
      </c>
      <c r="J43" s="187" t="s">
        <v>389</v>
      </c>
      <c r="K43" s="187" t="b">
        <v>1</v>
      </c>
      <c r="L43" s="187">
        <v>3</v>
      </c>
      <c r="M43" s="187">
        <v>450</v>
      </c>
      <c r="N43" s="187">
        <v>27.9</v>
      </c>
      <c r="O43" s="187">
        <v>9.4</v>
      </c>
      <c r="P43" s="187">
        <v>2.7</v>
      </c>
      <c r="Q43" s="187"/>
      <c r="R43" s="187"/>
      <c r="S43" s="187"/>
      <c r="T43" s="187"/>
      <c r="U43" s="187">
        <v>45.7</v>
      </c>
      <c r="V43" s="187">
        <v>1.31</v>
      </c>
      <c r="W43" s="188">
        <v>41768</v>
      </c>
      <c r="X43" s="691">
        <f t="shared" si="33"/>
        <v>0.88059999999999994</v>
      </c>
      <c r="Y43" s="691">
        <f t="shared" si="10"/>
        <v>9.82376</v>
      </c>
      <c r="Z43" s="189"/>
      <c r="AA43" s="190">
        <f t="shared" si="21"/>
        <v>2014</v>
      </c>
      <c r="AB43" s="191">
        <f t="shared" si="22"/>
        <v>3.4067681126504659</v>
      </c>
      <c r="AC43" s="192">
        <f>IF(AB43="","",AB43*SFAssumptions!$C$3)</f>
        <v>874.56268453327289</v>
      </c>
      <c r="AD43" s="193">
        <f t="shared" si="23"/>
        <v>29.47128</v>
      </c>
      <c r="AE43" s="194">
        <f>IF(AD43="","",AD43*SFAssumptions!$C$3)</f>
        <v>7565.6695440240001</v>
      </c>
      <c r="AF43" s="192">
        <f t="shared" si="6"/>
        <v>3</v>
      </c>
      <c r="AG43" s="192">
        <f t="shared" si="24"/>
        <v>9.82376</v>
      </c>
      <c r="AH43" s="192">
        <f t="shared" si="25"/>
        <v>0.88059999999999994</v>
      </c>
      <c r="AI43" s="692">
        <f ca="1">IF(AC43="","",AC43*SFAssumptions!$C$8/'SavingsData&amp;Analysis'!AF43)</f>
        <v>1101.0765477171335</v>
      </c>
      <c r="AJ43" s="692">
        <f ca="1">IF(OR(AE43="",AF43=""),"",AE43*SFAssumptions!$C$8/AF43)</f>
        <v>9525.1963638813086</v>
      </c>
      <c r="AK43" s="191">
        <f t="shared" si="26"/>
        <v>2.2900763358778624</v>
      </c>
      <c r="AL43" s="692">
        <f>IF(AK43="","",AK43*SFAssumptions!$C$3)</f>
        <v>587.89305343511444</v>
      </c>
      <c r="AM43" s="193">
        <f t="shared" si="27"/>
        <v>28.200000000000003</v>
      </c>
      <c r="AN43" s="194">
        <f>IF(AM43="","",AM43*SFAssumptions!$C$3)</f>
        <v>7239.3150600000008</v>
      </c>
      <c r="AO43" s="693">
        <f t="shared" si="28"/>
        <v>9.4</v>
      </c>
      <c r="AP43" s="693">
        <f t="shared" si="29"/>
        <v>1.31</v>
      </c>
      <c r="AQ43" s="692">
        <f ca="1">IF(AL43="","",AL43*SFAssumptions!$C$8/'SavingsData&amp;Analysis'!AF43)</f>
        <v>740.15878467153243</v>
      </c>
      <c r="AR43" s="692">
        <f ca="1">IF(OR(AN43="",AF43=""),"",AN43*SFAssumptions!$C$8/AF43)</f>
        <v>9114.3152744452527</v>
      </c>
      <c r="AS43" s="190" t="str">
        <f>IF(OR(AG43="",AH43=""),"No",IF(AND(G43="Horizontal",AH43&gt;='Eff. Standards &amp; Certifications'!$B$21,AG43&lt;='Eff. Standards &amp; Certifications'!$C$21),"Consider",IF(AND(G43="Vertical",AH43&gt;='Eff. Standards &amp; Certifications'!$B$20,AG43&lt;='Eff. Standards &amp; Certifications'!$C$20),"Consider","No")))</f>
        <v>No</v>
      </c>
      <c r="AT43" s="190" t="str">
        <f t="shared" si="11"/>
        <v>Residential</v>
      </c>
      <c r="AU43" s="190"/>
      <c r="AV43" s="190" t="str">
        <f t="shared" ref="AV43:AW62" si="34">IF(AND($G43=AV$18,$AS43="Consider",$AT43="Residential",$AH43&gt;=AV$3,$AH43&lt;=AV$4,$AG43&gt;=AV$5,$AG43&lt;=AV$6),"YES","NO")</f>
        <v>NO</v>
      </c>
      <c r="AW43" s="190" t="str">
        <f t="shared" si="34"/>
        <v>NO</v>
      </c>
      <c r="AX43" s="190" t="str">
        <f t="shared" si="30"/>
        <v>NO</v>
      </c>
      <c r="AY43" s="190" t="str">
        <f t="shared" si="13"/>
        <v>NO</v>
      </c>
      <c r="AZ43" s="190" t="str">
        <f t="shared" si="13"/>
        <v>NO</v>
      </c>
      <c r="BA43" s="190" t="str">
        <f t="shared" si="31"/>
        <v>NO</v>
      </c>
      <c r="BB43" s="190" t="str">
        <f t="shared" si="14"/>
        <v>NO</v>
      </c>
      <c r="BC43" s="190" t="str">
        <f t="shared" si="15"/>
        <v>NO</v>
      </c>
      <c r="BD43" s="190" t="str">
        <f t="shared" si="32"/>
        <v>NO</v>
      </c>
      <c r="BE43" s="190" t="str">
        <f t="shared" si="16"/>
        <v>NO</v>
      </c>
      <c r="BF43" s="190" t="str">
        <f t="shared" si="17"/>
        <v>NO</v>
      </c>
      <c r="BG43" s="190" t="str">
        <f t="shared" si="18"/>
        <v>NO</v>
      </c>
      <c r="BH43" s="88"/>
      <c r="BI43" s="9"/>
      <c r="BJ43" s="694" t="str">
        <f t="shared" ref="BJ43:BK62" si="35">IF(AND($G43=BJ$21,$AT43="Residential",$AS43="Consider"),$X43,"")</f>
        <v/>
      </c>
      <c r="BK43" s="694" t="str">
        <f t="shared" si="35"/>
        <v/>
      </c>
      <c r="BL43" s="694" t="str">
        <f t="shared" ref="BL43:BM62" si="36">IF(AND($G43=BL$21,$AT43="Residential",$AS43="Consider"),$Y43,"")</f>
        <v/>
      </c>
      <c r="BM43" s="694" t="str">
        <f t="shared" si="36"/>
        <v/>
      </c>
      <c r="BN43" s="88"/>
      <c r="BO43" s="195"/>
      <c r="BP43" s="195"/>
      <c r="BQ43" s="195"/>
      <c r="BR43" s="195"/>
      <c r="BS43" s="195"/>
      <c r="BT43" s="195"/>
      <c r="BU43" s="195"/>
      <c r="BV43" s="195"/>
      <c r="BW43" s="195"/>
      <c r="BX43" s="195"/>
    </row>
    <row r="44" spans="1:76" s="124" customFormat="1" ht="15">
      <c r="A44" s="187">
        <v>5129</v>
      </c>
      <c r="B44" s="187" t="s">
        <v>409</v>
      </c>
      <c r="C44" s="187" t="s">
        <v>409</v>
      </c>
      <c r="D44" s="187" t="s">
        <v>410</v>
      </c>
      <c r="E44" s="187" t="s">
        <v>392</v>
      </c>
      <c r="F44" s="187" t="s">
        <v>386</v>
      </c>
      <c r="G44" s="187" t="s">
        <v>393</v>
      </c>
      <c r="H44" s="187" t="b">
        <v>0</v>
      </c>
      <c r="I44" s="187" t="s">
        <v>388</v>
      </c>
      <c r="J44" s="187" t="s">
        <v>389</v>
      </c>
      <c r="K44" s="187" t="b">
        <v>1</v>
      </c>
      <c r="L44" s="187">
        <v>1.4</v>
      </c>
      <c r="M44" s="187">
        <v>390</v>
      </c>
      <c r="N44" s="187">
        <v>26.53</v>
      </c>
      <c r="O44" s="187">
        <v>19.5</v>
      </c>
      <c r="P44" s="187">
        <v>7.76</v>
      </c>
      <c r="Q44" s="187"/>
      <c r="R44" s="187"/>
      <c r="S44" s="187"/>
      <c r="T44" s="187"/>
      <c r="U44" s="187">
        <v>44</v>
      </c>
      <c r="V44" s="187">
        <v>1.04</v>
      </c>
      <c r="W44" s="188">
        <v>40753</v>
      </c>
      <c r="X44" s="691">
        <f t="shared" si="33"/>
        <v>0.61330000000000007</v>
      </c>
      <c r="Y44" s="691">
        <f t="shared" si="10"/>
        <v>19.81165</v>
      </c>
      <c r="Z44" s="189"/>
      <c r="AA44" s="190">
        <f t="shared" si="21"/>
        <v>2011</v>
      </c>
      <c r="AB44" s="191">
        <f t="shared" si="22"/>
        <v>2.2827327572150655</v>
      </c>
      <c r="AC44" s="192">
        <f>IF(AB44="","",AB44*SFAssumptions!$C$3)</f>
        <v>586.00785912277831</v>
      </c>
      <c r="AD44" s="193">
        <f t="shared" si="23"/>
        <v>27.73631</v>
      </c>
      <c r="AE44" s="194">
        <f>IF(AD44="","",AD44*SFAssumptions!$C$3)</f>
        <v>7120.2796699230003</v>
      </c>
      <c r="AF44" s="192">
        <f t="shared" si="6"/>
        <v>1.4</v>
      </c>
      <c r="AG44" s="192">
        <f t="shared" si="24"/>
        <v>19.81165</v>
      </c>
      <c r="AH44" s="192">
        <f t="shared" si="25"/>
        <v>0.61330000000000007</v>
      </c>
      <c r="AI44" s="692">
        <f ca="1">IF(AC44="","",AC44*SFAssumptions!$C$8/'SavingsData&amp;Analysis'!AF44)</f>
        <v>1580.9685438116867</v>
      </c>
      <c r="AJ44" s="692">
        <f ca="1">IF(OR(AE44="",AF44=""),"",AE44*SFAssumptions!$C$8/AF44)</f>
        <v>19209.534490102476</v>
      </c>
      <c r="AK44" s="191">
        <f t="shared" si="26"/>
        <v>1.346153846153846</v>
      </c>
      <c r="AL44" s="692">
        <f>IF(AK44="","",AK44*SFAssumptions!$C$3)</f>
        <v>345.57559615384611</v>
      </c>
      <c r="AM44" s="193">
        <f t="shared" si="27"/>
        <v>27.299999999999997</v>
      </c>
      <c r="AN44" s="194">
        <f>IF(AM44="","",AM44*SFAssumptions!$C$3)</f>
        <v>7008.2730899999997</v>
      </c>
      <c r="AO44" s="693">
        <f t="shared" si="28"/>
        <v>19.5</v>
      </c>
      <c r="AP44" s="693">
        <f t="shared" si="29"/>
        <v>1.04</v>
      </c>
      <c r="AQ44" s="692">
        <f ca="1">IF(AL44="","",AL44*SFAssumptions!$C$8/'SavingsData&amp;Analysis'!AF44)</f>
        <v>932.3153922304881</v>
      </c>
      <c r="AR44" s="692">
        <f ca="1">IF(OR(AN44="",AF44=""),"",AN44*SFAssumptions!$C$8/AF44)</f>
        <v>18907.356154434299</v>
      </c>
      <c r="AS44" s="190" t="str">
        <f>IF(OR(AG44="",AH44=""),"No",IF(AND(G44="Horizontal",AH44&gt;='Eff. Standards &amp; Certifications'!$B$21,AG44&lt;='Eff. Standards &amp; Certifications'!$C$21),"Consider",IF(AND(G44="Vertical",AH44&gt;='Eff. Standards &amp; Certifications'!$B$20,AG44&lt;='Eff. Standards &amp; Certifications'!$C$20),"Consider","No")))</f>
        <v>No</v>
      </c>
      <c r="AT44" s="190" t="str">
        <f t="shared" si="11"/>
        <v>Residential</v>
      </c>
      <c r="AU44" s="190"/>
      <c r="AV44" s="190" t="str">
        <f t="shared" si="34"/>
        <v>NO</v>
      </c>
      <c r="AW44" s="190" t="str">
        <f t="shared" si="34"/>
        <v>NO</v>
      </c>
      <c r="AX44" s="190" t="str">
        <f t="shared" si="30"/>
        <v>NO</v>
      </c>
      <c r="AY44" s="190" t="str">
        <f t="shared" si="13"/>
        <v>NO</v>
      </c>
      <c r="AZ44" s="190" t="str">
        <f t="shared" si="13"/>
        <v>NO</v>
      </c>
      <c r="BA44" s="190" t="str">
        <f t="shared" si="31"/>
        <v>NO</v>
      </c>
      <c r="BB44" s="190" t="str">
        <f t="shared" si="14"/>
        <v>NO</v>
      </c>
      <c r="BC44" s="190" t="str">
        <f t="shared" si="15"/>
        <v>NO</v>
      </c>
      <c r="BD44" s="190" t="str">
        <f t="shared" si="32"/>
        <v>NO</v>
      </c>
      <c r="BE44" s="190" t="str">
        <f t="shared" si="16"/>
        <v>NO</v>
      </c>
      <c r="BF44" s="190" t="str">
        <f t="shared" si="17"/>
        <v>NO</v>
      </c>
      <c r="BG44" s="190" t="str">
        <f t="shared" si="18"/>
        <v>NO</v>
      </c>
      <c r="BH44" s="88"/>
      <c r="BI44" s="9"/>
      <c r="BJ44" s="694" t="str">
        <f t="shared" si="35"/>
        <v/>
      </c>
      <c r="BK44" s="694" t="str">
        <f t="shared" si="35"/>
        <v/>
      </c>
      <c r="BL44" s="694" t="str">
        <f t="shared" si="36"/>
        <v/>
      </c>
      <c r="BM44" s="694" t="str">
        <f t="shared" si="36"/>
        <v/>
      </c>
      <c r="BN44" s="88"/>
      <c r="BO44" s="195"/>
      <c r="BP44" s="195"/>
      <c r="BQ44" s="195"/>
      <c r="BR44" s="195"/>
      <c r="BS44" s="195"/>
      <c r="BT44" s="195"/>
      <c r="BU44" s="195"/>
      <c r="BV44" s="195"/>
      <c r="BW44" s="195"/>
      <c r="BX44" s="195"/>
    </row>
    <row r="45" spans="1:76" s="124" customFormat="1" ht="15">
      <c r="A45" s="187">
        <v>5197</v>
      </c>
      <c r="B45" s="187" t="s">
        <v>409</v>
      </c>
      <c r="C45" s="187" t="s">
        <v>409</v>
      </c>
      <c r="D45" s="187" t="s">
        <v>411</v>
      </c>
      <c r="E45" s="187" t="s">
        <v>392</v>
      </c>
      <c r="F45" s="187" t="s">
        <v>386</v>
      </c>
      <c r="G45" s="187" t="s">
        <v>393</v>
      </c>
      <c r="H45" s="187" t="b">
        <v>0</v>
      </c>
      <c r="I45" s="187" t="s">
        <v>388</v>
      </c>
      <c r="J45" s="187" t="s">
        <v>389</v>
      </c>
      <c r="K45" s="187" t="b">
        <v>1</v>
      </c>
      <c r="L45" s="187">
        <v>2.1</v>
      </c>
      <c r="M45" s="187">
        <v>330</v>
      </c>
      <c r="N45" s="187">
        <v>16.89</v>
      </c>
      <c r="O45" s="187">
        <v>8</v>
      </c>
      <c r="P45" s="187">
        <v>2.75</v>
      </c>
      <c r="Q45" s="187"/>
      <c r="R45" s="187"/>
      <c r="S45" s="187"/>
      <c r="T45" s="187"/>
      <c r="U45" s="187">
        <v>40</v>
      </c>
      <c r="V45" s="187">
        <v>1.41</v>
      </c>
      <c r="W45" s="188">
        <v>40829</v>
      </c>
      <c r="X45" s="691">
        <f t="shared" si="33"/>
        <v>0.97959999999999992</v>
      </c>
      <c r="Y45" s="691">
        <f t="shared" si="10"/>
        <v>8.4392999999999994</v>
      </c>
      <c r="Z45" s="189"/>
      <c r="AA45" s="190">
        <f t="shared" si="21"/>
        <v>2011</v>
      </c>
      <c r="AB45" s="191">
        <f t="shared" si="22"/>
        <v>2.1437321355655374</v>
      </c>
      <c r="AC45" s="192">
        <f>IF(AB45="","",AB45*SFAssumptions!$C$3)</f>
        <v>550.32455083707646</v>
      </c>
      <c r="AD45" s="193">
        <f t="shared" si="23"/>
        <v>17.722529999999999</v>
      </c>
      <c r="AE45" s="194">
        <f>IF(AD45="","",AD45*SFAssumptions!$C$3)</f>
        <v>4549.6091606489999</v>
      </c>
      <c r="AF45" s="192">
        <f t="shared" si="6"/>
        <v>2.1</v>
      </c>
      <c r="AG45" s="192">
        <f t="shared" si="24"/>
        <v>8.4392999999999994</v>
      </c>
      <c r="AH45" s="192">
        <f t="shared" si="25"/>
        <v>0.97959999999999992</v>
      </c>
      <c r="AI45" s="692">
        <f ca="1">IF(AC45="","",AC45*SFAssumptions!$C$8/'SavingsData&amp;Analysis'!AF45)</f>
        <v>989.79992641864828</v>
      </c>
      <c r="AJ45" s="692">
        <f ca="1">IF(OR(AE45="",AF45=""),"",AE45*SFAssumptions!$C$8/AF45)</f>
        <v>8182.8128612367882</v>
      </c>
      <c r="AK45" s="191">
        <f t="shared" si="26"/>
        <v>1.4893617021276597</v>
      </c>
      <c r="AL45" s="692">
        <f>IF(AK45="","",AK45*SFAssumptions!$C$3)</f>
        <v>382.33895744680854</v>
      </c>
      <c r="AM45" s="193">
        <f t="shared" si="27"/>
        <v>16.8</v>
      </c>
      <c r="AN45" s="194">
        <f>IF(AM45="","",AM45*SFAssumptions!$C$3)</f>
        <v>4312.7834400000002</v>
      </c>
      <c r="AO45" s="693">
        <f t="shared" si="28"/>
        <v>8</v>
      </c>
      <c r="AP45" s="693">
        <f t="shared" si="29"/>
        <v>1.41</v>
      </c>
      <c r="AQ45" s="692">
        <f ca="1">IF(AL45="","",AL45*SFAssumptions!$C$8/'SavingsData&amp;Analysis'!AF45)</f>
        <v>687.66525384376428</v>
      </c>
      <c r="AR45" s="692">
        <f ca="1">IF(OR(AN45="",AF45=""),"",AN45*SFAssumptions!$C$8/AF45)</f>
        <v>7756.8640633576615</v>
      </c>
      <c r="AS45" s="190" t="str">
        <f>IF(OR(AG45="",AH45=""),"No",IF(AND(G45="Horizontal",AH45&gt;='Eff. Standards &amp; Certifications'!$B$21,AG45&lt;='Eff. Standards &amp; Certifications'!$C$21),"Consider",IF(AND(G45="Vertical",AH45&gt;='Eff. Standards &amp; Certifications'!$B$20,AG45&lt;='Eff. Standards &amp; Certifications'!$C$20),"Consider","No")))</f>
        <v>No</v>
      </c>
      <c r="AT45" s="190" t="str">
        <f t="shared" si="11"/>
        <v>Residential</v>
      </c>
      <c r="AU45" s="190"/>
      <c r="AV45" s="190" t="str">
        <f t="shared" si="34"/>
        <v>NO</v>
      </c>
      <c r="AW45" s="190" t="str">
        <f t="shared" si="34"/>
        <v>NO</v>
      </c>
      <c r="AX45" s="190" t="str">
        <f t="shared" si="30"/>
        <v>NO</v>
      </c>
      <c r="AY45" s="190" t="str">
        <f t="shared" si="13"/>
        <v>NO</v>
      </c>
      <c r="AZ45" s="190" t="str">
        <f t="shared" si="13"/>
        <v>NO</v>
      </c>
      <c r="BA45" s="190" t="str">
        <f t="shared" si="31"/>
        <v>NO</v>
      </c>
      <c r="BB45" s="190" t="str">
        <f t="shared" si="14"/>
        <v>NO</v>
      </c>
      <c r="BC45" s="190" t="str">
        <f t="shared" si="15"/>
        <v>NO</v>
      </c>
      <c r="BD45" s="190" t="str">
        <f t="shared" si="32"/>
        <v>NO</v>
      </c>
      <c r="BE45" s="190" t="str">
        <f t="shared" si="16"/>
        <v>NO</v>
      </c>
      <c r="BF45" s="190" t="str">
        <f t="shared" si="17"/>
        <v>NO</v>
      </c>
      <c r="BG45" s="190" t="str">
        <f t="shared" si="18"/>
        <v>NO</v>
      </c>
      <c r="BH45" s="88"/>
      <c r="BI45" s="9"/>
      <c r="BJ45" s="694" t="str">
        <f t="shared" si="35"/>
        <v/>
      </c>
      <c r="BK45" s="694" t="str">
        <f t="shared" si="35"/>
        <v/>
      </c>
      <c r="BL45" s="694" t="str">
        <f t="shared" si="36"/>
        <v/>
      </c>
      <c r="BM45" s="694" t="str">
        <f t="shared" si="36"/>
        <v/>
      </c>
      <c r="BN45" s="88"/>
      <c r="BO45" s="195"/>
      <c r="BP45" s="195"/>
      <c r="BQ45" s="195"/>
      <c r="BR45" s="195"/>
      <c r="BS45" s="195"/>
      <c r="BT45" s="195"/>
      <c r="BU45" s="195"/>
      <c r="BV45" s="195"/>
      <c r="BW45" s="195"/>
      <c r="BX45" s="195"/>
    </row>
    <row r="46" spans="1:76" s="124" customFormat="1" ht="15">
      <c r="A46" s="187">
        <v>5130</v>
      </c>
      <c r="B46" s="187" t="s">
        <v>409</v>
      </c>
      <c r="C46" s="187" t="s">
        <v>409</v>
      </c>
      <c r="D46" s="187" t="s">
        <v>412</v>
      </c>
      <c r="E46" s="187" t="s">
        <v>392</v>
      </c>
      <c r="F46" s="187" t="s">
        <v>386</v>
      </c>
      <c r="G46" s="187" t="s">
        <v>393</v>
      </c>
      <c r="H46" s="187" t="b">
        <v>0</v>
      </c>
      <c r="I46" s="187" t="s">
        <v>388</v>
      </c>
      <c r="J46" s="187" t="s">
        <v>389</v>
      </c>
      <c r="K46" s="187" t="b">
        <v>1</v>
      </c>
      <c r="L46" s="187">
        <v>1.7</v>
      </c>
      <c r="M46" s="187">
        <v>163</v>
      </c>
      <c r="N46" s="187">
        <v>15.51</v>
      </c>
      <c r="O46" s="187">
        <v>9.4</v>
      </c>
      <c r="P46" s="187">
        <v>3.89</v>
      </c>
      <c r="Q46" s="187"/>
      <c r="R46" s="187"/>
      <c r="S46" s="187"/>
      <c r="T46" s="187"/>
      <c r="U46" s="187">
        <v>43</v>
      </c>
      <c r="V46" s="187">
        <v>1.64</v>
      </c>
      <c r="W46" s="188">
        <v>40753</v>
      </c>
      <c r="X46" s="691">
        <f t="shared" si="33"/>
        <v>1.2073</v>
      </c>
      <c r="Y46" s="691">
        <f t="shared" si="10"/>
        <v>9.82376</v>
      </c>
      <c r="Z46" s="189"/>
      <c r="AA46" s="190">
        <f t="shared" si="21"/>
        <v>2011</v>
      </c>
      <c r="AB46" s="191">
        <f t="shared" si="22"/>
        <v>1.408100720616251</v>
      </c>
      <c r="AC46" s="192">
        <f>IF(AB46="","",AB46*SFAssumptions!$C$3)</f>
        <v>361.47818272177585</v>
      </c>
      <c r="AD46" s="193">
        <f t="shared" si="23"/>
        <v>16.700392000000001</v>
      </c>
      <c r="AE46" s="194">
        <f>IF(AD46="","",AD46*SFAssumptions!$C$3)</f>
        <v>4287.2127416136</v>
      </c>
      <c r="AF46" s="192">
        <f t="shared" si="6"/>
        <v>1.7</v>
      </c>
      <c r="AG46" s="192">
        <f t="shared" si="24"/>
        <v>9.82376</v>
      </c>
      <c r="AH46" s="192">
        <f t="shared" si="25"/>
        <v>1.2073</v>
      </c>
      <c r="AI46" s="692">
        <f ca="1">IF(AC46="","",AC46*SFAssumptions!$C$8/'SavingsData&amp;Analysis'!AF46)</f>
        <v>803.12102039236947</v>
      </c>
      <c r="AJ46" s="692">
        <f ca="1">IF(OR(AE46="",AF46=""),"",AE46*SFAssumptions!$C$8/AF46)</f>
        <v>9525.1963638813086</v>
      </c>
      <c r="AK46" s="191">
        <f t="shared" si="26"/>
        <v>1.0365853658536586</v>
      </c>
      <c r="AL46" s="692">
        <f>IF(AK46="","",AK46*SFAssumptions!$C$3)</f>
        <v>266.10525000000001</v>
      </c>
      <c r="AM46" s="193">
        <f t="shared" si="27"/>
        <v>15.98</v>
      </c>
      <c r="AN46" s="194">
        <f>IF(AM46="","",AM46*SFAssumptions!$C$3)</f>
        <v>4102.278534</v>
      </c>
      <c r="AO46" s="693">
        <f t="shared" si="28"/>
        <v>9.4</v>
      </c>
      <c r="AP46" s="693">
        <f t="shared" si="29"/>
        <v>1.64</v>
      </c>
      <c r="AQ46" s="692">
        <f ca="1">IF(AL46="","",AL46*SFAssumptions!$C$8/'SavingsData&amp;Analysis'!AF46)</f>
        <v>591.22439507299248</v>
      </c>
      <c r="AR46" s="692">
        <f ca="1">IF(OR(AN46="",AF46=""),"",AN46*SFAssumptions!$C$8/AF46)</f>
        <v>9114.3152744452527</v>
      </c>
      <c r="AS46" s="190" t="str">
        <f>IF(OR(AG46="",AH46=""),"No",IF(AND(G46="Horizontal",AH46&gt;='Eff. Standards &amp; Certifications'!$B$21,AG46&lt;='Eff. Standards &amp; Certifications'!$C$21),"Consider",IF(AND(G46="Vertical",AH46&gt;='Eff. Standards &amp; Certifications'!$B$20,AG46&lt;='Eff. Standards &amp; Certifications'!$C$20),"Consider","No")))</f>
        <v>No</v>
      </c>
      <c r="AT46" s="190" t="str">
        <f t="shared" si="11"/>
        <v>Residential</v>
      </c>
      <c r="AU46" s="190"/>
      <c r="AV46" s="190" t="str">
        <f t="shared" si="34"/>
        <v>NO</v>
      </c>
      <c r="AW46" s="190" t="str">
        <f t="shared" si="34"/>
        <v>NO</v>
      </c>
      <c r="AX46" s="190" t="str">
        <f t="shared" si="30"/>
        <v>NO</v>
      </c>
      <c r="AY46" s="190" t="str">
        <f t="shared" si="13"/>
        <v>NO</v>
      </c>
      <c r="AZ46" s="190" t="str">
        <f t="shared" si="13"/>
        <v>NO</v>
      </c>
      <c r="BA46" s="190" t="str">
        <f t="shared" si="31"/>
        <v>NO</v>
      </c>
      <c r="BB46" s="190" t="str">
        <f t="shared" si="14"/>
        <v>NO</v>
      </c>
      <c r="BC46" s="190" t="str">
        <f t="shared" si="15"/>
        <v>NO</v>
      </c>
      <c r="BD46" s="190" t="str">
        <f t="shared" si="32"/>
        <v>NO</v>
      </c>
      <c r="BE46" s="190" t="str">
        <f t="shared" si="16"/>
        <v>NO</v>
      </c>
      <c r="BF46" s="190" t="str">
        <f t="shared" si="17"/>
        <v>NO</v>
      </c>
      <c r="BG46" s="190" t="str">
        <f t="shared" si="18"/>
        <v>NO</v>
      </c>
      <c r="BH46" s="88"/>
      <c r="BI46" s="9"/>
      <c r="BJ46" s="694" t="str">
        <f t="shared" si="35"/>
        <v/>
      </c>
      <c r="BK46" s="694" t="str">
        <f t="shared" si="35"/>
        <v/>
      </c>
      <c r="BL46" s="694" t="str">
        <f t="shared" si="36"/>
        <v/>
      </c>
      <c r="BM46" s="694" t="str">
        <f t="shared" si="36"/>
        <v/>
      </c>
      <c r="BN46" s="88"/>
      <c r="BO46" s="195"/>
      <c r="BP46" s="195"/>
      <c r="BQ46" s="195"/>
      <c r="BR46" s="195"/>
      <c r="BS46" s="195"/>
      <c r="BT46" s="195"/>
      <c r="BU46" s="195"/>
      <c r="BV46" s="195"/>
      <c r="BW46" s="195"/>
      <c r="BX46" s="195"/>
    </row>
    <row r="47" spans="1:76" s="124" customFormat="1" ht="15">
      <c r="A47" s="187">
        <v>5131</v>
      </c>
      <c r="B47" s="187" t="s">
        <v>409</v>
      </c>
      <c r="C47" s="187" t="s">
        <v>409</v>
      </c>
      <c r="D47" s="187" t="s">
        <v>413</v>
      </c>
      <c r="E47" s="187" t="s">
        <v>392</v>
      </c>
      <c r="F47" s="187" t="s">
        <v>386</v>
      </c>
      <c r="G47" s="187" t="s">
        <v>393</v>
      </c>
      <c r="H47" s="187" t="b">
        <v>0</v>
      </c>
      <c r="I47" s="187" t="s">
        <v>388</v>
      </c>
      <c r="J47" s="187" t="s">
        <v>389</v>
      </c>
      <c r="K47" s="187" t="b">
        <v>1</v>
      </c>
      <c r="L47" s="187">
        <v>1.8</v>
      </c>
      <c r="M47" s="187">
        <v>179.1</v>
      </c>
      <c r="N47" s="187">
        <v>16.43</v>
      </c>
      <c r="O47" s="187">
        <v>9.3000000000000007</v>
      </c>
      <c r="P47" s="187">
        <v>3.86</v>
      </c>
      <c r="Q47" s="187"/>
      <c r="R47" s="187"/>
      <c r="S47" s="187"/>
      <c r="T47" s="187"/>
      <c r="U47" s="187">
        <v>46</v>
      </c>
      <c r="V47" s="187">
        <v>1.59</v>
      </c>
      <c r="W47" s="188">
        <v>40753</v>
      </c>
      <c r="X47" s="691">
        <f t="shared" si="33"/>
        <v>1.1577999999999999</v>
      </c>
      <c r="Y47" s="691">
        <f t="shared" si="10"/>
        <v>9.724870000000001</v>
      </c>
      <c r="Z47" s="189"/>
      <c r="AA47" s="190">
        <f t="shared" si="21"/>
        <v>2011</v>
      </c>
      <c r="AB47" s="191">
        <f t="shared" si="22"/>
        <v>1.5546726550354122</v>
      </c>
      <c r="AC47" s="192">
        <f>IF(AB47="","",AB47*SFAssumptions!$C$3)</f>
        <v>399.10514769390227</v>
      </c>
      <c r="AD47" s="193">
        <f t="shared" si="23"/>
        <v>17.504766000000004</v>
      </c>
      <c r="AE47" s="194">
        <f>IF(AD47="","",AD47*SFAssumptions!$C$3)</f>
        <v>4493.7062455878013</v>
      </c>
      <c r="AF47" s="192">
        <f t="shared" si="6"/>
        <v>1.8</v>
      </c>
      <c r="AG47" s="192">
        <f t="shared" si="24"/>
        <v>9.724870000000001</v>
      </c>
      <c r="AH47" s="192">
        <f t="shared" si="25"/>
        <v>1.1577999999999999</v>
      </c>
      <c r="AI47" s="692">
        <f ca="1">IF(AC47="","",AC47*SFAssumptions!$C$8/'SavingsData&amp;Analysis'!AF47)</f>
        <v>837.45725334229382</v>
      </c>
      <c r="AJ47" s="692">
        <f ca="1">IF(OR(AE47="",AF47=""),"",AE47*SFAssumptions!$C$8/AF47)</f>
        <v>9429.3118279781302</v>
      </c>
      <c r="AK47" s="191">
        <f t="shared" si="26"/>
        <v>1.1320754716981132</v>
      </c>
      <c r="AL47" s="692">
        <f>IF(AK47="","",AK47*SFAssumptions!$C$3)</f>
        <v>290.61883018867923</v>
      </c>
      <c r="AM47" s="193">
        <f t="shared" si="27"/>
        <v>16.740000000000002</v>
      </c>
      <c r="AN47" s="194">
        <f>IF(AM47="","",AM47*SFAssumptions!$C$3)</f>
        <v>4297.380642000001</v>
      </c>
      <c r="AO47" s="693">
        <f t="shared" si="28"/>
        <v>9.3000000000000007</v>
      </c>
      <c r="AP47" s="693">
        <f t="shared" si="29"/>
        <v>1.59</v>
      </c>
      <c r="AQ47" s="692">
        <f ca="1">IF(AL47="","",AL47*SFAssumptions!$C$8/'SavingsData&amp;Analysis'!AF47)</f>
        <v>609.81635718220605</v>
      </c>
      <c r="AR47" s="692">
        <f ca="1">IF(OR(AN47="",AF47=""),"",AN47*SFAssumptions!$C$8/AF47)</f>
        <v>9017.354473653284</v>
      </c>
      <c r="AS47" s="190" t="str">
        <f>IF(OR(AG47="",AH47=""),"No",IF(AND(G47="Horizontal",AH47&gt;='Eff. Standards &amp; Certifications'!$B$21,AG47&lt;='Eff. Standards &amp; Certifications'!$C$21),"Consider",IF(AND(G47="Vertical",AH47&gt;='Eff. Standards &amp; Certifications'!$B$20,AG47&lt;='Eff. Standards &amp; Certifications'!$C$20),"Consider","No")))</f>
        <v>No</v>
      </c>
      <c r="AT47" s="190" t="str">
        <f t="shared" si="11"/>
        <v>Residential</v>
      </c>
      <c r="AU47" s="190"/>
      <c r="AV47" s="190" t="str">
        <f t="shared" si="34"/>
        <v>NO</v>
      </c>
      <c r="AW47" s="190" t="str">
        <f t="shared" si="34"/>
        <v>NO</v>
      </c>
      <c r="AX47" s="190" t="str">
        <f t="shared" si="30"/>
        <v>NO</v>
      </c>
      <c r="AY47" s="190" t="str">
        <f t="shared" si="13"/>
        <v>NO</v>
      </c>
      <c r="AZ47" s="190" t="str">
        <f t="shared" si="13"/>
        <v>NO</v>
      </c>
      <c r="BA47" s="190" t="str">
        <f t="shared" si="31"/>
        <v>NO</v>
      </c>
      <c r="BB47" s="190" t="str">
        <f t="shared" si="14"/>
        <v>NO</v>
      </c>
      <c r="BC47" s="190" t="str">
        <f t="shared" si="15"/>
        <v>NO</v>
      </c>
      <c r="BD47" s="190" t="str">
        <f t="shared" si="32"/>
        <v>NO</v>
      </c>
      <c r="BE47" s="190" t="str">
        <f t="shared" si="16"/>
        <v>NO</v>
      </c>
      <c r="BF47" s="190" t="str">
        <f t="shared" si="17"/>
        <v>NO</v>
      </c>
      <c r="BG47" s="190" t="str">
        <f t="shared" si="18"/>
        <v>NO</v>
      </c>
      <c r="BH47" s="88"/>
      <c r="BI47" s="9"/>
      <c r="BJ47" s="694" t="str">
        <f t="shared" si="35"/>
        <v/>
      </c>
      <c r="BK47" s="694" t="str">
        <f t="shared" si="35"/>
        <v/>
      </c>
      <c r="BL47" s="694" t="str">
        <f t="shared" si="36"/>
        <v/>
      </c>
      <c r="BM47" s="694" t="str">
        <f t="shared" si="36"/>
        <v/>
      </c>
      <c r="BN47" s="88"/>
      <c r="BO47" s="195"/>
      <c r="BP47" s="195"/>
      <c r="BQ47" s="195"/>
      <c r="BR47" s="195"/>
      <c r="BS47" s="195"/>
      <c r="BT47" s="195"/>
      <c r="BU47" s="195"/>
      <c r="BV47" s="195"/>
      <c r="BW47" s="195"/>
      <c r="BX47" s="195"/>
    </row>
    <row r="48" spans="1:76" s="124" customFormat="1" ht="15">
      <c r="A48" s="187">
        <v>6219</v>
      </c>
      <c r="B48" s="187" t="s">
        <v>414</v>
      </c>
      <c r="C48" s="187" t="s">
        <v>415</v>
      </c>
      <c r="D48" s="187" t="s">
        <v>1303</v>
      </c>
      <c r="E48" s="187" t="s">
        <v>385</v>
      </c>
      <c r="F48" s="187" t="s">
        <v>386</v>
      </c>
      <c r="G48" s="187" t="s">
        <v>387</v>
      </c>
      <c r="H48" s="187" t="b">
        <v>0</v>
      </c>
      <c r="I48" s="187" t="s">
        <v>388</v>
      </c>
      <c r="J48" s="187" t="s">
        <v>389</v>
      </c>
      <c r="K48" s="187" t="b">
        <v>1</v>
      </c>
      <c r="L48" s="187">
        <v>2.2000000000000002</v>
      </c>
      <c r="M48" s="187"/>
      <c r="N48" s="187">
        <v>9.2899999999999991</v>
      </c>
      <c r="O48" s="187">
        <v>4.3</v>
      </c>
      <c r="P48" s="187"/>
      <c r="Q48" s="187"/>
      <c r="R48" s="187"/>
      <c r="S48" s="187"/>
      <c r="T48" s="187"/>
      <c r="U48" s="187">
        <v>34.200000000000003</v>
      </c>
      <c r="V48" s="187">
        <v>2.3199999999999998</v>
      </c>
      <c r="W48" s="188">
        <v>41712</v>
      </c>
      <c r="X48" s="691">
        <f t="shared" si="33"/>
        <v>1.9483399999999997</v>
      </c>
      <c r="Y48" s="691">
        <f t="shared" si="10"/>
        <v>4.5212599999999998</v>
      </c>
      <c r="Z48" s="189"/>
      <c r="AA48" s="190">
        <f t="shared" si="21"/>
        <v>2014</v>
      </c>
      <c r="AB48" s="191">
        <f t="shared" si="22"/>
        <v>1.1291663672664938</v>
      </c>
      <c r="AC48" s="192">
        <f>IF(AB48="","",AB48*SFAssumptions!$C$3)</f>
        <v>289.87202438999361</v>
      </c>
      <c r="AD48" s="193">
        <f t="shared" si="23"/>
        <v>9.9467720000000011</v>
      </c>
      <c r="AE48" s="194">
        <f>IF(AD48="","",AD48*SFAssumptions!$C$3)</f>
        <v>2553.4686644676003</v>
      </c>
      <c r="AF48" s="192">
        <f t="shared" si="6"/>
        <v>2.2000000000000002</v>
      </c>
      <c r="AG48" s="192">
        <f t="shared" si="24"/>
        <v>4.5212599999999998</v>
      </c>
      <c r="AH48" s="192">
        <f t="shared" si="25"/>
        <v>1.9483399999999997</v>
      </c>
      <c r="AI48" s="692">
        <f ca="1">IF(AC48="","",AC48*SFAssumptions!$C$8/'SavingsData&amp;Analysis'!AF48)</f>
        <v>497.65852362509003</v>
      </c>
      <c r="AJ48" s="692">
        <f ca="1">IF(OR(AE48="",AF48=""),"",AE48*SFAssumptions!$C$8/AF48)</f>
        <v>4383.849901887058</v>
      </c>
      <c r="AK48" s="191">
        <f t="shared" si="26"/>
        <v>0.94827586206896564</v>
      </c>
      <c r="AL48" s="692">
        <f>IF(AK48="","",AK48*SFAssumptions!$C$3)</f>
        <v>243.43502586206901</v>
      </c>
      <c r="AM48" s="193">
        <f t="shared" si="27"/>
        <v>9.4600000000000009</v>
      </c>
      <c r="AN48" s="194">
        <f>IF(AM48="","",AM48*SFAssumptions!$C$3)</f>
        <v>2428.507818</v>
      </c>
      <c r="AO48" s="693">
        <f t="shared" si="28"/>
        <v>4.3</v>
      </c>
      <c r="AP48" s="693">
        <f t="shared" si="29"/>
        <v>2.3199999999999998</v>
      </c>
      <c r="AQ48" s="692">
        <f ca="1">IF(AL48="","",AL48*SFAssumptions!$C$8/'SavingsData&amp;Analysis'!AF48)</f>
        <v>417.93448617228785</v>
      </c>
      <c r="AR48" s="692">
        <f ca="1">IF(OR(AN48="",AF48=""),"",AN48*SFAssumptions!$C$8/AF48)</f>
        <v>4169.3144340547424</v>
      </c>
      <c r="AS48" s="190" t="str">
        <f>IF(OR(AG48="",AH48=""),"No",IF(AND(G48="Horizontal",AH48&gt;='Eff. Standards &amp; Certifications'!$B$21,AG48&lt;='Eff. Standards &amp; Certifications'!$C$21),"Consider",IF(AND(G48="Vertical",AH48&gt;='Eff. Standards &amp; Certifications'!$B$20,AG48&lt;='Eff. Standards &amp; Certifications'!$C$20),"Consider","No")))</f>
        <v>Consider</v>
      </c>
      <c r="AT48" s="190" t="str">
        <f t="shared" si="11"/>
        <v>Residential</v>
      </c>
      <c r="AU48" s="190"/>
      <c r="AV48" s="190" t="str">
        <f t="shared" si="34"/>
        <v>NO</v>
      </c>
      <c r="AW48" s="190" t="str">
        <f t="shared" si="34"/>
        <v>YES</v>
      </c>
      <c r="AX48" s="190" t="str">
        <f t="shared" si="30"/>
        <v>YES</v>
      </c>
      <c r="AY48" s="190" t="str">
        <f t="shared" si="13"/>
        <v>NO</v>
      </c>
      <c r="AZ48" s="190" t="str">
        <f t="shared" si="13"/>
        <v>YES</v>
      </c>
      <c r="BA48" s="190" t="str">
        <f t="shared" si="31"/>
        <v>YES</v>
      </c>
      <c r="BB48" s="190" t="str">
        <f t="shared" si="14"/>
        <v>NO</v>
      </c>
      <c r="BC48" s="190" t="str">
        <f t="shared" si="15"/>
        <v>NO</v>
      </c>
      <c r="BD48" s="190" t="str">
        <f t="shared" si="32"/>
        <v>NO</v>
      </c>
      <c r="BE48" s="190" t="str">
        <f t="shared" si="16"/>
        <v>NO</v>
      </c>
      <c r="BF48" s="190" t="str">
        <f t="shared" si="17"/>
        <v>NO</v>
      </c>
      <c r="BG48" s="190" t="str">
        <f t="shared" si="18"/>
        <v>NO</v>
      </c>
      <c r="BH48" s="88"/>
      <c r="BI48" s="9"/>
      <c r="BJ48" s="694" t="str">
        <f t="shared" si="35"/>
        <v/>
      </c>
      <c r="BK48" s="694">
        <f t="shared" si="35"/>
        <v>1.9483399999999997</v>
      </c>
      <c r="BL48" s="694" t="str">
        <f t="shared" si="36"/>
        <v/>
      </c>
      <c r="BM48" s="694">
        <f t="shared" si="36"/>
        <v>4.5212599999999998</v>
      </c>
      <c r="BN48" s="88"/>
      <c r="BO48" s="195"/>
      <c r="BP48" s="195"/>
      <c r="BQ48" s="195"/>
      <c r="BR48" s="195"/>
      <c r="BS48" s="195"/>
      <c r="BT48" s="195"/>
      <c r="BU48" s="195"/>
      <c r="BV48" s="195"/>
      <c r="BW48" s="195"/>
      <c r="BX48" s="195"/>
    </row>
    <row r="49" spans="1:76" s="124" customFormat="1" ht="15">
      <c r="A49" s="187">
        <v>4509</v>
      </c>
      <c r="B49" s="187" t="s">
        <v>414</v>
      </c>
      <c r="C49" s="187" t="s">
        <v>415</v>
      </c>
      <c r="D49" s="187" t="s">
        <v>416</v>
      </c>
      <c r="E49" s="187" t="s">
        <v>385</v>
      </c>
      <c r="F49" s="187" t="s">
        <v>417</v>
      </c>
      <c r="G49" s="187" t="s">
        <v>387</v>
      </c>
      <c r="H49" s="187" t="b">
        <v>0</v>
      </c>
      <c r="I49" s="187" t="s">
        <v>388</v>
      </c>
      <c r="J49" s="187" t="s">
        <v>389</v>
      </c>
      <c r="K49" s="187" t="b">
        <v>1</v>
      </c>
      <c r="L49" s="187">
        <v>2.2000000000000002</v>
      </c>
      <c r="M49" s="187">
        <v>0.27</v>
      </c>
      <c r="N49" s="187">
        <v>9.9700000000000006</v>
      </c>
      <c r="O49" s="187">
        <v>4.5</v>
      </c>
      <c r="P49" s="187">
        <v>7.1</v>
      </c>
      <c r="Q49" s="187"/>
      <c r="R49" s="187"/>
      <c r="S49" s="187"/>
      <c r="T49" s="187"/>
      <c r="U49" s="187">
        <v>40</v>
      </c>
      <c r="V49" s="187">
        <v>2.14</v>
      </c>
      <c r="W49" s="188">
        <v>40367</v>
      </c>
      <c r="X49" s="691">
        <f t="shared" si="33"/>
        <v>1.78373</v>
      </c>
      <c r="Y49" s="691">
        <f t="shared" si="10"/>
        <v>4.7261000000000006</v>
      </c>
      <c r="Z49" s="189"/>
      <c r="AA49" s="190">
        <f t="shared" si="21"/>
        <v>2010</v>
      </c>
      <c r="AB49" s="191">
        <f t="shared" si="22"/>
        <v>1.2333705213232946</v>
      </c>
      <c r="AC49" s="192">
        <f>IF(AB49="","",AB49*SFAssumptions!$C$3)</f>
        <v>316.62261665162333</v>
      </c>
      <c r="AD49" s="193">
        <f t="shared" si="23"/>
        <v>10.397420000000002</v>
      </c>
      <c r="AE49" s="194">
        <f>IF(AD49="","",AD49*SFAssumptions!$C$3)</f>
        <v>2669.1559996860005</v>
      </c>
      <c r="AF49" s="192">
        <f t="shared" si="6"/>
        <v>2.2000000000000002</v>
      </c>
      <c r="AG49" s="192">
        <f t="shared" si="24"/>
        <v>4.7261000000000006</v>
      </c>
      <c r="AH49" s="192">
        <f t="shared" si="25"/>
        <v>1.78373</v>
      </c>
      <c r="AI49" s="692">
        <f ca="1">IF(AC49="","",AC49*SFAssumptions!$C$8/'SavingsData&amp;Analysis'!AF49)</f>
        <v>543.58451554871408</v>
      </c>
      <c r="AJ49" s="692">
        <f ca="1">IF(OR(AE49="",AF49=""),"",AE49*SFAssumptions!$C$8/AF49)</f>
        <v>4582.464406229331</v>
      </c>
      <c r="AK49" s="191">
        <f t="shared" si="26"/>
        <v>1.0280373831775702</v>
      </c>
      <c r="AL49" s="692">
        <f>IF(AK49="","",AK49*SFAssumptions!$C$3)</f>
        <v>263.91086915887854</v>
      </c>
      <c r="AM49" s="193">
        <f t="shared" si="27"/>
        <v>9.9</v>
      </c>
      <c r="AN49" s="194">
        <f>IF(AM49="","",AM49*SFAssumptions!$C$3)</f>
        <v>2541.4616700000001</v>
      </c>
      <c r="AO49" s="693">
        <f t="shared" si="28"/>
        <v>4.5</v>
      </c>
      <c r="AP49" s="693">
        <f t="shared" si="29"/>
        <v>2.14</v>
      </c>
      <c r="AQ49" s="692">
        <f ca="1">IF(AL49="","",AL49*SFAssumptions!$C$8/'SavingsData&amp;Analysis'!AF49)</f>
        <v>453.08785416808774</v>
      </c>
      <c r="AR49" s="692">
        <f ca="1">IF(OR(AN49="",AF49=""),"",AN49*SFAssumptions!$C$8/AF49)</f>
        <v>4363.2360356386844</v>
      </c>
      <c r="AS49" s="190" t="str">
        <f>IF(OR(AG49="",AH49=""),"No",IF(AND(G49="Horizontal",AH49&gt;='Eff. Standards &amp; Certifications'!$B$21,AG49&lt;='Eff. Standards &amp; Certifications'!$C$21),"Consider",IF(AND(G49="Vertical",AH49&gt;='Eff. Standards &amp; Certifications'!$B$20,AG49&lt;='Eff. Standards &amp; Certifications'!$C$20),"Consider","No")))</f>
        <v>No</v>
      </c>
      <c r="AT49" s="190" t="str">
        <f t="shared" si="11"/>
        <v>Residential</v>
      </c>
      <c r="AU49" s="190"/>
      <c r="AV49" s="190" t="str">
        <f t="shared" si="34"/>
        <v>NO</v>
      </c>
      <c r="AW49" s="190" t="str">
        <f t="shared" si="34"/>
        <v>NO</v>
      </c>
      <c r="AX49" s="190" t="str">
        <f t="shared" si="30"/>
        <v>NO</v>
      </c>
      <c r="AY49" s="190" t="str">
        <f t="shared" si="13"/>
        <v>NO</v>
      </c>
      <c r="AZ49" s="190" t="str">
        <f t="shared" si="13"/>
        <v>NO</v>
      </c>
      <c r="BA49" s="190" t="str">
        <f t="shared" si="31"/>
        <v>NO</v>
      </c>
      <c r="BB49" s="190" t="str">
        <f t="shared" si="14"/>
        <v>NO</v>
      </c>
      <c r="BC49" s="190" t="str">
        <f t="shared" si="15"/>
        <v>NO</v>
      </c>
      <c r="BD49" s="190" t="str">
        <f t="shared" si="32"/>
        <v>NO</v>
      </c>
      <c r="BE49" s="190" t="str">
        <f t="shared" si="16"/>
        <v>NO</v>
      </c>
      <c r="BF49" s="190" t="str">
        <f t="shared" si="17"/>
        <v>NO</v>
      </c>
      <c r="BG49" s="190" t="str">
        <f t="shared" si="18"/>
        <v>NO</v>
      </c>
      <c r="BH49" s="88"/>
      <c r="BI49" s="9"/>
      <c r="BJ49" s="694" t="str">
        <f t="shared" si="35"/>
        <v/>
      </c>
      <c r="BK49" s="694" t="str">
        <f t="shared" si="35"/>
        <v/>
      </c>
      <c r="BL49" s="694" t="str">
        <f t="shared" si="36"/>
        <v/>
      </c>
      <c r="BM49" s="694" t="str">
        <f t="shared" si="36"/>
        <v/>
      </c>
      <c r="BN49" s="88"/>
      <c r="BO49" s="195"/>
      <c r="BP49" s="195"/>
      <c r="BQ49" s="195"/>
      <c r="BR49" s="195"/>
      <c r="BS49" s="195"/>
      <c r="BT49" s="195"/>
      <c r="BU49" s="195"/>
      <c r="BV49" s="195"/>
      <c r="BW49" s="195"/>
      <c r="BX49" s="195"/>
    </row>
    <row r="50" spans="1:76" s="124" customFormat="1" ht="15">
      <c r="A50" s="187">
        <v>4510</v>
      </c>
      <c r="B50" s="187" t="s">
        <v>414</v>
      </c>
      <c r="C50" s="187" t="s">
        <v>415</v>
      </c>
      <c r="D50" s="187" t="s">
        <v>418</v>
      </c>
      <c r="E50" s="187" t="s">
        <v>385</v>
      </c>
      <c r="F50" s="187" t="s">
        <v>417</v>
      </c>
      <c r="G50" s="187" t="s">
        <v>387</v>
      </c>
      <c r="H50" s="187" t="b">
        <v>0</v>
      </c>
      <c r="I50" s="187" t="s">
        <v>388</v>
      </c>
      <c r="J50" s="187" t="s">
        <v>389</v>
      </c>
      <c r="K50" s="187" t="b">
        <v>1</v>
      </c>
      <c r="L50" s="187">
        <v>2.2000000000000002</v>
      </c>
      <c r="M50" s="187">
        <v>0.32</v>
      </c>
      <c r="N50" s="187">
        <v>9.9700000000000006</v>
      </c>
      <c r="O50" s="187">
        <v>4.5</v>
      </c>
      <c r="P50" s="187">
        <v>6.67</v>
      </c>
      <c r="Q50" s="187"/>
      <c r="R50" s="187"/>
      <c r="S50" s="187"/>
      <c r="T50" s="187"/>
      <c r="U50" s="187">
        <v>38</v>
      </c>
      <c r="V50" s="187">
        <v>2.2200000000000002</v>
      </c>
      <c r="W50" s="188">
        <v>40367</v>
      </c>
      <c r="X50" s="691">
        <f t="shared" si="33"/>
        <v>1.8568900000000002</v>
      </c>
      <c r="Y50" s="691">
        <f t="shared" si="10"/>
        <v>4.7261000000000006</v>
      </c>
      <c r="Z50" s="189"/>
      <c r="AA50" s="190">
        <f t="shared" si="21"/>
        <v>2010</v>
      </c>
      <c r="AB50" s="191">
        <f t="shared" si="22"/>
        <v>1.1847766965194493</v>
      </c>
      <c r="AC50" s="192">
        <f>IF(AB50="","",AB50*SFAssumptions!$C$3)</f>
        <v>304.14793552660632</v>
      </c>
      <c r="AD50" s="193">
        <f t="shared" si="23"/>
        <v>10.397420000000002</v>
      </c>
      <c r="AE50" s="194">
        <f>IF(AD50="","",AD50*SFAssumptions!$C$3)</f>
        <v>2669.1559996860005</v>
      </c>
      <c r="AF50" s="192">
        <f t="shared" si="6"/>
        <v>2.2000000000000002</v>
      </c>
      <c r="AG50" s="192">
        <f t="shared" si="24"/>
        <v>4.7261000000000006</v>
      </c>
      <c r="AH50" s="192">
        <f t="shared" si="25"/>
        <v>1.8568900000000002</v>
      </c>
      <c r="AI50" s="692">
        <f ca="1">IF(AC50="","",AC50*SFAssumptions!$C$8/'SavingsData&amp;Analysis'!AF50)</f>
        <v>522.16771479177964</v>
      </c>
      <c r="AJ50" s="692">
        <f ca="1">IF(OR(AE50="",AF50=""),"",AE50*SFAssumptions!$C$8/AF50)</f>
        <v>4582.464406229331</v>
      </c>
      <c r="AK50" s="191">
        <f t="shared" si="26"/>
        <v>0.99099099099099097</v>
      </c>
      <c r="AL50" s="692">
        <f>IF(AK50="","",AK50*SFAssumptions!$C$3)</f>
        <v>254.40056756756758</v>
      </c>
      <c r="AM50" s="193">
        <f t="shared" si="27"/>
        <v>9.9</v>
      </c>
      <c r="AN50" s="194">
        <f>IF(AM50="","",AM50*SFAssumptions!$C$3)</f>
        <v>2541.4616700000001</v>
      </c>
      <c r="AO50" s="693">
        <f t="shared" si="28"/>
        <v>4.5</v>
      </c>
      <c r="AP50" s="693">
        <f t="shared" si="29"/>
        <v>2.2200000000000002</v>
      </c>
      <c r="AQ50" s="692">
        <f ca="1">IF(AL50="","",AL50*SFAssumptions!$C$8/'SavingsData&amp;Analysis'!AF50)</f>
        <v>436.76036392779622</v>
      </c>
      <c r="AR50" s="692">
        <f ca="1">IF(OR(AN50="",AF50=""),"",AN50*SFAssumptions!$C$8/AF50)</f>
        <v>4363.2360356386844</v>
      </c>
      <c r="AS50" s="190" t="str">
        <f>IF(OR(AG50="",AH50=""),"No",IF(AND(G50="Horizontal",AH50&gt;='Eff. Standards &amp; Certifications'!$B$21,AG50&lt;='Eff. Standards &amp; Certifications'!$C$21),"Consider",IF(AND(G50="Vertical",AH50&gt;='Eff. Standards &amp; Certifications'!$B$20,AG50&lt;='Eff. Standards &amp; Certifications'!$C$20),"Consider","No")))</f>
        <v>No</v>
      </c>
      <c r="AT50" s="190" t="str">
        <f t="shared" si="11"/>
        <v>Residential</v>
      </c>
      <c r="AU50" s="190"/>
      <c r="AV50" s="190" t="str">
        <f t="shared" si="34"/>
        <v>NO</v>
      </c>
      <c r="AW50" s="190" t="str">
        <f t="shared" si="34"/>
        <v>NO</v>
      </c>
      <c r="AX50" s="190" t="str">
        <f t="shared" si="30"/>
        <v>NO</v>
      </c>
      <c r="AY50" s="190" t="str">
        <f t="shared" si="13"/>
        <v>NO</v>
      </c>
      <c r="AZ50" s="190" t="str">
        <f t="shared" si="13"/>
        <v>NO</v>
      </c>
      <c r="BA50" s="190" t="str">
        <f t="shared" si="31"/>
        <v>NO</v>
      </c>
      <c r="BB50" s="190" t="str">
        <f t="shared" si="14"/>
        <v>NO</v>
      </c>
      <c r="BC50" s="190" t="str">
        <f t="shared" si="15"/>
        <v>NO</v>
      </c>
      <c r="BD50" s="190" t="str">
        <f t="shared" si="32"/>
        <v>NO</v>
      </c>
      <c r="BE50" s="190" t="str">
        <f t="shared" si="16"/>
        <v>NO</v>
      </c>
      <c r="BF50" s="190" t="str">
        <f t="shared" si="17"/>
        <v>NO</v>
      </c>
      <c r="BG50" s="190" t="str">
        <f t="shared" si="18"/>
        <v>NO</v>
      </c>
      <c r="BH50" s="88"/>
      <c r="BI50" s="9"/>
      <c r="BJ50" s="694" t="str">
        <f t="shared" si="35"/>
        <v/>
      </c>
      <c r="BK50" s="694" t="str">
        <f t="shared" si="35"/>
        <v/>
      </c>
      <c r="BL50" s="694" t="str">
        <f t="shared" si="36"/>
        <v/>
      </c>
      <c r="BM50" s="694" t="str">
        <f t="shared" si="36"/>
        <v/>
      </c>
      <c r="BN50" s="88"/>
      <c r="BO50" s="195"/>
      <c r="BP50" s="195"/>
      <c r="BQ50" s="195"/>
      <c r="BR50" s="195"/>
      <c r="BS50" s="195"/>
      <c r="BT50" s="195"/>
      <c r="BU50" s="195"/>
      <c r="BV50" s="195"/>
      <c r="BW50" s="195"/>
      <c r="BX50" s="195"/>
    </row>
    <row r="51" spans="1:76" s="124" customFormat="1" ht="15">
      <c r="A51" s="187">
        <v>2898</v>
      </c>
      <c r="B51" s="187" t="s">
        <v>414</v>
      </c>
      <c r="C51" s="187" t="s">
        <v>415</v>
      </c>
      <c r="D51" s="187" t="s">
        <v>419</v>
      </c>
      <c r="E51" s="187" t="s">
        <v>385</v>
      </c>
      <c r="F51" s="187" t="s">
        <v>386</v>
      </c>
      <c r="G51" s="187" t="s">
        <v>387</v>
      </c>
      <c r="H51" s="187" t="b">
        <v>0</v>
      </c>
      <c r="I51" s="187" t="s">
        <v>388</v>
      </c>
      <c r="J51" s="187" t="s">
        <v>389</v>
      </c>
      <c r="K51" s="187" t="b">
        <v>1</v>
      </c>
      <c r="L51" s="187">
        <v>1.9</v>
      </c>
      <c r="M51" s="187">
        <v>0.15</v>
      </c>
      <c r="N51" s="187">
        <v>11.53</v>
      </c>
      <c r="O51" s="187">
        <v>6.2</v>
      </c>
      <c r="P51" s="187">
        <v>5.44</v>
      </c>
      <c r="Q51" s="187"/>
      <c r="R51" s="187"/>
      <c r="S51" s="187"/>
      <c r="T51" s="187"/>
      <c r="U51" s="187">
        <v>38</v>
      </c>
      <c r="V51" s="187">
        <v>2.0299999999999998</v>
      </c>
      <c r="W51" s="188">
        <v>39314</v>
      </c>
      <c r="X51" s="691">
        <f t="shared" si="33"/>
        <v>1.6831349999999998</v>
      </c>
      <c r="Y51" s="691">
        <f t="shared" si="10"/>
        <v>6.4672400000000003</v>
      </c>
      <c r="Z51" s="189"/>
      <c r="AA51" s="190">
        <f t="shared" si="21"/>
        <v>2007</v>
      </c>
      <c r="AB51" s="191">
        <f t="shared" si="22"/>
        <v>1.1288458739197986</v>
      </c>
      <c r="AC51" s="192">
        <f>IF(AB51="","",AB51*SFAssumptions!$C$3)</f>
        <v>289.78974948533545</v>
      </c>
      <c r="AD51" s="193">
        <f t="shared" si="23"/>
        <v>12.287756</v>
      </c>
      <c r="AE51" s="194">
        <f>IF(AD51="","",AD51*SFAssumptions!$C$3)</f>
        <v>3154.4303923548</v>
      </c>
      <c r="AF51" s="192">
        <f t="shared" si="6"/>
        <v>1.9</v>
      </c>
      <c r="AG51" s="192">
        <f t="shared" si="24"/>
        <v>6.4672400000000003</v>
      </c>
      <c r="AH51" s="192">
        <f t="shared" si="25"/>
        <v>1.6831349999999998</v>
      </c>
      <c r="AI51" s="692">
        <f ca="1">IF(AC51="","",AC51*SFAssumptions!$C$8/'SavingsData&amp;Analysis'!AF51)</f>
        <v>576.07263108408301</v>
      </c>
      <c r="AJ51" s="692">
        <f ca="1">IF(OR(AE51="",AF51=""),"",AE51*SFAssumptions!$C$8/AF51)</f>
        <v>6270.6876931386505</v>
      </c>
      <c r="AK51" s="191">
        <f t="shared" si="26"/>
        <v>0.935960591133005</v>
      </c>
      <c r="AL51" s="692">
        <f>IF(AK51="","",AK51*SFAssumptions!$C$3)</f>
        <v>240.27353201970445</v>
      </c>
      <c r="AM51" s="193">
        <f t="shared" si="27"/>
        <v>11.78</v>
      </c>
      <c r="AN51" s="194">
        <f>IF(AM51="","",AM51*SFAssumptions!$C$3)</f>
        <v>3024.0826739999998</v>
      </c>
      <c r="AO51" s="693">
        <f t="shared" si="28"/>
        <v>6.2</v>
      </c>
      <c r="AP51" s="693">
        <f t="shared" si="29"/>
        <v>2.0299999999999998</v>
      </c>
      <c r="AQ51" s="692">
        <f ca="1">IF(AL51="","",AL51*SFAssumptions!$C$8/'SavingsData&amp;Analysis'!AF51)</f>
        <v>477.63941276832895</v>
      </c>
      <c r="AR51" s="692">
        <f ca="1">IF(OR(AN51="",AF51=""),"",AN51*SFAssumptions!$C$8/AF51)</f>
        <v>6011.5696491021872</v>
      </c>
      <c r="AS51" s="190" t="str">
        <f>IF(OR(AG51="",AH51=""),"No",IF(AND(G51="Horizontal",AH51&gt;='Eff. Standards &amp; Certifications'!$B$21,AG51&lt;='Eff. Standards &amp; Certifications'!$C$21),"Consider",IF(AND(G51="Vertical",AH51&gt;='Eff. Standards &amp; Certifications'!$B$20,AG51&lt;='Eff. Standards &amp; Certifications'!$C$20),"Consider","No")))</f>
        <v>No</v>
      </c>
      <c r="AT51" s="190" t="str">
        <f t="shared" si="11"/>
        <v>Residential</v>
      </c>
      <c r="AU51" s="190"/>
      <c r="AV51" s="190" t="str">
        <f t="shared" si="34"/>
        <v>NO</v>
      </c>
      <c r="AW51" s="190" t="str">
        <f t="shared" si="34"/>
        <v>NO</v>
      </c>
      <c r="AX51" s="190" t="str">
        <f t="shared" si="30"/>
        <v>NO</v>
      </c>
      <c r="AY51" s="190" t="str">
        <f t="shared" si="13"/>
        <v>NO</v>
      </c>
      <c r="AZ51" s="190" t="str">
        <f t="shared" si="13"/>
        <v>NO</v>
      </c>
      <c r="BA51" s="190" t="str">
        <f t="shared" si="31"/>
        <v>NO</v>
      </c>
      <c r="BB51" s="190" t="str">
        <f t="shared" si="14"/>
        <v>NO</v>
      </c>
      <c r="BC51" s="190" t="str">
        <f t="shared" si="15"/>
        <v>NO</v>
      </c>
      <c r="BD51" s="190" t="str">
        <f t="shared" si="32"/>
        <v>NO</v>
      </c>
      <c r="BE51" s="190" t="str">
        <f t="shared" si="16"/>
        <v>NO</v>
      </c>
      <c r="BF51" s="190" t="str">
        <f t="shared" si="17"/>
        <v>NO</v>
      </c>
      <c r="BG51" s="190" t="str">
        <f t="shared" si="18"/>
        <v>NO</v>
      </c>
      <c r="BH51" s="88"/>
      <c r="BI51" s="9"/>
      <c r="BJ51" s="694" t="str">
        <f t="shared" si="35"/>
        <v/>
      </c>
      <c r="BK51" s="694" t="str">
        <f t="shared" si="35"/>
        <v/>
      </c>
      <c r="BL51" s="694" t="str">
        <f t="shared" si="36"/>
        <v/>
      </c>
      <c r="BM51" s="694" t="str">
        <f t="shared" si="36"/>
        <v/>
      </c>
      <c r="BN51" s="88"/>
      <c r="BO51" s="195"/>
      <c r="BP51" s="195"/>
      <c r="BQ51" s="195"/>
      <c r="BR51" s="195"/>
      <c r="BS51" s="195"/>
      <c r="BT51" s="195"/>
      <c r="BU51" s="195"/>
      <c r="BV51" s="195"/>
      <c r="BW51" s="195"/>
      <c r="BX51" s="195"/>
    </row>
    <row r="52" spans="1:76" s="124" customFormat="1" ht="15">
      <c r="A52" s="187">
        <v>2899</v>
      </c>
      <c r="B52" s="187" t="s">
        <v>414</v>
      </c>
      <c r="C52" s="187" t="s">
        <v>415</v>
      </c>
      <c r="D52" s="187" t="s">
        <v>420</v>
      </c>
      <c r="E52" s="187" t="s">
        <v>385</v>
      </c>
      <c r="F52" s="187" t="s">
        <v>386</v>
      </c>
      <c r="G52" s="187" t="s">
        <v>387</v>
      </c>
      <c r="H52" s="187" t="b">
        <v>0</v>
      </c>
      <c r="I52" s="187" t="s">
        <v>388</v>
      </c>
      <c r="J52" s="187" t="s">
        <v>389</v>
      </c>
      <c r="K52" s="187" t="b">
        <v>1</v>
      </c>
      <c r="L52" s="187">
        <v>1.9</v>
      </c>
      <c r="M52" s="187">
        <v>0.13</v>
      </c>
      <c r="N52" s="187">
        <v>12.13</v>
      </c>
      <c r="O52" s="187">
        <v>6.6</v>
      </c>
      <c r="P52" s="187">
        <v>6.17</v>
      </c>
      <c r="Q52" s="187"/>
      <c r="R52" s="187"/>
      <c r="S52" s="187"/>
      <c r="T52" s="187"/>
      <c r="U52" s="187">
        <v>41</v>
      </c>
      <c r="V52" s="187">
        <v>2.0299999999999998</v>
      </c>
      <c r="W52" s="188">
        <v>39314</v>
      </c>
      <c r="X52" s="691">
        <f t="shared" si="33"/>
        <v>1.6831349999999998</v>
      </c>
      <c r="Y52" s="691">
        <f t="shared" si="10"/>
        <v>6.8769200000000001</v>
      </c>
      <c r="Z52" s="189"/>
      <c r="AA52" s="190">
        <f t="shared" si="21"/>
        <v>2007</v>
      </c>
      <c r="AB52" s="191">
        <f t="shared" si="22"/>
        <v>1.1288458739197986</v>
      </c>
      <c r="AC52" s="192">
        <f>IF(AB52="","",AB52*SFAssumptions!$C$3)</f>
        <v>289.78974948533545</v>
      </c>
      <c r="AD52" s="193">
        <f t="shared" si="23"/>
        <v>13.066148</v>
      </c>
      <c r="AE52" s="194">
        <f>IF(AD52="","",AD52*SFAssumptions!$C$3)</f>
        <v>3354.2539713684</v>
      </c>
      <c r="AF52" s="192">
        <f t="shared" si="6"/>
        <v>1.9</v>
      </c>
      <c r="AG52" s="192">
        <f t="shared" si="24"/>
        <v>6.8769200000000001</v>
      </c>
      <c r="AH52" s="192">
        <f t="shared" si="25"/>
        <v>1.6831349999999998</v>
      </c>
      <c r="AI52" s="692">
        <f ca="1">IF(AC52="","",AC52*SFAssumptions!$C$8/'SavingsData&amp;Analysis'!AF52)</f>
        <v>576.07263108408301</v>
      </c>
      <c r="AJ52" s="692">
        <f ca="1">IF(OR(AE52="",AF52=""),"",AE52*SFAssumptions!$C$8/AF52)</f>
        <v>6667.9167018231965</v>
      </c>
      <c r="AK52" s="191">
        <f t="shared" si="26"/>
        <v>0.935960591133005</v>
      </c>
      <c r="AL52" s="692">
        <f>IF(AK52="","",AK52*SFAssumptions!$C$3)</f>
        <v>240.27353201970445</v>
      </c>
      <c r="AM52" s="193">
        <f t="shared" si="27"/>
        <v>12.54</v>
      </c>
      <c r="AN52" s="194">
        <f>IF(AM52="","",AM52*SFAssumptions!$C$3)</f>
        <v>3219.1847819999998</v>
      </c>
      <c r="AO52" s="693">
        <f t="shared" si="28"/>
        <v>6.6</v>
      </c>
      <c r="AP52" s="693">
        <f t="shared" si="29"/>
        <v>2.0299999999999998</v>
      </c>
      <c r="AQ52" s="692">
        <f ca="1">IF(AL52="","",AL52*SFAssumptions!$C$8/'SavingsData&amp;Analysis'!AF52)</f>
        <v>477.63941276832895</v>
      </c>
      <c r="AR52" s="692">
        <f ca="1">IF(OR(AN52="",AF52=""),"",AN52*SFAssumptions!$C$8/AF52)</f>
        <v>6399.4128522700703</v>
      </c>
      <c r="AS52" s="190" t="str">
        <f>IF(OR(AG52="",AH52=""),"No",IF(AND(G52="Horizontal",AH52&gt;='Eff. Standards &amp; Certifications'!$B$21,AG52&lt;='Eff. Standards &amp; Certifications'!$C$21),"Consider",IF(AND(G52="Vertical",AH52&gt;='Eff. Standards &amp; Certifications'!$B$20,AG52&lt;='Eff. Standards &amp; Certifications'!$C$20),"Consider","No")))</f>
        <v>No</v>
      </c>
      <c r="AT52" s="190" t="str">
        <f t="shared" si="11"/>
        <v>Residential</v>
      </c>
      <c r="AU52" s="190"/>
      <c r="AV52" s="190" t="str">
        <f t="shared" si="34"/>
        <v>NO</v>
      </c>
      <c r="AW52" s="190" t="str">
        <f t="shared" si="34"/>
        <v>NO</v>
      </c>
      <c r="AX52" s="190" t="str">
        <f t="shared" si="30"/>
        <v>NO</v>
      </c>
      <c r="AY52" s="190" t="str">
        <f t="shared" si="13"/>
        <v>NO</v>
      </c>
      <c r="AZ52" s="190" t="str">
        <f t="shared" si="13"/>
        <v>NO</v>
      </c>
      <c r="BA52" s="190" t="str">
        <f t="shared" si="31"/>
        <v>NO</v>
      </c>
      <c r="BB52" s="190" t="str">
        <f t="shared" si="14"/>
        <v>NO</v>
      </c>
      <c r="BC52" s="190" t="str">
        <f t="shared" si="15"/>
        <v>NO</v>
      </c>
      <c r="BD52" s="190" t="str">
        <f t="shared" si="32"/>
        <v>NO</v>
      </c>
      <c r="BE52" s="190" t="str">
        <f t="shared" si="16"/>
        <v>NO</v>
      </c>
      <c r="BF52" s="190" t="str">
        <f t="shared" si="17"/>
        <v>NO</v>
      </c>
      <c r="BG52" s="190" t="str">
        <f t="shared" si="18"/>
        <v>NO</v>
      </c>
      <c r="BH52" s="88"/>
      <c r="BI52" s="9"/>
      <c r="BJ52" s="694" t="str">
        <f t="shared" si="35"/>
        <v/>
      </c>
      <c r="BK52" s="694" t="str">
        <f t="shared" si="35"/>
        <v/>
      </c>
      <c r="BL52" s="694" t="str">
        <f t="shared" si="36"/>
        <v/>
      </c>
      <c r="BM52" s="694" t="str">
        <f t="shared" si="36"/>
        <v/>
      </c>
      <c r="BN52" s="88"/>
      <c r="BO52" s="195"/>
      <c r="BP52" s="195"/>
      <c r="BQ52" s="195"/>
      <c r="BR52" s="195"/>
      <c r="BS52" s="195"/>
      <c r="BT52" s="195"/>
      <c r="BU52" s="195"/>
      <c r="BV52" s="195"/>
      <c r="BW52" s="195"/>
      <c r="BX52" s="195"/>
    </row>
    <row r="53" spans="1:76" s="124" customFormat="1" ht="15">
      <c r="A53" s="187">
        <v>2888</v>
      </c>
      <c r="B53" s="187" t="s">
        <v>414</v>
      </c>
      <c r="C53" s="187" t="s">
        <v>415</v>
      </c>
      <c r="D53" s="187" t="s">
        <v>421</v>
      </c>
      <c r="E53" s="187" t="s">
        <v>385</v>
      </c>
      <c r="F53" s="187" t="s">
        <v>386</v>
      </c>
      <c r="G53" s="187" t="s">
        <v>387</v>
      </c>
      <c r="H53" s="187" t="b">
        <v>0</v>
      </c>
      <c r="I53" s="187" t="s">
        <v>388</v>
      </c>
      <c r="J53" s="187" t="s">
        <v>389</v>
      </c>
      <c r="K53" s="187" t="b">
        <v>1</v>
      </c>
      <c r="L53" s="187">
        <v>3.3</v>
      </c>
      <c r="M53" s="187">
        <v>0.12</v>
      </c>
      <c r="N53" s="187">
        <v>14.27</v>
      </c>
      <c r="O53" s="187">
        <v>4.3</v>
      </c>
      <c r="P53" s="187">
        <v>9.19</v>
      </c>
      <c r="Q53" s="187"/>
      <c r="R53" s="187"/>
      <c r="S53" s="187"/>
      <c r="T53" s="187"/>
      <c r="U53" s="187">
        <v>42</v>
      </c>
      <c r="V53" s="187">
        <v>2.2400000000000002</v>
      </c>
      <c r="W53" s="188">
        <v>39314</v>
      </c>
      <c r="X53" s="691">
        <f t="shared" si="33"/>
        <v>1.8751800000000001</v>
      </c>
      <c r="Y53" s="691">
        <f t="shared" si="10"/>
        <v>4.5212599999999998</v>
      </c>
      <c r="Z53" s="189"/>
      <c r="AA53" s="190">
        <f t="shared" si="21"/>
        <v>2007</v>
      </c>
      <c r="AB53" s="191">
        <f t="shared" si="22"/>
        <v>1.7598310562186028</v>
      </c>
      <c r="AC53" s="192">
        <f>IF(AB53="","",AB53*SFAssumptions!$C$3)</f>
        <v>451.77203788436304</v>
      </c>
      <c r="AD53" s="193">
        <f t="shared" si="23"/>
        <v>14.920157999999999</v>
      </c>
      <c r="AE53" s="194">
        <f>IF(AD53="","",AD53*SFAssumptions!$C$3)</f>
        <v>3830.2029967013996</v>
      </c>
      <c r="AF53" s="192">
        <f t="shared" si="6"/>
        <v>3.3</v>
      </c>
      <c r="AG53" s="192">
        <f t="shared" si="24"/>
        <v>4.5212599999999998</v>
      </c>
      <c r="AH53" s="192">
        <f t="shared" si="25"/>
        <v>1.8751800000000001</v>
      </c>
      <c r="AI53" s="692">
        <f ca="1">IF(AC53="","",AC53*SFAssumptions!$C$8/'SavingsData&amp;Analysis'!AF53)</f>
        <v>517.07463172586506</v>
      </c>
      <c r="AJ53" s="692">
        <f ca="1">IF(OR(AE53="",AF53=""),"",AE53*SFAssumptions!$C$8/AF53)</f>
        <v>4383.8499018870571</v>
      </c>
      <c r="AK53" s="191">
        <f t="shared" si="26"/>
        <v>1.4732142857142856</v>
      </c>
      <c r="AL53" s="692">
        <f>IF(AK53="","",AK53*SFAssumptions!$C$3)</f>
        <v>378.19370089285712</v>
      </c>
      <c r="AM53" s="193">
        <f t="shared" si="27"/>
        <v>14.19</v>
      </c>
      <c r="AN53" s="194">
        <f>IF(AM53="","",AM53*SFAssumptions!$C$3)</f>
        <v>3642.7617270000001</v>
      </c>
      <c r="AO53" s="693">
        <f t="shared" si="28"/>
        <v>4.3</v>
      </c>
      <c r="AP53" s="693">
        <f t="shared" si="29"/>
        <v>2.2400000000000002</v>
      </c>
      <c r="AQ53" s="692">
        <f ca="1">IF(AL53="","",AL53*SFAssumptions!$C$8/'SavingsData&amp;Analysis'!AF53)</f>
        <v>432.86071782129812</v>
      </c>
      <c r="AR53" s="692">
        <f ca="1">IF(OR(AN53="",AF53=""),"",AN53*SFAssumptions!$C$8/AF53)</f>
        <v>4169.3144340547433</v>
      </c>
      <c r="AS53" s="190" t="str">
        <f>IF(OR(AG53="",AH53=""),"No",IF(AND(G53="Horizontal",AH53&gt;='Eff. Standards &amp; Certifications'!$B$21,AG53&lt;='Eff. Standards &amp; Certifications'!$C$21),"Consider",IF(AND(G53="Vertical",AH53&gt;='Eff. Standards &amp; Certifications'!$B$20,AG53&lt;='Eff. Standards &amp; Certifications'!$C$20),"Consider","No")))</f>
        <v>Consider</v>
      </c>
      <c r="AT53" s="190" t="str">
        <f t="shared" si="11"/>
        <v>Residential</v>
      </c>
      <c r="AU53" s="190"/>
      <c r="AV53" s="190" t="str">
        <f t="shared" si="34"/>
        <v>NO</v>
      </c>
      <c r="AW53" s="190" t="str">
        <f t="shared" si="34"/>
        <v>YES</v>
      </c>
      <c r="AX53" s="190" t="str">
        <f t="shared" si="30"/>
        <v>YES</v>
      </c>
      <c r="AY53" s="190" t="str">
        <f t="shared" si="13"/>
        <v>NO</v>
      </c>
      <c r="AZ53" s="190" t="str">
        <f t="shared" si="13"/>
        <v>YES</v>
      </c>
      <c r="BA53" s="190" t="str">
        <f t="shared" si="31"/>
        <v>YES</v>
      </c>
      <c r="BB53" s="190" t="str">
        <f t="shared" si="14"/>
        <v>NO</v>
      </c>
      <c r="BC53" s="190" t="str">
        <f t="shared" si="15"/>
        <v>NO</v>
      </c>
      <c r="BD53" s="190" t="str">
        <f t="shared" si="32"/>
        <v>NO</v>
      </c>
      <c r="BE53" s="190" t="str">
        <f t="shared" si="16"/>
        <v>NO</v>
      </c>
      <c r="BF53" s="190" t="str">
        <f t="shared" si="17"/>
        <v>NO</v>
      </c>
      <c r="BG53" s="190" t="str">
        <f t="shared" si="18"/>
        <v>NO</v>
      </c>
      <c r="BH53" s="88"/>
      <c r="BI53" s="9"/>
      <c r="BJ53" s="694" t="str">
        <f t="shared" si="35"/>
        <v/>
      </c>
      <c r="BK53" s="694">
        <f t="shared" si="35"/>
        <v>1.8751800000000001</v>
      </c>
      <c r="BL53" s="694" t="str">
        <f t="shared" si="36"/>
        <v/>
      </c>
      <c r="BM53" s="694">
        <f t="shared" si="36"/>
        <v>4.5212599999999998</v>
      </c>
      <c r="BN53" s="88"/>
      <c r="BO53" s="195"/>
      <c r="BP53" s="195"/>
      <c r="BQ53" s="195"/>
      <c r="BR53" s="195"/>
      <c r="BS53" s="195"/>
      <c r="BT53" s="195"/>
      <c r="BU53" s="195"/>
      <c r="BV53" s="195"/>
      <c r="BW53" s="195"/>
      <c r="BX53" s="195"/>
    </row>
    <row r="54" spans="1:76" s="124" customFormat="1" ht="15">
      <c r="A54" s="187">
        <v>2889</v>
      </c>
      <c r="B54" s="187" t="s">
        <v>414</v>
      </c>
      <c r="C54" s="187" t="s">
        <v>415</v>
      </c>
      <c r="D54" s="187" t="s">
        <v>422</v>
      </c>
      <c r="E54" s="187" t="s">
        <v>385</v>
      </c>
      <c r="F54" s="187" t="s">
        <v>386</v>
      </c>
      <c r="G54" s="187" t="s">
        <v>387</v>
      </c>
      <c r="H54" s="187" t="b">
        <v>0</v>
      </c>
      <c r="I54" s="187" t="s">
        <v>388</v>
      </c>
      <c r="J54" s="187" t="s">
        <v>389</v>
      </c>
      <c r="K54" s="187" t="b">
        <v>1</v>
      </c>
      <c r="L54" s="187">
        <v>3.3</v>
      </c>
      <c r="M54" s="187">
        <v>0.18</v>
      </c>
      <c r="N54" s="187">
        <v>14.35</v>
      </c>
      <c r="O54" s="187">
        <v>4.3</v>
      </c>
      <c r="P54" s="187">
        <v>8.07</v>
      </c>
      <c r="Q54" s="187"/>
      <c r="R54" s="187"/>
      <c r="S54" s="187"/>
      <c r="T54" s="187"/>
      <c r="U54" s="187">
        <v>36</v>
      </c>
      <c r="V54" s="187">
        <v>2.4300000000000002</v>
      </c>
      <c r="W54" s="188">
        <v>39314</v>
      </c>
      <c r="X54" s="691">
        <f t="shared" si="33"/>
        <v>2.0489350000000002</v>
      </c>
      <c r="Y54" s="691">
        <f t="shared" si="10"/>
        <v>4.5212599999999998</v>
      </c>
      <c r="Z54" s="189"/>
      <c r="AA54" s="190">
        <f t="shared" si="21"/>
        <v>2007</v>
      </c>
      <c r="AB54" s="191">
        <f t="shared" si="22"/>
        <v>1.6105928201724309</v>
      </c>
      <c r="AC54" s="192">
        <f>IF(AB54="","",AB54*SFAssumptions!$C$3)</f>
        <v>413.46059782277132</v>
      </c>
      <c r="AD54" s="193">
        <f t="shared" si="23"/>
        <v>14.920157999999999</v>
      </c>
      <c r="AE54" s="194">
        <f>IF(AD54="","",AD54*SFAssumptions!$C$3)</f>
        <v>3830.2029967013996</v>
      </c>
      <c r="AF54" s="192">
        <f t="shared" si="6"/>
        <v>3.3</v>
      </c>
      <c r="AG54" s="192">
        <f t="shared" si="24"/>
        <v>4.5212599999999998</v>
      </c>
      <c r="AH54" s="192">
        <f t="shared" si="25"/>
        <v>2.0489350000000002</v>
      </c>
      <c r="AI54" s="692">
        <f ca="1">IF(AC54="","",AC54*SFAssumptions!$C$8/'SavingsData&amp;Analysis'!AF54)</f>
        <v>473.22536240520446</v>
      </c>
      <c r="AJ54" s="692">
        <f ca="1">IF(OR(AE54="",AF54=""),"",AE54*SFAssumptions!$C$8/AF54)</f>
        <v>4383.8499018870571</v>
      </c>
      <c r="AK54" s="191">
        <f t="shared" si="26"/>
        <v>1.3580246913580245</v>
      </c>
      <c r="AL54" s="692">
        <f>IF(AK54="","",AK54*SFAssumptions!$C$3)</f>
        <v>348.62299999999993</v>
      </c>
      <c r="AM54" s="193">
        <f t="shared" si="27"/>
        <v>14.19</v>
      </c>
      <c r="AN54" s="194">
        <f>IF(AM54="","",AM54*SFAssumptions!$C$3)</f>
        <v>3642.7617270000001</v>
      </c>
      <c r="AO54" s="693">
        <f t="shared" si="28"/>
        <v>4.3</v>
      </c>
      <c r="AP54" s="693">
        <f t="shared" si="29"/>
        <v>2.4300000000000002</v>
      </c>
      <c r="AQ54" s="692">
        <f ca="1">IF(AL54="","",AL54*SFAssumptions!$C$8/'SavingsData&amp;Analysis'!AF54)</f>
        <v>399.01564111922124</v>
      </c>
      <c r="AR54" s="692">
        <f ca="1">IF(OR(AN54="",AF54=""),"",AN54*SFAssumptions!$C$8/AF54)</f>
        <v>4169.3144340547433</v>
      </c>
      <c r="AS54" s="190" t="str">
        <f>IF(OR(AG54="",AH54=""),"No",IF(AND(G54="Horizontal",AH54&gt;='Eff. Standards &amp; Certifications'!$B$21,AG54&lt;='Eff. Standards &amp; Certifications'!$C$21),"Consider",IF(AND(G54="Vertical",AH54&gt;='Eff. Standards &amp; Certifications'!$B$20,AG54&lt;='Eff. Standards &amp; Certifications'!$C$20),"Consider","No")))</f>
        <v>Consider</v>
      </c>
      <c r="AT54" s="190" t="str">
        <f t="shared" si="11"/>
        <v>Residential</v>
      </c>
      <c r="AU54" s="190"/>
      <c r="AV54" s="190" t="str">
        <f t="shared" si="34"/>
        <v>NO</v>
      </c>
      <c r="AW54" s="190" t="str">
        <f t="shared" si="34"/>
        <v>YES</v>
      </c>
      <c r="AX54" s="190" t="str">
        <f t="shared" si="30"/>
        <v>YES</v>
      </c>
      <c r="AY54" s="190" t="str">
        <f t="shared" si="13"/>
        <v>NO</v>
      </c>
      <c r="AZ54" s="190" t="str">
        <f t="shared" si="13"/>
        <v>YES</v>
      </c>
      <c r="BA54" s="190" t="str">
        <f t="shared" si="31"/>
        <v>YES</v>
      </c>
      <c r="BB54" s="190" t="str">
        <f t="shared" si="14"/>
        <v>NO</v>
      </c>
      <c r="BC54" s="190" t="str">
        <f t="shared" si="15"/>
        <v>NO</v>
      </c>
      <c r="BD54" s="190" t="str">
        <f t="shared" si="32"/>
        <v>NO</v>
      </c>
      <c r="BE54" s="190" t="str">
        <f t="shared" si="16"/>
        <v>NO</v>
      </c>
      <c r="BF54" s="190" t="str">
        <f t="shared" si="17"/>
        <v>NO</v>
      </c>
      <c r="BG54" s="190" t="str">
        <f t="shared" si="18"/>
        <v>NO</v>
      </c>
      <c r="BH54" s="88"/>
      <c r="BI54" s="9"/>
      <c r="BJ54" s="694" t="str">
        <f t="shared" si="35"/>
        <v/>
      </c>
      <c r="BK54" s="694">
        <f t="shared" si="35"/>
        <v>2.0489350000000002</v>
      </c>
      <c r="BL54" s="694" t="str">
        <f t="shared" si="36"/>
        <v/>
      </c>
      <c r="BM54" s="694">
        <f t="shared" si="36"/>
        <v>4.5212599999999998</v>
      </c>
      <c r="BN54" s="88"/>
      <c r="BO54" s="195"/>
      <c r="BP54" s="195"/>
      <c r="BQ54" s="195"/>
      <c r="BR54" s="195"/>
      <c r="BS54" s="195"/>
      <c r="BT54" s="195"/>
      <c r="BU54" s="195"/>
      <c r="BV54" s="195"/>
      <c r="BW54" s="195"/>
      <c r="BX54" s="195"/>
    </row>
    <row r="55" spans="1:76" s="124" customFormat="1" ht="15">
      <c r="A55" s="187">
        <v>2890</v>
      </c>
      <c r="B55" s="187" t="s">
        <v>414</v>
      </c>
      <c r="C55" s="187" t="s">
        <v>415</v>
      </c>
      <c r="D55" s="187" t="s">
        <v>423</v>
      </c>
      <c r="E55" s="187" t="s">
        <v>385</v>
      </c>
      <c r="F55" s="187" t="s">
        <v>386</v>
      </c>
      <c r="G55" s="187" t="s">
        <v>387</v>
      </c>
      <c r="H55" s="187" t="b">
        <v>0</v>
      </c>
      <c r="I55" s="187" t="s">
        <v>388</v>
      </c>
      <c r="J55" s="187" t="s">
        <v>389</v>
      </c>
      <c r="K55" s="187" t="b">
        <v>1</v>
      </c>
      <c r="L55" s="187">
        <v>3.3</v>
      </c>
      <c r="M55" s="187">
        <v>0.2</v>
      </c>
      <c r="N55" s="187">
        <v>14.05</v>
      </c>
      <c r="O55" s="187">
        <v>4.2</v>
      </c>
      <c r="P55" s="187">
        <v>7.88</v>
      </c>
      <c r="Q55" s="187"/>
      <c r="R55" s="187"/>
      <c r="S55" s="187"/>
      <c r="T55" s="187"/>
      <c r="U55" s="187">
        <v>36</v>
      </c>
      <c r="V55" s="187">
        <v>2.4</v>
      </c>
      <c r="W55" s="188">
        <v>39314</v>
      </c>
      <c r="X55" s="691">
        <f t="shared" si="33"/>
        <v>2.0214999999999996</v>
      </c>
      <c r="Y55" s="691">
        <f t="shared" si="10"/>
        <v>4.4188400000000003</v>
      </c>
      <c r="Z55" s="189"/>
      <c r="AA55" s="190">
        <f t="shared" si="21"/>
        <v>2007</v>
      </c>
      <c r="AB55" s="191">
        <f t="shared" si="22"/>
        <v>1.6324511501360377</v>
      </c>
      <c r="AC55" s="192">
        <f>IF(AB55="","",AB55*SFAssumptions!$C$3)</f>
        <v>419.07192184021767</v>
      </c>
      <c r="AD55" s="193">
        <f t="shared" si="23"/>
        <v>14.582172</v>
      </c>
      <c r="AE55" s="194">
        <f>IF(AD55="","",AD55*SFAssumptions!$C$3)</f>
        <v>3743.4374952876001</v>
      </c>
      <c r="AF55" s="192">
        <f t="shared" si="6"/>
        <v>3.3</v>
      </c>
      <c r="AG55" s="192">
        <f t="shared" si="24"/>
        <v>4.4188400000000003</v>
      </c>
      <c r="AH55" s="192">
        <f t="shared" si="25"/>
        <v>2.0214999999999996</v>
      </c>
      <c r="AI55" s="692">
        <f ca="1">IF(AC55="","",AC55*SFAssumptions!$C$8/'SavingsData&amp;Analysis'!AF55)</f>
        <v>479.64779021504216</v>
      </c>
      <c r="AJ55" s="692">
        <f ca="1">IF(OR(AE55="",AF55=""),"",AE55*SFAssumptions!$C$8/AF55)</f>
        <v>4284.5426497159215</v>
      </c>
      <c r="AK55" s="191">
        <f t="shared" si="26"/>
        <v>1.375</v>
      </c>
      <c r="AL55" s="692">
        <f>IF(AK55="","",AK55*SFAssumptions!$C$3)</f>
        <v>352.98078750000002</v>
      </c>
      <c r="AM55" s="193">
        <f t="shared" si="27"/>
        <v>13.86</v>
      </c>
      <c r="AN55" s="194">
        <f>IF(AM55="","",AM55*SFAssumptions!$C$3)</f>
        <v>3558.0463380000001</v>
      </c>
      <c r="AO55" s="693">
        <f t="shared" si="28"/>
        <v>4.2</v>
      </c>
      <c r="AP55" s="693">
        <f t="shared" si="29"/>
        <v>2.4</v>
      </c>
      <c r="AQ55" s="692">
        <f ca="1">IF(AL55="","",AL55*SFAssumptions!$C$8/'SavingsData&amp;Analysis'!AF55)</f>
        <v>404.00333663321157</v>
      </c>
      <c r="AR55" s="692">
        <f ca="1">IF(OR(AN55="",AF55=""),"",AN55*SFAssumptions!$C$8/AF55)</f>
        <v>4072.3536332627727</v>
      </c>
      <c r="AS55" s="190" t="str">
        <f>IF(OR(AG55="",AH55=""),"No",IF(AND(G55="Horizontal",AH55&gt;='Eff. Standards &amp; Certifications'!$B$21,AG55&lt;='Eff. Standards &amp; Certifications'!$C$21),"Consider",IF(AND(G55="Vertical",AH55&gt;='Eff. Standards &amp; Certifications'!$B$20,AG55&lt;='Eff. Standards &amp; Certifications'!$C$20),"Consider","No")))</f>
        <v>Consider</v>
      </c>
      <c r="AT55" s="190" t="str">
        <f t="shared" si="11"/>
        <v>Residential</v>
      </c>
      <c r="AU55" s="190"/>
      <c r="AV55" s="190" t="str">
        <f t="shared" si="34"/>
        <v>NO</v>
      </c>
      <c r="AW55" s="190" t="str">
        <f t="shared" si="34"/>
        <v>YES</v>
      </c>
      <c r="AX55" s="190" t="str">
        <f t="shared" si="30"/>
        <v>YES</v>
      </c>
      <c r="AY55" s="190" t="str">
        <f t="shared" si="13"/>
        <v>NO</v>
      </c>
      <c r="AZ55" s="190" t="str">
        <f t="shared" si="13"/>
        <v>YES</v>
      </c>
      <c r="BA55" s="190" t="str">
        <f t="shared" si="31"/>
        <v>YES</v>
      </c>
      <c r="BB55" s="190" t="str">
        <f t="shared" si="14"/>
        <v>NO</v>
      </c>
      <c r="BC55" s="190" t="str">
        <f t="shared" si="15"/>
        <v>NO</v>
      </c>
      <c r="BD55" s="190" t="str">
        <f t="shared" si="32"/>
        <v>NO</v>
      </c>
      <c r="BE55" s="190" t="str">
        <f t="shared" si="16"/>
        <v>NO</v>
      </c>
      <c r="BF55" s="190" t="str">
        <f t="shared" si="17"/>
        <v>NO</v>
      </c>
      <c r="BG55" s="190" t="str">
        <f t="shared" si="18"/>
        <v>NO</v>
      </c>
      <c r="BH55" s="88"/>
      <c r="BI55" s="9"/>
      <c r="BJ55" s="694" t="str">
        <f t="shared" si="35"/>
        <v/>
      </c>
      <c r="BK55" s="694">
        <f t="shared" si="35"/>
        <v>2.0214999999999996</v>
      </c>
      <c r="BL55" s="694" t="str">
        <f t="shared" si="36"/>
        <v/>
      </c>
      <c r="BM55" s="694">
        <f t="shared" si="36"/>
        <v>4.4188400000000003</v>
      </c>
      <c r="BN55" s="88"/>
      <c r="BO55" s="195"/>
      <c r="BP55" s="195"/>
      <c r="BQ55" s="195"/>
      <c r="BR55" s="195"/>
      <c r="BS55" s="195"/>
      <c r="BT55" s="195"/>
      <c r="BU55" s="195"/>
      <c r="BV55" s="195"/>
      <c r="BW55" s="195"/>
      <c r="BX55" s="195"/>
    </row>
    <row r="56" spans="1:76" s="124" customFormat="1" ht="15">
      <c r="A56" s="187">
        <v>2893</v>
      </c>
      <c r="B56" s="187" t="s">
        <v>414</v>
      </c>
      <c r="C56" s="187" t="s">
        <v>415</v>
      </c>
      <c r="D56" s="187" t="s">
        <v>424</v>
      </c>
      <c r="E56" s="187" t="s">
        <v>385</v>
      </c>
      <c r="F56" s="187" t="s">
        <v>386</v>
      </c>
      <c r="G56" s="187" t="s">
        <v>387</v>
      </c>
      <c r="H56" s="187" t="b">
        <v>0</v>
      </c>
      <c r="I56" s="187" t="s">
        <v>388</v>
      </c>
      <c r="J56" s="187" t="s">
        <v>389</v>
      </c>
      <c r="K56" s="187" t="b">
        <v>1</v>
      </c>
      <c r="L56" s="187">
        <v>3.3</v>
      </c>
      <c r="M56" s="187">
        <v>0.18</v>
      </c>
      <c r="N56" s="187">
        <v>15.06</v>
      </c>
      <c r="O56" s="187">
        <v>4.5999999999999996</v>
      </c>
      <c r="P56" s="187">
        <v>9.19</v>
      </c>
      <c r="Q56" s="187"/>
      <c r="R56" s="187"/>
      <c r="S56" s="187"/>
      <c r="T56" s="187"/>
      <c r="U56" s="187">
        <v>37</v>
      </c>
      <c r="V56" s="187">
        <v>2.4700000000000002</v>
      </c>
      <c r="W56" s="188">
        <v>39314</v>
      </c>
      <c r="X56" s="691">
        <f t="shared" si="33"/>
        <v>2.085515</v>
      </c>
      <c r="Y56" s="691">
        <f t="shared" si="10"/>
        <v>4.8285200000000001</v>
      </c>
      <c r="Z56" s="189"/>
      <c r="AA56" s="190">
        <f t="shared" si="21"/>
        <v>2007</v>
      </c>
      <c r="AB56" s="191">
        <f t="shared" si="22"/>
        <v>1.5823429704413536</v>
      </c>
      <c r="AC56" s="192">
        <f>IF(AB56="","",AB56*SFAssumptions!$C$3)</f>
        <v>406.20848567380233</v>
      </c>
      <c r="AD56" s="193">
        <f t="shared" si="23"/>
        <v>15.934116</v>
      </c>
      <c r="AE56" s="194">
        <f>IF(AD56="","",AD56*SFAssumptions!$C$3)</f>
        <v>4090.4995009427998</v>
      </c>
      <c r="AF56" s="192">
        <f t="shared" si="6"/>
        <v>3.3</v>
      </c>
      <c r="AG56" s="192">
        <f t="shared" si="24"/>
        <v>4.8285200000000001</v>
      </c>
      <c r="AH56" s="192">
        <f t="shared" si="25"/>
        <v>2.085515</v>
      </c>
      <c r="AI56" s="692">
        <f ca="1">IF(AC56="","",AC56*SFAssumptions!$C$8/'SavingsData&amp;Analysis'!AF56)</f>
        <v>464.92497436830115</v>
      </c>
      <c r="AJ56" s="692">
        <f ca="1">IF(OR(AE56="",AF56=""),"",AE56*SFAssumptions!$C$8/AF56)</f>
        <v>4681.7716584004665</v>
      </c>
      <c r="AK56" s="191">
        <f t="shared" si="26"/>
        <v>1.3360323886639673</v>
      </c>
      <c r="AL56" s="692">
        <f>IF(AK56="","",AK56*SFAssumptions!$C$3)</f>
        <v>342.97728340080965</v>
      </c>
      <c r="AM56" s="193">
        <f t="shared" si="27"/>
        <v>15.179999999999998</v>
      </c>
      <c r="AN56" s="194">
        <f>IF(AM56="","",AM56*SFAssumptions!$C$3)</f>
        <v>3896.9078939999995</v>
      </c>
      <c r="AO56" s="693">
        <f t="shared" si="28"/>
        <v>4.5999999999999996</v>
      </c>
      <c r="AP56" s="693">
        <f t="shared" si="29"/>
        <v>2.4700000000000002</v>
      </c>
      <c r="AQ56" s="692">
        <f ca="1">IF(AL56="","",AL56*SFAssumptions!$C$8/'SavingsData&amp;Analysis'!AF56)</f>
        <v>392.5538493602055</v>
      </c>
      <c r="AR56" s="692">
        <f ca="1">IF(OR(AN56="",AF56=""),"",AN56*SFAssumptions!$C$8/AF56)</f>
        <v>4460.1968364306549</v>
      </c>
      <c r="AS56" s="190" t="str">
        <f>IF(OR(AG56="",AH56=""),"No",IF(AND(G56="Horizontal",AH56&gt;='Eff. Standards &amp; Certifications'!$B$21,AG56&lt;='Eff. Standards &amp; Certifications'!$C$21),"Consider",IF(AND(G56="Vertical",AH56&gt;='Eff. Standards &amp; Certifications'!$B$20,AG56&lt;='Eff. Standards &amp; Certifications'!$C$20),"Consider","No")))</f>
        <v>No</v>
      </c>
      <c r="AT56" s="190" t="str">
        <f t="shared" si="11"/>
        <v>Residential</v>
      </c>
      <c r="AU56" s="190"/>
      <c r="AV56" s="190" t="str">
        <f t="shared" si="34"/>
        <v>NO</v>
      </c>
      <c r="AW56" s="190" t="str">
        <f t="shared" si="34"/>
        <v>NO</v>
      </c>
      <c r="AX56" s="190" t="str">
        <f t="shared" si="30"/>
        <v>NO</v>
      </c>
      <c r="AY56" s="190" t="str">
        <f t="shared" si="13"/>
        <v>NO</v>
      </c>
      <c r="AZ56" s="190" t="str">
        <f t="shared" si="13"/>
        <v>NO</v>
      </c>
      <c r="BA56" s="190" t="str">
        <f t="shared" si="31"/>
        <v>NO</v>
      </c>
      <c r="BB56" s="190" t="str">
        <f t="shared" si="14"/>
        <v>NO</v>
      </c>
      <c r="BC56" s="190" t="str">
        <f t="shared" si="15"/>
        <v>NO</v>
      </c>
      <c r="BD56" s="190" t="str">
        <f t="shared" si="32"/>
        <v>NO</v>
      </c>
      <c r="BE56" s="190" t="str">
        <f t="shared" si="16"/>
        <v>NO</v>
      </c>
      <c r="BF56" s="190" t="str">
        <f t="shared" si="17"/>
        <v>NO</v>
      </c>
      <c r="BG56" s="190" t="str">
        <f t="shared" si="18"/>
        <v>NO</v>
      </c>
      <c r="BH56" s="88"/>
      <c r="BI56" s="9"/>
      <c r="BJ56" s="694" t="str">
        <f t="shared" si="35"/>
        <v/>
      </c>
      <c r="BK56" s="694" t="str">
        <f t="shared" si="35"/>
        <v/>
      </c>
      <c r="BL56" s="694" t="str">
        <f t="shared" si="36"/>
        <v/>
      </c>
      <c r="BM56" s="694" t="str">
        <f t="shared" si="36"/>
        <v/>
      </c>
      <c r="BN56" s="88"/>
      <c r="BO56" s="195"/>
      <c r="BP56" s="195"/>
      <c r="BQ56" s="195"/>
      <c r="BR56" s="195"/>
      <c r="BS56" s="195"/>
      <c r="BT56" s="195"/>
      <c r="BU56" s="195"/>
      <c r="BV56" s="195"/>
      <c r="BW56" s="195"/>
      <c r="BX56" s="195"/>
    </row>
    <row r="57" spans="1:76" s="124" customFormat="1" ht="15">
      <c r="A57" s="187">
        <v>2895</v>
      </c>
      <c r="B57" s="187" t="s">
        <v>414</v>
      </c>
      <c r="C57" s="187" t="s">
        <v>415</v>
      </c>
      <c r="D57" s="187" t="s">
        <v>425</v>
      </c>
      <c r="E57" s="187" t="s">
        <v>385</v>
      </c>
      <c r="F57" s="187" t="s">
        <v>386</v>
      </c>
      <c r="G57" s="187" t="s">
        <v>387</v>
      </c>
      <c r="H57" s="187" t="b">
        <v>0</v>
      </c>
      <c r="I57" s="187" t="s">
        <v>388</v>
      </c>
      <c r="J57" s="187" t="s">
        <v>389</v>
      </c>
      <c r="K57" s="187" t="b">
        <v>1</v>
      </c>
      <c r="L57" s="187">
        <v>3.3</v>
      </c>
      <c r="M57" s="187">
        <v>0.19</v>
      </c>
      <c r="N57" s="187">
        <v>13.44</v>
      </c>
      <c r="O57" s="187">
        <v>4.0999999999999996</v>
      </c>
      <c r="P57" s="187">
        <v>7.88</v>
      </c>
      <c r="Q57" s="187"/>
      <c r="R57" s="187"/>
      <c r="S57" s="187"/>
      <c r="T57" s="187"/>
      <c r="U57" s="187">
        <v>36</v>
      </c>
      <c r="V57" s="187">
        <v>2.4300000000000002</v>
      </c>
      <c r="W57" s="188">
        <v>39314</v>
      </c>
      <c r="X57" s="691">
        <f t="shared" si="33"/>
        <v>2.0489350000000002</v>
      </c>
      <c r="Y57" s="691">
        <f t="shared" si="10"/>
        <v>4.3164199999999999</v>
      </c>
      <c r="Z57" s="189"/>
      <c r="AA57" s="190">
        <f t="shared" si="21"/>
        <v>2007</v>
      </c>
      <c r="AB57" s="191">
        <f t="shared" si="22"/>
        <v>1.6105928201724309</v>
      </c>
      <c r="AC57" s="192">
        <f>IF(AB57="","",AB57*SFAssumptions!$C$3)</f>
        <v>413.46059782277132</v>
      </c>
      <c r="AD57" s="193">
        <f t="shared" si="23"/>
        <v>14.244185999999999</v>
      </c>
      <c r="AE57" s="194">
        <f>IF(AD57="","",AD57*SFAssumptions!$C$3)</f>
        <v>3656.6719938737997</v>
      </c>
      <c r="AF57" s="192">
        <f t="shared" si="6"/>
        <v>3.3</v>
      </c>
      <c r="AG57" s="192">
        <f t="shared" si="24"/>
        <v>4.3164199999999999</v>
      </c>
      <c r="AH57" s="192">
        <f t="shared" si="25"/>
        <v>2.0489350000000002</v>
      </c>
      <c r="AI57" s="692">
        <f ca="1">IF(AC57="","",AC57*SFAssumptions!$C$8/'SavingsData&amp;Analysis'!AF57)</f>
        <v>473.22536240520446</v>
      </c>
      <c r="AJ57" s="692">
        <f ca="1">IF(OR(AE57="",AF57=""),"",AE57*SFAssumptions!$C$8/AF57)</f>
        <v>4185.2353975447841</v>
      </c>
      <c r="AK57" s="191">
        <f t="shared" si="26"/>
        <v>1.3580246913580245</v>
      </c>
      <c r="AL57" s="692">
        <f>IF(AK57="","",AK57*SFAssumptions!$C$3)</f>
        <v>348.62299999999993</v>
      </c>
      <c r="AM57" s="193">
        <f t="shared" si="27"/>
        <v>13.529999999999998</v>
      </c>
      <c r="AN57" s="194">
        <f>IF(AM57="","",AM57*SFAssumptions!$C$3)</f>
        <v>3473.3309489999992</v>
      </c>
      <c r="AO57" s="693">
        <f t="shared" si="28"/>
        <v>4.0999999999999996</v>
      </c>
      <c r="AP57" s="693">
        <f t="shared" si="29"/>
        <v>2.4300000000000002</v>
      </c>
      <c r="AQ57" s="692">
        <f ca="1">IF(AL57="","",AL57*SFAssumptions!$C$8/'SavingsData&amp;Analysis'!AF57)</f>
        <v>399.01564111922124</v>
      </c>
      <c r="AR57" s="692">
        <f ca="1">IF(OR(AN57="",AF57=""),"",AN57*SFAssumptions!$C$8/AF57)</f>
        <v>3975.3928324708008</v>
      </c>
      <c r="AS57" s="190" t="str">
        <f>IF(OR(AG57="",AH57=""),"No",IF(AND(G57="Horizontal",AH57&gt;='Eff. Standards &amp; Certifications'!$B$21,AG57&lt;='Eff. Standards &amp; Certifications'!$C$21),"Consider",IF(AND(G57="Vertical",AH57&gt;='Eff. Standards &amp; Certifications'!$B$20,AG57&lt;='Eff. Standards &amp; Certifications'!$C$20),"Consider","No")))</f>
        <v>Consider</v>
      </c>
      <c r="AT57" s="190" t="str">
        <f t="shared" si="11"/>
        <v>Residential</v>
      </c>
      <c r="AU57" s="190"/>
      <c r="AV57" s="190" t="str">
        <f t="shared" si="34"/>
        <v>NO</v>
      </c>
      <c r="AW57" s="190" t="str">
        <f t="shared" si="34"/>
        <v>YES</v>
      </c>
      <c r="AX57" s="190" t="str">
        <f t="shared" si="30"/>
        <v>YES</v>
      </c>
      <c r="AY57" s="190" t="str">
        <f t="shared" si="13"/>
        <v>NO</v>
      </c>
      <c r="AZ57" s="190" t="str">
        <f t="shared" si="13"/>
        <v>YES</v>
      </c>
      <c r="BA57" s="190" t="str">
        <f t="shared" si="31"/>
        <v>YES</v>
      </c>
      <c r="BB57" s="190" t="str">
        <f t="shared" si="14"/>
        <v>NO</v>
      </c>
      <c r="BC57" s="190" t="str">
        <f t="shared" si="15"/>
        <v>NO</v>
      </c>
      <c r="BD57" s="190" t="str">
        <f t="shared" si="32"/>
        <v>NO</v>
      </c>
      <c r="BE57" s="190" t="str">
        <f t="shared" si="16"/>
        <v>NO</v>
      </c>
      <c r="BF57" s="190" t="str">
        <f t="shared" si="17"/>
        <v>NO</v>
      </c>
      <c r="BG57" s="190" t="str">
        <f t="shared" si="18"/>
        <v>NO</v>
      </c>
      <c r="BH57" s="88"/>
      <c r="BI57" s="9"/>
      <c r="BJ57" s="694" t="str">
        <f t="shared" si="35"/>
        <v/>
      </c>
      <c r="BK57" s="694">
        <f t="shared" si="35"/>
        <v>2.0489350000000002</v>
      </c>
      <c r="BL57" s="694" t="str">
        <f t="shared" si="36"/>
        <v/>
      </c>
      <c r="BM57" s="694">
        <f t="shared" si="36"/>
        <v>4.3164199999999999</v>
      </c>
      <c r="BN57" s="88"/>
      <c r="BO57" s="195"/>
      <c r="BP57" s="195"/>
      <c r="BQ57" s="195"/>
      <c r="BR57" s="195"/>
      <c r="BS57" s="195"/>
      <c r="BT57" s="195"/>
      <c r="BU57" s="195"/>
      <c r="BV57" s="195"/>
      <c r="BW57" s="195"/>
      <c r="BX57" s="195"/>
    </row>
    <row r="58" spans="1:76" s="124" customFormat="1" ht="15">
      <c r="A58" s="187">
        <v>2897</v>
      </c>
      <c r="B58" s="187" t="s">
        <v>414</v>
      </c>
      <c r="C58" s="187" t="s">
        <v>415</v>
      </c>
      <c r="D58" s="187" t="s">
        <v>426</v>
      </c>
      <c r="E58" s="187" t="s">
        <v>385</v>
      </c>
      <c r="F58" s="187" t="s">
        <v>386</v>
      </c>
      <c r="G58" s="187" t="s">
        <v>387</v>
      </c>
      <c r="H58" s="187" t="b">
        <v>0</v>
      </c>
      <c r="I58" s="187" t="s">
        <v>388</v>
      </c>
      <c r="J58" s="187" t="s">
        <v>389</v>
      </c>
      <c r="K58" s="187" t="b">
        <v>1</v>
      </c>
      <c r="L58" s="187">
        <v>3.3</v>
      </c>
      <c r="M58" s="187">
        <v>0.19</v>
      </c>
      <c r="N58" s="187">
        <v>13.68</v>
      </c>
      <c r="O58" s="187">
        <v>4.0999999999999996</v>
      </c>
      <c r="P58" s="187">
        <v>8.7100000000000009</v>
      </c>
      <c r="Q58" s="187"/>
      <c r="R58" s="187"/>
      <c r="S58" s="187"/>
      <c r="T58" s="187"/>
      <c r="U58" s="187">
        <v>35</v>
      </c>
      <c r="V58" s="187">
        <v>2.5499999999999998</v>
      </c>
      <c r="W58" s="188">
        <v>39314</v>
      </c>
      <c r="X58" s="691">
        <f t="shared" si="33"/>
        <v>2.1586749999999997</v>
      </c>
      <c r="Y58" s="691">
        <f t="shared" si="10"/>
        <v>4.3164199999999999</v>
      </c>
      <c r="Z58" s="189"/>
      <c r="AA58" s="190">
        <f t="shared" si="21"/>
        <v>2007</v>
      </c>
      <c r="AB58" s="191">
        <f t="shared" si="22"/>
        <v>1.5287155315181769</v>
      </c>
      <c r="AC58" s="192">
        <f>IF(AB58="","",AB58*SFAssumptions!$C$3)</f>
        <v>392.44160885728519</v>
      </c>
      <c r="AD58" s="193">
        <f t="shared" si="23"/>
        <v>14.244185999999999</v>
      </c>
      <c r="AE58" s="194">
        <f>IF(AD58="","",AD58*SFAssumptions!$C$3)</f>
        <v>3656.6719938737997</v>
      </c>
      <c r="AF58" s="192">
        <f t="shared" si="6"/>
        <v>3.3</v>
      </c>
      <c r="AG58" s="192">
        <f t="shared" si="24"/>
        <v>4.3164199999999999</v>
      </c>
      <c r="AH58" s="192">
        <f t="shared" si="25"/>
        <v>2.1586749999999997</v>
      </c>
      <c r="AI58" s="692">
        <f ca="1">IF(AC58="","",AC58*SFAssumptions!$C$8/'SavingsData&amp;Analysis'!AF58)</f>
        <v>449.16812763371411</v>
      </c>
      <c r="AJ58" s="692">
        <f ca="1">IF(OR(AE58="",AF58=""),"",AE58*SFAssumptions!$C$8/AF58)</f>
        <v>4185.2353975447841</v>
      </c>
      <c r="AK58" s="191">
        <f t="shared" si="26"/>
        <v>1.2941176470588236</v>
      </c>
      <c r="AL58" s="692">
        <f>IF(AK58="","",AK58*SFAssumptions!$C$3)</f>
        <v>332.21721176470589</v>
      </c>
      <c r="AM58" s="193">
        <f t="shared" si="27"/>
        <v>13.529999999999998</v>
      </c>
      <c r="AN58" s="194">
        <f>IF(AM58="","",AM58*SFAssumptions!$C$3)</f>
        <v>3473.3309489999992</v>
      </c>
      <c r="AO58" s="693">
        <f t="shared" si="28"/>
        <v>4.0999999999999996</v>
      </c>
      <c r="AP58" s="693">
        <f t="shared" si="29"/>
        <v>2.5499999999999998</v>
      </c>
      <c r="AQ58" s="692">
        <f ca="1">IF(AL58="","",AL58*SFAssumptions!$C$8/'SavingsData&amp;Analysis'!AF58)</f>
        <v>380.23843447831678</v>
      </c>
      <c r="AR58" s="692">
        <f ca="1">IF(OR(AN58="",AF58=""),"",AN58*SFAssumptions!$C$8/AF58)</f>
        <v>3975.3928324708008</v>
      </c>
      <c r="AS58" s="190" t="str">
        <f>IF(OR(AG58="",AH58=""),"No",IF(AND(G58="Horizontal",AH58&gt;='Eff. Standards &amp; Certifications'!$B$21,AG58&lt;='Eff. Standards &amp; Certifications'!$C$21),"Consider",IF(AND(G58="Vertical",AH58&gt;='Eff. Standards &amp; Certifications'!$B$20,AG58&lt;='Eff. Standards &amp; Certifications'!$C$20),"Consider","No")))</f>
        <v>Consider</v>
      </c>
      <c r="AT58" s="190" t="str">
        <f t="shared" si="11"/>
        <v>Residential</v>
      </c>
      <c r="AU58" s="190"/>
      <c r="AV58" s="190" t="str">
        <f t="shared" si="34"/>
        <v>NO</v>
      </c>
      <c r="AW58" s="190" t="str">
        <f t="shared" si="34"/>
        <v>YES</v>
      </c>
      <c r="AX58" s="190" t="str">
        <f t="shared" si="30"/>
        <v>YES</v>
      </c>
      <c r="AY58" s="190" t="str">
        <f t="shared" si="13"/>
        <v>NO</v>
      </c>
      <c r="AZ58" s="190" t="str">
        <f t="shared" si="13"/>
        <v>YES</v>
      </c>
      <c r="BA58" s="190" t="str">
        <f t="shared" si="31"/>
        <v>YES</v>
      </c>
      <c r="BB58" s="190" t="str">
        <f t="shared" si="14"/>
        <v>NO</v>
      </c>
      <c r="BC58" s="190" t="str">
        <f t="shared" si="15"/>
        <v>NO</v>
      </c>
      <c r="BD58" s="190" t="str">
        <f t="shared" si="32"/>
        <v>NO</v>
      </c>
      <c r="BE58" s="190" t="str">
        <f t="shared" si="16"/>
        <v>NO</v>
      </c>
      <c r="BF58" s="190" t="str">
        <f t="shared" si="17"/>
        <v>NO</v>
      </c>
      <c r="BG58" s="190" t="str">
        <f t="shared" si="18"/>
        <v>NO</v>
      </c>
      <c r="BH58" s="88"/>
      <c r="BI58" s="9"/>
      <c r="BJ58" s="694" t="str">
        <f t="shared" si="35"/>
        <v/>
      </c>
      <c r="BK58" s="694">
        <f t="shared" si="35"/>
        <v>2.1586749999999997</v>
      </c>
      <c r="BL58" s="694" t="str">
        <f t="shared" si="36"/>
        <v/>
      </c>
      <c r="BM58" s="694">
        <f t="shared" si="36"/>
        <v>4.3164199999999999</v>
      </c>
      <c r="BN58" s="88"/>
      <c r="BO58" s="195"/>
      <c r="BP58" s="195"/>
      <c r="BQ58" s="195"/>
      <c r="BR58" s="195"/>
      <c r="BS58" s="195"/>
      <c r="BT58" s="195"/>
      <c r="BU58" s="195"/>
      <c r="BV58" s="195"/>
      <c r="BW58" s="195"/>
      <c r="BX58" s="195"/>
    </row>
    <row r="59" spans="1:76" s="124" customFormat="1" ht="15">
      <c r="A59" s="187">
        <v>2900</v>
      </c>
      <c r="B59" s="187" t="s">
        <v>414</v>
      </c>
      <c r="C59" s="187" t="s">
        <v>415</v>
      </c>
      <c r="D59" s="187" t="s">
        <v>427</v>
      </c>
      <c r="E59" s="187" t="s">
        <v>385</v>
      </c>
      <c r="F59" s="187" t="s">
        <v>386</v>
      </c>
      <c r="G59" s="187" t="s">
        <v>387</v>
      </c>
      <c r="H59" s="187" t="b">
        <v>0</v>
      </c>
      <c r="I59" s="187" t="s">
        <v>388</v>
      </c>
      <c r="J59" s="187" t="s">
        <v>389</v>
      </c>
      <c r="K59" s="187" t="b">
        <v>1</v>
      </c>
      <c r="L59" s="187">
        <v>1.9</v>
      </c>
      <c r="M59" s="187">
        <v>0.17</v>
      </c>
      <c r="N59" s="187">
        <v>10.92</v>
      </c>
      <c r="O59" s="187">
        <v>5.9</v>
      </c>
      <c r="P59" s="187">
        <v>5.14</v>
      </c>
      <c r="Q59" s="187"/>
      <c r="R59" s="187"/>
      <c r="S59" s="187"/>
      <c r="T59" s="187"/>
      <c r="U59" s="187">
        <v>37</v>
      </c>
      <c r="V59" s="187">
        <v>2.06</v>
      </c>
      <c r="W59" s="188">
        <v>39314</v>
      </c>
      <c r="X59" s="691">
        <f t="shared" si="33"/>
        <v>1.7105699999999999</v>
      </c>
      <c r="Y59" s="691">
        <f t="shared" si="10"/>
        <v>6.1599800000000009</v>
      </c>
      <c r="Z59" s="189"/>
      <c r="AA59" s="190">
        <f t="shared" si="21"/>
        <v>2007</v>
      </c>
      <c r="AB59" s="191">
        <f t="shared" si="22"/>
        <v>1.1107408641563923</v>
      </c>
      <c r="AC59" s="192">
        <f>IF(AB59="","",AB59*SFAssumptions!$C$3)</f>
        <v>285.14195268243918</v>
      </c>
      <c r="AD59" s="193">
        <f t="shared" si="23"/>
        <v>11.703962000000001</v>
      </c>
      <c r="AE59" s="194">
        <f>IF(AD59="","",AD59*SFAssumptions!$C$3)</f>
        <v>3004.5627080946001</v>
      </c>
      <c r="AF59" s="192">
        <f t="shared" si="6"/>
        <v>1.9</v>
      </c>
      <c r="AG59" s="192">
        <f t="shared" si="24"/>
        <v>6.1599800000000009</v>
      </c>
      <c r="AH59" s="192">
        <f t="shared" si="25"/>
        <v>1.7105699999999999</v>
      </c>
      <c r="AI59" s="692">
        <f ca="1">IF(AC59="","",AC59*SFAssumptions!$C$8/'SavingsData&amp;Analysis'!AF59)</f>
        <v>566.83328242615482</v>
      </c>
      <c r="AJ59" s="692">
        <f ca="1">IF(OR(AE59="",AF59=""),"",AE59*SFAssumptions!$C$8/AF59)</f>
        <v>5972.7659366252419</v>
      </c>
      <c r="AK59" s="191">
        <f t="shared" si="26"/>
        <v>0.92233009708737856</v>
      </c>
      <c r="AL59" s="692">
        <f>IF(AK59="","",AK59*SFAssumptions!$C$3)</f>
        <v>236.77440291262135</v>
      </c>
      <c r="AM59" s="193">
        <f t="shared" si="27"/>
        <v>11.21</v>
      </c>
      <c r="AN59" s="194">
        <f>IF(AM59="","",AM59*SFAssumptions!$C$3)</f>
        <v>2877.7560930000004</v>
      </c>
      <c r="AO59" s="693">
        <f t="shared" si="28"/>
        <v>5.9</v>
      </c>
      <c r="AP59" s="693">
        <f t="shared" si="29"/>
        <v>2.06</v>
      </c>
      <c r="AQ59" s="692">
        <f ca="1">IF(AL59="","",AL59*SFAssumptions!$C$8/'SavingsData&amp;Analysis'!AF59)</f>
        <v>470.68349899014936</v>
      </c>
      <c r="AR59" s="692">
        <f ca="1">IF(OR(AN59="",AF59=""),"",AN59*SFAssumptions!$C$8/AF59)</f>
        <v>5720.6872467262765</v>
      </c>
      <c r="AS59" s="190" t="str">
        <f>IF(OR(AG59="",AH59=""),"No",IF(AND(G59="Horizontal",AH59&gt;='Eff. Standards &amp; Certifications'!$B$21,AG59&lt;='Eff. Standards &amp; Certifications'!$C$21),"Consider",IF(AND(G59="Vertical",AH59&gt;='Eff. Standards &amp; Certifications'!$B$20,AG59&lt;='Eff. Standards &amp; Certifications'!$C$20),"Consider","No")))</f>
        <v>No</v>
      </c>
      <c r="AT59" s="190" t="str">
        <f t="shared" si="11"/>
        <v>Residential</v>
      </c>
      <c r="AU59" s="190"/>
      <c r="AV59" s="190" t="str">
        <f t="shared" si="34"/>
        <v>NO</v>
      </c>
      <c r="AW59" s="190" t="str">
        <f t="shared" si="34"/>
        <v>NO</v>
      </c>
      <c r="AX59" s="190" t="str">
        <f t="shared" si="30"/>
        <v>NO</v>
      </c>
      <c r="AY59" s="190" t="str">
        <f t="shared" si="13"/>
        <v>NO</v>
      </c>
      <c r="AZ59" s="190" t="str">
        <f t="shared" si="13"/>
        <v>NO</v>
      </c>
      <c r="BA59" s="190" t="str">
        <f t="shared" si="31"/>
        <v>NO</v>
      </c>
      <c r="BB59" s="190" t="str">
        <f t="shared" si="14"/>
        <v>NO</v>
      </c>
      <c r="BC59" s="190" t="str">
        <f t="shared" si="15"/>
        <v>NO</v>
      </c>
      <c r="BD59" s="190" t="str">
        <f t="shared" si="32"/>
        <v>NO</v>
      </c>
      <c r="BE59" s="190" t="str">
        <f t="shared" si="16"/>
        <v>NO</v>
      </c>
      <c r="BF59" s="190" t="str">
        <f t="shared" si="17"/>
        <v>NO</v>
      </c>
      <c r="BG59" s="190" t="str">
        <f t="shared" si="18"/>
        <v>NO</v>
      </c>
      <c r="BH59" s="88"/>
      <c r="BI59" s="9"/>
      <c r="BJ59" s="694" t="str">
        <f t="shared" si="35"/>
        <v/>
      </c>
      <c r="BK59" s="694" t="str">
        <f t="shared" si="35"/>
        <v/>
      </c>
      <c r="BL59" s="694" t="str">
        <f t="shared" si="36"/>
        <v/>
      </c>
      <c r="BM59" s="694" t="str">
        <f t="shared" si="36"/>
        <v/>
      </c>
      <c r="BN59" s="88"/>
      <c r="BO59" s="195"/>
      <c r="BP59" s="195"/>
      <c r="BQ59" s="195"/>
      <c r="BR59" s="195"/>
      <c r="BS59" s="195"/>
      <c r="BT59" s="195"/>
      <c r="BU59" s="195"/>
      <c r="BV59" s="195"/>
      <c r="BW59" s="195"/>
      <c r="BX59" s="195"/>
    </row>
    <row r="60" spans="1:76" s="124" customFormat="1" ht="15">
      <c r="A60" s="187">
        <v>4326</v>
      </c>
      <c r="B60" s="187" t="s">
        <v>414</v>
      </c>
      <c r="C60" s="187" t="s">
        <v>415</v>
      </c>
      <c r="D60" s="187" t="s">
        <v>428</v>
      </c>
      <c r="E60" s="187" t="s">
        <v>385</v>
      </c>
      <c r="F60" s="187" t="s">
        <v>417</v>
      </c>
      <c r="G60" s="187" t="s">
        <v>387</v>
      </c>
      <c r="H60" s="187" t="b">
        <v>0</v>
      </c>
      <c r="I60" s="187" t="s">
        <v>388</v>
      </c>
      <c r="J60" s="187" t="s">
        <v>389</v>
      </c>
      <c r="K60" s="187" t="b">
        <v>0</v>
      </c>
      <c r="L60" s="187">
        <v>3.3</v>
      </c>
      <c r="M60" s="187">
        <v>0.33</v>
      </c>
      <c r="N60" s="187">
        <v>11.59</v>
      </c>
      <c r="O60" s="187">
        <v>3.5</v>
      </c>
      <c r="P60" s="187">
        <v>11.82</v>
      </c>
      <c r="Q60" s="187"/>
      <c r="R60" s="187"/>
      <c r="S60" s="187"/>
      <c r="T60" s="187"/>
      <c r="U60" s="187">
        <v>38.1</v>
      </c>
      <c r="V60" s="187">
        <v>2.5499999999999998</v>
      </c>
      <c r="W60" s="188">
        <v>40112</v>
      </c>
      <c r="X60" s="691">
        <f t="shared" si="33"/>
        <v>2.1586749999999997</v>
      </c>
      <c r="Y60" s="691">
        <f t="shared" si="10"/>
        <v>3.7018999999999997</v>
      </c>
      <c r="Z60" s="189"/>
      <c r="AA60" s="190">
        <f t="shared" si="21"/>
        <v>2009</v>
      </c>
      <c r="AB60" s="191">
        <f t="shared" si="22"/>
        <v>1.5287155315181769</v>
      </c>
      <c r="AC60" s="192">
        <f>IF(AB60="","",AB60*SFAssumptions!$C$3)</f>
        <v>392.44160885728519</v>
      </c>
      <c r="AD60" s="193">
        <f t="shared" si="23"/>
        <v>12.216269999999998</v>
      </c>
      <c r="AE60" s="194">
        <f>IF(AD60="","",AD60*SFAssumptions!$C$3)</f>
        <v>3136.0789853909996</v>
      </c>
      <c r="AF60" s="192">
        <f t="shared" si="6"/>
        <v>3.3</v>
      </c>
      <c r="AG60" s="192">
        <f t="shared" si="24"/>
        <v>3.7018999999999997</v>
      </c>
      <c r="AH60" s="192">
        <f t="shared" si="25"/>
        <v>2.1586749999999997</v>
      </c>
      <c r="AI60" s="692">
        <f ca="1">IF(AC60="","",AC60*SFAssumptions!$C$8/'SavingsData&amp;Analysis'!AF60)</f>
        <v>449.16812763371411</v>
      </c>
      <c r="AJ60" s="692">
        <f ca="1">IF(OR(AE60="",AF60=""),"",AE60*SFAssumptions!$C$8/AF60)</f>
        <v>3589.3918845179655</v>
      </c>
      <c r="AK60" s="191">
        <f t="shared" si="26"/>
        <v>1.2941176470588236</v>
      </c>
      <c r="AL60" s="692">
        <f>IF(AK60="","",AK60*SFAssumptions!$C$3)</f>
        <v>332.21721176470589</v>
      </c>
      <c r="AM60" s="193">
        <f t="shared" si="27"/>
        <v>11.549999999999999</v>
      </c>
      <c r="AN60" s="194">
        <f>IF(AM60="","",AM60*SFAssumptions!$C$3)</f>
        <v>2965.0386149999999</v>
      </c>
      <c r="AO60" s="693">
        <f t="shared" si="28"/>
        <v>3.5</v>
      </c>
      <c r="AP60" s="693">
        <f t="shared" si="29"/>
        <v>2.5499999999999998</v>
      </c>
      <c r="AQ60" s="692">
        <f ca="1">IF(AL60="","",AL60*SFAssumptions!$C$8/'SavingsData&amp;Analysis'!AF60)</f>
        <v>380.23843447831678</v>
      </c>
      <c r="AR60" s="692">
        <f ca="1">IF(OR(AN60="",AF60=""),"",AN60*SFAssumptions!$C$8/AF60)</f>
        <v>3393.6280277189767</v>
      </c>
      <c r="AS60" s="190" t="str">
        <f>IF(OR(AG60="",AH60=""),"No",IF(AND(G60="Horizontal",AH60&gt;='Eff. Standards &amp; Certifications'!$B$21,AG60&lt;='Eff. Standards &amp; Certifications'!$C$21),"Consider",IF(AND(G60="Vertical",AH60&gt;='Eff. Standards &amp; Certifications'!$B$20,AG60&lt;='Eff. Standards &amp; Certifications'!$C$20),"Consider","No")))</f>
        <v>Consider</v>
      </c>
      <c r="AT60" s="190" t="str">
        <f t="shared" si="11"/>
        <v>Residential</v>
      </c>
      <c r="AU60" s="190"/>
      <c r="AV60" s="190" t="str">
        <f t="shared" si="34"/>
        <v>NO</v>
      </c>
      <c r="AW60" s="190" t="str">
        <f t="shared" si="34"/>
        <v>YES</v>
      </c>
      <c r="AX60" s="190" t="str">
        <f t="shared" si="30"/>
        <v>YES</v>
      </c>
      <c r="AY60" s="190" t="str">
        <f t="shared" si="13"/>
        <v>NO</v>
      </c>
      <c r="AZ60" s="190" t="str">
        <f t="shared" si="13"/>
        <v>YES</v>
      </c>
      <c r="BA60" s="190" t="str">
        <f t="shared" si="31"/>
        <v>YES</v>
      </c>
      <c r="BB60" s="190" t="str">
        <f t="shared" si="14"/>
        <v>NO</v>
      </c>
      <c r="BC60" s="190" t="str">
        <f t="shared" si="15"/>
        <v>NO</v>
      </c>
      <c r="BD60" s="190" t="str">
        <f t="shared" si="32"/>
        <v>NO</v>
      </c>
      <c r="BE60" s="190" t="str">
        <f t="shared" si="16"/>
        <v>NO</v>
      </c>
      <c r="BF60" s="190" t="str">
        <f t="shared" si="17"/>
        <v>NO</v>
      </c>
      <c r="BG60" s="190" t="str">
        <f t="shared" si="18"/>
        <v>NO</v>
      </c>
      <c r="BH60" s="88"/>
      <c r="BI60" s="9"/>
      <c r="BJ60" s="694" t="str">
        <f t="shared" si="35"/>
        <v/>
      </c>
      <c r="BK60" s="694">
        <f t="shared" si="35"/>
        <v>2.1586749999999997</v>
      </c>
      <c r="BL60" s="694" t="str">
        <f t="shared" si="36"/>
        <v/>
      </c>
      <c r="BM60" s="694">
        <f t="shared" si="36"/>
        <v>3.7018999999999997</v>
      </c>
      <c r="BN60" s="88"/>
      <c r="BO60" s="195"/>
      <c r="BP60" s="195"/>
      <c r="BQ60" s="195"/>
      <c r="BR60" s="195"/>
      <c r="BS60" s="195"/>
      <c r="BT60" s="195"/>
      <c r="BU60" s="195"/>
      <c r="BV60" s="195"/>
      <c r="BW60" s="195"/>
      <c r="BX60" s="195"/>
    </row>
    <row r="61" spans="1:76" s="124" customFormat="1" ht="15">
      <c r="A61" s="187">
        <v>4506</v>
      </c>
      <c r="B61" s="187" t="s">
        <v>414</v>
      </c>
      <c r="C61" s="187" t="s">
        <v>415</v>
      </c>
      <c r="D61" s="187" t="s">
        <v>429</v>
      </c>
      <c r="E61" s="187" t="s">
        <v>385</v>
      </c>
      <c r="F61" s="187" t="s">
        <v>417</v>
      </c>
      <c r="G61" s="187" t="s">
        <v>387</v>
      </c>
      <c r="H61" s="187" t="b">
        <v>0</v>
      </c>
      <c r="I61" s="187" t="s">
        <v>388</v>
      </c>
      <c r="J61" s="187" t="s">
        <v>389</v>
      </c>
      <c r="K61" s="187" t="b">
        <v>1</v>
      </c>
      <c r="L61" s="187">
        <v>3.3</v>
      </c>
      <c r="M61" s="187">
        <v>0.31</v>
      </c>
      <c r="N61" s="187">
        <v>11.58</v>
      </c>
      <c r="O61" s="187">
        <v>3.5</v>
      </c>
      <c r="P61" s="187">
        <v>11.12</v>
      </c>
      <c r="Q61" s="187"/>
      <c r="R61" s="187"/>
      <c r="S61" s="187"/>
      <c r="T61" s="187"/>
      <c r="U61" s="187">
        <v>38.1</v>
      </c>
      <c r="V61" s="187">
        <v>2.5</v>
      </c>
      <c r="W61" s="188">
        <v>40367</v>
      </c>
      <c r="X61" s="691">
        <f t="shared" si="33"/>
        <v>2.1129499999999997</v>
      </c>
      <c r="Y61" s="691">
        <f t="shared" si="10"/>
        <v>3.7018999999999997</v>
      </c>
      <c r="Z61" s="189"/>
      <c r="AA61" s="190">
        <f t="shared" si="21"/>
        <v>2010</v>
      </c>
      <c r="AB61" s="191">
        <f t="shared" si="22"/>
        <v>1.5617974869258622</v>
      </c>
      <c r="AC61" s="192">
        <f>IF(AB61="","",AB61*SFAssumptions!$C$3)</f>
        <v>400.93418680044493</v>
      </c>
      <c r="AD61" s="193">
        <f t="shared" si="23"/>
        <v>12.216269999999998</v>
      </c>
      <c r="AE61" s="194">
        <f>IF(AD61="","",AD61*SFAssumptions!$C$3)</f>
        <v>3136.0789853909996</v>
      </c>
      <c r="AF61" s="192">
        <f t="shared" si="6"/>
        <v>3.3</v>
      </c>
      <c r="AG61" s="192">
        <f t="shared" si="24"/>
        <v>3.7018999999999997</v>
      </c>
      <c r="AH61" s="192">
        <f t="shared" si="25"/>
        <v>2.1129499999999997</v>
      </c>
      <c r="AI61" s="692">
        <f ca="1">IF(AC61="","",AC61*SFAssumptions!$C$8/'SavingsData&amp;Analysis'!AF61)</f>
        <v>458.8882879006639</v>
      </c>
      <c r="AJ61" s="692">
        <f ca="1">IF(OR(AE61="",AF61=""),"",AE61*SFAssumptions!$C$8/AF61)</f>
        <v>3589.3918845179655</v>
      </c>
      <c r="AK61" s="191">
        <f t="shared" si="26"/>
        <v>1.3199999999999998</v>
      </c>
      <c r="AL61" s="692">
        <f>IF(AK61="","",AK61*SFAssumptions!$C$3)</f>
        <v>338.86155599999995</v>
      </c>
      <c r="AM61" s="193">
        <f t="shared" si="27"/>
        <v>11.549999999999999</v>
      </c>
      <c r="AN61" s="194">
        <f>IF(AM61="","",AM61*SFAssumptions!$C$3)</f>
        <v>2965.0386149999999</v>
      </c>
      <c r="AO61" s="693">
        <f t="shared" si="28"/>
        <v>3.5</v>
      </c>
      <c r="AP61" s="693">
        <f t="shared" si="29"/>
        <v>2.5</v>
      </c>
      <c r="AQ61" s="692">
        <f ca="1">IF(AL61="","",AL61*SFAssumptions!$C$8/'SavingsData&amp;Analysis'!AF61)</f>
        <v>387.84320316788308</v>
      </c>
      <c r="AR61" s="692">
        <f ca="1">IF(OR(AN61="",AF61=""),"",AN61*SFAssumptions!$C$8/AF61)</f>
        <v>3393.6280277189767</v>
      </c>
      <c r="AS61" s="190" t="str">
        <f>IF(OR(AG61="",AH61=""),"No",IF(AND(G61="Horizontal",AH61&gt;='Eff. Standards &amp; Certifications'!$B$21,AG61&lt;='Eff. Standards &amp; Certifications'!$C$21),"Consider",IF(AND(G61="Vertical",AH61&gt;='Eff. Standards &amp; Certifications'!$B$20,AG61&lt;='Eff. Standards &amp; Certifications'!$C$20),"Consider","No")))</f>
        <v>Consider</v>
      </c>
      <c r="AT61" s="190" t="str">
        <f t="shared" si="11"/>
        <v>Residential</v>
      </c>
      <c r="AU61" s="190"/>
      <c r="AV61" s="190" t="str">
        <f t="shared" si="34"/>
        <v>NO</v>
      </c>
      <c r="AW61" s="190" t="str">
        <f t="shared" si="34"/>
        <v>YES</v>
      </c>
      <c r="AX61" s="190" t="str">
        <f t="shared" si="30"/>
        <v>YES</v>
      </c>
      <c r="AY61" s="190" t="str">
        <f t="shared" si="13"/>
        <v>NO</v>
      </c>
      <c r="AZ61" s="190" t="str">
        <f t="shared" si="13"/>
        <v>YES</v>
      </c>
      <c r="BA61" s="190" t="str">
        <f t="shared" si="31"/>
        <v>YES</v>
      </c>
      <c r="BB61" s="190" t="str">
        <f t="shared" si="14"/>
        <v>NO</v>
      </c>
      <c r="BC61" s="190" t="str">
        <f t="shared" si="15"/>
        <v>NO</v>
      </c>
      <c r="BD61" s="190" t="str">
        <f t="shared" si="32"/>
        <v>NO</v>
      </c>
      <c r="BE61" s="190" t="str">
        <f t="shared" si="16"/>
        <v>NO</v>
      </c>
      <c r="BF61" s="190" t="str">
        <f t="shared" si="17"/>
        <v>NO</v>
      </c>
      <c r="BG61" s="190" t="str">
        <f t="shared" si="18"/>
        <v>NO</v>
      </c>
      <c r="BH61" s="88"/>
      <c r="BI61" s="9"/>
      <c r="BJ61" s="694" t="str">
        <f t="shared" si="35"/>
        <v/>
      </c>
      <c r="BK61" s="694">
        <f t="shared" si="35"/>
        <v>2.1129499999999997</v>
      </c>
      <c r="BL61" s="694" t="str">
        <f t="shared" si="36"/>
        <v/>
      </c>
      <c r="BM61" s="694">
        <f t="shared" si="36"/>
        <v>3.7018999999999997</v>
      </c>
      <c r="BN61" s="88"/>
      <c r="BO61" s="195"/>
      <c r="BP61" s="195"/>
      <c r="BQ61" s="195"/>
      <c r="BR61" s="195"/>
      <c r="BS61" s="195"/>
      <c r="BT61" s="195"/>
      <c r="BU61" s="195"/>
      <c r="BV61" s="195"/>
      <c r="BW61" s="195"/>
      <c r="BX61" s="195"/>
    </row>
    <row r="62" spans="1:76" s="124" customFormat="1" ht="15">
      <c r="A62" s="187">
        <v>6014</v>
      </c>
      <c r="B62" s="187" t="s">
        <v>437</v>
      </c>
      <c r="C62" s="187" t="s">
        <v>431</v>
      </c>
      <c r="D62" s="187" t="s">
        <v>434</v>
      </c>
      <c r="E62" s="187" t="s">
        <v>385</v>
      </c>
      <c r="F62" s="187" t="s">
        <v>386</v>
      </c>
      <c r="G62" s="187" t="s">
        <v>387</v>
      </c>
      <c r="H62" s="187" t="b">
        <v>0</v>
      </c>
      <c r="I62" s="187" t="s">
        <v>388</v>
      </c>
      <c r="J62" s="187" t="s">
        <v>389</v>
      </c>
      <c r="K62" s="187" t="b">
        <v>0</v>
      </c>
      <c r="L62" s="187">
        <v>3.9</v>
      </c>
      <c r="M62" s="187">
        <v>0.21</v>
      </c>
      <c r="N62" s="187">
        <v>12.88</v>
      </c>
      <c r="O62" s="187">
        <v>3.3</v>
      </c>
      <c r="P62" s="187">
        <v>10.28</v>
      </c>
      <c r="Q62" s="187"/>
      <c r="R62" s="187"/>
      <c r="S62" s="187"/>
      <c r="T62" s="187"/>
      <c r="U62" s="187"/>
      <c r="V62" s="187">
        <v>2.66</v>
      </c>
      <c r="W62" s="188">
        <v>41554</v>
      </c>
      <c r="X62" s="691">
        <f t="shared" si="33"/>
        <v>2.2592699999999999</v>
      </c>
      <c r="Y62" s="691">
        <f t="shared" si="10"/>
        <v>3.4970599999999998</v>
      </c>
      <c r="Z62" s="189"/>
      <c r="AA62" s="190">
        <f t="shared" si="21"/>
        <v>2013</v>
      </c>
      <c r="AB62" s="191">
        <f t="shared" si="22"/>
        <v>1.7262213015708614</v>
      </c>
      <c r="AC62" s="192">
        <f>IF(AB62="","",AB62*SFAssumptions!$C$3)</f>
        <v>443.143966856551</v>
      </c>
      <c r="AD62" s="193">
        <f t="shared" si="23"/>
        <v>13.638534</v>
      </c>
      <c r="AE62" s="194">
        <f>IF(AD62="","",AD62*SFAssumptions!$C$3)</f>
        <v>3501.1930703021999</v>
      </c>
      <c r="AF62" s="192">
        <f t="shared" si="6"/>
        <v>3.9</v>
      </c>
      <c r="AG62" s="192">
        <f t="shared" si="24"/>
        <v>3.4970599999999998</v>
      </c>
      <c r="AH62" s="192">
        <f t="shared" si="25"/>
        <v>2.2592699999999999</v>
      </c>
      <c r="AI62" s="692">
        <f ca="1">IF(AC62="","",AC62*SFAssumptions!$C$8/'SavingsData&amp;Analysis'!AF62)</f>
        <v>429.1687172935097</v>
      </c>
      <c r="AJ62" s="692">
        <f ca="1">IF(OR(AE62="",AF62=""),"",AE62*SFAssumptions!$C$8/AF62)</f>
        <v>3390.777380175693</v>
      </c>
      <c r="AK62" s="191">
        <f t="shared" si="26"/>
        <v>1.4661654135338344</v>
      </c>
      <c r="AL62" s="692">
        <f>IF(AK62="","",AK62*SFAssumptions!$C$3)</f>
        <v>376.38416165413531</v>
      </c>
      <c r="AM62" s="193">
        <f t="shared" si="27"/>
        <v>12.87</v>
      </c>
      <c r="AN62" s="194">
        <f>IF(AM62="","",AM62*SFAssumptions!$C$3)</f>
        <v>3303.9001709999998</v>
      </c>
      <c r="AO62" s="693">
        <f t="shared" si="28"/>
        <v>3.3</v>
      </c>
      <c r="AP62" s="693">
        <f t="shared" si="29"/>
        <v>2.66</v>
      </c>
      <c r="AQ62" s="692">
        <f ca="1">IF(AL62="","",AL62*SFAssumptions!$C$8/'SavingsData&amp;Analysis'!AF62)</f>
        <v>364.51428869161941</v>
      </c>
      <c r="AR62" s="692">
        <f ca="1">IF(OR(AN62="",AF62=""),"",AN62*SFAssumptions!$C$8/AF62)</f>
        <v>3199.7064261350351</v>
      </c>
      <c r="AS62" s="190" t="str">
        <f>IF(OR(AG62="",AH62=""),"No",IF(AND(G62="Horizontal",AH62&gt;='Eff. Standards &amp; Certifications'!$B$21,AG62&lt;='Eff. Standards &amp; Certifications'!$C$21),"Consider",IF(AND(G62="Vertical",AH62&gt;='Eff. Standards &amp; Certifications'!$B$20,AG62&lt;='Eff. Standards &amp; Certifications'!$C$20),"Consider","No")))</f>
        <v>Consider</v>
      </c>
      <c r="AT62" s="190" t="str">
        <f t="shared" si="11"/>
        <v>Residential</v>
      </c>
      <c r="AU62" s="190"/>
      <c r="AV62" s="190" t="str">
        <f t="shared" si="34"/>
        <v>NO</v>
      </c>
      <c r="AW62" s="190" t="str">
        <f t="shared" si="34"/>
        <v>YES</v>
      </c>
      <c r="AX62" s="190" t="str">
        <f t="shared" si="30"/>
        <v>YES</v>
      </c>
      <c r="AY62" s="190" t="str">
        <f t="shared" si="13"/>
        <v>NO</v>
      </c>
      <c r="AZ62" s="190" t="str">
        <f t="shared" si="13"/>
        <v>YES</v>
      </c>
      <c r="BA62" s="190" t="str">
        <f t="shared" si="31"/>
        <v>YES</v>
      </c>
      <c r="BB62" s="190" t="str">
        <f t="shared" si="14"/>
        <v>NO</v>
      </c>
      <c r="BC62" s="190" t="str">
        <f t="shared" si="15"/>
        <v>NO</v>
      </c>
      <c r="BD62" s="190" t="str">
        <f t="shared" si="32"/>
        <v>NO</v>
      </c>
      <c r="BE62" s="190" t="str">
        <f t="shared" si="16"/>
        <v>NO</v>
      </c>
      <c r="BF62" s="190" t="str">
        <f t="shared" si="17"/>
        <v>NO</v>
      </c>
      <c r="BG62" s="190" t="str">
        <f t="shared" si="18"/>
        <v>NO</v>
      </c>
      <c r="BH62" s="88"/>
      <c r="BI62" s="9"/>
      <c r="BJ62" s="694" t="str">
        <f t="shared" si="35"/>
        <v/>
      </c>
      <c r="BK62" s="694">
        <f t="shared" si="35"/>
        <v>2.2592699999999999</v>
      </c>
      <c r="BL62" s="694" t="str">
        <f t="shared" si="36"/>
        <v/>
      </c>
      <c r="BM62" s="694">
        <f t="shared" si="36"/>
        <v>3.4970599999999998</v>
      </c>
      <c r="BN62" s="88"/>
      <c r="BO62" s="195"/>
      <c r="BP62" s="195"/>
      <c r="BQ62" s="195"/>
      <c r="BR62" s="195"/>
      <c r="BS62" s="195"/>
      <c r="BT62" s="195"/>
      <c r="BU62" s="195"/>
      <c r="BV62" s="195"/>
      <c r="BW62" s="195"/>
      <c r="BX62" s="195"/>
    </row>
    <row r="63" spans="1:76" s="124" customFormat="1" ht="15">
      <c r="A63" s="187">
        <v>6015</v>
      </c>
      <c r="B63" s="187" t="s">
        <v>437</v>
      </c>
      <c r="C63" s="187" t="s">
        <v>431</v>
      </c>
      <c r="D63" s="187" t="s">
        <v>435</v>
      </c>
      <c r="E63" s="187" t="s">
        <v>385</v>
      </c>
      <c r="F63" s="187" t="s">
        <v>386</v>
      </c>
      <c r="G63" s="187" t="s">
        <v>387</v>
      </c>
      <c r="H63" s="187" t="b">
        <v>0</v>
      </c>
      <c r="I63" s="187" t="s">
        <v>388</v>
      </c>
      <c r="J63" s="187" t="s">
        <v>389</v>
      </c>
      <c r="K63" s="187" t="b">
        <v>0</v>
      </c>
      <c r="L63" s="187">
        <v>3.8</v>
      </c>
      <c r="M63" s="187">
        <v>0.15</v>
      </c>
      <c r="N63" s="187">
        <v>14.33</v>
      </c>
      <c r="O63" s="187">
        <v>3.8</v>
      </c>
      <c r="P63" s="187">
        <v>9.85</v>
      </c>
      <c r="Q63" s="187"/>
      <c r="R63" s="187"/>
      <c r="S63" s="187"/>
      <c r="T63" s="187"/>
      <c r="U63" s="187"/>
      <c r="V63" s="187">
        <v>2.6</v>
      </c>
      <c r="W63" s="188">
        <v>41554</v>
      </c>
      <c r="X63" s="691">
        <f t="shared" si="33"/>
        <v>2.2043999999999997</v>
      </c>
      <c r="Y63" s="691">
        <f t="shared" si="10"/>
        <v>4.0091599999999996</v>
      </c>
      <c r="Z63" s="189"/>
      <c r="AA63" s="190">
        <f t="shared" si="21"/>
        <v>2013</v>
      </c>
      <c r="AB63" s="191">
        <f t="shared" si="22"/>
        <v>1.7238250771184904</v>
      </c>
      <c r="AC63" s="192">
        <f>IF(AB63="","",AB63*SFAssumptions!$C$3)</f>
        <v>442.52882416984215</v>
      </c>
      <c r="AD63" s="193">
        <f t="shared" si="23"/>
        <v>15.234807999999997</v>
      </c>
      <c r="AE63" s="194">
        <f>IF(AD63="","",AD63*SFAssumptions!$C$3)</f>
        <v>3910.9778365463994</v>
      </c>
      <c r="AF63" s="192">
        <f t="shared" si="6"/>
        <v>3.8</v>
      </c>
      <c r="AG63" s="192">
        <f t="shared" si="24"/>
        <v>4.0091599999999996</v>
      </c>
      <c r="AH63" s="192">
        <f t="shared" si="25"/>
        <v>2.2043999999999997</v>
      </c>
      <c r="AI63" s="692">
        <f ca="1">IF(AC63="","",AC63*SFAssumptions!$C$8/'SavingsData&amp;Analysis'!AF63)</f>
        <v>439.85121027023581</v>
      </c>
      <c r="AJ63" s="692">
        <f ca="1">IF(OR(AE63="",AF63=""),"",AE63*SFAssumptions!$C$8/AF63)</f>
        <v>3887.313641031375</v>
      </c>
      <c r="AK63" s="191">
        <f t="shared" si="26"/>
        <v>1.4615384615384615</v>
      </c>
      <c r="AL63" s="692">
        <f>IF(AK63="","",AK63*SFAssumptions!$C$3)</f>
        <v>375.19636153846153</v>
      </c>
      <c r="AM63" s="193">
        <f t="shared" si="27"/>
        <v>14.44</v>
      </c>
      <c r="AN63" s="194">
        <f>IF(AM63="","",AM63*SFAssumptions!$C$3)</f>
        <v>3706.9400519999999</v>
      </c>
      <c r="AO63" s="693">
        <f t="shared" si="28"/>
        <v>3.8</v>
      </c>
      <c r="AP63" s="693">
        <f t="shared" si="29"/>
        <v>2.6</v>
      </c>
      <c r="AQ63" s="692">
        <f ca="1">IF(AL63="","",AL63*SFAssumptions!$C$8/'SavingsData&amp;Analysis'!AF63)</f>
        <v>372.92615689219531</v>
      </c>
      <c r="AR63" s="692">
        <f ca="1">IF(OR(AN63="",AF63=""),"",AN63*SFAssumptions!$C$8/AF63)</f>
        <v>3684.5104300948897</v>
      </c>
      <c r="AS63" s="190" t="str">
        <f>IF(OR(AG63="",AH63=""),"No",IF(AND(G63="Horizontal",AH63&gt;='Eff. Standards &amp; Certifications'!$B$21,AG63&lt;='Eff. Standards &amp; Certifications'!$C$21),"Consider",IF(AND(G63="Vertical",AH63&gt;='Eff. Standards &amp; Certifications'!$B$20,AG63&lt;='Eff. Standards &amp; Certifications'!$C$20),"Consider","No")))</f>
        <v>Consider</v>
      </c>
      <c r="AT63" s="190" t="str">
        <f t="shared" si="11"/>
        <v>Residential</v>
      </c>
      <c r="AU63" s="190"/>
      <c r="AV63" s="190" t="str">
        <f t="shared" ref="AV63:AW82" si="37">IF(AND($G63=AV$18,$AS63="Consider",$AT63="Residential",$AH63&gt;=AV$3,$AH63&lt;=AV$4,$AG63&gt;=AV$5,$AG63&lt;=AV$6),"YES","NO")</f>
        <v>NO</v>
      </c>
      <c r="AW63" s="190" t="str">
        <f t="shared" si="37"/>
        <v>YES</v>
      </c>
      <c r="AX63" s="190" t="str">
        <f t="shared" si="30"/>
        <v>YES</v>
      </c>
      <c r="AY63" s="190" t="str">
        <f t="shared" si="13"/>
        <v>NO</v>
      </c>
      <c r="AZ63" s="190" t="str">
        <f t="shared" si="13"/>
        <v>YES</v>
      </c>
      <c r="BA63" s="190" t="str">
        <f t="shared" si="31"/>
        <v>YES</v>
      </c>
      <c r="BB63" s="190" t="str">
        <f t="shared" si="14"/>
        <v>NO</v>
      </c>
      <c r="BC63" s="190" t="str">
        <f t="shared" si="15"/>
        <v>NO</v>
      </c>
      <c r="BD63" s="190" t="str">
        <f t="shared" si="32"/>
        <v>NO</v>
      </c>
      <c r="BE63" s="190" t="str">
        <f t="shared" si="16"/>
        <v>NO</v>
      </c>
      <c r="BF63" s="190" t="str">
        <f t="shared" si="17"/>
        <v>NO</v>
      </c>
      <c r="BG63" s="190" t="str">
        <f t="shared" si="18"/>
        <v>NO</v>
      </c>
      <c r="BH63" s="88"/>
      <c r="BI63" s="9"/>
      <c r="BJ63" s="694" t="str">
        <f t="shared" ref="BJ63:BK82" si="38">IF(AND($G63=BJ$21,$AT63="Residential",$AS63="Consider"),$X63,"")</f>
        <v/>
      </c>
      <c r="BK63" s="694">
        <f t="shared" si="38"/>
        <v>2.2043999999999997</v>
      </c>
      <c r="BL63" s="694" t="str">
        <f t="shared" ref="BL63:BM82" si="39">IF(AND($G63=BL$21,$AT63="Residential",$AS63="Consider"),$Y63,"")</f>
        <v/>
      </c>
      <c r="BM63" s="694">
        <f t="shared" si="39"/>
        <v>4.0091599999999996</v>
      </c>
      <c r="BN63" s="88"/>
      <c r="BO63" s="195"/>
      <c r="BP63" s="195"/>
      <c r="BQ63" s="195"/>
      <c r="BR63" s="195"/>
      <c r="BS63" s="195"/>
      <c r="BT63" s="195"/>
      <c r="BU63" s="195"/>
      <c r="BV63" s="195"/>
      <c r="BW63" s="195"/>
      <c r="BX63" s="195"/>
    </row>
    <row r="64" spans="1:76" s="124" customFormat="1" ht="15">
      <c r="A64" s="187">
        <v>6041</v>
      </c>
      <c r="B64" s="187" t="s">
        <v>437</v>
      </c>
      <c r="C64" s="187" t="s">
        <v>437</v>
      </c>
      <c r="D64" s="187" t="s">
        <v>438</v>
      </c>
      <c r="E64" s="187" t="s">
        <v>385</v>
      </c>
      <c r="F64" s="187" t="s">
        <v>386</v>
      </c>
      <c r="G64" s="187" t="s">
        <v>387</v>
      </c>
      <c r="H64" s="187" t="b">
        <v>0</v>
      </c>
      <c r="I64" s="187" t="s">
        <v>388</v>
      </c>
      <c r="J64" s="187" t="s">
        <v>389</v>
      </c>
      <c r="K64" s="187" t="b">
        <v>0</v>
      </c>
      <c r="L64" s="187">
        <v>3.3</v>
      </c>
      <c r="M64" s="187">
        <v>0.15</v>
      </c>
      <c r="N64" s="187">
        <v>10.3</v>
      </c>
      <c r="O64" s="187">
        <v>3.2</v>
      </c>
      <c r="P64" s="187">
        <v>9.07</v>
      </c>
      <c r="Q64" s="187"/>
      <c r="R64" s="187"/>
      <c r="S64" s="187"/>
      <c r="T64" s="187"/>
      <c r="U64" s="187">
        <v>43.5</v>
      </c>
      <c r="V64" s="187">
        <v>2.17</v>
      </c>
      <c r="W64" s="188">
        <v>41554</v>
      </c>
      <c r="X64" s="691">
        <f t="shared" si="33"/>
        <v>1.8111649999999999</v>
      </c>
      <c r="Y64" s="691">
        <f t="shared" si="10"/>
        <v>3.3946400000000003</v>
      </c>
      <c r="Z64" s="189"/>
      <c r="AA64" s="190">
        <f t="shared" si="21"/>
        <v>2013</v>
      </c>
      <c r="AB64" s="191">
        <f t="shared" si="22"/>
        <v>1.8220316757446173</v>
      </c>
      <c r="AC64" s="192">
        <f>IF(AB64="","",AB64*SFAssumptions!$C$3)</f>
        <v>467.73976418493066</v>
      </c>
      <c r="AD64" s="193">
        <f t="shared" si="23"/>
        <v>11.202312000000001</v>
      </c>
      <c r="AE64" s="194">
        <f>IF(AD64="","",AD64*SFAssumptions!$C$3)</f>
        <v>2875.7824811496002</v>
      </c>
      <c r="AF64" s="192">
        <f t="shared" si="6"/>
        <v>3.3</v>
      </c>
      <c r="AG64" s="192">
        <f t="shared" si="24"/>
        <v>3.3946400000000003</v>
      </c>
      <c r="AH64" s="192">
        <f t="shared" si="25"/>
        <v>1.8111649999999999</v>
      </c>
      <c r="AI64" s="692">
        <f ca="1">IF(AC64="","",AC64*SFAssumptions!$C$8/'SavingsData&amp;Analysis'!AF64)</f>
        <v>535.35045560161973</v>
      </c>
      <c r="AJ64" s="692">
        <f ca="1">IF(OR(AE64="",AF64=""),"",AE64*SFAssumptions!$C$8/AF64)</f>
        <v>3291.470128004557</v>
      </c>
      <c r="AK64" s="191">
        <f t="shared" si="26"/>
        <v>1.5207373271889402</v>
      </c>
      <c r="AL64" s="692">
        <f>IF(AK64="","",AK64*SFAssumptions!$C$3)</f>
        <v>390.39349769585255</v>
      </c>
      <c r="AM64" s="193">
        <f t="shared" si="27"/>
        <v>10.56</v>
      </c>
      <c r="AN64" s="194">
        <f>IF(AM64="","",AM64*SFAssumptions!$C$3)</f>
        <v>2710.8924480000001</v>
      </c>
      <c r="AO64" s="693">
        <f t="shared" si="28"/>
        <v>3.2</v>
      </c>
      <c r="AP64" s="693">
        <f t="shared" si="29"/>
        <v>2.17</v>
      </c>
      <c r="AQ64" s="692">
        <f ca="1">IF(AL64="","",AL64*SFAssumptions!$C$8/'SavingsData&amp;Analysis'!AF64)</f>
        <v>446.82396678327547</v>
      </c>
      <c r="AR64" s="692">
        <f ca="1">IF(OR(AN64="",AF64=""),"",AN64*SFAssumptions!$C$8/AF64)</f>
        <v>3102.7456253430646</v>
      </c>
      <c r="AS64" s="190" t="str">
        <f>IF(OR(AG64="",AH64=""),"No",IF(AND(G64="Horizontal",AH64&gt;='Eff. Standards &amp; Certifications'!$B$21,AG64&lt;='Eff. Standards &amp; Certifications'!$C$21),"Consider",IF(AND(G64="Vertical",AH64&gt;='Eff. Standards &amp; Certifications'!$B$20,AG64&lt;='Eff. Standards &amp; Certifications'!$C$20),"Consider","No")))</f>
        <v>No</v>
      </c>
      <c r="AT64" s="190" t="str">
        <f t="shared" si="11"/>
        <v>Residential</v>
      </c>
      <c r="AU64" s="190"/>
      <c r="AV64" s="190" t="str">
        <f t="shared" si="37"/>
        <v>NO</v>
      </c>
      <c r="AW64" s="190" t="str">
        <f t="shared" si="37"/>
        <v>NO</v>
      </c>
      <c r="AX64" s="190" t="str">
        <f t="shared" si="30"/>
        <v>NO</v>
      </c>
      <c r="AY64" s="190" t="str">
        <f t="shared" si="13"/>
        <v>NO</v>
      </c>
      <c r="AZ64" s="190" t="str">
        <f t="shared" si="13"/>
        <v>NO</v>
      </c>
      <c r="BA64" s="190" t="str">
        <f t="shared" si="31"/>
        <v>NO</v>
      </c>
      <c r="BB64" s="190" t="str">
        <f t="shared" si="14"/>
        <v>NO</v>
      </c>
      <c r="BC64" s="190" t="str">
        <f t="shared" si="15"/>
        <v>NO</v>
      </c>
      <c r="BD64" s="190" t="str">
        <f t="shared" si="32"/>
        <v>NO</v>
      </c>
      <c r="BE64" s="190" t="str">
        <f t="shared" si="16"/>
        <v>NO</v>
      </c>
      <c r="BF64" s="190" t="str">
        <f t="shared" si="17"/>
        <v>NO</v>
      </c>
      <c r="BG64" s="190" t="str">
        <f t="shared" si="18"/>
        <v>NO</v>
      </c>
      <c r="BH64" s="88"/>
      <c r="BI64" s="9"/>
      <c r="BJ64" s="694" t="str">
        <f t="shared" si="38"/>
        <v/>
      </c>
      <c r="BK64" s="694" t="str">
        <f t="shared" si="38"/>
        <v/>
      </c>
      <c r="BL64" s="694" t="str">
        <f t="shared" si="39"/>
        <v/>
      </c>
      <c r="BM64" s="694" t="str">
        <f t="shared" si="39"/>
        <v/>
      </c>
      <c r="BN64" s="88"/>
      <c r="BO64" s="195"/>
      <c r="BP64" s="195"/>
      <c r="BQ64" s="195"/>
      <c r="BR64" s="195"/>
      <c r="BS64" s="195"/>
      <c r="BT64" s="195"/>
      <c r="BU64" s="195"/>
      <c r="BV64" s="195"/>
      <c r="BW64" s="195"/>
      <c r="BX64" s="195"/>
    </row>
    <row r="65" spans="1:76" s="124" customFormat="1" ht="15">
      <c r="A65" s="187">
        <v>6043</v>
      </c>
      <c r="B65" s="187" t="s">
        <v>437</v>
      </c>
      <c r="C65" s="187" t="s">
        <v>437</v>
      </c>
      <c r="D65" s="187" t="s">
        <v>439</v>
      </c>
      <c r="E65" s="187" t="s">
        <v>385</v>
      </c>
      <c r="F65" s="187" t="s">
        <v>386</v>
      </c>
      <c r="G65" s="187" t="s">
        <v>387</v>
      </c>
      <c r="H65" s="187" t="b">
        <v>0</v>
      </c>
      <c r="I65" s="187" t="s">
        <v>388</v>
      </c>
      <c r="J65" s="187" t="s">
        <v>389</v>
      </c>
      <c r="K65" s="187" t="b">
        <v>0</v>
      </c>
      <c r="L65" s="187">
        <v>3.8</v>
      </c>
      <c r="M65" s="187">
        <v>0.19</v>
      </c>
      <c r="N65" s="187">
        <v>12.78</v>
      </c>
      <c r="O65" s="187">
        <v>3.4</v>
      </c>
      <c r="P65" s="187">
        <v>10.51</v>
      </c>
      <c r="Q65" s="187"/>
      <c r="R65" s="187"/>
      <c r="S65" s="187"/>
      <c r="T65" s="187"/>
      <c r="U65" s="187">
        <v>39.799999999999997</v>
      </c>
      <c r="V65" s="187">
        <v>2.38</v>
      </c>
      <c r="W65" s="188">
        <v>41554</v>
      </c>
      <c r="X65" s="691">
        <f t="shared" si="33"/>
        <v>2.0032100000000002</v>
      </c>
      <c r="Y65" s="691">
        <f t="shared" si="10"/>
        <v>3.5994799999999998</v>
      </c>
      <c r="Z65" s="189"/>
      <c r="AA65" s="190">
        <f t="shared" si="21"/>
        <v>2013</v>
      </c>
      <c r="AB65" s="191">
        <f t="shared" si="22"/>
        <v>1.8969553866044995</v>
      </c>
      <c r="AC65" s="192">
        <f>IF(AB65="","",AB65*SFAssumptions!$C$3)</f>
        <v>486.97367724801688</v>
      </c>
      <c r="AD65" s="193">
        <f t="shared" si="23"/>
        <v>13.678023999999999</v>
      </c>
      <c r="AE65" s="194">
        <f>IF(AD65="","",AD65*SFAssumptions!$C$3)</f>
        <v>3511.3306785191999</v>
      </c>
      <c r="AF65" s="192">
        <f t="shared" si="6"/>
        <v>3.8</v>
      </c>
      <c r="AG65" s="192">
        <f t="shared" si="24"/>
        <v>3.5994799999999998</v>
      </c>
      <c r="AH65" s="192">
        <f t="shared" si="25"/>
        <v>2.0032100000000002</v>
      </c>
      <c r="AI65" s="692">
        <f ca="1">IF(AC65="","",AC65*SFAssumptions!$C$8/'SavingsData&amp;Analysis'!AF65)</f>
        <v>484.02714039951258</v>
      </c>
      <c r="AJ65" s="692">
        <f ca="1">IF(OR(AE65="",AF65=""),"",AE65*SFAssumptions!$C$8/AF65)</f>
        <v>3490.0846323468295</v>
      </c>
      <c r="AK65" s="191">
        <f t="shared" si="26"/>
        <v>1.596638655462185</v>
      </c>
      <c r="AL65" s="692">
        <f>IF(AK65="","",AK65*SFAssumptions!$C$3)</f>
        <v>409.87837815126056</v>
      </c>
      <c r="AM65" s="193">
        <f t="shared" si="27"/>
        <v>12.92</v>
      </c>
      <c r="AN65" s="194">
        <f>IF(AM65="","",AM65*SFAssumptions!$C$3)</f>
        <v>3316.7358359999998</v>
      </c>
      <c r="AO65" s="693">
        <f t="shared" si="28"/>
        <v>3.4</v>
      </c>
      <c r="AP65" s="693">
        <f t="shared" si="29"/>
        <v>2.38</v>
      </c>
      <c r="AQ65" s="692">
        <f ca="1">IF(AL65="","",AL65*SFAssumptions!$C$8/'SavingsData&amp;Analysis'!AF65)</f>
        <v>407.39832265533943</v>
      </c>
      <c r="AR65" s="692">
        <f ca="1">IF(OR(AN65="",AF65=""),"",AN65*SFAssumptions!$C$8/AF65)</f>
        <v>3296.6672269270061</v>
      </c>
      <c r="AS65" s="190" t="str">
        <f>IF(OR(AG65="",AH65=""),"No",IF(AND(G65="Horizontal",AH65&gt;='Eff. Standards &amp; Certifications'!$B$21,AG65&lt;='Eff. Standards &amp; Certifications'!$C$21),"Consider",IF(AND(G65="Vertical",AH65&gt;='Eff. Standards &amp; Certifications'!$B$20,AG65&lt;='Eff. Standards &amp; Certifications'!$C$20),"Consider","No")))</f>
        <v>Consider</v>
      </c>
      <c r="AT65" s="190" t="str">
        <f t="shared" si="11"/>
        <v>Residential</v>
      </c>
      <c r="AU65" s="190"/>
      <c r="AV65" s="190" t="str">
        <f t="shared" si="37"/>
        <v>NO</v>
      </c>
      <c r="AW65" s="190" t="str">
        <f t="shared" si="37"/>
        <v>YES</v>
      </c>
      <c r="AX65" s="190" t="str">
        <f t="shared" si="30"/>
        <v>YES</v>
      </c>
      <c r="AY65" s="190" t="str">
        <f t="shared" si="13"/>
        <v>NO</v>
      </c>
      <c r="AZ65" s="190" t="str">
        <f t="shared" si="13"/>
        <v>YES</v>
      </c>
      <c r="BA65" s="190" t="str">
        <f t="shared" si="31"/>
        <v>YES</v>
      </c>
      <c r="BB65" s="190" t="str">
        <f t="shared" si="14"/>
        <v>NO</v>
      </c>
      <c r="BC65" s="190" t="str">
        <f t="shared" si="15"/>
        <v>NO</v>
      </c>
      <c r="BD65" s="190" t="str">
        <f t="shared" si="32"/>
        <v>NO</v>
      </c>
      <c r="BE65" s="190" t="str">
        <f t="shared" si="16"/>
        <v>NO</v>
      </c>
      <c r="BF65" s="190" t="str">
        <f t="shared" si="17"/>
        <v>NO</v>
      </c>
      <c r="BG65" s="190" t="str">
        <f t="shared" si="18"/>
        <v>NO</v>
      </c>
      <c r="BH65" s="88"/>
      <c r="BI65" s="9"/>
      <c r="BJ65" s="694" t="str">
        <f t="shared" si="38"/>
        <v/>
      </c>
      <c r="BK65" s="694">
        <f t="shared" si="38"/>
        <v>2.0032100000000002</v>
      </c>
      <c r="BL65" s="694" t="str">
        <f t="shared" si="39"/>
        <v/>
      </c>
      <c r="BM65" s="694">
        <f t="shared" si="39"/>
        <v>3.5994799999999998</v>
      </c>
      <c r="BN65" s="88"/>
      <c r="BO65" s="195"/>
      <c r="BP65" s="195"/>
      <c r="BQ65" s="195"/>
      <c r="BR65" s="195"/>
      <c r="BS65" s="195"/>
      <c r="BT65" s="195"/>
      <c r="BU65" s="195"/>
      <c r="BV65" s="195"/>
      <c r="BW65" s="195"/>
      <c r="BX65" s="195"/>
    </row>
    <row r="66" spans="1:76" s="124" customFormat="1" ht="15">
      <c r="A66" s="187">
        <v>6037</v>
      </c>
      <c r="B66" s="187" t="s">
        <v>437</v>
      </c>
      <c r="C66" s="187" t="s">
        <v>437</v>
      </c>
      <c r="D66" s="187" t="s">
        <v>440</v>
      </c>
      <c r="E66" s="187" t="s">
        <v>385</v>
      </c>
      <c r="F66" s="187" t="s">
        <v>386</v>
      </c>
      <c r="G66" s="187" t="s">
        <v>387</v>
      </c>
      <c r="H66" s="187" t="b">
        <v>0</v>
      </c>
      <c r="I66" s="187" t="s">
        <v>388</v>
      </c>
      <c r="J66" s="187" t="s">
        <v>389</v>
      </c>
      <c r="K66" s="187" t="b">
        <v>0</v>
      </c>
      <c r="L66" s="187">
        <v>3.9</v>
      </c>
      <c r="M66" s="187">
        <v>0.11</v>
      </c>
      <c r="N66" s="187">
        <v>13.64</v>
      </c>
      <c r="O66" s="187">
        <v>3.5</v>
      </c>
      <c r="P66" s="187">
        <v>11.25</v>
      </c>
      <c r="Q66" s="187"/>
      <c r="R66" s="187"/>
      <c r="S66" s="187"/>
      <c r="T66" s="187"/>
      <c r="U66" s="187"/>
      <c r="V66" s="187">
        <v>2.65</v>
      </c>
      <c r="W66" s="188">
        <v>41554</v>
      </c>
      <c r="X66" s="691">
        <f t="shared" si="33"/>
        <v>2.2501249999999997</v>
      </c>
      <c r="Y66" s="691">
        <f t="shared" si="10"/>
        <v>3.7018999999999997</v>
      </c>
      <c r="Z66" s="189"/>
      <c r="AA66" s="190">
        <f t="shared" si="21"/>
        <v>2013</v>
      </c>
      <c r="AB66" s="191">
        <f t="shared" si="22"/>
        <v>1.7332370423865342</v>
      </c>
      <c r="AC66" s="192">
        <f>IF(AB66="","",AB66*SFAssumptions!$C$3)</f>
        <v>444.94500083328705</v>
      </c>
      <c r="AD66" s="193">
        <f t="shared" si="23"/>
        <v>14.437409999999998</v>
      </c>
      <c r="AE66" s="194">
        <f>IF(AD66="","",AD66*SFAssumptions!$C$3)</f>
        <v>3706.2751645529997</v>
      </c>
      <c r="AF66" s="192">
        <f t="shared" si="6"/>
        <v>3.9</v>
      </c>
      <c r="AG66" s="192">
        <f t="shared" si="24"/>
        <v>3.7018999999999997</v>
      </c>
      <c r="AH66" s="192">
        <f t="shared" si="25"/>
        <v>2.2501249999999997</v>
      </c>
      <c r="AI66" s="692">
        <f ca="1">IF(AC66="","",AC66*SFAssumptions!$C$8/'SavingsData&amp;Analysis'!AF66)</f>
        <v>430.91295280027009</v>
      </c>
      <c r="AJ66" s="692">
        <f ca="1">IF(OR(AE66="",AF66=""),"",AE66*SFAssumptions!$C$8/AF66)</f>
        <v>3589.3918845179655</v>
      </c>
      <c r="AK66" s="191">
        <f t="shared" si="26"/>
        <v>1.4716981132075473</v>
      </c>
      <c r="AL66" s="692">
        <f>IF(AK66="","",AK66*SFAssumptions!$C$3)</f>
        <v>377.80447924528306</v>
      </c>
      <c r="AM66" s="193">
        <f t="shared" si="27"/>
        <v>13.65</v>
      </c>
      <c r="AN66" s="194">
        <f>IF(AM66="","",AM66*SFAssumptions!$C$3)</f>
        <v>3504.1365450000003</v>
      </c>
      <c r="AO66" s="693">
        <f t="shared" si="28"/>
        <v>3.5</v>
      </c>
      <c r="AP66" s="693">
        <f t="shared" si="29"/>
        <v>2.65</v>
      </c>
      <c r="AQ66" s="692">
        <f ca="1">IF(AL66="","",AL66*SFAssumptions!$C$8/'SavingsData&amp;Analysis'!AF66)</f>
        <v>365.8898143093237</v>
      </c>
      <c r="AR66" s="692">
        <f ca="1">IF(OR(AN66="",AF66=""),"",AN66*SFAssumptions!$C$8/AF66)</f>
        <v>3393.6280277189776</v>
      </c>
      <c r="AS66" s="190" t="str">
        <f>IF(OR(AG66="",AH66=""),"No",IF(AND(G66="Horizontal",AH66&gt;='Eff. Standards &amp; Certifications'!$B$21,AG66&lt;='Eff. Standards &amp; Certifications'!$C$21),"Consider",IF(AND(G66="Vertical",AH66&gt;='Eff. Standards &amp; Certifications'!$B$20,AG66&lt;='Eff. Standards &amp; Certifications'!$C$20),"Consider","No")))</f>
        <v>Consider</v>
      </c>
      <c r="AT66" s="190" t="str">
        <f t="shared" si="11"/>
        <v>Residential</v>
      </c>
      <c r="AU66" s="190"/>
      <c r="AV66" s="190" t="str">
        <f t="shared" si="37"/>
        <v>NO</v>
      </c>
      <c r="AW66" s="190" t="str">
        <f t="shared" si="37"/>
        <v>YES</v>
      </c>
      <c r="AX66" s="190" t="str">
        <f t="shared" si="30"/>
        <v>YES</v>
      </c>
      <c r="AY66" s="190" t="str">
        <f t="shared" si="13"/>
        <v>NO</v>
      </c>
      <c r="AZ66" s="190" t="str">
        <f t="shared" si="13"/>
        <v>YES</v>
      </c>
      <c r="BA66" s="190" t="str">
        <f t="shared" si="31"/>
        <v>YES</v>
      </c>
      <c r="BB66" s="190" t="str">
        <f t="shared" si="14"/>
        <v>NO</v>
      </c>
      <c r="BC66" s="190" t="str">
        <f t="shared" si="15"/>
        <v>NO</v>
      </c>
      <c r="BD66" s="190" t="str">
        <f t="shared" si="32"/>
        <v>NO</v>
      </c>
      <c r="BE66" s="190" t="str">
        <f t="shared" si="16"/>
        <v>NO</v>
      </c>
      <c r="BF66" s="190" t="str">
        <f t="shared" si="17"/>
        <v>NO</v>
      </c>
      <c r="BG66" s="190" t="str">
        <f t="shared" si="18"/>
        <v>NO</v>
      </c>
      <c r="BH66" s="88"/>
      <c r="BI66" s="9"/>
      <c r="BJ66" s="694" t="str">
        <f t="shared" si="38"/>
        <v/>
      </c>
      <c r="BK66" s="694">
        <f t="shared" si="38"/>
        <v>2.2501249999999997</v>
      </c>
      <c r="BL66" s="694" t="str">
        <f t="shared" si="39"/>
        <v/>
      </c>
      <c r="BM66" s="694">
        <f t="shared" si="39"/>
        <v>3.7018999999999997</v>
      </c>
      <c r="BN66" s="88"/>
      <c r="BO66" s="195"/>
      <c r="BP66" s="195"/>
      <c r="BQ66" s="195"/>
      <c r="BR66" s="195"/>
      <c r="BS66" s="195"/>
      <c r="BT66" s="195"/>
      <c r="BU66" s="195"/>
      <c r="BV66" s="195"/>
      <c r="BW66" s="195"/>
      <c r="BX66" s="195"/>
    </row>
    <row r="67" spans="1:76" s="124" customFormat="1" ht="15">
      <c r="A67" s="187">
        <v>6030</v>
      </c>
      <c r="B67" s="187" t="s">
        <v>437</v>
      </c>
      <c r="C67" s="187" t="s">
        <v>437</v>
      </c>
      <c r="D67" s="187" t="s">
        <v>443</v>
      </c>
      <c r="E67" s="187" t="s">
        <v>385</v>
      </c>
      <c r="F67" s="187" t="s">
        <v>386</v>
      </c>
      <c r="G67" s="187" t="s">
        <v>387</v>
      </c>
      <c r="H67" s="187" t="b">
        <v>0</v>
      </c>
      <c r="I67" s="187" t="s">
        <v>388</v>
      </c>
      <c r="J67" s="187" t="s">
        <v>389</v>
      </c>
      <c r="K67" s="187" t="b">
        <v>0</v>
      </c>
      <c r="L67" s="187">
        <v>3.9</v>
      </c>
      <c r="M67" s="187">
        <v>0.17</v>
      </c>
      <c r="N67" s="187">
        <v>13.31</v>
      </c>
      <c r="O67" s="187">
        <v>3.4</v>
      </c>
      <c r="P67" s="187">
        <v>11.3</v>
      </c>
      <c r="Q67" s="187"/>
      <c r="R67" s="187"/>
      <c r="S67" s="187"/>
      <c r="T67" s="187"/>
      <c r="U67" s="187"/>
      <c r="V67" s="187">
        <v>2.65</v>
      </c>
      <c r="W67" s="188">
        <v>41554</v>
      </c>
      <c r="X67" s="691">
        <f t="shared" si="33"/>
        <v>2.2501249999999997</v>
      </c>
      <c r="Y67" s="691">
        <f t="shared" si="10"/>
        <v>3.5994799999999998</v>
      </c>
      <c r="Z67" s="189"/>
      <c r="AA67" s="190">
        <f t="shared" si="21"/>
        <v>2013</v>
      </c>
      <c r="AB67" s="191">
        <f t="shared" si="22"/>
        <v>1.7332370423865342</v>
      </c>
      <c r="AC67" s="192">
        <f>IF(AB67="","",AB67*SFAssumptions!$C$3)</f>
        <v>444.94500083328705</v>
      </c>
      <c r="AD67" s="193">
        <f t="shared" si="23"/>
        <v>14.037971999999998</v>
      </c>
      <c r="AE67" s="194">
        <f>IF(AD67="","",AD67*SFAssumptions!$C$3)</f>
        <v>3603.7341174275994</v>
      </c>
      <c r="AF67" s="192">
        <f t="shared" si="6"/>
        <v>3.9</v>
      </c>
      <c r="AG67" s="192">
        <f t="shared" si="24"/>
        <v>3.5994799999999998</v>
      </c>
      <c r="AH67" s="192">
        <f t="shared" si="25"/>
        <v>2.2501249999999997</v>
      </c>
      <c r="AI67" s="692">
        <f ca="1">IF(AC67="","",AC67*SFAssumptions!$C$8/'SavingsData&amp;Analysis'!AF67)</f>
        <v>430.91295280027009</v>
      </c>
      <c r="AJ67" s="692">
        <f ca="1">IF(OR(AE67="",AF67=""),"",AE67*SFAssumptions!$C$8/AF67)</f>
        <v>3490.0846323468286</v>
      </c>
      <c r="AK67" s="191">
        <f t="shared" si="26"/>
        <v>1.4716981132075473</v>
      </c>
      <c r="AL67" s="692">
        <f>IF(AK67="","",AK67*SFAssumptions!$C$3)</f>
        <v>377.80447924528306</v>
      </c>
      <c r="AM67" s="193">
        <f t="shared" si="27"/>
        <v>13.26</v>
      </c>
      <c r="AN67" s="194">
        <f>IF(AM67="","",AM67*SFAssumptions!$C$3)</f>
        <v>3404.0183579999998</v>
      </c>
      <c r="AO67" s="693">
        <f t="shared" si="28"/>
        <v>3.4</v>
      </c>
      <c r="AP67" s="693">
        <f t="shared" si="29"/>
        <v>2.65</v>
      </c>
      <c r="AQ67" s="692">
        <f ca="1">IF(AL67="","",AL67*SFAssumptions!$C$8/'SavingsData&amp;Analysis'!AF67)</f>
        <v>365.8898143093237</v>
      </c>
      <c r="AR67" s="692">
        <f ca="1">IF(OR(AN67="",AF67=""),"",AN67*SFAssumptions!$C$8/AF67)</f>
        <v>3296.6672269270057</v>
      </c>
      <c r="AS67" s="190" t="str">
        <f>IF(OR(AG67="",AH67=""),"No",IF(AND(G67="Horizontal",AH67&gt;='Eff. Standards &amp; Certifications'!$B$21,AG67&lt;='Eff. Standards &amp; Certifications'!$C$21),"Consider",IF(AND(G67="Vertical",AH67&gt;='Eff. Standards &amp; Certifications'!$B$20,AG67&lt;='Eff. Standards &amp; Certifications'!$C$20),"Consider","No")))</f>
        <v>Consider</v>
      </c>
      <c r="AT67" s="190" t="str">
        <f t="shared" si="11"/>
        <v>Residential</v>
      </c>
      <c r="AU67" s="190"/>
      <c r="AV67" s="190" t="str">
        <f t="shared" si="37"/>
        <v>NO</v>
      </c>
      <c r="AW67" s="190" t="str">
        <f t="shared" si="37"/>
        <v>YES</v>
      </c>
      <c r="AX67" s="190" t="str">
        <f t="shared" si="30"/>
        <v>YES</v>
      </c>
      <c r="AY67" s="190" t="str">
        <f t="shared" si="13"/>
        <v>NO</v>
      </c>
      <c r="AZ67" s="190" t="str">
        <f t="shared" si="13"/>
        <v>YES</v>
      </c>
      <c r="BA67" s="190" t="str">
        <f t="shared" si="31"/>
        <v>YES</v>
      </c>
      <c r="BB67" s="190" t="str">
        <f t="shared" si="14"/>
        <v>NO</v>
      </c>
      <c r="BC67" s="190" t="str">
        <f t="shared" si="15"/>
        <v>NO</v>
      </c>
      <c r="BD67" s="190" t="str">
        <f t="shared" si="32"/>
        <v>NO</v>
      </c>
      <c r="BE67" s="190" t="str">
        <f t="shared" si="16"/>
        <v>NO</v>
      </c>
      <c r="BF67" s="190" t="str">
        <f t="shared" si="17"/>
        <v>NO</v>
      </c>
      <c r="BG67" s="190" t="str">
        <f t="shared" si="18"/>
        <v>NO</v>
      </c>
      <c r="BH67" s="88"/>
      <c r="BI67" s="9"/>
      <c r="BJ67" s="694" t="str">
        <f t="shared" si="38"/>
        <v/>
      </c>
      <c r="BK67" s="694">
        <f t="shared" si="38"/>
        <v>2.2501249999999997</v>
      </c>
      <c r="BL67" s="694" t="str">
        <f t="shared" si="39"/>
        <v/>
      </c>
      <c r="BM67" s="694">
        <f t="shared" si="39"/>
        <v>3.5994799999999998</v>
      </c>
      <c r="BN67" s="88"/>
      <c r="BO67" s="195"/>
      <c r="BP67" s="195"/>
      <c r="BQ67" s="195"/>
      <c r="BR67" s="195"/>
      <c r="BS67" s="195"/>
      <c r="BT67" s="195"/>
      <c r="BU67" s="195"/>
      <c r="BV67" s="195"/>
      <c r="BW67" s="195"/>
      <c r="BX67" s="195"/>
    </row>
    <row r="68" spans="1:76" s="124" customFormat="1" ht="15">
      <c r="A68" s="187">
        <v>6013</v>
      </c>
      <c r="B68" s="187" t="s">
        <v>437</v>
      </c>
      <c r="C68" s="187" t="s">
        <v>437</v>
      </c>
      <c r="D68" s="187" t="s">
        <v>444</v>
      </c>
      <c r="E68" s="187" t="s">
        <v>385</v>
      </c>
      <c r="F68" s="187" t="s">
        <v>386</v>
      </c>
      <c r="G68" s="187" t="s">
        <v>387</v>
      </c>
      <c r="H68" s="187" t="b">
        <v>0</v>
      </c>
      <c r="I68" s="187" t="s">
        <v>388</v>
      </c>
      <c r="J68" s="187" t="s">
        <v>389</v>
      </c>
      <c r="K68" s="187" t="b">
        <v>0</v>
      </c>
      <c r="L68" s="187">
        <v>3.5</v>
      </c>
      <c r="M68" s="187">
        <v>0.11</v>
      </c>
      <c r="N68" s="187">
        <v>17.649999999999999</v>
      </c>
      <c r="O68" s="187">
        <v>5</v>
      </c>
      <c r="P68" s="187">
        <v>10.25</v>
      </c>
      <c r="Q68" s="187"/>
      <c r="R68" s="187"/>
      <c r="S68" s="187"/>
      <c r="T68" s="187"/>
      <c r="U68" s="187"/>
      <c r="V68" s="187">
        <v>2.76</v>
      </c>
      <c r="W68" s="188">
        <v>41554</v>
      </c>
      <c r="X68" s="691">
        <f t="shared" si="33"/>
        <v>2.3507199999999999</v>
      </c>
      <c r="Y68" s="691">
        <f t="shared" si="10"/>
        <v>5.2382000000000009</v>
      </c>
      <c r="Z68" s="189"/>
      <c r="AA68" s="190">
        <f t="shared" si="21"/>
        <v>2013</v>
      </c>
      <c r="AB68" s="191">
        <f t="shared" si="22"/>
        <v>1.4889055268173157</v>
      </c>
      <c r="AC68" s="192">
        <f>IF(AB68="","",AB68*SFAssumptions!$C$3)</f>
        <v>382.22185117751161</v>
      </c>
      <c r="AD68" s="193">
        <f t="shared" si="23"/>
        <v>18.333700000000004</v>
      </c>
      <c r="AE68" s="194">
        <f>IF(AD68="","",AD68*SFAssumptions!$C$3)</f>
        <v>4706.5046282100011</v>
      </c>
      <c r="AF68" s="192">
        <f t="shared" si="6"/>
        <v>3.5</v>
      </c>
      <c r="AG68" s="192">
        <f t="shared" si="24"/>
        <v>5.2382000000000009</v>
      </c>
      <c r="AH68" s="192">
        <f t="shared" si="25"/>
        <v>2.3507199999999999</v>
      </c>
      <c r="AI68" s="692">
        <f ca="1">IF(AC68="","",AC68*SFAssumptions!$C$8/'SavingsData&amp;Analysis'!AF68)</f>
        <v>412.47277766799436</v>
      </c>
      <c r="AJ68" s="692">
        <f ca="1">IF(OR(AE68="",AF68=""),"",AE68*SFAssumptions!$C$8/AF68)</f>
        <v>5079.0006670850134</v>
      </c>
      <c r="AK68" s="191">
        <f t="shared" si="26"/>
        <v>1.2681159420289856</v>
      </c>
      <c r="AL68" s="692">
        <f>IF(AK68="","",AK68*SFAssumptions!$C$3)</f>
        <v>325.54222826086959</v>
      </c>
      <c r="AM68" s="193">
        <f t="shared" si="27"/>
        <v>17.5</v>
      </c>
      <c r="AN68" s="194">
        <f>IF(AM68="","",AM68*SFAssumptions!$C$3)</f>
        <v>4492.4827500000001</v>
      </c>
      <c r="AO68" s="693">
        <f t="shared" si="28"/>
        <v>5</v>
      </c>
      <c r="AP68" s="693">
        <f t="shared" si="29"/>
        <v>2.76</v>
      </c>
      <c r="AQ68" s="692">
        <f ca="1">IF(AL68="","",AL68*SFAssumptions!$C$8/'SavingsData&amp;Analysis'!AF68)</f>
        <v>351.30724924627094</v>
      </c>
      <c r="AR68" s="692">
        <f ca="1">IF(OR(AN68="",AF68=""),"",AN68*SFAssumptions!$C$8/AF68)</f>
        <v>4848.0400395985389</v>
      </c>
      <c r="AS68" s="190" t="str">
        <f>IF(OR(AG68="",AH68=""),"No",IF(AND(G68="Horizontal",AH68&gt;='Eff. Standards &amp; Certifications'!$B$21,AG68&lt;='Eff. Standards &amp; Certifications'!$C$21),"Consider",IF(AND(G68="Vertical",AH68&gt;='Eff. Standards &amp; Certifications'!$B$20,AG68&lt;='Eff. Standards &amp; Certifications'!$C$20),"Consider","No")))</f>
        <v>No</v>
      </c>
      <c r="AT68" s="190" t="str">
        <f t="shared" si="11"/>
        <v>Residential</v>
      </c>
      <c r="AU68" s="190"/>
      <c r="AV68" s="190" t="str">
        <f t="shared" si="37"/>
        <v>NO</v>
      </c>
      <c r="AW68" s="190" t="str">
        <f t="shared" si="37"/>
        <v>NO</v>
      </c>
      <c r="AX68" s="190" t="str">
        <f t="shared" si="30"/>
        <v>NO</v>
      </c>
      <c r="AY68" s="190" t="str">
        <f t="shared" si="13"/>
        <v>NO</v>
      </c>
      <c r="AZ68" s="190" t="str">
        <f t="shared" si="13"/>
        <v>NO</v>
      </c>
      <c r="BA68" s="190" t="str">
        <f t="shared" si="31"/>
        <v>NO</v>
      </c>
      <c r="BB68" s="190" t="str">
        <f t="shared" si="14"/>
        <v>NO</v>
      </c>
      <c r="BC68" s="190" t="str">
        <f t="shared" si="15"/>
        <v>NO</v>
      </c>
      <c r="BD68" s="190" t="str">
        <f t="shared" si="32"/>
        <v>NO</v>
      </c>
      <c r="BE68" s="190" t="str">
        <f t="shared" si="16"/>
        <v>NO</v>
      </c>
      <c r="BF68" s="190" t="str">
        <f t="shared" si="17"/>
        <v>NO</v>
      </c>
      <c r="BG68" s="190" t="str">
        <f t="shared" si="18"/>
        <v>NO</v>
      </c>
      <c r="BH68" s="88"/>
      <c r="BI68" s="9"/>
      <c r="BJ68" s="694" t="str">
        <f t="shared" si="38"/>
        <v/>
      </c>
      <c r="BK68" s="694" t="str">
        <f t="shared" si="38"/>
        <v/>
      </c>
      <c r="BL68" s="694" t="str">
        <f t="shared" si="39"/>
        <v/>
      </c>
      <c r="BM68" s="694" t="str">
        <f t="shared" si="39"/>
        <v/>
      </c>
      <c r="BN68" s="88"/>
      <c r="BO68" s="195"/>
      <c r="BP68" s="195"/>
      <c r="BQ68" s="195"/>
      <c r="BR68" s="195"/>
      <c r="BS68" s="195"/>
      <c r="BT68" s="195"/>
      <c r="BU68" s="195"/>
      <c r="BV68" s="195"/>
      <c r="BW68" s="195"/>
      <c r="BX68" s="195"/>
    </row>
    <row r="69" spans="1:76" s="124" customFormat="1" ht="15">
      <c r="A69" s="187">
        <v>6008</v>
      </c>
      <c r="B69" s="187" t="s">
        <v>437</v>
      </c>
      <c r="C69" s="187" t="s">
        <v>437</v>
      </c>
      <c r="D69" s="187" t="s">
        <v>1304</v>
      </c>
      <c r="E69" s="187" t="s">
        <v>392</v>
      </c>
      <c r="F69" s="187" t="s">
        <v>386</v>
      </c>
      <c r="G69" s="187" t="s">
        <v>393</v>
      </c>
      <c r="H69" s="187" t="b">
        <v>0</v>
      </c>
      <c r="I69" s="187" t="s">
        <v>388</v>
      </c>
      <c r="J69" s="187" t="s">
        <v>389</v>
      </c>
      <c r="K69" s="187" t="b">
        <v>0</v>
      </c>
      <c r="L69" s="187">
        <v>3.3</v>
      </c>
      <c r="M69" s="187">
        <v>0.1</v>
      </c>
      <c r="N69" s="187">
        <v>12.37</v>
      </c>
      <c r="O69" s="187">
        <v>5.8</v>
      </c>
      <c r="P69" s="187">
        <v>9.23</v>
      </c>
      <c r="Q69" s="187"/>
      <c r="R69" s="187"/>
      <c r="S69" s="187"/>
      <c r="T69" s="187"/>
      <c r="U69" s="187"/>
      <c r="V69" s="187">
        <v>2</v>
      </c>
      <c r="W69" s="188">
        <v>41554</v>
      </c>
      <c r="X69" s="691">
        <f t="shared" si="33"/>
        <v>1.5636999999999999</v>
      </c>
      <c r="Y69" s="691">
        <f t="shared" si="10"/>
        <v>6.2637200000000002</v>
      </c>
      <c r="Z69" s="189"/>
      <c r="AA69" s="190">
        <f t="shared" si="21"/>
        <v>2013</v>
      </c>
      <c r="AB69" s="191">
        <f t="shared" si="22"/>
        <v>2.1103792287523184</v>
      </c>
      <c r="AC69" s="192">
        <f>IF(AB69="","",AB69*SFAssumptions!$C$3)</f>
        <v>541.76241606446251</v>
      </c>
      <c r="AD69" s="193">
        <f t="shared" si="23"/>
        <v>20.670276000000001</v>
      </c>
      <c r="AE69" s="194">
        <f>IF(AD69="","",AD69*SFAssumptions!$C$3)</f>
        <v>5306.3347638708001</v>
      </c>
      <c r="AF69" s="192">
        <f t="shared" si="6"/>
        <v>3.3</v>
      </c>
      <c r="AG69" s="192">
        <f t="shared" si="24"/>
        <v>6.2637200000000002</v>
      </c>
      <c r="AH69" s="192">
        <f t="shared" si="25"/>
        <v>1.5636999999999999</v>
      </c>
      <c r="AI69" s="692">
        <f ca="1">IF(AC69="","",AC69*SFAssumptions!$C$8/'SavingsData&amp;Analysis'!AF69)</f>
        <v>620.07290907444383</v>
      </c>
      <c r="AJ69" s="692">
        <f ca="1">IF(OR(AE69="",AF69=""),"",AE69*SFAssumptions!$C$8/AF69)</f>
        <v>6073.3530713668315</v>
      </c>
      <c r="AK69" s="191">
        <f t="shared" si="26"/>
        <v>1.65</v>
      </c>
      <c r="AL69" s="692">
        <f>IF(AK69="","",AK69*SFAssumptions!$C$3)</f>
        <v>423.57694499999997</v>
      </c>
      <c r="AM69" s="193">
        <f t="shared" si="27"/>
        <v>19.139999999999997</v>
      </c>
      <c r="AN69" s="194">
        <f>IF(AM69="","",AM69*SFAssumptions!$C$3)</f>
        <v>4913.4925619999995</v>
      </c>
      <c r="AO69" s="693">
        <f t="shared" si="28"/>
        <v>5.8</v>
      </c>
      <c r="AP69" s="693">
        <f t="shared" si="29"/>
        <v>2</v>
      </c>
      <c r="AQ69" s="692">
        <f ca="1">IF(AL69="","",AL69*SFAssumptions!$C$8/'SavingsData&amp;Analysis'!AF69)</f>
        <v>484.80400395985384</v>
      </c>
      <c r="AR69" s="692">
        <f ca="1">IF(OR(AN69="",AF69=""),"",AN69*SFAssumptions!$C$8/AF69)</f>
        <v>5623.7264459343041</v>
      </c>
      <c r="AS69" s="190" t="str">
        <f>IF(OR(AG69="",AH69=""),"No",IF(AND(G69="Horizontal",AH69&gt;='Eff. Standards &amp; Certifications'!$B$21,AG69&lt;='Eff. Standards &amp; Certifications'!$C$21),"Consider",IF(AND(G69="Vertical",AH69&gt;='Eff. Standards &amp; Certifications'!$B$20,AG69&lt;='Eff. Standards &amp; Certifications'!$C$20),"Consider","No")))</f>
        <v>Consider</v>
      </c>
      <c r="AT69" s="190" t="str">
        <f t="shared" si="11"/>
        <v>Residential</v>
      </c>
      <c r="AU69" s="190"/>
      <c r="AV69" s="190" t="str">
        <f t="shared" si="37"/>
        <v>YES</v>
      </c>
      <c r="AW69" s="190" t="str">
        <f t="shared" si="37"/>
        <v>NO</v>
      </c>
      <c r="AX69" s="190" t="str">
        <f t="shared" si="30"/>
        <v>YES</v>
      </c>
      <c r="AY69" s="190" t="str">
        <f t="shared" si="13"/>
        <v>YES</v>
      </c>
      <c r="AZ69" s="190" t="str">
        <f t="shared" si="13"/>
        <v>NO</v>
      </c>
      <c r="BA69" s="190" t="str">
        <f t="shared" si="31"/>
        <v>YES</v>
      </c>
      <c r="BB69" s="190" t="str">
        <f t="shared" si="14"/>
        <v>NO</v>
      </c>
      <c r="BC69" s="190" t="str">
        <f t="shared" si="15"/>
        <v>NO</v>
      </c>
      <c r="BD69" s="190" t="str">
        <f t="shared" si="32"/>
        <v>NO</v>
      </c>
      <c r="BE69" s="190" t="str">
        <f t="shared" si="16"/>
        <v>NO</v>
      </c>
      <c r="BF69" s="190" t="str">
        <f t="shared" si="17"/>
        <v>NO</v>
      </c>
      <c r="BG69" s="190" t="str">
        <f t="shared" si="18"/>
        <v>NO</v>
      </c>
      <c r="BH69" s="88"/>
      <c r="BI69" s="9"/>
      <c r="BJ69" s="694">
        <f t="shared" si="38"/>
        <v>1.5636999999999999</v>
      </c>
      <c r="BK69" s="694" t="str">
        <f t="shared" si="38"/>
        <v/>
      </c>
      <c r="BL69" s="694">
        <f t="shared" si="39"/>
        <v>6.2637200000000002</v>
      </c>
      <c r="BM69" s="694" t="str">
        <f t="shared" si="39"/>
        <v/>
      </c>
      <c r="BN69" s="88"/>
      <c r="BO69" s="195"/>
      <c r="BP69" s="195"/>
      <c r="BQ69" s="195"/>
      <c r="BR69" s="195"/>
      <c r="BS69" s="195"/>
      <c r="BT69" s="195"/>
      <c r="BU69" s="195"/>
      <c r="BV69" s="195"/>
      <c r="BW69" s="195"/>
      <c r="BX69" s="195"/>
    </row>
    <row r="70" spans="1:76" s="124" customFormat="1" ht="15">
      <c r="A70" s="187">
        <v>6011</v>
      </c>
      <c r="B70" s="187" t="s">
        <v>437</v>
      </c>
      <c r="C70" s="187" t="s">
        <v>437</v>
      </c>
      <c r="D70" s="187" t="s">
        <v>1305</v>
      </c>
      <c r="E70" s="187" t="s">
        <v>392</v>
      </c>
      <c r="F70" s="187" t="s">
        <v>386</v>
      </c>
      <c r="G70" s="187" t="s">
        <v>393</v>
      </c>
      <c r="H70" s="187" t="b">
        <v>0</v>
      </c>
      <c r="I70" s="187" t="s">
        <v>388</v>
      </c>
      <c r="J70" s="187" t="s">
        <v>389</v>
      </c>
      <c r="K70" s="187" t="b">
        <v>0</v>
      </c>
      <c r="L70" s="187">
        <v>3.4</v>
      </c>
      <c r="M70" s="187">
        <v>0.06</v>
      </c>
      <c r="N70" s="187">
        <v>14.1</v>
      </c>
      <c r="O70" s="187">
        <v>4</v>
      </c>
      <c r="P70" s="187">
        <v>6.83</v>
      </c>
      <c r="Q70" s="187"/>
      <c r="R70" s="187"/>
      <c r="S70" s="187"/>
      <c r="T70" s="187"/>
      <c r="U70" s="187"/>
      <c r="V70" s="187">
        <v>2.2999999999999998</v>
      </c>
      <c r="W70" s="188">
        <v>41554</v>
      </c>
      <c r="X70" s="691">
        <f t="shared" si="33"/>
        <v>1.8606999999999996</v>
      </c>
      <c r="Y70" s="691">
        <f t="shared" si="10"/>
        <v>4.4836999999999998</v>
      </c>
      <c r="Z70" s="189"/>
      <c r="AA70" s="190">
        <f t="shared" si="21"/>
        <v>2013</v>
      </c>
      <c r="AB70" s="191">
        <f t="shared" si="22"/>
        <v>1.82726930724996</v>
      </c>
      <c r="AC70" s="192">
        <f>IF(AB70="","",AB70*SFAssumptions!$C$3)</f>
        <v>469.08433385285116</v>
      </c>
      <c r="AD70" s="193">
        <f t="shared" si="23"/>
        <v>15.244579999999999</v>
      </c>
      <c r="AE70" s="194">
        <f>IF(AD70="","",AD70*SFAssumptions!$C$3)</f>
        <v>3913.4864389139998</v>
      </c>
      <c r="AF70" s="192">
        <f t="shared" si="6"/>
        <v>3.4</v>
      </c>
      <c r="AG70" s="192">
        <f t="shared" si="24"/>
        <v>4.4836999999999998</v>
      </c>
      <c r="AH70" s="192">
        <f t="shared" si="25"/>
        <v>1.8606999999999996</v>
      </c>
      <c r="AI70" s="692">
        <f ca="1">IF(AC70="","",AC70*SFAssumptions!$C$8/'SavingsData&amp;Analysis'!AF70)</f>
        <v>521.09851556925241</v>
      </c>
      <c r="AJ70" s="692">
        <f ca="1">IF(OR(AE70="",AF70=""),"",AE70*SFAssumptions!$C$8/AF70)</f>
        <v>4347.431425109593</v>
      </c>
      <c r="AK70" s="191">
        <f t="shared" si="26"/>
        <v>1.4782608695652175</v>
      </c>
      <c r="AL70" s="692">
        <f>IF(AK70="","",AK70*SFAssumptions!$C$3)</f>
        <v>379.48922608695653</v>
      </c>
      <c r="AM70" s="193">
        <f t="shared" si="27"/>
        <v>13.6</v>
      </c>
      <c r="AN70" s="194">
        <f>IF(AM70="","",AM70*SFAssumptions!$C$3)</f>
        <v>3491.3008799999998</v>
      </c>
      <c r="AO70" s="693">
        <f t="shared" si="28"/>
        <v>4</v>
      </c>
      <c r="AP70" s="693">
        <f t="shared" si="29"/>
        <v>2.2999999999999998</v>
      </c>
      <c r="AQ70" s="692">
        <f ca="1">IF(AL70="","",AL70*SFAssumptions!$C$8/'SavingsData&amp;Analysis'!AF70)</f>
        <v>421.56869909552512</v>
      </c>
      <c r="AR70" s="692">
        <f ca="1">IF(OR(AN70="",AF70=""),"",AN70*SFAssumptions!$C$8/AF70)</f>
        <v>3878.4320316788303</v>
      </c>
      <c r="AS70" s="190" t="str">
        <f>IF(OR(AG70="",AH70=""),"No",IF(AND(G70="Horizontal",AH70&gt;='Eff. Standards &amp; Certifications'!$B$21,AG70&lt;='Eff. Standards &amp; Certifications'!$C$21),"Consider",IF(AND(G70="Vertical",AH70&gt;='Eff. Standards &amp; Certifications'!$B$20,AG70&lt;='Eff. Standards &amp; Certifications'!$C$20),"Consider","No")))</f>
        <v>Consider</v>
      </c>
      <c r="AT70" s="190" t="str">
        <f t="shared" si="11"/>
        <v>Residential</v>
      </c>
      <c r="AU70" s="190"/>
      <c r="AV70" s="190" t="str">
        <f t="shared" si="37"/>
        <v>YES</v>
      </c>
      <c r="AW70" s="190" t="str">
        <f t="shared" si="37"/>
        <v>NO</v>
      </c>
      <c r="AX70" s="190" t="str">
        <f t="shared" si="30"/>
        <v>YES</v>
      </c>
      <c r="AY70" s="190" t="str">
        <f t="shared" si="13"/>
        <v>YES</v>
      </c>
      <c r="AZ70" s="190" t="str">
        <f t="shared" si="13"/>
        <v>NO</v>
      </c>
      <c r="BA70" s="190" t="str">
        <f t="shared" si="31"/>
        <v>YES</v>
      </c>
      <c r="BB70" s="190" t="str">
        <f t="shared" si="14"/>
        <v>NO</v>
      </c>
      <c r="BC70" s="190" t="str">
        <f t="shared" si="15"/>
        <v>NO</v>
      </c>
      <c r="BD70" s="190" t="str">
        <f t="shared" si="32"/>
        <v>NO</v>
      </c>
      <c r="BE70" s="190" t="str">
        <f t="shared" si="16"/>
        <v>NO</v>
      </c>
      <c r="BF70" s="190" t="str">
        <f t="shared" si="17"/>
        <v>NO</v>
      </c>
      <c r="BG70" s="190" t="str">
        <f t="shared" si="18"/>
        <v>NO</v>
      </c>
      <c r="BH70" s="88"/>
      <c r="BI70" s="9"/>
      <c r="BJ70" s="694">
        <f t="shared" si="38"/>
        <v>1.8606999999999996</v>
      </c>
      <c r="BK70" s="694" t="str">
        <f t="shared" si="38"/>
        <v/>
      </c>
      <c r="BL70" s="694">
        <f t="shared" si="39"/>
        <v>4.4836999999999998</v>
      </c>
      <c r="BM70" s="694" t="str">
        <f t="shared" si="39"/>
        <v/>
      </c>
      <c r="BN70" s="88"/>
      <c r="BO70" s="195"/>
      <c r="BP70" s="195"/>
      <c r="BQ70" s="195"/>
      <c r="BR70" s="195"/>
      <c r="BS70" s="195"/>
      <c r="BT70" s="195"/>
      <c r="BU70" s="195"/>
      <c r="BV70" s="195"/>
      <c r="BW70" s="195"/>
      <c r="BX70" s="195"/>
    </row>
    <row r="71" spans="1:76" s="124" customFormat="1" ht="15">
      <c r="A71" s="187">
        <v>2917</v>
      </c>
      <c r="B71" s="187" t="s">
        <v>430</v>
      </c>
      <c r="C71" s="187" t="s">
        <v>431</v>
      </c>
      <c r="D71" s="187" t="s">
        <v>432</v>
      </c>
      <c r="E71" s="187" t="s">
        <v>385</v>
      </c>
      <c r="F71" s="187" t="s">
        <v>433</v>
      </c>
      <c r="G71" s="187" t="s">
        <v>393</v>
      </c>
      <c r="H71" s="187" t="b">
        <v>0</v>
      </c>
      <c r="I71" s="187" t="s">
        <v>388</v>
      </c>
      <c r="J71" s="187" t="s">
        <v>389</v>
      </c>
      <c r="K71" s="187" t="b">
        <v>1</v>
      </c>
      <c r="L71" s="187">
        <v>3.3</v>
      </c>
      <c r="M71" s="187">
        <v>0.14000000000000001</v>
      </c>
      <c r="N71" s="187">
        <v>15.85</v>
      </c>
      <c r="O71" s="187">
        <v>4</v>
      </c>
      <c r="P71" s="187">
        <v>6.99</v>
      </c>
      <c r="Q71" s="187"/>
      <c r="R71" s="187"/>
      <c r="S71" s="187"/>
      <c r="T71" s="187"/>
      <c r="U71" s="187">
        <v>43</v>
      </c>
      <c r="V71" s="187">
        <v>2.04</v>
      </c>
      <c r="W71" s="188">
        <v>39343</v>
      </c>
      <c r="X71" s="691">
        <f t="shared" si="33"/>
        <v>1.6032999999999999</v>
      </c>
      <c r="Y71" s="691">
        <f t="shared" si="10"/>
        <v>4.4836999999999998</v>
      </c>
      <c r="Z71" s="189"/>
      <c r="AA71" s="190">
        <f t="shared" si="21"/>
        <v>2007</v>
      </c>
      <c r="AB71" s="191">
        <f t="shared" si="22"/>
        <v>2.0582548493731676</v>
      </c>
      <c r="AC71" s="192">
        <f>IF(AB71="","",AB71*SFAssumptions!$C$3)</f>
        <v>528.38139462358879</v>
      </c>
      <c r="AD71" s="193">
        <f t="shared" si="23"/>
        <v>14.796209999999999</v>
      </c>
      <c r="AE71" s="194">
        <f>IF(AD71="","",AD71*SFAssumptions!$C$3)</f>
        <v>3798.3838965929995</v>
      </c>
      <c r="AF71" s="192">
        <f t="shared" si="6"/>
        <v>3.3</v>
      </c>
      <c r="AG71" s="192">
        <f t="shared" si="24"/>
        <v>4.4836999999999998</v>
      </c>
      <c r="AH71" s="192">
        <f t="shared" si="25"/>
        <v>1.6032999999999999</v>
      </c>
      <c r="AI71" s="692">
        <f ca="1">IF(AC71="","",AC71*SFAssumptions!$C$8/'SavingsData&amp;Analysis'!AF71)</f>
        <v>604.75769220963491</v>
      </c>
      <c r="AJ71" s="692">
        <f ca="1">IF(OR(AE71="",AF71=""),"",AE71*SFAssumptions!$C$8/AF71)</f>
        <v>4347.431425109593</v>
      </c>
      <c r="AK71" s="191">
        <f t="shared" si="26"/>
        <v>1.6176470588235292</v>
      </c>
      <c r="AL71" s="692">
        <f>IF(AK71="","",AK71*SFAssumptions!$C$3)</f>
        <v>415.27151470588228</v>
      </c>
      <c r="AM71" s="193">
        <f t="shared" si="27"/>
        <v>13.2</v>
      </c>
      <c r="AN71" s="194">
        <f>IF(AM71="","",AM71*SFAssumptions!$C$3)</f>
        <v>3388.6155599999997</v>
      </c>
      <c r="AO71" s="693">
        <f t="shared" si="28"/>
        <v>4</v>
      </c>
      <c r="AP71" s="693">
        <f t="shared" si="29"/>
        <v>2.04</v>
      </c>
      <c r="AQ71" s="692">
        <f ca="1">IF(AL71="","",AL71*SFAssumptions!$C$8/'SavingsData&amp;Analysis'!AF71)</f>
        <v>475.29804309789586</v>
      </c>
      <c r="AR71" s="692">
        <f ca="1">IF(OR(AN71="",AF71=""),"",AN71*SFAssumptions!$C$8/AF71)</f>
        <v>3878.4320316788308</v>
      </c>
      <c r="AS71" s="190" t="str">
        <f>IF(OR(AG71="",AH71=""),"No",IF(AND(G71="Horizontal",AH71&gt;='Eff. Standards &amp; Certifications'!$B$21,AG71&lt;='Eff. Standards &amp; Certifications'!$C$21),"Consider",IF(AND(G71="Vertical",AH71&gt;='Eff. Standards &amp; Certifications'!$B$20,AG71&lt;='Eff. Standards &amp; Certifications'!$C$20),"Consider","No")))</f>
        <v>Consider</v>
      </c>
      <c r="AT71" s="190" t="str">
        <f t="shared" si="11"/>
        <v>Residential</v>
      </c>
      <c r="AU71" s="190"/>
      <c r="AV71" s="190" t="str">
        <f t="shared" si="37"/>
        <v>YES</v>
      </c>
      <c r="AW71" s="190" t="str">
        <f t="shared" si="37"/>
        <v>NO</v>
      </c>
      <c r="AX71" s="190" t="str">
        <f t="shared" si="30"/>
        <v>YES</v>
      </c>
      <c r="AY71" s="190" t="str">
        <f t="shared" si="13"/>
        <v>YES</v>
      </c>
      <c r="AZ71" s="190" t="str">
        <f t="shared" si="13"/>
        <v>NO</v>
      </c>
      <c r="BA71" s="190" t="str">
        <f t="shared" si="31"/>
        <v>YES</v>
      </c>
      <c r="BB71" s="190" t="str">
        <f t="shared" si="14"/>
        <v>NO</v>
      </c>
      <c r="BC71" s="190" t="str">
        <f t="shared" si="15"/>
        <v>NO</v>
      </c>
      <c r="BD71" s="190" t="str">
        <f t="shared" si="32"/>
        <v>NO</v>
      </c>
      <c r="BE71" s="190" t="str">
        <f t="shared" si="16"/>
        <v>NO</v>
      </c>
      <c r="BF71" s="190" t="str">
        <f t="shared" si="17"/>
        <v>NO</v>
      </c>
      <c r="BG71" s="190" t="str">
        <f t="shared" si="18"/>
        <v>NO</v>
      </c>
      <c r="BH71" s="88"/>
      <c r="BI71" s="9"/>
      <c r="BJ71" s="694">
        <f t="shared" si="38"/>
        <v>1.6032999999999999</v>
      </c>
      <c r="BK71" s="694" t="str">
        <f t="shared" si="38"/>
        <v/>
      </c>
      <c r="BL71" s="694">
        <f t="shared" si="39"/>
        <v>4.4836999999999998</v>
      </c>
      <c r="BM71" s="694" t="str">
        <f t="shared" si="39"/>
        <v/>
      </c>
      <c r="BN71" s="88"/>
      <c r="BO71" s="195"/>
      <c r="BP71" s="195"/>
      <c r="BQ71" s="195"/>
      <c r="BR71" s="195"/>
      <c r="BS71" s="195"/>
      <c r="BT71" s="195"/>
      <c r="BU71" s="195"/>
      <c r="BV71" s="195"/>
      <c r="BW71" s="195"/>
      <c r="BX71" s="195"/>
    </row>
    <row r="72" spans="1:76" s="124" customFormat="1" ht="15">
      <c r="A72" s="187">
        <v>5584</v>
      </c>
      <c r="B72" s="187" t="s">
        <v>430</v>
      </c>
      <c r="C72" s="187" t="s">
        <v>431</v>
      </c>
      <c r="D72" s="187" t="s">
        <v>434</v>
      </c>
      <c r="E72" s="187" t="s">
        <v>385</v>
      </c>
      <c r="F72" s="187" t="s">
        <v>386</v>
      </c>
      <c r="G72" s="187" t="s">
        <v>387</v>
      </c>
      <c r="H72" s="187" t="b">
        <v>0</v>
      </c>
      <c r="I72" s="187" t="s">
        <v>388</v>
      </c>
      <c r="J72" s="187" t="s">
        <v>389</v>
      </c>
      <c r="K72" s="187" t="b">
        <v>0</v>
      </c>
      <c r="L72" s="187">
        <v>3.9</v>
      </c>
      <c r="M72" s="187">
        <v>0.21</v>
      </c>
      <c r="N72" s="187">
        <v>12.88</v>
      </c>
      <c r="O72" s="187">
        <v>3.3</v>
      </c>
      <c r="P72" s="187">
        <v>10.28</v>
      </c>
      <c r="Q72" s="187"/>
      <c r="R72" s="187"/>
      <c r="S72" s="187"/>
      <c r="T72" s="187"/>
      <c r="U72" s="187"/>
      <c r="V72" s="187">
        <v>2.66</v>
      </c>
      <c r="W72" s="188">
        <v>41260</v>
      </c>
      <c r="X72" s="691">
        <f t="shared" si="33"/>
        <v>2.2592699999999999</v>
      </c>
      <c r="Y72" s="691">
        <f t="shared" si="10"/>
        <v>3.4970599999999998</v>
      </c>
      <c r="Z72" s="189"/>
      <c r="AA72" s="190">
        <f t="shared" si="21"/>
        <v>2012</v>
      </c>
      <c r="AB72" s="191">
        <f t="shared" si="22"/>
        <v>1.7262213015708614</v>
      </c>
      <c r="AC72" s="192">
        <f>IF(AB72="","",AB72*SFAssumptions!$C$3)</f>
        <v>443.143966856551</v>
      </c>
      <c r="AD72" s="193">
        <f t="shared" si="23"/>
        <v>13.638534</v>
      </c>
      <c r="AE72" s="194">
        <f>IF(AD72="","",AD72*SFAssumptions!$C$3)</f>
        <v>3501.1930703021999</v>
      </c>
      <c r="AF72" s="192">
        <f t="shared" si="6"/>
        <v>3.9</v>
      </c>
      <c r="AG72" s="192">
        <f t="shared" si="24"/>
        <v>3.4970599999999998</v>
      </c>
      <c r="AH72" s="192">
        <f t="shared" si="25"/>
        <v>2.2592699999999999</v>
      </c>
      <c r="AI72" s="692">
        <f ca="1">IF(AC72="","",AC72*SFAssumptions!$C$8/'SavingsData&amp;Analysis'!AF72)</f>
        <v>429.1687172935097</v>
      </c>
      <c r="AJ72" s="692">
        <f ca="1">IF(OR(AE72="",AF72=""),"",AE72*SFAssumptions!$C$8/AF72)</f>
        <v>3390.777380175693</v>
      </c>
      <c r="AK72" s="191">
        <f t="shared" si="26"/>
        <v>1.4661654135338344</v>
      </c>
      <c r="AL72" s="692">
        <f>IF(AK72="","",AK72*SFAssumptions!$C$3)</f>
        <v>376.38416165413531</v>
      </c>
      <c r="AM72" s="193">
        <f t="shared" si="27"/>
        <v>12.87</v>
      </c>
      <c r="AN72" s="194">
        <f>IF(AM72="","",AM72*SFAssumptions!$C$3)</f>
        <v>3303.9001709999998</v>
      </c>
      <c r="AO72" s="693">
        <f t="shared" si="28"/>
        <v>3.3</v>
      </c>
      <c r="AP72" s="693">
        <f t="shared" si="29"/>
        <v>2.66</v>
      </c>
      <c r="AQ72" s="692">
        <f ca="1">IF(AL72="","",AL72*SFAssumptions!$C$8/'SavingsData&amp;Analysis'!AF72)</f>
        <v>364.51428869161941</v>
      </c>
      <c r="AR72" s="692">
        <f ca="1">IF(OR(AN72="",AF72=""),"",AN72*SFAssumptions!$C$8/AF72)</f>
        <v>3199.7064261350351</v>
      </c>
      <c r="AS72" s="190" t="str">
        <f>IF(OR(AG72="",AH72=""),"No",IF(AND(G72="Horizontal",AH72&gt;='Eff. Standards &amp; Certifications'!$B$21,AG72&lt;='Eff. Standards &amp; Certifications'!$C$21),"Consider",IF(AND(G72="Vertical",AH72&gt;='Eff. Standards &amp; Certifications'!$B$20,AG72&lt;='Eff. Standards &amp; Certifications'!$C$20),"Consider","No")))</f>
        <v>Consider</v>
      </c>
      <c r="AT72" s="190" t="str">
        <f t="shared" si="11"/>
        <v>Residential</v>
      </c>
      <c r="AU72" s="190"/>
      <c r="AV72" s="190" t="str">
        <f t="shared" si="37"/>
        <v>NO</v>
      </c>
      <c r="AW72" s="190" t="str">
        <f t="shared" si="37"/>
        <v>YES</v>
      </c>
      <c r="AX72" s="190" t="str">
        <f t="shared" si="30"/>
        <v>YES</v>
      </c>
      <c r="AY72" s="190" t="str">
        <f t="shared" si="13"/>
        <v>NO</v>
      </c>
      <c r="AZ72" s="190" t="str">
        <f t="shared" si="13"/>
        <v>YES</v>
      </c>
      <c r="BA72" s="190" t="str">
        <f t="shared" si="31"/>
        <v>YES</v>
      </c>
      <c r="BB72" s="190" t="str">
        <f t="shared" si="14"/>
        <v>NO</v>
      </c>
      <c r="BC72" s="190" t="str">
        <f t="shared" si="15"/>
        <v>NO</v>
      </c>
      <c r="BD72" s="190" t="str">
        <f t="shared" si="32"/>
        <v>NO</v>
      </c>
      <c r="BE72" s="190" t="str">
        <f t="shared" si="16"/>
        <v>NO</v>
      </c>
      <c r="BF72" s="190" t="str">
        <f t="shared" si="17"/>
        <v>NO</v>
      </c>
      <c r="BG72" s="190" t="str">
        <f t="shared" si="18"/>
        <v>NO</v>
      </c>
      <c r="BH72" s="88"/>
      <c r="BI72" s="9"/>
      <c r="BJ72" s="694" t="str">
        <f t="shared" si="38"/>
        <v/>
      </c>
      <c r="BK72" s="694">
        <f t="shared" si="38"/>
        <v>2.2592699999999999</v>
      </c>
      <c r="BL72" s="694" t="str">
        <f t="shared" si="39"/>
        <v/>
      </c>
      <c r="BM72" s="694">
        <f t="shared" si="39"/>
        <v>3.4970599999999998</v>
      </c>
      <c r="BN72" s="88"/>
      <c r="BO72" s="195"/>
      <c r="BP72" s="195"/>
      <c r="BQ72" s="195"/>
      <c r="BR72" s="195"/>
      <c r="BS72" s="195"/>
      <c r="BT72" s="195"/>
      <c r="BU72" s="195"/>
      <c r="BV72" s="195"/>
      <c r="BW72" s="195"/>
      <c r="BX72" s="195"/>
    </row>
    <row r="73" spans="1:76" s="124" customFormat="1" ht="15">
      <c r="A73" s="187">
        <v>5585</v>
      </c>
      <c r="B73" s="187" t="s">
        <v>430</v>
      </c>
      <c r="C73" s="187" t="s">
        <v>431</v>
      </c>
      <c r="D73" s="187" t="s">
        <v>435</v>
      </c>
      <c r="E73" s="187" t="s">
        <v>385</v>
      </c>
      <c r="F73" s="187" t="s">
        <v>386</v>
      </c>
      <c r="G73" s="187" t="s">
        <v>387</v>
      </c>
      <c r="H73" s="187" t="b">
        <v>0</v>
      </c>
      <c r="I73" s="187" t="s">
        <v>388</v>
      </c>
      <c r="J73" s="187" t="s">
        <v>389</v>
      </c>
      <c r="K73" s="187" t="b">
        <v>0</v>
      </c>
      <c r="L73" s="187">
        <v>3.8</v>
      </c>
      <c r="M73" s="187">
        <v>0.15</v>
      </c>
      <c r="N73" s="187">
        <v>14.33</v>
      </c>
      <c r="O73" s="187">
        <v>3.8</v>
      </c>
      <c r="P73" s="187">
        <v>9.85</v>
      </c>
      <c r="Q73" s="187"/>
      <c r="R73" s="187"/>
      <c r="S73" s="187"/>
      <c r="T73" s="187"/>
      <c r="U73" s="187"/>
      <c r="V73" s="187">
        <v>2.6</v>
      </c>
      <c r="W73" s="188">
        <v>41260</v>
      </c>
      <c r="X73" s="691">
        <f t="shared" si="33"/>
        <v>2.2043999999999997</v>
      </c>
      <c r="Y73" s="691">
        <f t="shared" si="10"/>
        <v>4.0091599999999996</v>
      </c>
      <c r="Z73" s="189"/>
      <c r="AA73" s="190">
        <f t="shared" si="21"/>
        <v>2012</v>
      </c>
      <c r="AB73" s="191">
        <f t="shared" si="22"/>
        <v>1.7238250771184904</v>
      </c>
      <c r="AC73" s="192">
        <f>IF(AB73="","",AB73*SFAssumptions!$C$3)</f>
        <v>442.52882416984215</v>
      </c>
      <c r="AD73" s="193">
        <f t="shared" si="23"/>
        <v>15.234807999999997</v>
      </c>
      <c r="AE73" s="194">
        <f>IF(AD73="","",AD73*SFAssumptions!$C$3)</f>
        <v>3910.9778365463994</v>
      </c>
      <c r="AF73" s="192">
        <f t="shared" si="6"/>
        <v>3.8</v>
      </c>
      <c r="AG73" s="192">
        <f t="shared" si="24"/>
        <v>4.0091599999999996</v>
      </c>
      <c r="AH73" s="192">
        <f t="shared" si="25"/>
        <v>2.2043999999999997</v>
      </c>
      <c r="AI73" s="692">
        <f ca="1">IF(AC73="","",AC73*SFAssumptions!$C$8/'SavingsData&amp;Analysis'!AF73)</f>
        <v>439.85121027023581</v>
      </c>
      <c r="AJ73" s="692">
        <f ca="1">IF(OR(AE73="",AF73=""),"",AE73*SFAssumptions!$C$8/AF73)</f>
        <v>3887.313641031375</v>
      </c>
      <c r="AK73" s="191">
        <f t="shared" si="26"/>
        <v>1.4615384615384615</v>
      </c>
      <c r="AL73" s="692">
        <f>IF(AK73="","",AK73*SFAssumptions!$C$3)</f>
        <v>375.19636153846153</v>
      </c>
      <c r="AM73" s="193">
        <f t="shared" si="27"/>
        <v>14.44</v>
      </c>
      <c r="AN73" s="194">
        <f>IF(AM73="","",AM73*SFAssumptions!$C$3)</f>
        <v>3706.9400519999999</v>
      </c>
      <c r="AO73" s="693">
        <f t="shared" si="28"/>
        <v>3.8</v>
      </c>
      <c r="AP73" s="693">
        <f t="shared" si="29"/>
        <v>2.6</v>
      </c>
      <c r="AQ73" s="692">
        <f ca="1">IF(AL73="","",AL73*SFAssumptions!$C$8/'SavingsData&amp;Analysis'!AF73)</f>
        <v>372.92615689219531</v>
      </c>
      <c r="AR73" s="692">
        <f ca="1">IF(OR(AN73="",AF73=""),"",AN73*SFAssumptions!$C$8/AF73)</f>
        <v>3684.5104300948897</v>
      </c>
      <c r="AS73" s="190" t="str">
        <f>IF(OR(AG73="",AH73=""),"No",IF(AND(G73="Horizontal",AH73&gt;='Eff. Standards &amp; Certifications'!$B$21,AG73&lt;='Eff. Standards &amp; Certifications'!$C$21),"Consider",IF(AND(G73="Vertical",AH73&gt;='Eff. Standards &amp; Certifications'!$B$20,AG73&lt;='Eff. Standards &amp; Certifications'!$C$20),"Consider","No")))</f>
        <v>Consider</v>
      </c>
      <c r="AT73" s="190" t="str">
        <f t="shared" si="11"/>
        <v>Residential</v>
      </c>
      <c r="AU73" s="190"/>
      <c r="AV73" s="190" t="str">
        <f t="shared" si="37"/>
        <v>NO</v>
      </c>
      <c r="AW73" s="190" t="str">
        <f t="shared" si="37"/>
        <v>YES</v>
      </c>
      <c r="AX73" s="190" t="str">
        <f t="shared" si="30"/>
        <v>YES</v>
      </c>
      <c r="AY73" s="190" t="str">
        <f t="shared" si="13"/>
        <v>NO</v>
      </c>
      <c r="AZ73" s="190" t="str">
        <f t="shared" si="13"/>
        <v>YES</v>
      </c>
      <c r="BA73" s="190" t="str">
        <f t="shared" si="31"/>
        <v>YES</v>
      </c>
      <c r="BB73" s="190" t="str">
        <f t="shared" si="14"/>
        <v>NO</v>
      </c>
      <c r="BC73" s="190" t="str">
        <f t="shared" si="15"/>
        <v>NO</v>
      </c>
      <c r="BD73" s="190" t="str">
        <f t="shared" si="32"/>
        <v>NO</v>
      </c>
      <c r="BE73" s="190" t="str">
        <f t="shared" si="16"/>
        <v>NO</v>
      </c>
      <c r="BF73" s="190" t="str">
        <f t="shared" si="17"/>
        <v>NO</v>
      </c>
      <c r="BG73" s="190" t="str">
        <f t="shared" si="18"/>
        <v>NO</v>
      </c>
      <c r="BH73" s="88"/>
      <c r="BI73" s="9"/>
      <c r="BJ73" s="694" t="str">
        <f t="shared" si="38"/>
        <v/>
      </c>
      <c r="BK73" s="694">
        <f t="shared" si="38"/>
        <v>2.2043999999999997</v>
      </c>
      <c r="BL73" s="694" t="str">
        <f t="shared" si="39"/>
        <v/>
      </c>
      <c r="BM73" s="694">
        <f t="shared" si="39"/>
        <v>4.0091599999999996</v>
      </c>
      <c r="BN73" s="88"/>
      <c r="BO73" s="195"/>
      <c r="BP73" s="195"/>
      <c r="BQ73" s="195"/>
      <c r="BR73" s="195"/>
      <c r="BS73" s="195"/>
      <c r="BT73" s="195"/>
      <c r="BU73" s="195"/>
      <c r="BV73" s="195"/>
      <c r="BW73" s="195"/>
      <c r="BX73" s="195"/>
    </row>
    <row r="74" spans="1:76" s="124" customFormat="1" ht="15">
      <c r="A74" s="187">
        <v>768</v>
      </c>
      <c r="B74" s="187" t="s">
        <v>430</v>
      </c>
      <c r="C74" s="187" t="s">
        <v>431</v>
      </c>
      <c r="D74" s="187" t="s">
        <v>436</v>
      </c>
      <c r="E74" s="187" t="s">
        <v>385</v>
      </c>
      <c r="F74" s="187" t="s">
        <v>386</v>
      </c>
      <c r="G74" s="187" t="s">
        <v>393</v>
      </c>
      <c r="H74" s="187" t="b">
        <v>0</v>
      </c>
      <c r="I74" s="187" t="s">
        <v>388</v>
      </c>
      <c r="J74" s="187" t="s">
        <v>389</v>
      </c>
      <c r="K74" s="187" t="b">
        <v>0</v>
      </c>
      <c r="L74" s="187">
        <v>3.9</v>
      </c>
      <c r="M74" s="187">
        <v>0.16</v>
      </c>
      <c r="N74" s="187">
        <v>13.45</v>
      </c>
      <c r="O74" s="187">
        <v>3.4</v>
      </c>
      <c r="P74" s="187">
        <v>11.18</v>
      </c>
      <c r="Q74" s="187"/>
      <c r="R74" s="187"/>
      <c r="S74" s="187"/>
      <c r="T74" s="187"/>
      <c r="U74" s="187"/>
      <c r="V74" s="187">
        <v>2.76</v>
      </c>
      <c r="W74" s="188">
        <v>39989</v>
      </c>
      <c r="X74" s="691">
        <f t="shared" si="33"/>
        <v>2.3160999999999996</v>
      </c>
      <c r="Y74" s="691">
        <f t="shared" si="10"/>
        <v>3.8903600000000003</v>
      </c>
      <c r="Z74" s="189"/>
      <c r="AA74" s="190">
        <f t="shared" si="21"/>
        <v>2009</v>
      </c>
      <c r="AB74" s="191">
        <f t="shared" si="22"/>
        <v>1.6838651180864386</v>
      </c>
      <c r="AC74" s="192">
        <f>IF(AB74="","",AB74*SFAssumptions!$C$3)</f>
        <v>432.27057121885935</v>
      </c>
      <c r="AD74" s="193">
        <f t="shared" si="23"/>
        <v>15.172404</v>
      </c>
      <c r="AE74" s="194">
        <f>IF(AD74="","",AD74*SFAssumptions!$C$3)</f>
        <v>3894.9578997732001</v>
      </c>
      <c r="AF74" s="192">
        <f t="shared" si="6"/>
        <v>3.9</v>
      </c>
      <c r="AG74" s="192">
        <f t="shared" si="24"/>
        <v>3.8903600000000003</v>
      </c>
      <c r="AH74" s="192">
        <f t="shared" si="25"/>
        <v>2.3160999999999996</v>
      </c>
      <c r="AI74" s="692">
        <f ca="1">IF(AC74="","",AC74*SFAssumptions!$C$8/'SavingsData&amp;Analysis'!AF74)</f>
        <v>418.63823147519878</v>
      </c>
      <c r="AJ74" s="692">
        <f ca="1">IF(OR(AE74="",AF74=""),"",AE74*SFAssumptions!$C$8/AF74)</f>
        <v>3772.1242096905144</v>
      </c>
      <c r="AK74" s="191">
        <f t="shared" si="26"/>
        <v>1.4130434782608696</v>
      </c>
      <c r="AL74" s="692">
        <f>IF(AK74="","",AK74*SFAssumptions!$C$3)</f>
        <v>362.74705434782612</v>
      </c>
      <c r="AM74" s="193">
        <f t="shared" si="27"/>
        <v>13.26</v>
      </c>
      <c r="AN74" s="194">
        <f>IF(AM74="","",AM74*SFAssumptions!$C$3)</f>
        <v>3404.0183579999998</v>
      </c>
      <c r="AO74" s="693">
        <f t="shared" si="28"/>
        <v>3.4</v>
      </c>
      <c r="AP74" s="693">
        <f t="shared" si="29"/>
        <v>2.76</v>
      </c>
      <c r="AQ74" s="692">
        <f ca="1">IF(AL74="","",AL74*SFAssumptions!$C$8/'SavingsData&amp;Analysis'!AF74)</f>
        <v>351.30724924627094</v>
      </c>
      <c r="AR74" s="692">
        <f ca="1">IF(OR(AN74="",AF74=""),"",AN74*SFAssumptions!$C$8/AF74)</f>
        <v>3296.6672269270057</v>
      </c>
      <c r="AS74" s="190" t="str">
        <f>IF(OR(AG74="",AH74=""),"No",IF(AND(G74="Horizontal",AH74&gt;='Eff. Standards &amp; Certifications'!$B$21,AG74&lt;='Eff. Standards &amp; Certifications'!$C$21),"Consider",IF(AND(G74="Vertical",AH74&gt;='Eff. Standards &amp; Certifications'!$B$20,AG74&lt;='Eff. Standards &amp; Certifications'!$C$20),"Consider","No")))</f>
        <v>Consider</v>
      </c>
      <c r="AT74" s="190" t="str">
        <f t="shared" si="11"/>
        <v>Residential</v>
      </c>
      <c r="AU74" s="190"/>
      <c r="AV74" s="190" t="str">
        <f t="shared" si="37"/>
        <v>YES</v>
      </c>
      <c r="AW74" s="190" t="str">
        <f t="shared" si="37"/>
        <v>NO</v>
      </c>
      <c r="AX74" s="190" t="str">
        <f t="shared" si="30"/>
        <v>YES</v>
      </c>
      <c r="AY74" s="190" t="str">
        <f t="shared" si="13"/>
        <v>NO</v>
      </c>
      <c r="AZ74" s="190" t="str">
        <f t="shared" si="13"/>
        <v>NO</v>
      </c>
      <c r="BA74" s="190" t="str">
        <f t="shared" si="31"/>
        <v>NO</v>
      </c>
      <c r="BB74" s="190" t="str">
        <f t="shared" si="14"/>
        <v>YES</v>
      </c>
      <c r="BC74" s="190" t="str">
        <f t="shared" si="15"/>
        <v>NO</v>
      </c>
      <c r="BD74" s="190" t="str">
        <f t="shared" si="32"/>
        <v>YES</v>
      </c>
      <c r="BE74" s="190" t="str">
        <f t="shared" si="16"/>
        <v>NO</v>
      </c>
      <c r="BF74" s="190" t="str">
        <f t="shared" si="17"/>
        <v>NO</v>
      </c>
      <c r="BG74" s="190" t="str">
        <f t="shared" si="18"/>
        <v>NO</v>
      </c>
      <c r="BH74" s="88"/>
      <c r="BI74" s="9"/>
      <c r="BJ74" s="694">
        <f t="shared" si="38"/>
        <v>2.3160999999999996</v>
      </c>
      <c r="BK74" s="694" t="str">
        <f t="shared" si="38"/>
        <v/>
      </c>
      <c r="BL74" s="694">
        <f t="shared" si="39"/>
        <v>3.8903600000000003</v>
      </c>
      <c r="BM74" s="694" t="str">
        <f t="shared" si="39"/>
        <v/>
      </c>
      <c r="BN74" s="88"/>
      <c r="BO74" s="195"/>
      <c r="BP74" s="195"/>
      <c r="BQ74" s="195"/>
      <c r="BR74" s="195"/>
      <c r="BS74" s="195"/>
      <c r="BT74" s="195"/>
      <c r="BU74" s="195"/>
      <c r="BV74" s="195"/>
      <c r="BW74" s="195"/>
      <c r="BX74" s="195"/>
    </row>
    <row r="75" spans="1:76" s="124" customFormat="1" ht="15">
      <c r="A75" s="187">
        <v>5611</v>
      </c>
      <c r="B75" s="187" t="s">
        <v>430</v>
      </c>
      <c r="C75" s="187" t="s">
        <v>437</v>
      </c>
      <c r="D75" s="187" t="s">
        <v>438</v>
      </c>
      <c r="E75" s="187" t="s">
        <v>385</v>
      </c>
      <c r="F75" s="187" t="s">
        <v>386</v>
      </c>
      <c r="G75" s="187" t="s">
        <v>387</v>
      </c>
      <c r="H75" s="187" t="b">
        <v>0</v>
      </c>
      <c r="I75" s="187" t="s">
        <v>388</v>
      </c>
      <c r="J75" s="187" t="s">
        <v>389</v>
      </c>
      <c r="K75" s="187" t="b">
        <v>0</v>
      </c>
      <c r="L75" s="187">
        <v>3.3</v>
      </c>
      <c r="M75" s="187">
        <v>0.15</v>
      </c>
      <c r="N75" s="187">
        <v>10.3</v>
      </c>
      <c r="O75" s="187">
        <v>3.2</v>
      </c>
      <c r="P75" s="187">
        <v>9.07</v>
      </c>
      <c r="Q75" s="187"/>
      <c r="R75" s="187"/>
      <c r="S75" s="187"/>
      <c r="T75" s="187"/>
      <c r="U75" s="187">
        <v>43.5</v>
      </c>
      <c r="V75" s="187">
        <v>2.17</v>
      </c>
      <c r="W75" s="188">
        <v>41260</v>
      </c>
      <c r="X75" s="691">
        <f t="shared" si="33"/>
        <v>1.8111649999999999</v>
      </c>
      <c r="Y75" s="691">
        <f t="shared" si="10"/>
        <v>3.3946400000000003</v>
      </c>
      <c r="Z75" s="189"/>
      <c r="AA75" s="190">
        <f t="shared" si="21"/>
        <v>2012</v>
      </c>
      <c r="AB75" s="191">
        <f t="shared" si="22"/>
        <v>1.8220316757446173</v>
      </c>
      <c r="AC75" s="192">
        <f>IF(AB75="","",AB75*SFAssumptions!$C$3)</f>
        <v>467.73976418493066</v>
      </c>
      <c r="AD75" s="193">
        <f t="shared" si="23"/>
        <v>11.202312000000001</v>
      </c>
      <c r="AE75" s="194">
        <f>IF(AD75="","",AD75*SFAssumptions!$C$3)</f>
        <v>2875.7824811496002</v>
      </c>
      <c r="AF75" s="192">
        <f t="shared" si="6"/>
        <v>3.3</v>
      </c>
      <c r="AG75" s="192">
        <f t="shared" si="24"/>
        <v>3.3946400000000003</v>
      </c>
      <c r="AH75" s="192">
        <f t="shared" si="25"/>
        <v>1.8111649999999999</v>
      </c>
      <c r="AI75" s="692">
        <f ca="1">IF(AC75="","",AC75*SFAssumptions!$C$8/'SavingsData&amp;Analysis'!AF75)</f>
        <v>535.35045560161973</v>
      </c>
      <c r="AJ75" s="692">
        <f ca="1">IF(OR(AE75="",AF75=""),"",AE75*SFAssumptions!$C$8/AF75)</f>
        <v>3291.470128004557</v>
      </c>
      <c r="AK75" s="191">
        <f t="shared" si="26"/>
        <v>1.5207373271889402</v>
      </c>
      <c r="AL75" s="692">
        <f>IF(AK75="","",AK75*SFAssumptions!$C$3)</f>
        <v>390.39349769585255</v>
      </c>
      <c r="AM75" s="193">
        <f t="shared" si="27"/>
        <v>10.56</v>
      </c>
      <c r="AN75" s="194">
        <f>IF(AM75="","",AM75*SFAssumptions!$C$3)</f>
        <v>2710.8924480000001</v>
      </c>
      <c r="AO75" s="693">
        <f t="shared" si="28"/>
        <v>3.2</v>
      </c>
      <c r="AP75" s="693">
        <f t="shared" si="29"/>
        <v>2.17</v>
      </c>
      <c r="AQ75" s="692">
        <f ca="1">IF(AL75="","",AL75*SFAssumptions!$C$8/'SavingsData&amp;Analysis'!AF75)</f>
        <v>446.82396678327547</v>
      </c>
      <c r="AR75" s="692">
        <f ca="1">IF(OR(AN75="",AF75=""),"",AN75*SFAssumptions!$C$8/AF75)</f>
        <v>3102.7456253430646</v>
      </c>
      <c r="AS75" s="190" t="str">
        <f>IF(OR(AG75="",AH75=""),"No",IF(AND(G75="Horizontal",AH75&gt;='Eff. Standards &amp; Certifications'!$B$21,AG75&lt;='Eff. Standards &amp; Certifications'!$C$21),"Consider",IF(AND(G75="Vertical",AH75&gt;='Eff. Standards &amp; Certifications'!$B$20,AG75&lt;='Eff. Standards &amp; Certifications'!$C$20),"Consider","No")))</f>
        <v>No</v>
      </c>
      <c r="AT75" s="190" t="str">
        <f t="shared" si="11"/>
        <v>Residential</v>
      </c>
      <c r="AU75" s="190"/>
      <c r="AV75" s="190" t="str">
        <f t="shared" si="37"/>
        <v>NO</v>
      </c>
      <c r="AW75" s="190" t="str">
        <f t="shared" si="37"/>
        <v>NO</v>
      </c>
      <c r="AX75" s="190" t="str">
        <f t="shared" si="30"/>
        <v>NO</v>
      </c>
      <c r="AY75" s="190" t="str">
        <f t="shared" si="13"/>
        <v>NO</v>
      </c>
      <c r="AZ75" s="190" t="str">
        <f t="shared" si="13"/>
        <v>NO</v>
      </c>
      <c r="BA75" s="190" t="str">
        <f t="shared" si="31"/>
        <v>NO</v>
      </c>
      <c r="BB75" s="190" t="str">
        <f t="shared" si="14"/>
        <v>NO</v>
      </c>
      <c r="BC75" s="190" t="str">
        <f t="shared" si="15"/>
        <v>NO</v>
      </c>
      <c r="BD75" s="190" t="str">
        <f t="shared" si="32"/>
        <v>NO</v>
      </c>
      <c r="BE75" s="190" t="str">
        <f t="shared" si="16"/>
        <v>NO</v>
      </c>
      <c r="BF75" s="190" t="str">
        <f t="shared" si="17"/>
        <v>NO</v>
      </c>
      <c r="BG75" s="190" t="str">
        <f t="shared" si="18"/>
        <v>NO</v>
      </c>
      <c r="BH75" s="88"/>
      <c r="BI75" s="9"/>
      <c r="BJ75" s="694" t="str">
        <f t="shared" si="38"/>
        <v/>
      </c>
      <c r="BK75" s="694" t="str">
        <f t="shared" si="38"/>
        <v/>
      </c>
      <c r="BL75" s="694" t="str">
        <f t="shared" si="39"/>
        <v/>
      </c>
      <c r="BM75" s="694" t="str">
        <f t="shared" si="39"/>
        <v/>
      </c>
      <c r="BN75" s="88"/>
      <c r="BO75" s="195"/>
      <c r="BP75" s="195"/>
      <c r="BQ75" s="195"/>
      <c r="BR75" s="195"/>
      <c r="BS75" s="195"/>
      <c r="BT75" s="195"/>
      <c r="BU75" s="195"/>
      <c r="BV75" s="195"/>
      <c r="BW75" s="195"/>
      <c r="BX75" s="195"/>
    </row>
    <row r="76" spans="1:76" s="124" customFormat="1" ht="15">
      <c r="A76" s="187">
        <v>5613</v>
      </c>
      <c r="B76" s="187" t="s">
        <v>430</v>
      </c>
      <c r="C76" s="187" t="s">
        <v>437</v>
      </c>
      <c r="D76" s="187" t="s">
        <v>439</v>
      </c>
      <c r="E76" s="187" t="s">
        <v>385</v>
      </c>
      <c r="F76" s="187" t="s">
        <v>386</v>
      </c>
      <c r="G76" s="187" t="s">
        <v>387</v>
      </c>
      <c r="H76" s="187" t="b">
        <v>0</v>
      </c>
      <c r="I76" s="187" t="s">
        <v>388</v>
      </c>
      <c r="J76" s="187" t="s">
        <v>389</v>
      </c>
      <c r="K76" s="187" t="b">
        <v>0</v>
      </c>
      <c r="L76" s="187">
        <v>3.8</v>
      </c>
      <c r="M76" s="187">
        <v>0.19</v>
      </c>
      <c r="N76" s="187">
        <v>12.78</v>
      </c>
      <c r="O76" s="187">
        <v>3.4</v>
      </c>
      <c r="P76" s="187">
        <v>10.51</v>
      </c>
      <c r="Q76" s="187"/>
      <c r="R76" s="187"/>
      <c r="S76" s="187"/>
      <c r="T76" s="187"/>
      <c r="U76" s="187">
        <v>39.799999999999997</v>
      </c>
      <c r="V76" s="187">
        <v>2.38</v>
      </c>
      <c r="W76" s="188">
        <v>41260</v>
      </c>
      <c r="X76" s="691">
        <f t="shared" si="33"/>
        <v>2.0032100000000002</v>
      </c>
      <c r="Y76" s="691">
        <f t="shared" si="10"/>
        <v>3.5994799999999998</v>
      </c>
      <c r="Z76" s="189"/>
      <c r="AA76" s="190">
        <f t="shared" si="21"/>
        <v>2012</v>
      </c>
      <c r="AB76" s="191">
        <f t="shared" si="22"/>
        <v>1.8969553866044995</v>
      </c>
      <c r="AC76" s="192">
        <f>IF(AB76="","",AB76*SFAssumptions!$C$3)</f>
        <v>486.97367724801688</v>
      </c>
      <c r="AD76" s="193">
        <f t="shared" si="23"/>
        <v>13.678023999999999</v>
      </c>
      <c r="AE76" s="194">
        <f>IF(AD76="","",AD76*SFAssumptions!$C$3)</f>
        <v>3511.3306785191999</v>
      </c>
      <c r="AF76" s="192">
        <f t="shared" si="6"/>
        <v>3.8</v>
      </c>
      <c r="AG76" s="192">
        <f t="shared" si="24"/>
        <v>3.5994799999999998</v>
      </c>
      <c r="AH76" s="192">
        <f t="shared" si="25"/>
        <v>2.0032100000000002</v>
      </c>
      <c r="AI76" s="692">
        <f ca="1">IF(AC76="","",AC76*SFAssumptions!$C$8/'SavingsData&amp;Analysis'!AF76)</f>
        <v>484.02714039951258</v>
      </c>
      <c r="AJ76" s="692">
        <f ca="1">IF(OR(AE76="",AF76=""),"",AE76*SFAssumptions!$C$8/AF76)</f>
        <v>3490.0846323468295</v>
      </c>
      <c r="AK76" s="191">
        <f t="shared" si="26"/>
        <v>1.596638655462185</v>
      </c>
      <c r="AL76" s="692">
        <f>IF(AK76="","",AK76*SFAssumptions!$C$3)</f>
        <v>409.87837815126056</v>
      </c>
      <c r="AM76" s="193">
        <f t="shared" si="27"/>
        <v>12.92</v>
      </c>
      <c r="AN76" s="194">
        <f>IF(AM76="","",AM76*SFAssumptions!$C$3)</f>
        <v>3316.7358359999998</v>
      </c>
      <c r="AO76" s="693">
        <f t="shared" si="28"/>
        <v>3.4</v>
      </c>
      <c r="AP76" s="693">
        <f t="shared" si="29"/>
        <v>2.38</v>
      </c>
      <c r="AQ76" s="692">
        <f ca="1">IF(AL76="","",AL76*SFAssumptions!$C$8/'SavingsData&amp;Analysis'!AF76)</f>
        <v>407.39832265533943</v>
      </c>
      <c r="AR76" s="692">
        <f ca="1">IF(OR(AN76="",AF76=""),"",AN76*SFAssumptions!$C$8/AF76)</f>
        <v>3296.6672269270061</v>
      </c>
      <c r="AS76" s="190" t="str">
        <f>IF(OR(AG76="",AH76=""),"No",IF(AND(G76="Horizontal",AH76&gt;='Eff. Standards &amp; Certifications'!$B$21,AG76&lt;='Eff. Standards &amp; Certifications'!$C$21),"Consider",IF(AND(G76="Vertical",AH76&gt;='Eff. Standards &amp; Certifications'!$B$20,AG76&lt;='Eff. Standards &amp; Certifications'!$C$20),"Consider","No")))</f>
        <v>Consider</v>
      </c>
      <c r="AT76" s="190" t="str">
        <f t="shared" si="11"/>
        <v>Residential</v>
      </c>
      <c r="AU76" s="190"/>
      <c r="AV76" s="190" t="str">
        <f t="shared" si="37"/>
        <v>NO</v>
      </c>
      <c r="AW76" s="190" t="str">
        <f t="shared" si="37"/>
        <v>YES</v>
      </c>
      <c r="AX76" s="190" t="str">
        <f t="shared" si="30"/>
        <v>YES</v>
      </c>
      <c r="AY76" s="190" t="str">
        <f t="shared" si="13"/>
        <v>NO</v>
      </c>
      <c r="AZ76" s="190" t="str">
        <f t="shared" si="13"/>
        <v>YES</v>
      </c>
      <c r="BA76" s="190" t="str">
        <f t="shared" si="31"/>
        <v>YES</v>
      </c>
      <c r="BB76" s="190" t="str">
        <f t="shared" si="14"/>
        <v>NO</v>
      </c>
      <c r="BC76" s="190" t="str">
        <f t="shared" si="15"/>
        <v>NO</v>
      </c>
      <c r="BD76" s="190" t="str">
        <f t="shared" si="32"/>
        <v>NO</v>
      </c>
      <c r="BE76" s="190" t="str">
        <f t="shared" si="16"/>
        <v>NO</v>
      </c>
      <c r="BF76" s="190" t="str">
        <f t="shared" si="17"/>
        <v>NO</v>
      </c>
      <c r="BG76" s="190" t="str">
        <f t="shared" si="18"/>
        <v>NO</v>
      </c>
      <c r="BH76" s="88"/>
      <c r="BI76" s="9"/>
      <c r="BJ76" s="694" t="str">
        <f t="shared" si="38"/>
        <v/>
      </c>
      <c r="BK76" s="694">
        <f t="shared" si="38"/>
        <v>2.0032100000000002</v>
      </c>
      <c r="BL76" s="694" t="str">
        <f t="shared" si="39"/>
        <v/>
      </c>
      <c r="BM76" s="694">
        <f t="shared" si="39"/>
        <v>3.5994799999999998</v>
      </c>
      <c r="BN76" s="88"/>
      <c r="BO76" s="195"/>
      <c r="BP76" s="195"/>
      <c r="BQ76" s="195"/>
      <c r="BR76" s="195"/>
      <c r="BS76" s="195"/>
      <c r="BT76" s="195"/>
      <c r="BU76" s="195"/>
      <c r="BV76" s="195"/>
      <c r="BW76" s="195"/>
      <c r="BX76" s="195"/>
    </row>
    <row r="77" spans="1:76" s="124" customFormat="1" ht="15">
      <c r="A77" s="187">
        <v>5607</v>
      </c>
      <c r="B77" s="187" t="s">
        <v>430</v>
      </c>
      <c r="C77" s="187" t="s">
        <v>437</v>
      </c>
      <c r="D77" s="187" t="s">
        <v>440</v>
      </c>
      <c r="E77" s="187" t="s">
        <v>385</v>
      </c>
      <c r="F77" s="187" t="s">
        <v>386</v>
      </c>
      <c r="G77" s="187" t="s">
        <v>387</v>
      </c>
      <c r="H77" s="187" t="b">
        <v>0</v>
      </c>
      <c r="I77" s="187" t="s">
        <v>388</v>
      </c>
      <c r="J77" s="187" t="s">
        <v>389</v>
      </c>
      <c r="K77" s="187" t="b">
        <v>0</v>
      </c>
      <c r="L77" s="187">
        <v>3.9</v>
      </c>
      <c r="M77" s="187">
        <v>0.11</v>
      </c>
      <c r="N77" s="187">
        <v>13.64</v>
      </c>
      <c r="O77" s="187">
        <v>3.5</v>
      </c>
      <c r="P77" s="187">
        <v>11.25</v>
      </c>
      <c r="Q77" s="187"/>
      <c r="R77" s="187"/>
      <c r="S77" s="187"/>
      <c r="T77" s="187"/>
      <c r="U77" s="187"/>
      <c r="V77" s="187">
        <v>2.65</v>
      </c>
      <c r="W77" s="188">
        <v>41260</v>
      </c>
      <c r="X77" s="691">
        <f t="shared" si="33"/>
        <v>2.2501249999999997</v>
      </c>
      <c r="Y77" s="691">
        <f t="shared" si="10"/>
        <v>3.7018999999999997</v>
      </c>
      <c r="Z77" s="189"/>
      <c r="AA77" s="190">
        <f t="shared" si="21"/>
        <v>2012</v>
      </c>
      <c r="AB77" s="191">
        <f t="shared" si="22"/>
        <v>1.7332370423865342</v>
      </c>
      <c r="AC77" s="192">
        <f>IF(AB77="","",AB77*SFAssumptions!$C$3)</f>
        <v>444.94500083328705</v>
      </c>
      <c r="AD77" s="193">
        <f t="shared" si="23"/>
        <v>14.437409999999998</v>
      </c>
      <c r="AE77" s="194">
        <f>IF(AD77="","",AD77*SFAssumptions!$C$3)</f>
        <v>3706.2751645529997</v>
      </c>
      <c r="AF77" s="192">
        <f t="shared" si="6"/>
        <v>3.9</v>
      </c>
      <c r="AG77" s="192">
        <f t="shared" si="24"/>
        <v>3.7018999999999997</v>
      </c>
      <c r="AH77" s="192">
        <f t="shared" si="25"/>
        <v>2.2501249999999997</v>
      </c>
      <c r="AI77" s="692">
        <f ca="1">IF(AC77="","",AC77*SFAssumptions!$C$8/'SavingsData&amp;Analysis'!AF77)</f>
        <v>430.91295280027009</v>
      </c>
      <c r="AJ77" s="692">
        <f ca="1">IF(OR(AE77="",AF77=""),"",AE77*SFAssumptions!$C$8/AF77)</f>
        <v>3589.3918845179655</v>
      </c>
      <c r="AK77" s="191">
        <f t="shared" si="26"/>
        <v>1.4716981132075473</v>
      </c>
      <c r="AL77" s="692">
        <f>IF(AK77="","",AK77*SFAssumptions!$C$3)</f>
        <v>377.80447924528306</v>
      </c>
      <c r="AM77" s="193">
        <f t="shared" si="27"/>
        <v>13.65</v>
      </c>
      <c r="AN77" s="194">
        <f>IF(AM77="","",AM77*SFAssumptions!$C$3)</f>
        <v>3504.1365450000003</v>
      </c>
      <c r="AO77" s="693">
        <f t="shared" si="28"/>
        <v>3.5</v>
      </c>
      <c r="AP77" s="693">
        <f t="shared" si="29"/>
        <v>2.65</v>
      </c>
      <c r="AQ77" s="692">
        <f ca="1">IF(AL77="","",AL77*SFAssumptions!$C$8/'SavingsData&amp;Analysis'!AF77)</f>
        <v>365.8898143093237</v>
      </c>
      <c r="AR77" s="692">
        <f ca="1">IF(OR(AN77="",AF77=""),"",AN77*SFAssumptions!$C$8/AF77)</f>
        <v>3393.6280277189776</v>
      </c>
      <c r="AS77" s="190" t="str">
        <f>IF(OR(AG77="",AH77=""),"No",IF(AND(G77="Horizontal",AH77&gt;='Eff. Standards &amp; Certifications'!$B$21,AG77&lt;='Eff. Standards &amp; Certifications'!$C$21),"Consider",IF(AND(G77="Vertical",AH77&gt;='Eff. Standards &amp; Certifications'!$B$20,AG77&lt;='Eff. Standards &amp; Certifications'!$C$20),"Consider","No")))</f>
        <v>Consider</v>
      </c>
      <c r="AT77" s="190" t="str">
        <f t="shared" si="11"/>
        <v>Residential</v>
      </c>
      <c r="AU77" s="190"/>
      <c r="AV77" s="190" t="str">
        <f t="shared" si="37"/>
        <v>NO</v>
      </c>
      <c r="AW77" s="190" t="str">
        <f t="shared" si="37"/>
        <v>YES</v>
      </c>
      <c r="AX77" s="190" t="str">
        <f t="shared" si="30"/>
        <v>YES</v>
      </c>
      <c r="AY77" s="190" t="str">
        <f t="shared" si="13"/>
        <v>NO</v>
      </c>
      <c r="AZ77" s="190" t="str">
        <f t="shared" si="13"/>
        <v>YES</v>
      </c>
      <c r="BA77" s="190" t="str">
        <f t="shared" si="31"/>
        <v>YES</v>
      </c>
      <c r="BB77" s="190" t="str">
        <f t="shared" si="14"/>
        <v>NO</v>
      </c>
      <c r="BC77" s="190" t="str">
        <f t="shared" si="15"/>
        <v>NO</v>
      </c>
      <c r="BD77" s="190" t="str">
        <f t="shared" si="32"/>
        <v>NO</v>
      </c>
      <c r="BE77" s="190" t="str">
        <f t="shared" si="16"/>
        <v>NO</v>
      </c>
      <c r="BF77" s="190" t="str">
        <f t="shared" si="17"/>
        <v>NO</v>
      </c>
      <c r="BG77" s="190" t="str">
        <f t="shared" si="18"/>
        <v>NO</v>
      </c>
      <c r="BH77" s="88"/>
      <c r="BI77" s="9"/>
      <c r="BJ77" s="694" t="str">
        <f t="shared" si="38"/>
        <v/>
      </c>
      <c r="BK77" s="694">
        <f t="shared" si="38"/>
        <v>2.2501249999999997</v>
      </c>
      <c r="BL77" s="694" t="str">
        <f t="shared" si="39"/>
        <v/>
      </c>
      <c r="BM77" s="694">
        <f t="shared" si="39"/>
        <v>3.7018999999999997</v>
      </c>
      <c r="BN77" s="88"/>
      <c r="BO77" s="195"/>
      <c r="BP77" s="195"/>
      <c r="BQ77" s="195"/>
      <c r="BR77" s="195"/>
      <c r="BS77" s="195"/>
      <c r="BT77" s="195"/>
      <c r="BU77" s="195"/>
      <c r="BV77" s="195"/>
      <c r="BW77" s="195"/>
      <c r="BX77" s="195"/>
    </row>
    <row r="78" spans="1:76" s="124" customFormat="1" ht="15">
      <c r="A78" s="187">
        <v>787</v>
      </c>
      <c r="B78" s="187" t="s">
        <v>430</v>
      </c>
      <c r="C78" s="187" t="s">
        <v>437</v>
      </c>
      <c r="D78" s="187" t="s">
        <v>441</v>
      </c>
      <c r="E78" s="187" t="s">
        <v>385</v>
      </c>
      <c r="F78" s="187" t="s">
        <v>386</v>
      </c>
      <c r="G78" s="187" t="s">
        <v>393</v>
      </c>
      <c r="H78" s="187" t="b">
        <v>0</v>
      </c>
      <c r="I78" s="187" t="s">
        <v>388</v>
      </c>
      <c r="J78" s="187" t="s">
        <v>389</v>
      </c>
      <c r="K78" s="187" t="b">
        <v>0</v>
      </c>
      <c r="L78" s="187">
        <v>3.9</v>
      </c>
      <c r="M78" s="187">
        <v>0.12</v>
      </c>
      <c r="N78" s="187">
        <v>12.46</v>
      </c>
      <c r="O78" s="187">
        <v>3.2</v>
      </c>
      <c r="P78" s="187">
        <v>12.11</v>
      </c>
      <c r="Q78" s="187"/>
      <c r="R78" s="187"/>
      <c r="S78" s="187"/>
      <c r="T78" s="187"/>
      <c r="U78" s="187"/>
      <c r="V78" s="187">
        <v>2.72</v>
      </c>
      <c r="W78" s="188">
        <v>39989</v>
      </c>
      <c r="X78" s="691">
        <f t="shared" si="33"/>
        <v>2.2765</v>
      </c>
      <c r="Y78" s="691">
        <f t="shared" si="10"/>
        <v>3.6925800000000004</v>
      </c>
      <c r="Z78" s="189"/>
      <c r="AA78" s="190">
        <f t="shared" si="21"/>
        <v>2009</v>
      </c>
      <c r="AB78" s="191">
        <f t="shared" si="22"/>
        <v>1.7131561607731167</v>
      </c>
      <c r="AC78" s="192">
        <f>IF(AB78="","",AB78*SFAssumptions!$C$3)</f>
        <v>439.78997144739736</v>
      </c>
      <c r="AD78" s="193">
        <f t="shared" si="23"/>
        <v>14.401062000000001</v>
      </c>
      <c r="AE78" s="194">
        <f>IF(AD78="","",AD78*SFAssumptions!$C$3)</f>
        <v>3696.9441495246006</v>
      </c>
      <c r="AF78" s="192">
        <f t="shared" si="6"/>
        <v>3.9</v>
      </c>
      <c r="AG78" s="192">
        <f t="shared" si="24"/>
        <v>3.6925800000000004</v>
      </c>
      <c r="AH78" s="192">
        <f t="shared" si="25"/>
        <v>2.2765</v>
      </c>
      <c r="AI78" s="692">
        <f ca="1">IF(AC78="","",AC78*SFAssumptions!$C$8/'SavingsData&amp;Analysis'!AF78)</f>
        <v>425.9204954622042</v>
      </c>
      <c r="AJ78" s="692">
        <f ca="1">IF(OR(AE78="",AF78=""),"",AE78*SFAssumptions!$C$8/AF78)</f>
        <v>3580.3551378841548</v>
      </c>
      <c r="AK78" s="191">
        <f t="shared" si="26"/>
        <v>1.4338235294117645</v>
      </c>
      <c r="AL78" s="692">
        <f>IF(AK78="","",AK78*SFAssumptions!$C$3)</f>
        <v>368.08156985294113</v>
      </c>
      <c r="AM78" s="193">
        <f t="shared" si="27"/>
        <v>12.48</v>
      </c>
      <c r="AN78" s="194">
        <f>IF(AM78="","",AM78*SFAssumptions!$C$3)</f>
        <v>3203.7819840000002</v>
      </c>
      <c r="AO78" s="693">
        <f t="shared" si="28"/>
        <v>3.2</v>
      </c>
      <c r="AP78" s="693">
        <f t="shared" si="29"/>
        <v>2.72</v>
      </c>
      <c r="AQ78" s="692">
        <f ca="1">IF(AL78="","",AL78*SFAssumptions!$C$8/'SavingsData&amp;Analysis'!AF78)</f>
        <v>356.47353232342192</v>
      </c>
      <c r="AR78" s="692">
        <f ca="1">IF(OR(AN78="",AF78=""),"",AN78*SFAssumptions!$C$8/AF78)</f>
        <v>3102.7456253430651</v>
      </c>
      <c r="AS78" s="190" t="str">
        <f>IF(OR(AG78="",AH78=""),"No",IF(AND(G78="Horizontal",AH78&gt;='Eff. Standards &amp; Certifications'!$B$21,AG78&lt;='Eff. Standards &amp; Certifications'!$C$21),"Consider",IF(AND(G78="Vertical",AH78&gt;='Eff. Standards &amp; Certifications'!$B$20,AG78&lt;='Eff. Standards &amp; Certifications'!$C$20),"Consider","No")))</f>
        <v>Consider</v>
      </c>
      <c r="AT78" s="190" t="str">
        <f t="shared" si="11"/>
        <v>Residential</v>
      </c>
      <c r="AU78" s="190"/>
      <c r="AV78" s="190" t="str">
        <f t="shared" si="37"/>
        <v>YES</v>
      </c>
      <c r="AW78" s="190" t="str">
        <f t="shared" si="37"/>
        <v>NO</v>
      </c>
      <c r="AX78" s="190" t="str">
        <f t="shared" si="30"/>
        <v>YES</v>
      </c>
      <c r="AY78" s="190" t="str">
        <f t="shared" si="13"/>
        <v>NO</v>
      </c>
      <c r="AZ78" s="190" t="str">
        <f t="shared" si="13"/>
        <v>NO</v>
      </c>
      <c r="BA78" s="190" t="str">
        <f t="shared" si="31"/>
        <v>NO</v>
      </c>
      <c r="BB78" s="190" t="str">
        <f t="shared" si="14"/>
        <v>YES</v>
      </c>
      <c r="BC78" s="190" t="str">
        <f t="shared" si="15"/>
        <v>NO</v>
      </c>
      <c r="BD78" s="190" t="str">
        <f t="shared" si="32"/>
        <v>YES</v>
      </c>
      <c r="BE78" s="190" t="str">
        <f t="shared" si="16"/>
        <v>NO</v>
      </c>
      <c r="BF78" s="190" t="str">
        <f t="shared" si="17"/>
        <v>NO</v>
      </c>
      <c r="BG78" s="190" t="str">
        <f t="shared" si="18"/>
        <v>NO</v>
      </c>
      <c r="BH78" s="88"/>
      <c r="BI78" s="9"/>
      <c r="BJ78" s="694">
        <f t="shared" si="38"/>
        <v>2.2765</v>
      </c>
      <c r="BK78" s="694" t="str">
        <f t="shared" si="38"/>
        <v/>
      </c>
      <c r="BL78" s="694">
        <f t="shared" si="39"/>
        <v>3.6925800000000004</v>
      </c>
      <c r="BM78" s="694" t="str">
        <f t="shared" si="39"/>
        <v/>
      </c>
      <c r="BN78" s="88"/>
      <c r="BO78" s="195"/>
      <c r="BP78" s="195"/>
      <c r="BQ78" s="195"/>
      <c r="BR78" s="195"/>
      <c r="BS78" s="195"/>
      <c r="BT78" s="195"/>
      <c r="BU78" s="195"/>
      <c r="BV78" s="195"/>
      <c r="BW78" s="195"/>
      <c r="BX78" s="195"/>
    </row>
    <row r="79" spans="1:76" s="124" customFormat="1" ht="15">
      <c r="A79" s="187">
        <v>783</v>
      </c>
      <c r="B79" s="187" t="s">
        <v>430</v>
      </c>
      <c r="C79" s="187" t="s">
        <v>437</v>
      </c>
      <c r="D79" s="187" t="s">
        <v>442</v>
      </c>
      <c r="E79" s="187" t="s">
        <v>385</v>
      </c>
      <c r="F79" s="187" t="s">
        <v>386</v>
      </c>
      <c r="G79" s="187" t="s">
        <v>393</v>
      </c>
      <c r="H79" s="187" t="b">
        <v>0</v>
      </c>
      <c r="I79" s="187" t="s">
        <v>388</v>
      </c>
      <c r="J79" s="187" t="s">
        <v>389</v>
      </c>
      <c r="K79" s="187" t="b">
        <v>0</v>
      </c>
      <c r="L79" s="187">
        <v>3.9</v>
      </c>
      <c r="M79" s="187">
        <v>0.17</v>
      </c>
      <c r="N79" s="187">
        <v>13.46</v>
      </c>
      <c r="O79" s="187">
        <v>3.5</v>
      </c>
      <c r="P79" s="187">
        <v>10.94</v>
      </c>
      <c r="Q79" s="187"/>
      <c r="R79" s="187"/>
      <c r="S79" s="187"/>
      <c r="T79" s="187"/>
      <c r="U79" s="187"/>
      <c r="V79" s="187">
        <v>2.75</v>
      </c>
      <c r="W79" s="188">
        <v>39989</v>
      </c>
      <c r="X79" s="691">
        <f t="shared" si="33"/>
        <v>2.3062</v>
      </c>
      <c r="Y79" s="691">
        <f t="shared" si="10"/>
        <v>3.9892500000000002</v>
      </c>
      <c r="Z79" s="189"/>
      <c r="AA79" s="190">
        <f t="shared" si="21"/>
        <v>2009</v>
      </c>
      <c r="AB79" s="191">
        <f t="shared" si="22"/>
        <v>1.6910935738444193</v>
      </c>
      <c r="AC79" s="192">
        <f>IF(AB79="","",AB79*SFAssumptions!$C$3)</f>
        <v>434.12621195039458</v>
      </c>
      <c r="AD79" s="193">
        <f t="shared" si="23"/>
        <v>15.558075000000001</v>
      </c>
      <c r="AE79" s="194">
        <f>IF(AD79="","",AD79*SFAssumptions!$C$3)</f>
        <v>3993.9647748975003</v>
      </c>
      <c r="AF79" s="192">
        <f t="shared" si="6"/>
        <v>3.9</v>
      </c>
      <c r="AG79" s="192">
        <f t="shared" si="24"/>
        <v>3.9892500000000002</v>
      </c>
      <c r="AH79" s="192">
        <f t="shared" si="25"/>
        <v>2.3062</v>
      </c>
      <c r="AI79" s="692">
        <f ca="1">IF(AC79="","",AC79*SFAssumptions!$C$8/'SavingsData&amp;Analysis'!AF79)</f>
        <v>420.43535162592474</v>
      </c>
      <c r="AJ79" s="692">
        <f ca="1">IF(OR(AE79="",AF79=""),"",AE79*SFAssumptions!$C$8/AF79)</f>
        <v>3868.0087455936946</v>
      </c>
      <c r="AK79" s="191">
        <f t="shared" si="26"/>
        <v>1.4181818181818182</v>
      </c>
      <c r="AL79" s="692">
        <f>IF(AK79="","",AK79*SFAssumptions!$C$3)</f>
        <v>364.06613454545453</v>
      </c>
      <c r="AM79" s="193">
        <f t="shared" si="27"/>
        <v>13.65</v>
      </c>
      <c r="AN79" s="194">
        <f>IF(AM79="","",AM79*SFAssumptions!$C$3)</f>
        <v>3504.1365450000003</v>
      </c>
      <c r="AO79" s="693">
        <f t="shared" si="28"/>
        <v>3.5</v>
      </c>
      <c r="AP79" s="693">
        <f t="shared" si="29"/>
        <v>2.75</v>
      </c>
      <c r="AQ79" s="692">
        <f ca="1">IF(AL79="","",AL79*SFAssumptions!$C$8/'SavingsData&amp;Analysis'!AF79)</f>
        <v>352.58473015262098</v>
      </c>
      <c r="AR79" s="692">
        <f ca="1">IF(OR(AN79="",AF79=""),"",AN79*SFAssumptions!$C$8/AF79)</f>
        <v>3393.6280277189776</v>
      </c>
      <c r="AS79" s="190" t="str">
        <f>IF(OR(AG79="",AH79=""),"No",IF(AND(G79="Horizontal",AH79&gt;='Eff. Standards &amp; Certifications'!$B$21,AG79&lt;='Eff. Standards &amp; Certifications'!$C$21),"Consider",IF(AND(G79="Vertical",AH79&gt;='Eff. Standards &amp; Certifications'!$B$20,AG79&lt;='Eff. Standards &amp; Certifications'!$C$20),"Consider","No")))</f>
        <v>Consider</v>
      </c>
      <c r="AT79" s="190" t="str">
        <f t="shared" si="11"/>
        <v>Residential</v>
      </c>
      <c r="AU79" s="190"/>
      <c r="AV79" s="190" t="str">
        <f t="shared" si="37"/>
        <v>YES</v>
      </c>
      <c r="AW79" s="190" t="str">
        <f t="shared" si="37"/>
        <v>NO</v>
      </c>
      <c r="AX79" s="190" t="str">
        <f t="shared" si="30"/>
        <v>YES</v>
      </c>
      <c r="AY79" s="190" t="str">
        <f t="shared" si="13"/>
        <v>NO</v>
      </c>
      <c r="AZ79" s="190" t="str">
        <f t="shared" si="13"/>
        <v>NO</v>
      </c>
      <c r="BA79" s="190" t="str">
        <f t="shared" si="31"/>
        <v>NO</v>
      </c>
      <c r="BB79" s="190" t="str">
        <f t="shared" si="14"/>
        <v>YES</v>
      </c>
      <c r="BC79" s="190" t="str">
        <f t="shared" si="15"/>
        <v>NO</v>
      </c>
      <c r="BD79" s="190" t="str">
        <f t="shared" si="32"/>
        <v>YES</v>
      </c>
      <c r="BE79" s="190" t="str">
        <f t="shared" si="16"/>
        <v>NO</v>
      </c>
      <c r="BF79" s="190" t="str">
        <f t="shared" si="17"/>
        <v>NO</v>
      </c>
      <c r="BG79" s="190" t="str">
        <f t="shared" si="18"/>
        <v>NO</v>
      </c>
      <c r="BH79" s="88"/>
      <c r="BI79" s="9"/>
      <c r="BJ79" s="694">
        <f t="shared" si="38"/>
        <v>2.3062</v>
      </c>
      <c r="BK79" s="694" t="str">
        <f t="shared" si="38"/>
        <v/>
      </c>
      <c r="BL79" s="694">
        <f t="shared" si="39"/>
        <v>3.9892500000000002</v>
      </c>
      <c r="BM79" s="694" t="str">
        <f t="shared" si="39"/>
        <v/>
      </c>
      <c r="BN79" s="88"/>
      <c r="BO79" s="195"/>
      <c r="BP79" s="195"/>
      <c r="BQ79" s="195"/>
      <c r="BR79" s="195"/>
      <c r="BS79" s="195"/>
      <c r="BT79" s="195"/>
      <c r="BU79" s="195"/>
      <c r="BV79" s="195"/>
      <c r="BW79" s="195"/>
      <c r="BX79" s="195"/>
    </row>
    <row r="80" spans="1:76" s="124" customFormat="1" ht="15">
      <c r="A80" s="187">
        <v>5600</v>
      </c>
      <c r="B80" s="187" t="s">
        <v>430</v>
      </c>
      <c r="C80" s="187" t="s">
        <v>437</v>
      </c>
      <c r="D80" s="187" t="s">
        <v>443</v>
      </c>
      <c r="E80" s="187" t="s">
        <v>385</v>
      </c>
      <c r="F80" s="187" t="s">
        <v>386</v>
      </c>
      <c r="G80" s="187" t="s">
        <v>387</v>
      </c>
      <c r="H80" s="187" t="b">
        <v>0</v>
      </c>
      <c r="I80" s="187" t="s">
        <v>388</v>
      </c>
      <c r="J80" s="187" t="s">
        <v>389</v>
      </c>
      <c r="K80" s="187" t="b">
        <v>0</v>
      </c>
      <c r="L80" s="187">
        <v>3.9</v>
      </c>
      <c r="M80" s="187">
        <v>0.17</v>
      </c>
      <c r="N80" s="187">
        <v>13.31</v>
      </c>
      <c r="O80" s="187">
        <v>3.4</v>
      </c>
      <c r="P80" s="187">
        <v>11.3</v>
      </c>
      <c r="Q80" s="187"/>
      <c r="R80" s="187"/>
      <c r="S80" s="187"/>
      <c r="T80" s="187"/>
      <c r="U80" s="187"/>
      <c r="V80" s="187">
        <v>2.65</v>
      </c>
      <c r="W80" s="188">
        <v>41260</v>
      </c>
      <c r="X80" s="691">
        <f t="shared" si="33"/>
        <v>2.2501249999999997</v>
      </c>
      <c r="Y80" s="691">
        <f t="shared" si="10"/>
        <v>3.5994799999999998</v>
      </c>
      <c r="Z80" s="189"/>
      <c r="AA80" s="190">
        <f t="shared" si="21"/>
        <v>2012</v>
      </c>
      <c r="AB80" s="191">
        <f t="shared" si="22"/>
        <v>1.7332370423865342</v>
      </c>
      <c r="AC80" s="192">
        <f>IF(AB80="","",AB80*SFAssumptions!$C$3)</f>
        <v>444.94500083328705</v>
      </c>
      <c r="AD80" s="193">
        <f t="shared" si="23"/>
        <v>14.037971999999998</v>
      </c>
      <c r="AE80" s="194">
        <f>IF(AD80="","",AD80*SFAssumptions!$C$3)</f>
        <v>3603.7341174275994</v>
      </c>
      <c r="AF80" s="192">
        <f t="shared" si="6"/>
        <v>3.9</v>
      </c>
      <c r="AG80" s="192">
        <f t="shared" si="24"/>
        <v>3.5994799999999998</v>
      </c>
      <c r="AH80" s="192">
        <f t="shared" si="25"/>
        <v>2.2501249999999997</v>
      </c>
      <c r="AI80" s="692">
        <f ca="1">IF(AC80="","",AC80*SFAssumptions!$C$8/'SavingsData&amp;Analysis'!AF80)</f>
        <v>430.91295280027009</v>
      </c>
      <c r="AJ80" s="692">
        <f ca="1">IF(OR(AE80="",AF80=""),"",AE80*SFAssumptions!$C$8/AF80)</f>
        <v>3490.0846323468286</v>
      </c>
      <c r="AK80" s="191">
        <f t="shared" si="26"/>
        <v>1.4716981132075473</v>
      </c>
      <c r="AL80" s="692">
        <f>IF(AK80="","",AK80*SFAssumptions!$C$3)</f>
        <v>377.80447924528306</v>
      </c>
      <c r="AM80" s="193">
        <f t="shared" si="27"/>
        <v>13.26</v>
      </c>
      <c r="AN80" s="194">
        <f>IF(AM80="","",AM80*SFAssumptions!$C$3)</f>
        <v>3404.0183579999998</v>
      </c>
      <c r="AO80" s="693">
        <f t="shared" si="28"/>
        <v>3.4</v>
      </c>
      <c r="AP80" s="693">
        <f t="shared" si="29"/>
        <v>2.65</v>
      </c>
      <c r="AQ80" s="692">
        <f ca="1">IF(AL80="","",AL80*SFAssumptions!$C$8/'SavingsData&amp;Analysis'!AF80)</f>
        <v>365.8898143093237</v>
      </c>
      <c r="AR80" s="692">
        <f ca="1">IF(OR(AN80="",AF80=""),"",AN80*SFAssumptions!$C$8/AF80)</f>
        <v>3296.6672269270057</v>
      </c>
      <c r="AS80" s="190" t="str">
        <f>IF(OR(AG80="",AH80=""),"No",IF(AND(G80="Horizontal",AH80&gt;='Eff. Standards &amp; Certifications'!$B$21,AG80&lt;='Eff. Standards &amp; Certifications'!$C$21),"Consider",IF(AND(G80="Vertical",AH80&gt;='Eff. Standards &amp; Certifications'!$B$20,AG80&lt;='Eff. Standards &amp; Certifications'!$C$20),"Consider","No")))</f>
        <v>Consider</v>
      </c>
      <c r="AT80" s="190" t="str">
        <f t="shared" si="11"/>
        <v>Residential</v>
      </c>
      <c r="AU80" s="190"/>
      <c r="AV80" s="190" t="str">
        <f t="shared" si="37"/>
        <v>NO</v>
      </c>
      <c r="AW80" s="190" t="str">
        <f t="shared" si="37"/>
        <v>YES</v>
      </c>
      <c r="AX80" s="190" t="str">
        <f t="shared" si="30"/>
        <v>YES</v>
      </c>
      <c r="AY80" s="190" t="str">
        <f t="shared" si="13"/>
        <v>NO</v>
      </c>
      <c r="AZ80" s="190" t="str">
        <f t="shared" si="13"/>
        <v>YES</v>
      </c>
      <c r="BA80" s="190" t="str">
        <f t="shared" si="31"/>
        <v>YES</v>
      </c>
      <c r="BB80" s="190" t="str">
        <f t="shared" si="14"/>
        <v>NO</v>
      </c>
      <c r="BC80" s="190" t="str">
        <f t="shared" si="15"/>
        <v>NO</v>
      </c>
      <c r="BD80" s="190" t="str">
        <f t="shared" si="32"/>
        <v>NO</v>
      </c>
      <c r="BE80" s="190" t="str">
        <f t="shared" si="16"/>
        <v>NO</v>
      </c>
      <c r="BF80" s="190" t="str">
        <f t="shared" si="17"/>
        <v>NO</v>
      </c>
      <c r="BG80" s="190" t="str">
        <f t="shared" si="18"/>
        <v>NO</v>
      </c>
      <c r="BH80" s="88"/>
      <c r="BI80" s="9"/>
      <c r="BJ80" s="694" t="str">
        <f t="shared" si="38"/>
        <v/>
      </c>
      <c r="BK80" s="694">
        <f t="shared" si="38"/>
        <v>2.2501249999999997</v>
      </c>
      <c r="BL80" s="694" t="str">
        <f t="shared" si="39"/>
        <v/>
      </c>
      <c r="BM80" s="694">
        <f t="shared" si="39"/>
        <v>3.5994799999999998</v>
      </c>
      <c r="BN80" s="88"/>
      <c r="BO80" s="195"/>
      <c r="BP80" s="195"/>
      <c r="BQ80" s="195"/>
      <c r="BR80" s="195"/>
      <c r="BS80" s="195"/>
      <c r="BT80" s="195"/>
      <c r="BU80" s="195"/>
      <c r="BV80" s="195"/>
      <c r="BW80" s="195"/>
      <c r="BX80" s="195"/>
    </row>
    <row r="81" spans="1:76" s="124" customFormat="1" ht="15">
      <c r="A81" s="187">
        <v>5583</v>
      </c>
      <c r="B81" s="187" t="s">
        <v>430</v>
      </c>
      <c r="C81" s="187" t="s">
        <v>437</v>
      </c>
      <c r="D81" s="187" t="s">
        <v>444</v>
      </c>
      <c r="E81" s="187" t="s">
        <v>385</v>
      </c>
      <c r="F81" s="187" t="s">
        <v>386</v>
      </c>
      <c r="G81" s="187" t="s">
        <v>387</v>
      </c>
      <c r="H81" s="187" t="b">
        <v>0</v>
      </c>
      <c r="I81" s="187" t="s">
        <v>388</v>
      </c>
      <c r="J81" s="187" t="s">
        <v>389</v>
      </c>
      <c r="K81" s="187" t="b">
        <v>0</v>
      </c>
      <c r="L81" s="187">
        <v>3.5</v>
      </c>
      <c r="M81" s="187">
        <v>0.11</v>
      </c>
      <c r="N81" s="187">
        <v>17.649999999999999</v>
      </c>
      <c r="O81" s="187">
        <v>5</v>
      </c>
      <c r="P81" s="187">
        <v>10.25</v>
      </c>
      <c r="Q81" s="187"/>
      <c r="R81" s="187"/>
      <c r="S81" s="187"/>
      <c r="T81" s="187"/>
      <c r="U81" s="187"/>
      <c r="V81" s="187">
        <v>2.76</v>
      </c>
      <c r="W81" s="188">
        <v>41260</v>
      </c>
      <c r="X81" s="691">
        <f t="shared" si="33"/>
        <v>2.3507199999999999</v>
      </c>
      <c r="Y81" s="691">
        <f t="shared" si="10"/>
        <v>5.2382000000000009</v>
      </c>
      <c r="Z81" s="189"/>
      <c r="AA81" s="190">
        <f t="shared" si="21"/>
        <v>2012</v>
      </c>
      <c r="AB81" s="191">
        <f t="shared" si="22"/>
        <v>1.4889055268173157</v>
      </c>
      <c r="AC81" s="192">
        <f>IF(AB81="","",AB81*SFAssumptions!$C$3)</f>
        <v>382.22185117751161</v>
      </c>
      <c r="AD81" s="193">
        <f t="shared" si="23"/>
        <v>18.333700000000004</v>
      </c>
      <c r="AE81" s="194">
        <f>IF(AD81="","",AD81*SFAssumptions!$C$3)</f>
        <v>4706.5046282100011</v>
      </c>
      <c r="AF81" s="192">
        <f t="shared" si="6"/>
        <v>3.5</v>
      </c>
      <c r="AG81" s="192">
        <f t="shared" si="24"/>
        <v>5.2382000000000009</v>
      </c>
      <c r="AH81" s="192">
        <f t="shared" si="25"/>
        <v>2.3507199999999999</v>
      </c>
      <c r="AI81" s="692">
        <f ca="1">IF(AC81="","",AC81*SFAssumptions!$C$8/'SavingsData&amp;Analysis'!AF81)</f>
        <v>412.47277766799436</v>
      </c>
      <c r="AJ81" s="692">
        <f ca="1">IF(OR(AE81="",AF81=""),"",AE81*SFAssumptions!$C$8/AF81)</f>
        <v>5079.0006670850134</v>
      </c>
      <c r="AK81" s="191">
        <f t="shared" si="26"/>
        <v>1.2681159420289856</v>
      </c>
      <c r="AL81" s="692">
        <f>IF(AK81="","",AK81*SFAssumptions!$C$3)</f>
        <v>325.54222826086959</v>
      </c>
      <c r="AM81" s="193">
        <f t="shared" si="27"/>
        <v>17.5</v>
      </c>
      <c r="AN81" s="194">
        <f>IF(AM81="","",AM81*SFAssumptions!$C$3)</f>
        <v>4492.4827500000001</v>
      </c>
      <c r="AO81" s="693">
        <f t="shared" si="28"/>
        <v>5</v>
      </c>
      <c r="AP81" s="693">
        <f t="shared" si="29"/>
        <v>2.76</v>
      </c>
      <c r="AQ81" s="692">
        <f ca="1">IF(AL81="","",AL81*SFAssumptions!$C$8/'SavingsData&amp;Analysis'!AF81)</f>
        <v>351.30724924627094</v>
      </c>
      <c r="AR81" s="692">
        <f ca="1">IF(OR(AN81="",AF81=""),"",AN81*SFAssumptions!$C$8/AF81)</f>
        <v>4848.0400395985389</v>
      </c>
      <c r="AS81" s="190" t="str">
        <f>IF(OR(AG81="",AH81=""),"No",IF(AND(G81="Horizontal",AH81&gt;='Eff. Standards &amp; Certifications'!$B$21,AG81&lt;='Eff. Standards &amp; Certifications'!$C$21),"Consider",IF(AND(G81="Vertical",AH81&gt;='Eff. Standards &amp; Certifications'!$B$20,AG81&lt;='Eff. Standards &amp; Certifications'!$C$20),"Consider","No")))</f>
        <v>No</v>
      </c>
      <c r="AT81" s="190" t="str">
        <f t="shared" si="11"/>
        <v>Residential</v>
      </c>
      <c r="AU81" s="190"/>
      <c r="AV81" s="190" t="str">
        <f t="shared" si="37"/>
        <v>NO</v>
      </c>
      <c r="AW81" s="190" t="str">
        <f t="shared" si="37"/>
        <v>NO</v>
      </c>
      <c r="AX81" s="190" t="str">
        <f t="shared" si="30"/>
        <v>NO</v>
      </c>
      <c r="AY81" s="190" t="str">
        <f t="shared" si="13"/>
        <v>NO</v>
      </c>
      <c r="AZ81" s="190" t="str">
        <f t="shared" si="13"/>
        <v>NO</v>
      </c>
      <c r="BA81" s="190" t="str">
        <f t="shared" si="31"/>
        <v>NO</v>
      </c>
      <c r="BB81" s="190" t="str">
        <f t="shared" si="14"/>
        <v>NO</v>
      </c>
      <c r="BC81" s="190" t="str">
        <f t="shared" si="15"/>
        <v>NO</v>
      </c>
      <c r="BD81" s="190" t="str">
        <f t="shared" si="32"/>
        <v>NO</v>
      </c>
      <c r="BE81" s="190" t="str">
        <f t="shared" si="16"/>
        <v>NO</v>
      </c>
      <c r="BF81" s="190" t="str">
        <f t="shared" si="17"/>
        <v>NO</v>
      </c>
      <c r="BG81" s="190" t="str">
        <f t="shared" si="18"/>
        <v>NO</v>
      </c>
      <c r="BH81" s="88"/>
      <c r="BI81" s="9"/>
      <c r="BJ81" s="694" t="str">
        <f t="shared" si="38"/>
        <v/>
      </c>
      <c r="BK81" s="694" t="str">
        <f t="shared" si="38"/>
        <v/>
      </c>
      <c r="BL81" s="694" t="str">
        <f t="shared" si="39"/>
        <v/>
      </c>
      <c r="BM81" s="694" t="str">
        <f t="shared" si="39"/>
        <v/>
      </c>
      <c r="BN81" s="88"/>
      <c r="BO81" s="195"/>
      <c r="BP81" s="195"/>
      <c r="BQ81" s="195"/>
      <c r="BR81" s="195"/>
      <c r="BS81" s="195"/>
      <c r="BT81" s="195"/>
      <c r="BU81" s="195"/>
      <c r="BV81" s="195"/>
      <c r="BW81" s="195"/>
      <c r="BX81" s="195"/>
    </row>
    <row r="82" spans="1:76" s="124" customFormat="1" ht="15">
      <c r="A82" s="187">
        <v>5578</v>
      </c>
      <c r="B82" s="187" t="s">
        <v>430</v>
      </c>
      <c r="C82" s="187" t="s">
        <v>437</v>
      </c>
      <c r="D82" s="187" t="s">
        <v>445</v>
      </c>
      <c r="E82" s="187" t="s">
        <v>392</v>
      </c>
      <c r="F82" s="187" t="s">
        <v>386</v>
      </c>
      <c r="G82" s="187" t="s">
        <v>393</v>
      </c>
      <c r="H82" s="187" t="b">
        <v>0</v>
      </c>
      <c r="I82" s="187" t="s">
        <v>388</v>
      </c>
      <c r="J82" s="187" t="s">
        <v>389</v>
      </c>
      <c r="K82" s="187" t="b">
        <v>0</v>
      </c>
      <c r="L82" s="187">
        <v>3.3</v>
      </c>
      <c r="M82" s="187">
        <v>0.08</v>
      </c>
      <c r="N82" s="187">
        <v>18.38</v>
      </c>
      <c r="O82" s="187">
        <v>5.5</v>
      </c>
      <c r="P82" s="187">
        <v>4.74</v>
      </c>
      <c r="Q82" s="187"/>
      <c r="R82" s="187"/>
      <c r="S82" s="187"/>
      <c r="T82" s="187"/>
      <c r="U82" s="187"/>
      <c r="V82" s="187">
        <v>2</v>
      </c>
      <c r="W82" s="188">
        <v>41260</v>
      </c>
      <c r="X82" s="691">
        <f t="shared" si="33"/>
        <v>1.5636999999999999</v>
      </c>
      <c r="Y82" s="691">
        <f t="shared" si="10"/>
        <v>5.9670500000000004</v>
      </c>
      <c r="Z82" s="189"/>
      <c r="AA82" s="190">
        <f t="shared" si="21"/>
        <v>2012</v>
      </c>
      <c r="AB82" s="191">
        <f t="shared" si="22"/>
        <v>2.1103792287523184</v>
      </c>
      <c r="AC82" s="192">
        <f>IF(AB82="","",AB82*SFAssumptions!$C$3)</f>
        <v>541.76241606446251</v>
      </c>
      <c r="AD82" s="193">
        <f t="shared" si="23"/>
        <v>19.691265000000001</v>
      </c>
      <c r="AE82" s="194">
        <f>IF(AD82="","",AD82*SFAssumptions!$C$3)</f>
        <v>5055.0096193245008</v>
      </c>
      <c r="AF82" s="192">
        <f t="shared" si="6"/>
        <v>3.3</v>
      </c>
      <c r="AG82" s="192">
        <f t="shared" si="24"/>
        <v>5.9670500000000004</v>
      </c>
      <c r="AH82" s="192">
        <f t="shared" si="25"/>
        <v>1.5636999999999999</v>
      </c>
      <c r="AI82" s="692">
        <f ca="1">IF(AC82="","",AC82*SFAssumptions!$C$8/'SavingsData&amp;Analysis'!AF82)</f>
        <v>620.07290907444383</v>
      </c>
      <c r="AJ82" s="692">
        <f ca="1">IF(OR(AE82="",AF82=""),"",AE82*SFAssumptions!$C$8/AF82)</f>
        <v>5785.6994636572927</v>
      </c>
      <c r="AK82" s="191">
        <f t="shared" si="26"/>
        <v>1.65</v>
      </c>
      <c r="AL82" s="692">
        <f>IF(AK82="","",AK82*SFAssumptions!$C$3)</f>
        <v>423.57694499999997</v>
      </c>
      <c r="AM82" s="193">
        <f t="shared" si="27"/>
        <v>18.149999999999999</v>
      </c>
      <c r="AN82" s="194">
        <f>IF(AM82="","",AM82*SFAssumptions!$C$3)</f>
        <v>4659.3463949999996</v>
      </c>
      <c r="AO82" s="693">
        <f t="shared" si="28"/>
        <v>5.5</v>
      </c>
      <c r="AP82" s="693">
        <f t="shared" si="29"/>
        <v>2</v>
      </c>
      <c r="AQ82" s="692">
        <f ca="1">IF(AL82="","",AL82*SFAssumptions!$C$8/'SavingsData&amp;Analysis'!AF82)</f>
        <v>484.80400395985384</v>
      </c>
      <c r="AR82" s="692">
        <f ca="1">IF(OR(AN82="",AF82=""),"",AN82*SFAssumptions!$C$8/AF82)</f>
        <v>5332.8440435583916</v>
      </c>
      <c r="AS82" s="190" t="str">
        <f>IF(OR(AG82="",AH82=""),"No",IF(AND(G82="Horizontal",AH82&gt;='Eff. Standards &amp; Certifications'!$B$21,AG82&lt;='Eff. Standards &amp; Certifications'!$C$21),"Consider",IF(AND(G82="Vertical",AH82&gt;='Eff. Standards &amp; Certifications'!$B$20,AG82&lt;='Eff. Standards &amp; Certifications'!$C$20),"Consider","No")))</f>
        <v>Consider</v>
      </c>
      <c r="AT82" s="190" t="str">
        <f t="shared" si="11"/>
        <v>Residential</v>
      </c>
      <c r="AU82" s="190"/>
      <c r="AV82" s="190" t="str">
        <f t="shared" si="37"/>
        <v>YES</v>
      </c>
      <c r="AW82" s="190" t="str">
        <f t="shared" si="37"/>
        <v>NO</v>
      </c>
      <c r="AX82" s="190" t="str">
        <f t="shared" si="30"/>
        <v>YES</v>
      </c>
      <c r="AY82" s="190" t="str">
        <f t="shared" si="13"/>
        <v>YES</v>
      </c>
      <c r="AZ82" s="190" t="str">
        <f t="shared" si="13"/>
        <v>NO</v>
      </c>
      <c r="BA82" s="190" t="str">
        <f t="shared" si="31"/>
        <v>YES</v>
      </c>
      <c r="BB82" s="190" t="str">
        <f t="shared" si="14"/>
        <v>NO</v>
      </c>
      <c r="BC82" s="190" t="str">
        <f t="shared" si="15"/>
        <v>NO</v>
      </c>
      <c r="BD82" s="190" t="str">
        <f t="shared" si="32"/>
        <v>NO</v>
      </c>
      <c r="BE82" s="190" t="str">
        <f t="shared" si="16"/>
        <v>NO</v>
      </c>
      <c r="BF82" s="190" t="str">
        <f t="shared" si="17"/>
        <v>NO</v>
      </c>
      <c r="BG82" s="190" t="str">
        <f t="shared" si="18"/>
        <v>NO</v>
      </c>
      <c r="BH82" s="88"/>
      <c r="BI82" s="9"/>
      <c r="BJ82" s="694">
        <f t="shared" si="38"/>
        <v>1.5636999999999999</v>
      </c>
      <c r="BK82" s="694" t="str">
        <f t="shared" si="38"/>
        <v/>
      </c>
      <c r="BL82" s="694">
        <f t="shared" si="39"/>
        <v>5.9670500000000004</v>
      </c>
      <c r="BM82" s="694" t="str">
        <f t="shared" si="39"/>
        <v/>
      </c>
      <c r="BN82" s="88"/>
      <c r="BO82" s="195"/>
      <c r="BP82" s="195"/>
      <c r="BQ82" s="195"/>
      <c r="BR82" s="195"/>
      <c r="BS82" s="195"/>
      <c r="BT82" s="195"/>
      <c r="BU82" s="195"/>
      <c r="BV82" s="195"/>
      <c r="BW82" s="195"/>
      <c r="BX82" s="195"/>
    </row>
    <row r="83" spans="1:76" s="124" customFormat="1" ht="15">
      <c r="A83" s="187">
        <v>5581</v>
      </c>
      <c r="B83" s="187" t="s">
        <v>430</v>
      </c>
      <c r="C83" s="187" t="s">
        <v>437</v>
      </c>
      <c r="D83" s="187" t="s">
        <v>446</v>
      </c>
      <c r="E83" s="187" t="s">
        <v>392</v>
      </c>
      <c r="F83" s="187" t="s">
        <v>386</v>
      </c>
      <c r="G83" s="187" t="s">
        <v>393</v>
      </c>
      <c r="H83" s="187" t="b">
        <v>0</v>
      </c>
      <c r="I83" s="187" t="s">
        <v>388</v>
      </c>
      <c r="J83" s="187" t="s">
        <v>389</v>
      </c>
      <c r="K83" s="187" t="b">
        <v>0</v>
      </c>
      <c r="L83" s="187">
        <v>3.4</v>
      </c>
      <c r="M83" s="187">
        <v>0.08</v>
      </c>
      <c r="N83" s="187">
        <v>18.690000000000001</v>
      </c>
      <c r="O83" s="187">
        <v>5.6</v>
      </c>
      <c r="P83" s="187">
        <v>4.6399999999999997</v>
      </c>
      <c r="Q83" s="187"/>
      <c r="R83" s="187"/>
      <c r="S83" s="187"/>
      <c r="T83" s="187"/>
      <c r="U83" s="187"/>
      <c r="V83" s="187">
        <v>2</v>
      </c>
      <c r="W83" s="188">
        <v>41260</v>
      </c>
      <c r="X83" s="691">
        <f t="shared" si="33"/>
        <v>1.5636999999999999</v>
      </c>
      <c r="Y83" s="691">
        <f t="shared" si="10"/>
        <v>6.0659400000000003</v>
      </c>
      <c r="Z83" s="189"/>
      <c r="AA83" s="190">
        <f t="shared" si="21"/>
        <v>2012</v>
      </c>
      <c r="AB83" s="191">
        <f t="shared" si="22"/>
        <v>2.1743301144720855</v>
      </c>
      <c r="AC83" s="192">
        <f>IF(AB83="","",AB83*SFAssumptions!$C$3)</f>
        <v>558.1794589755068</v>
      </c>
      <c r="AD83" s="193">
        <f t="shared" si="23"/>
        <v>20.624196000000001</v>
      </c>
      <c r="AE83" s="194">
        <f>IF(AD83="","",AD83*SFAssumptions!$C$3)</f>
        <v>5294.5054150068008</v>
      </c>
      <c r="AF83" s="192">
        <f t="shared" si="6"/>
        <v>3.4</v>
      </c>
      <c r="AG83" s="192">
        <f t="shared" si="24"/>
        <v>6.0659400000000003</v>
      </c>
      <c r="AH83" s="192">
        <f t="shared" si="25"/>
        <v>1.5636999999999999</v>
      </c>
      <c r="AI83" s="692">
        <f ca="1">IF(AC83="","",AC83*SFAssumptions!$C$8/'SavingsData&amp;Analysis'!AF83)</f>
        <v>620.07290907444383</v>
      </c>
      <c r="AJ83" s="692">
        <f ca="1">IF(OR(AE83="",AF83=""),"",AE83*SFAssumptions!$C$8/AF83)</f>
        <v>5881.5839995604729</v>
      </c>
      <c r="AK83" s="191">
        <f t="shared" si="26"/>
        <v>1.7</v>
      </c>
      <c r="AL83" s="692">
        <f>IF(AK83="","",AK83*SFAssumptions!$C$3)</f>
        <v>436.41260999999997</v>
      </c>
      <c r="AM83" s="193">
        <f t="shared" si="27"/>
        <v>19.04</v>
      </c>
      <c r="AN83" s="194">
        <f>IF(AM83="","",AM83*SFAssumptions!$C$3)</f>
        <v>4887.8212320000002</v>
      </c>
      <c r="AO83" s="693">
        <f t="shared" si="28"/>
        <v>5.6</v>
      </c>
      <c r="AP83" s="693">
        <f t="shared" si="29"/>
        <v>2</v>
      </c>
      <c r="AQ83" s="692">
        <f ca="1">IF(AL83="","",AL83*SFAssumptions!$C$8/'SavingsData&amp;Analysis'!AF83)</f>
        <v>484.80400395985379</v>
      </c>
      <c r="AR83" s="692">
        <f ca="1">IF(OR(AN83="",AF83=""),"",AN83*SFAssumptions!$C$8/AF83)</f>
        <v>5429.8048443503631</v>
      </c>
      <c r="AS83" s="190" t="str">
        <f>IF(OR(AG83="",AH83=""),"No",IF(AND(G83="Horizontal",AH83&gt;='Eff. Standards &amp; Certifications'!$B$21,AG83&lt;='Eff. Standards &amp; Certifications'!$C$21),"Consider",IF(AND(G83="Vertical",AH83&gt;='Eff. Standards &amp; Certifications'!$B$20,AG83&lt;='Eff. Standards &amp; Certifications'!$C$20),"Consider","No")))</f>
        <v>Consider</v>
      </c>
      <c r="AT83" s="190" t="str">
        <f t="shared" si="11"/>
        <v>Residential</v>
      </c>
      <c r="AU83" s="190"/>
      <c r="AV83" s="190" t="str">
        <f t="shared" ref="AV83:AW102" si="40">IF(AND($G83=AV$18,$AS83="Consider",$AT83="Residential",$AH83&gt;=AV$3,$AH83&lt;=AV$4,$AG83&gt;=AV$5,$AG83&lt;=AV$6),"YES","NO")</f>
        <v>YES</v>
      </c>
      <c r="AW83" s="190" t="str">
        <f t="shared" si="40"/>
        <v>NO</v>
      </c>
      <c r="AX83" s="190" t="str">
        <f t="shared" si="30"/>
        <v>YES</v>
      </c>
      <c r="AY83" s="190" t="str">
        <f t="shared" si="13"/>
        <v>YES</v>
      </c>
      <c r="AZ83" s="190" t="str">
        <f t="shared" si="13"/>
        <v>NO</v>
      </c>
      <c r="BA83" s="190" t="str">
        <f t="shared" si="31"/>
        <v>YES</v>
      </c>
      <c r="BB83" s="190" t="str">
        <f t="shared" si="14"/>
        <v>NO</v>
      </c>
      <c r="BC83" s="190" t="str">
        <f t="shared" si="15"/>
        <v>NO</v>
      </c>
      <c r="BD83" s="190" t="str">
        <f t="shared" si="32"/>
        <v>NO</v>
      </c>
      <c r="BE83" s="190" t="str">
        <f t="shared" si="16"/>
        <v>NO</v>
      </c>
      <c r="BF83" s="190" t="str">
        <f t="shared" si="17"/>
        <v>NO</v>
      </c>
      <c r="BG83" s="190" t="str">
        <f t="shared" si="18"/>
        <v>NO</v>
      </c>
      <c r="BH83" s="88"/>
      <c r="BI83" s="9"/>
      <c r="BJ83" s="694">
        <f t="shared" ref="BJ83:BK102" si="41">IF(AND($G83=BJ$21,$AT83="Residential",$AS83="Consider"),$X83,"")</f>
        <v>1.5636999999999999</v>
      </c>
      <c r="BK83" s="694" t="str">
        <f t="shared" si="41"/>
        <v/>
      </c>
      <c r="BL83" s="694">
        <f t="shared" ref="BL83:BM102" si="42">IF(AND($G83=BL$21,$AT83="Residential",$AS83="Consider"),$Y83,"")</f>
        <v>6.0659400000000003</v>
      </c>
      <c r="BM83" s="694" t="str">
        <f t="shared" si="42"/>
        <v/>
      </c>
      <c r="BN83" s="88"/>
      <c r="BO83" s="195"/>
      <c r="BP83" s="195"/>
      <c r="BQ83" s="195"/>
      <c r="BR83" s="195"/>
      <c r="BS83" s="195"/>
      <c r="BT83" s="195"/>
      <c r="BU83" s="195"/>
      <c r="BV83" s="195"/>
      <c r="BW83" s="195"/>
      <c r="BX83" s="195"/>
    </row>
    <row r="84" spans="1:76" s="124" customFormat="1" ht="15">
      <c r="A84" s="187">
        <v>5813</v>
      </c>
      <c r="B84" s="187" t="s">
        <v>447</v>
      </c>
      <c r="C84" s="187" t="s">
        <v>447</v>
      </c>
      <c r="D84" s="187" t="s">
        <v>448</v>
      </c>
      <c r="E84" s="187" t="s">
        <v>392</v>
      </c>
      <c r="F84" s="187" t="s">
        <v>386</v>
      </c>
      <c r="G84" s="187" t="s">
        <v>387</v>
      </c>
      <c r="H84" s="187" t="b">
        <v>0</v>
      </c>
      <c r="I84" s="187" t="s">
        <v>388</v>
      </c>
      <c r="J84" s="187" t="s">
        <v>389</v>
      </c>
      <c r="K84" s="187" t="b">
        <v>1</v>
      </c>
      <c r="L84" s="187">
        <v>1.7</v>
      </c>
      <c r="M84" s="187">
        <v>168</v>
      </c>
      <c r="N84" s="187">
        <v>14.61</v>
      </c>
      <c r="O84" s="187">
        <v>8.4</v>
      </c>
      <c r="P84" s="187">
        <v>3.68</v>
      </c>
      <c r="Q84" s="187"/>
      <c r="R84" s="187"/>
      <c r="S84" s="187"/>
      <c r="T84" s="187"/>
      <c r="U84" s="187">
        <v>63</v>
      </c>
      <c r="V84" s="691"/>
      <c r="W84" s="188">
        <v>41389</v>
      </c>
      <c r="X84" s="691"/>
      <c r="Y84" s="691">
        <f t="shared" si="10"/>
        <v>8.7204800000000002</v>
      </c>
      <c r="Z84" s="189"/>
      <c r="AA84" s="190">
        <f t="shared" si="21"/>
        <v>2013</v>
      </c>
      <c r="AB84" s="191" t="str">
        <f t="shared" si="22"/>
        <v/>
      </c>
      <c r="AC84" s="192" t="str">
        <f>IF(AB84="","",AB84*SFAssumptions!$C$3)</f>
        <v/>
      </c>
      <c r="AD84" s="193">
        <f t="shared" si="23"/>
        <v>14.824816</v>
      </c>
      <c r="AE84" s="194">
        <f>IF(AD84="","",AD84*SFAssumptions!$C$3)</f>
        <v>3805.7274372528</v>
      </c>
      <c r="AF84" s="192">
        <f t="shared" si="6"/>
        <v>1.7</v>
      </c>
      <c r="AG84" s="192">
        <f t="shared" si="24"/>
        <v>8.7204800000000002</v>
      </c>
      <c r="AH84" s="192" t="str">
        <f t="shared" si="25"/>
        <v/>
      </c>
      <c r="AI84" s="692" t="str">
        <f>IF(AC84="","",AC84*SFAssumptions!$C$8/'SavingsData&amp;Analysis'!AF84)</f>
        <v/>
      </c>
      <c r="AJ84" s="692">
        <f ca="1">IF(OR(AE84="",AF84=""),"",AE84*SFAssumptions!$C$8/AF84)</f>
        <v>8455.4472409036516</v>
      </c>
      <c r="AK84" s="191" t="str">
        <f t="shared" si="26"/>
        <v/>
      </c>
      <c r="AL84" s="692" t="str">
        <f>IF(AK84="","",AK84*SFAssumptions!$C$3)</f>
        <v/>
      </c>
      <c r="AM84" s="193">
        <f t="shared" si="27"/>
        <v>14.28</v>
      </c>
      <c r="AN84" s="194">
        <f>IF(AM84="","",AM84*SFAssumptions!$C$3)</f>
        <v>3665.8659239999997</v>
      </c>
      <c r="AO84" s="693">
        <f t="shared" si="28"/>
        <v>8.4</v>
      </c>
      <c r="AP84" s="693" t="str">
        <f t="shared" si="29"/>
        <v/>
      </c>
      <c r="AQ84" s="692" t="str">
        <f>IF(AL84="","",AL84*SFAssumptions!$C$8/'SavingsData&amp;Analysis'!AF84)</f>
        <v/>
      </c>
      <c r="AR84" s="692">
        <f ca="1">IF(OR(AN84="",AF84=""),"",AN84*SFAssumptions!$C$8/AF84)</f>
        <v>8144.7072665255446</v>
      </c>
      <c r="AS84" s="190" t="str">
        <f>IF(OR(AG84="",AH84=""),"No",IF(AND(G84="Horizontal",AH84&gt;='Eff. Standards &amp; Certifications'!$B$21,AG84&lt;='Eff. Standards &amp; Certifications'!$C$21),"Consider",IF(AND(G84="Vertical",AH84&gt;='Eff. Standards &amp; Certifications'!$B$20,AG84&lt;='Eff. Standards &amp; Certifications'!$C$20),"Consider","No")))</f>
        <v>No</v>
      </c>
      <c r="AT84" s="190" t="str">
        <f t="shared" si="11"/>
        <v>Residential</v>
      </c>
      <c r="AU84" s="190"/>
      <c r="AV84" s="190" t="str">
        <f t="shared" si="40"/>
        <v>NO</v>
      </c>
      <c r="AW84" s="190" t="str">
        <f t="shared" si="40"/>
        <v>NO</v>
      </c>
      <c r="AX84" s="190" t="str">
        <f t="shared" si="30"/>
        <v>NO</v>
      </c>
      <c r="AY84" s="190" t="str">
        <f t="shared" si="13"/>
        <v>NO</v>
      </c>
      <c r="AZ84" s="190" t="str">
        <f t="shared" si="13"/>
        <v>NO</v>
      </c>
      <c r="BA84" s="190" t="str">
        <f t="shared" si="31"/>
        <v>NO</v>
      </c>
      <c r="BB84" s="190" t="str">
        <f t="shared" si="14"/>
        <v>NO</v>
      </c>
      <c r="BC84" s="190" t="str">
        <f t="shared" si="15"/>
        <v>NO</v>
      </c>
      <c r="BD84" s="190" t="str">
        <f t="shared" si="32"/>
        <v>NO</v>
      </c>
      <c r="BE84" s="190" t="str">
        <f t="shared" si="16"/>
        <v>NO</v>
      </c>
      <c r="BF84" s="190" t="str">
        <f t="shared" si="17"/>
        <v>NO</v>
      </c>
      <c r="BG84" s="190" t="str">
        <f t="shared" si="18"/>
        <v>NO</v>
      </c>
      <c r="BH84" s="88"/>
      <c r="BI84" s="9"/>
      <c r="BJ84" s="694" t="str">
        <f t="shared" si="41"/>
        <v/>
      </c>
      <c r="BK84" s="694" t="str">
        <f t="shared" si="41"/>
        <v/>
      </c>
      <c r="BL84" s="694" t="str">
        <f t="shared" si="42"/>
        <v/>
      </c>
      <c r="BM84" s="694" t="str">
        <f t="shared" si="42"/>
        <v/>
      </c>
      <c r="BN84" s="88"/>
      <c r="BO84" s="195"/>
      <c r="BP84" s="195"/>
      <c r="BQ84" s="195"/>
      <c r="BR84" s="195"/>
      <c r="BS84" s="195"/>
      <c r="BT84" s="195"/>
      <c r="BU84" s="195"/>
      <c r="BV84" s="195"/>
      <c r="BW84" s="195"/>
      <c r="BX84" s="195"/>
    </row>
    <row r="85" spans="1:76" s="124" customFormat="1" ht="15">
      <c r="A85" s="187">
        <v>4732</v>
      </c>
      <c r="B85" s="187" t="s">
        <v>449</v>
      </c>
      <c r="C85" s="187" t="s">
        <v>450</v>
      </c>
      <c r="D85" s="187" t="s">
        <v>451</v>
      </c>
      <c r="E85" s="187" t="s">
        <v>385</v>
      </c>
      <c r="F85" s="187" t="s">
        <v>386</v>
      </c>
      <c r="G85" s="187" t="s">
        <v>387</v>
      </c>
      <c r="H85" s="187" t="b">
        <v>0</v>
      </c>
      <c r="I85" s="187" t="s">
        <v>388</v>
      </c>
      <c r="J85" s="187" t="s">
        <v>389</v>
      </c>
      <c r="K85" s="187" t="b">
        <v>1</v>
      </c>
      <c r="L85" s="187">
        <v>3.7</v>
      </c>
      <c r="M85" s="187">
        <v>0.21</v>
      </c>
      <c r="N85" s="187">
        <v>13.14</v>
      </c>
      <c r="O85" s="187">
        <v>3.6</v>
      </c>
      <c r="P85" s="187">
        <v>17.239999999999998</v>
      </c>
      <c r="Q85" s="187"/>
      <c r="R85" s="187"/>
      <c r="S85" s="187"/>
      <c r="T85" s="187"/>
      <c r="U85" s="187">
        <v>34.6</v>
      </c>
      <c r="V85" s="187">
        <v>2.91</v>
      </c>
      <c r="W85" s="188">
        <v>40548</v>
      </c>
      <c r="X85" s="691">
        <f t="shared" ref="X85:X114" si="43">IF($V85="","",IF($G85="Horizontal",V85*slope_FrontLoad_MEF+int_FrontLoad_MEF,IF($G85="Vertical",V85*slope_TopLoad_MEF+int_TopLoad_MEF,"")))</f>
        <v>2.487895</v>
      </c>
      <c r="Y85" s="691">
        <f t="shared" si="10"/>
        <v>3.8043200000000001</v>
      </c>
      <c r="Z85" s="189"/>
      <c r="AA85" s="190">
        <f t="shared" si="21"/>
        <v>2011</v>
      </c>
      <c r="AB85" s="191">
        <f t="shared" si="22"/>
        <v>1.4872010273745477</v>
      </c>
      <c r="AC85" s="192">
        <f>IF(AB85="","",AB85*SFAssumptions!$C$3)</f>
        <v>381.7842835007105</v>
      </c>
      <c r="AD85" s="193">
        <f t="shared" si="23"/>
        <v>14.075984000000002</v>
      </c>
      <c r="AE85" s="194">
        <f>IF(AD85="","",AD85*SFAssumptions!$C$3)</f>
        <v>3613.4923033872005</v>
      </c>
      <c r="AF85" s="192">
        <f t="shared" si="6"/>
        <v>3.7</v>
      </c>
      <c r="AG85" s="192">
        <f t="shared" si="24"/>
        <v>3.8043200000000001</v>
      </c>
      <c r="AH85" s="192">
        <f t="shared" si="25"/>
        <v>2.487895</v>
      </c>
      <c r="AI85" s="692">
        <f ca="1">IF(AC85="","",AC85*SFAssumptions!$C$8/'SavingsData&amp;Analysis'!AF85)</f>
        <v>389.73027716994</v>
      </c>
      <c r="AJ85" s="692">
        <f ca="1">IF(OR(AE85="",AF85=""),"",AE85*SFAssumptions!$C$8/AF85)</f>
        <v>3688.6991366891029</v>
      </c>
      <c r="AK85" s="191">
        <f t="shared" si="26"/>
        <v>1.2714776632302405</v>
      </c>
      <c r="AL85" s="692">
        <f>IF(AK85="","",AK85*SFAssumptions!$C$3)</f>
        <v>326.40522680412369</v>
      </c>
      <c r="AM85" s="193">
        <f t="shared" si="27"/>
        <v>13.32</v>
      </c>
      <c r="AN85" s="194">
        <f>IF(AM85="","",AM85*SFAssumptions!$C$3)</f>
        <v>3419.4211560000003</v>
      </c>
      <c r="AO85" s="693">
        <f t="shared" si="28"/>
        <v>3.6</v>
      </c>
      <c r="AP85" s="693">
        <f t="shared" si="29"/>
        <v>2.91</v>
      </c>
      <c r="AQ85" s="692">
        <f ca="1">IF(AL85="","",AL85*SFAssumptions!$C$8/'SavingsData&amp;Analysis'!AF85)</f>
        <v>333.19862815110224</v>
      </c>
      <c r="AR85" s="692">
        <f ca="1">IF(OR(AN85="",AF85=""),"",AN85*SFAssumptions!$C$8/AF85)</f>
        <v>3490.5888285109481</v>
      </c>
      <c r="AS85" s="190" t="str">
        <f>IF(OR(AG85="",AH85=""),"No",IF(AND(G85="Horizontal",AH85&gt;='Eff. Standards &amp; Certifications'!$B$21,AG85&lt;='Eff. Standards &amp; Certifications'!$C$21),"Consider",IF(AND(G85="Vertical",AH85&gt;='Eff. Standards &amp; Certifications'!$B$20,AG85&lt;='Eff. Standards &amp; Certifications'!$C$20),"Consider","No")))</f>
        <v>Consider</v>
      </c>
      <c r="AT85" s="190" t="str">
        <f t="shared" si="11"/>
        <v>Residential</v>
      </c>
      <c r="AU85" s="190"/>
      <c r="AV85" s="190" t="str">
        <f t="shared" si="40"/>
        <v>NO</v>
      </c>
      <c r="AW85" s="190" t="str">
        <f t="shared" si="40"/>
        <v>YES</v>
      </c>
      <c r="AX85" s="190" t="str">
        <f t="shared" si="30"/>
        <v>YES</v>
      </c>
      <c r="AY85" s="190" t="str">
        <f t="shared" si="13"/>
        <v>NO</v>
      </c>
      <c r="AZ85" s="190" t="str">
        <f t="shared" si="13"/>
        <v>YES</v>
      </c>
      <c r="BA85" s="190" t="str">
        <f t="shared" si="31"/>
        <v>YES</v>
      </c>
      <c r="BB85" s="190" t="str">
        <f t="shared" si="14"/>
        <v>NO</v>
      </c>
      <c r="BC85" s="190" t="str">
        <f t="shared" si="15"/>
        <v>NO</v>
      </c>
      <c r="BD85" s="190" t="str">
        <f t="shared" si="32"/>
        <v>NO</v>
      </c>
      <c r="BE85" s="190" t="str">
        <f t="shared" si="16"/>
        <v>NO</v>
      </c>
      <c r="BF85" s="190" t="str">
        <f t="shared" si="17"/>
        <v>NO</v>
      </c>
      <c r="BG85" s="190" t="str">
        <f t="shared" si="18"/>
        <v>NO</v>
      </c>
      <c r="BH85" s="88"/>
      <c r="BI85" s="9"/>
      <c r="BJ85" s="694" t="str">
        <f t="shared" si="41"/>
        <v/>
      </c>
      <c r="BK85" s="694">
        <f t="shared" si="41"/>
        <v>2.487895</v>
      </c>
      <c r="BL85" s="694" t="str">
        <f t="shared" si="42"/>
        <v/>
      </c>
      <c r="BM85" s="694">
        <f t="shared" si="42"/>
        <v>3.8043200000000001</v>
      </c>
      <c r="BN85" s="88"/>
      <c r="BO85" s="195"/>
      <c r="BP85" s="195"/>
      <c r="BQ85" s="195"/>
      <c r="BR85" s="195"/>
      <c r="BS85" s="195"/>
      <c r="BT85" s="195"/>
      <c r="BU85" s="195"/>
      <c r="BV85" s="195"/>
      <c r="BW85" s="195"/>
      <c r="BX85" s="195"/>
    </row>
    <row r="86" spans="1:76" s="124" customFormat="1" ht="15">
      <c r="A86" s="187">
        <v>6224</v>
      </c>
      <c r="B86" s="187" t="s">
        <v>449</v>
      </c>
      <c r="C86" s="187" t="s">
        <v>450</v>
      </c>
      <c r="D86" s="187" t="s">
        <v>1306</v>
      </c>
      <c r="E86" s="187" t="s">
        <v>385</v>
      </c>
      <c r="F86" s="187" t="s">
        <v>386</v>
      </c>
      <c r="G86" s="187" t="s">
        <v>387</v>
      </c>
      <c r="H86" s="187" t="b">
        <v>0</v>
      </c>
      <c r="I86" s="187" t="s">
        <v>388</v>
      </c>
      <c r="J86" s="187" t="s">
        <v>389</v>
      </c>
      <c r="K86" s="187" t="b">
        <v>1</v>
      </c>
      <c r="L86" s="187">
        <v>3.3</v>
      </c>
      <c r="M86" s="187">
        <v>0.17</v>
      </c>
      <c r="N86" s="187">
        <v>11.55</v>
      </c>
      <c r="O86" s="187">
        <v>3.5</v>
      </c>
      <c r="P86" s="187">
        <v>18.97</v>
      </c>
      <c r="Q86" s="187"/>
      <c r="R86" s="187"/>
      <c r="S86" s="187"/>
      <c r="T86" s="187"/>
      <c r="U86" s="187">
        <v>41.4</v>
      </c>
      <c r="V86" s="187">
        <v>2.86</v>
      </c>
      <c r="W86" s="188">
        <v>41751</v>
      </c>
      <c r="X86" s="691">
        <f t="shared" si="43"/>
        <v>2.44217</v>
      </c>
      <c r="Y86" s="691">
        <f t="shared" si="10"/>
        <v>3.7018999999999997</v>
      </c>
      <c r="Z86" s="189"/>
      <c r="AA86" s="190">
        <f t="shared" si="21"/>
        <v>2014</v>
      </c>
      <c r="AB86" s="191">
        <f t="shared" si="22"/>
        <v>1.3512572834814938</v>
      </c>
      <c r="AC86" s="192">
        <f>IF(AB86="","",AB86*SFAssumptions!$C$3)</f>
        <v>346.88571639156976</v>
      </c>
      <c r="AD86" s="193">
        <f t="shared" si="23"/>
        <v>12.216269999999998</v>
      </c>
      <c r="AE86" s="194">
        <f>IF(AD86="","",AD86*SFAssumptions!$C$3)</f>
        <v>3136.0789853909996</v>
      </c>
      <c r="AF86" s="192">
        <f t="shared" ref="AF86:AF149" si="44">L86</f>
        <v>3.3</v>
      </c>
      <c r="AG86" s="192">
        <f t="shared" si="24"/>
        <v>3.7018999999999997</v>
      </c>
      <c r="AH86" s="192">
        <f t="shared" si="25"/>
        <v>2.44217</v>
      </c>
      <c r="AI86" s="692">
        <f ca="1">IF(AC86="","",AC86*SFAssumptions!$C$8/'SavingsData&amp;Analysis'!AF86)</f>
        <v>397.02723721923849</v>
      </c>
      <c r="AJ86" s="692">
        <f ca="1">IF(OR(AE86="",AF86=""),"",AE86*SFAssumptions!$C$8/AF86)</f>
        <v>3589.3918845179655</v>
      </c>
      <c r="AK86" s="191">
        <f t="shared" si="26"/>
        <v>1.1538461538461537</v>
      </c>
      <c r="AL86" s="692">
        <f>IF(AK86="","",AK86*SFAssumptions!$C$3)</f>
        <v>296.20765384615385</v>
      </c>
      <c r="AM86" s="193">
        <f t="shared" si="27"/>
        <v>11.549999999999999</v>
      </c>
      <c r="AN86" s="194">
        <f>IF(AM86="","",AM86*SFAssumptions!$C$3)</f>
        <v>2965.0386149999999</v>
      </c>
      <c r="AO86" s="693">
        <f t="shared" si="28"/>
        <v>3.5</v>
      </c>
      <c r="AP86" s="693">
        <f t="shared" si="29"/>
        <v>2.86</v>
      </c>
      <c r="AQ86" s="692">
        <f ca="1">IF(AL86="","",AL86*SFAssumptions!$C$8/'SavingsData&amp;Analysis'!AF86)</f>
        <v>339.02377899290479</v>
      </c>
      <c r="AR86" s="692">
        <f ca="1">IF(OR(AN86="",AF86=""),"",AN86*SFAssumptions!$C$8/AF86)</f>
        <v>3393.6280277189767</v>
      </c>
      <c r="AS86" s="190" t="str">
        <f>IF(OR(AG86="",AH86=""),"No",IF(AND(G86="Horizontal",AH86&gt;='Eff. Standards &amp; Certifications'!$B$21,AG86&lt;='Eff. Standards &amp; Certifications'!$C$21),"Consider",IF(AND(G86="Vertical",AH86&gt;='Eff. Standards &amp; Certifications'!$B$20,AG86&lt;='Eff. Standards &amp; Certifications'!$C$20),"Consider","No")))</f>
        <v>Consider</v>
      </c>
      <c r="AT86" s="190" t="str">
        <f t="shared" si="11"/>
        <v>Residential</v>
      </c>
      <c r="AU86" s="190"/>
      <c r="AV86" s="190" t="str">
        <f t="shared" si="40"/>
        <v>NO</v>
      </c>
      <c r="AW86" s="190" t="str">
        <f t="shared" si="40"/>
        <v>YES</v>
      </c>
      <c r="AX86" s="190" t="str">
        <f t="shared" si="30"/>
        <v>YES</v>
      </c>
      <c r="AY86" s="190" t="str">
        <f t="shared" si="13"/>
        <v>NO</v>
      </c>
      <c r="AZ86" s="190" t="str">
        <f t="shared" si="13"/>
        <v>YES</v>
      </c>
      <c r="BA86" s="190" t="str">
        <f t="shared" si="31"/>
        <v>YES</v>
      </c>
      <c r="BB86" s="190" t="str">
        <f t="shared" si="14"/>
        <v>NO</v>
      </c>
      <c r="BC86" s="190" t="str">
        <f t="shared" si="15"/>
        <v>NO</v>
      </c>
      <c r="BD86" s="190" t="str">
        <f t="shared" si="32"/>
        <v>NO</v>
      </c>
      <c r="BE86" s="190" t="str">
        <f t="shared" si="16"/>
        <v>NO</v>
      </c>
      <c r="BF86" s="190" t="str">
        <f t="shared" si="17"/>
        <v>NO</v>
      </c>
      <c r="BG86" s="190" t="str">
        <f t="shared" si="18"/>
        <v>NO</v>
      </c>
      <c r="BH86" s="88"/>
      <c r="BI86" s="9"/>
      <c r="BJ86" s="694" t="str">
        <f t="shared" si="41"/>
        <v/>
      </c>
      <c r="BK86" s="694">
        <f t="shared" si="41"/>
        <v>2.44217</v>
      </c>
      <c r="BL86" s="694" t="str">
        <f t="shared" si="42"/>
        <v/>
      </c>
      <c r="BM86" s="694">
        <f t="shared" si="42"/>
        <v>3.7018999999999997</v>
      </c>
      <c r="BN86" s="88"/>
      <c r="BO86" s="195"/>
      <c r="BP86" s="195"/>
      <c r="BQ86" s="195"/>
      <c r="BR86" s="195"/>
      <c r="BS86" s="195"/>
      <c r="BT86" s="195"/>
      <c r="BU86" s="195"/>
      <c r="BV86" s="195"/>
      <c r="BW86" s="195"/>
      <c r="BX86" s="195"/>
    </row>
    <row r="87" spans="1:76" s="124" customFormat="1" ht="15">
      <c r="A87" s="187">
        <v>6223</v>
      </c>
      <c r="B87" s="187" t="s">
        <v>449</v>
      </c>
      <c r="C87" s="187" t="s">
        <v>450</v>
      </c>
      <c r="D87" s="187" t="s">
        <v>1307</v>
      </c>
      <c r="E87" s="187" t="s">
        <v>385</v>
      </c>
      <c r="F87" s="187" t="s">
        <v>386</v>
      </c>
      <c r="G87" s="187" t="s">
        <v>387</v>
      </c>
      <c r="H87" s="187" t="b">
        <v>0</v>
      </c>
      <c r="I87" s="187" t="s">
        <v>388</v>
      </c>
      <c r="J87" s="187" t="s">
        <v>389</v>
      </c>
      <c r="K87" s="187" t="b">
        <v>1</v>
      </c>
      <c r="L87" s="187">
        <v>3.9</v>
      </c>
      <c r="M87" s="187">
        <v>0.16</v>
      </c>
      <c r="N87" s="187">
        <v>10.45</v>
      </c>
      <c r="O87" s="187">
        <v>2.8</v>
      </c>
      <c r="P87" s="187">
        <v>18.850000000000001</v>
      </c>
      <c r="Q87" s="187"/>
      <c r="R87" s="187"/>
      <c r="S87" s="187"/>
      <c r="T87" s="187"/>
      <c r="U87" s="187">
        <v>30.8</v>
      </c>
      <c r="V87" s="187">
        <v>3.25</v>
      </c>
      <c r="W87" s="188">
        <v>41751</v>
      </c>
      <c r="X87" s="691">
        <f t="shared" si="43"/>
        <v>2.7988249999999999</v>
      </c>
      <c r="Y87" s="691">
        <f t="shared" ref="Y87:Y150" si="45">IF($O87="","",IF($G87="Horizontal",O87*slope_FrontLoad_WF+int_FrontLoad_WF,IF($G87="Vertical",O87*slope_TopLoad_WF+int_TopLoad_WF,"")))</f>
        <v>2.9849599999999996</v>
      </c>
      <c r="Z87" s="189"/>
      <c r="AA87" s="190">
        <f t="shared" si="21"/>
        <v>2014</v>
      </c>
      <c r="AB87" s="191">
        <f t="shared" si="22"/>
        <v>1.393441890793458</v>
      </c>
      <c r="AC87" s="192">
        <f>IF(AB87="","",AB87*SFAssumptions!$C$3)</f>
        <v>357.71506614382821</v>
      </c>
      <c r="AD87" s="193">
        <f t="shared" si="23"/>
        <v>11.641343999999998</v>
      </c>
      <c r="AE87" s="194">
        <f>IF(AD87="","",AD87*SFAssumptions!$C$3)</f>
        <v>2988.4878346751998</v>
      </c>
      <c r="AF87" s="192">
        <f t="shared" si="44"/>
        <v>3.9</v>
      </c>
      <c r="AG87" s="192">
        <f t="shared" si="24"/>
        <v>2.9849599999999996</v>
      </c>
      <c r="AH87" s="192">
        <f t="shared" si="25"/>
        <v>2.7988249999999999</v>
      </c>
      <c r="AI87" s="692">
        <f ca="1">IF(AC87="","",AC87*SFAssumptions!$C$8/'SavingsData&amp;Analysis'!AF87)</f>
        <v>346.43395279079886</v>
      </c>
      <c r="AJ87" s="692">
        <f ca="1">IF(OR(AE87="",AF87=""),"",AE87*SFAssumptions!$C$8/AF87)</f>
        <v>2894.2411193200105</v>
      </c>
      <c r="AK87" s="191">
        <f t="shared" si="26"/>
        <v>1.2</v>
      </c>
      <c r="AL87" s="692">
        <f>IF(AK87="","",AK87*SFAssumptions!$C$3)</f>
        <v>308.05595999999997</v>
      </c>
      <c r="AM87" s="193">
        <f t="shared" si="27"/>
        <v>10.92</v>
      </c>
      <c r="AN87" s="194">
        <f>IF(AM87="","",AM87*SFAssumptions!$C$3)</f>
        <v>2803.3092360000001</v>
      </c>
      <c r="AO87" s="693">
        <f t="shared" si="28"/>
        <v>2.8</v>
      </c>
      <c r="AP87" s="693">
        <f t="shared" si="29"/>
        <v>3.25</v>
      </c>
      <c r="AQ87" s="692">
        <f ca="1">IF(AL87="","",AL87*SFAssumptions!$C$8/'SavingsData&amp;Analysis'!AF87)</f>
        <v>298.34092551375613</v>
      </c>
      <c r="AR87" s="692">
        <f ca="1">IF(OR(AN87="",AF87=""),"",AN87*SFAssumptions!$C$8/AF87)</f>
        <v>2714.9024221751815</v>
      </c>
      <c r="AS87" s="190" t="str">
        <f>IF(OR(AG87="",AH87=""),"No",IF(AND(G87="Horizontal",AH87&gt;='Eff. Standards &amp; Certifications'!$B$21,AG87&lt;='Eff. Standards &amp; Certifications'!$C$21),"Consider",IF(AND(G87="Vertical",AH87&gt;='Eff. Standards &amp; Certifications'!$B$20,AG87&lt;='Eff. Standards &amp; Certifications'!$C$20),"Consider","No")))</f>
        <v>Consider</v>
      </c>
      <c r="AT87" s="190" t="str">
        <f t="shared" ref="AT87:AT150" si="46">J87</f>
        <v>Residential</v>
      </c>
      <c r="AU87" s="190"/>
      <c r="AV87" s="190" t="str">
        <f t="shared" si="40"/>
        <v>NO</v>
      </c>
      <c r="AW87" s="190" t="str">
        <f t="shared" si="40"/>
        <v>YES</v>
      </c>
      <c r="AX87" s="190" t="str">
        <f t="shared" si="30"/>
        <v>YES</v>
      </c>
      <c r="AY87" s="190" t="str">
        <f t="shared" ref="AY87:AZ150" si="47">IF(AND($AS87="Consider",$AT87="Residential",$G87=AY$18,$AH87&gt;=BB$3,$AG87&lt;=BB$6),"NO",IF(AND($AS87="Consider",$AT87="Residential",$G87=AY$18,$AH87&gt;=AY$3,$AG87&lt;=AY$6),"YES","NO"))</f>
        <v>NO</v>
      </c>
      <c r="AZ87" s="190" t="str">
        <f t="shared" si="47"/>
        <v>NO</v>
      </c>
      <c r="BA87" s="190" t="str">
        <f t="shared" si="31"/>
        <v>NO</v>
      </c>
      <c r="BB87" s="190" t="str">
        <f t="shared" ref="BB87:BB150" si="48">IF(AND($AS87="Consider",$AT87="Residential",$G87=BB$18,$AH87&gt;=BB$3,$AG87&lt;=BB$6),"YES","NO")</f>
        <v>NO</v>
      </c>
      <c r="BC87" s="190" t="str">
        <f t="shared" ref="BC87:BC150" si="49">IF(AND($G87=BC$18,$AS87="Consider",$AT87="Residential",$AH87&gt;=BC$3,$AH87&lt;=BC$4,$AG87&gt;=BC$5,$AG87&lt;=BC$6),"YES","NO")</f>
        <v>YES</v>
      </c>
      <c r="BD87" s="190" t="str">
        <f t="shared" si="32"/>
        <v>YES</v>
      </c>
      <c r="BE87" s="190" t="str">
        <f t="shared" ref="BE87:BE150" si="50">IF(AND($AS87="Consider",$AT87="Residential",$AH87&gt;=BG$3,$AG87&lt;=BG$6),"NO",IF(AND($AS87="Consider",$AT87="Residential",$AH87&gt;=BF$3,$AG87&lt;=BF$6),"NO",IF(AND($AS87="Consider",$AT87="Residential",$AH87&gt;=BE$3,$AG87&lt;=BE$6),"YES","NO")))</f>
        <v>NO</v>
      </c>
      <c r="BF87" s="190" t="str">
        <f t="shared" ref="BF87:BF150" si="51">IF(AND($AS87="Consider",$AT87="Residential",$AH87&gt;=BG$3,$AG87&lt;=BG$6),"NO",IF(AND($AS87="Consider",$AT87="Residential",$AH87&gt;=BF$3,$AG87&lt;=BF$6),"YES","NO"))</f>
        <v>YES</v>
      </c>
      <c r="BG87" s="190" t="str">
        <f t="shared" ref="BG87:BG150" si="52">IF(AND($AS87="Consider",$AT87="Residential",$AH87&gt;=BG$3,$AG87&lt;=BG$6),"YES","NO")</f>
        <v>NO</v>
      </c>
      <c r="BH87" s="88"/>
      <c r="BI87" s="9"/>
      <c r="BJ87" s="694" t="str">
        <f t="shared" si="41"/>
        <v/>
      </c>
      <c r="BK87" s="694">
        <f t="shared" si="41"/>
        <v>2.7988249999999999</v>
      </c>
      <c r="BL87" s="694" t="str">
        <f t="shared" si="42"/>
        <v/>
      </c>
      <c r="BM87" s="694">
        <f t="shared" si="42"/>
        <v>2.9849599999999996</v>
      </c>
      <c r="BN87" s="88"/>
      <c r="BO87" s="195"/>
      <c r="BP87" s="195"/>
      <c r="BQ87" s="195"/>
      <c r="BR87" s="195"/>
      <c r="BS87" s="195"/>
      <c r="BT87" s="195"/>
      <c r="BU87" s="195"/>
      <c r="BV87" s="195"/>
      <c r="BW87" s="195"/>
      <c r="BX87" s="195"/>
    </row>
    <row r="88" spans="1:76" s="124" customFormat="1" ht="15">
      <c r="A88" s="187">
        <v>4733</v>
      </c>
      <c r="B88" s="187" t="s">
        <v>449</v>
      </c>
      <c r="C88" s="187" t="s">
        <v>450</v>
      </c>
      <c r="D88" s="187" t="s">
        <v>452</v>
      </c>
      <c r="E88" s="187" t="s">
        <v>385</v>
      </c>
      <c r="F88" s="187" t="s">
        <v>386</v>
      </c>
      <c r="G88" s="187" t="s">
        <v>387</v>
      </c>
      <c r="H88" s="187" t="b">
        <v>0</v>
      </c>
      <c r="I88" s="187" t="s">
        <v>388</v>
      </c>
      <c r="J88" s="187" t="s">
        <v>389</v>
      </c>
      <c r="K88" s="187" t="b">
        <v>1</v>
      </c>
      <c r="L88" s="187">
        <v>3.8</v>
      </c>
      <c r="M88" s="187">
        <v>0.24</v>
      </c>
      <c r="N88" s="187">
        <v>12.57</v>
      </c>
      <c r="O88" s="187">
        <v>3.3</v>
      </c>
      <c r="P88" s="187">
        <v>15.56</v>
      </c>
      <c r="Q88" s="187"/>
      <c r="R88" s="187"/>
      <c r="S88" s="187"/>
      <c r="T88" s="187"/>
      <c r="U88" s="187">
        <v>33.1</v>
      </c>
      <c r="V88" s="187">
        <v>3.09</v>
      </c>
      <c r="W88" s="188">
        <v>40548</v>
      </c>
      <c r="X88" s="691">
        <f t="shared" si="43"/>
        <v>2.6525049999999997</v>
      </c>
      <c r="Y88" s="691">
        <f t="shared" si="45"/>
        <v>3.4970599999999998</v>
      </c>
      <c r="Z88" s="189"/>
      <c r="AA88" s="190">
        <f t="shared" ref="AA88:AA151" si="53">YEAR(W88)</f>
        <v>2011</v>
      </c>
      <c r="AB88" s="191">
        <f t="shared" ref="AB88:AB151" si="54">IF(OR(L88="",X88=""),"",L88/X88)</f>
        <v>1.4326080440941678</v>
      </c>
      <c r="AC88" s="192">
        <f>IF(AB88="","",AB88*SFAssumptions!$C$3)</f>
        <v>367.76953860595933</v>
      </c>
      <c r="AD88" s="193">
        <f t="shared" ref="AD88:AD151" si="55">IF(OR(Y88="",L88=""),"",Y88*L88)</f>
        <v>13.288827999999999</v>
      </c>
      <c r="AE88" s="194">
        <f>IF(AD88="","",AD88*SFAssumptions!$C$3)</f>
        <v>3411.4188890123996</v>
      </c>
      <c r="AF88" s="192">
        <f t="shared" si="44"/>
        <v>3.8</v>
      </c>
      <c r="AG88" s="192">
        <f t="shared" ref="AG88:AG151" si="56">IF(Y88="","",Y88)</f>
        <v>3.4970599999999998</v>
      </c>
      <c r="AH88" s="192">
        <f t="shared" ref="AH88:AH151" si="57">IF(X88="","",X88)</f>
        <v>2.6525049999999997</v>
      </c>
      <c r="AI88" s="692">
        <f ca="1">IF(AC88="","",AC88*SFAssumptions!$C$8/'SavingsData&amp;Analysis'!AF88)</f>
        <v>365.54427151681443</v>
      </c>
      <c r="AJ88" s="692">
        <f ca="1">IF(OR(AE88="",AF88=""),"",AE88*SFAssumptions!$C$8/AF88)</f>
        <v>3390.7773801756925</v>
      </c>
      <c r="AK88" s="191">
        <f t="shared" ref="AK88:AK151" si="58">IF(OR(L88="",V88=""),"",L88/V88)</f>
        <v>1.2297734627831716</v>
      </c>
      <c r="AL88" s="692">
        <f>IF(AK88="","",AK88*SFAssumptions!$C$3)</f>
        <v>315.69920388349516</v>
      </c>
      <c r="AM88" s="193">
        <f t="shared" ref="AM88:AM151" si="59">IF(OR(L88="",O88=""),"",O88*L88)</f>
        <v>12.54</v>
      </c>
      <c r="AN88" s="194">
        <f>IF(AM88="","",AM88*SFAssumptions!$C$3)</f>
        <v>3219.1847819999998</v>
      </c>
      <c r="AO88" s="693">
        <f t="shared" ref="AO88:AO151" si="60">IF(O88="","",O88)</f>
        <v>3.3</v>
      </c>
      <c r="AP88" s="693">
        <f t="shared" ref="AP88:AP151" si="61">IF(V88="","",V88)</f>
        <v>3.09</v>
      </c>
      <c r="AQ88" s="692">
        <f ca="1">IF(AL88="","",AL88*SFAssumptions!$C$8/'SavingsData&amp;Analysis'!AF88)</f>
        <v>313.78899932676626</v>
      </c>
      <c r="AR88" s="692">
        <f ca="1">IF(OR(AN88="",AF88=""),"",AN88*SFAssumptions!$C$8/AF88)</f>
        <v>3199.7064261350351</v>
      </c>
      <c r="AS88" s="190" t="str">
        <f>IF(OR(AG88="",AH88=""),"No",IF(AND(G88="Horizontal",AH88&gt;='Eff. Standards &amp; Certifications'!$B$21,AG88&lt;='Eff. Standards &amp; Certifications'!$C$21),"Consider",IF(AND(G88="Vertical",AH88&gt;='Eff. Standards &amp; Certifications'!$B$20,AG88&lt;='Eff. Standards &amp; Certifications'!$C$20),"Consider","No")))</f>
        <v>Consider</v>
      </c>
      <c r="AT88" s="190" t="str">
        <f t="shared" si="46"/>
        <v>Residential</v>
      </c>
      <c r="AU88" s="190"/>
      <c r="AV88" s="190" t="str">
        <f t="shared" si="40"/>
        <v>NO</v>
      </c>
      <c r="AW88" s="190" t="str">
        <f t="shared" si="40"/>
        <v>YES</v>
      </c>
      <c r="AX88" s="190" t="str">
        <f t="shared" ref="AX88:AX151" si="62">IF(OR(AV88="YES",AW88="YES"),"YES","NO")</f>
        <v>YES</v>
      </c>
      <c r="AY88" s="190" t="str">
        <f t="shared" si="47"/>
        <v>NO</v>
      </c>
      <c r="AZ88" s="190" t="str">
        <f t="shared" si="47"/>
        <v>NO</v>
      </c>
      <c r="BA88" s="190" t="str">
        <f t="shared" ref="BA88:BA151" si="63">IF(OR(AY88="YES",AZ88="YES"),"YES","NO")</f>
        <v>NO</v>
      </c>
      <c r="BB88" s="190" t="str">
        <f t="shared" si="48"/>
        <v>NO</v>
      </c>
      <c r="BC88" s="190" t="str">
        <f t="shared" si="49"/>
        <v>YES</v>
      </c>
      <c r="BD88" s="190" t="str">
        <f t="shared" ref="BD88:BD151" si="64">IF(OR(BB88="YES",BC88="YES"),"YES","NO")</f>
        <v>YES</v>
      </c>
      <c r="BE88" s="190" t="str">
        <f t="shared" si="50"/>
        <v>YES</v>
      </c>
      <c r="BF88" s="190" t="str">
        <f t="shared" si="51"/>
        <v>NO</v>
      </c>
      <c r="BG88" s="190" t="str">
        <f t="shared" si="52"/>
        <v>NO</v>
      </c>
      <c r="BH88" s="88"/>
      <c r="BI88" s="9"/>
      <c r="BJ88" s="694" t="str">
        <f t="shared" si="41"/>
        <v/>
      </c>
      <c r="BK88" s="694">
        <f t="shared" si="41"/>
        <v>2.6525049999999997</v>
      </c>
      <c r="BL88" s="694" t="str">
        <f t="shared" si="42"/>
        <v/>
      </c>
      <c r="BM88" s="694">
        <f t="shared" si="42"/>
        <v>3.4970599999999998</v>
      </c>
      <c r="BN88" s="88"/>
      <c r="BO88" s="195"/>
      <c r="BP88" s="195"/>
      <c r="BQ88" s="195"/>
      <c r="BR88" s="195"/>
      <c r="BS88" s="195"/>
      <c r="BT88" s="195"/>
      <c r="BU88" s="195"/>
      <c r="BV88" s="195"/>
      <c r="BW88" s="195"/>
      <c r="BX88" s="195"/>
    </row>
    <row r="89" spans="1:76" s="124" customFormat="1" ht="15">
      <c r="A89" s="187">
        <v>6849</v>
      </c>
      <c r="B89" s="187" t="s">
        <v>449</v>
      </c>
      <c r="C89" s="187" t="s">
        <v>449</v>
      </c>
      <c r="D89" s="187" t="s">
        <v>1308</v>
      </c>
      <c r="E89" s="187" t="s">
        <v>385</v>
      </c>
      <c r="F89" s="187" t="s">
        <v>386</v>
      </c>
      <c r="G89" s="187" t="s">
        <v>387</v>
      </c>
      <c r="H89" s="187" t="b">
        <v>0</v>
      </c>
      <c r="I89" s="187" t="s">
        <v>388</v>
      </c>
      <c r="J89" s="187" t="s">
        <v>389</v>
      </c>
      <c r="K89" s="187" t="b">
        <v>1</v>
      </c>
      <c r="L89" s="187">
        <v>2.4</v>
      </c>
      <c r="M89" s="187">
        <v>0.21</v>
      </c>
      <c r="N89" s="187">
        <v>8.5299999999999994</v>
      </c>
      <c r="O89" s="187">
        <v>3.7</v>
      </c>
      <c r="P89" s="187">
        <v>11.48</v>
      </c>
      <c r="Q89" s="187"/>
      <c r="R89" s="187"/>
      <c r="S89" s="187"/>
      <c r="T89" s="187"/>
      <c r="U89" s="187">
        <v>28.3</v>
      </c>
      <c r="V89" s="187">
        <v>2.93</v>
      </c>
      <c r="W89" s="188">
        <v>41990</v>
      </c>
      <c r="X89" s="691">
        <f t="shared" si="43"/>
        <v>2.5061850000000003</v>
      </c>
      <c r="Y89" s="691">
        <f t="shared" si="45"/>
        <v>3.9067400000000001</v>
      </c>
      <c r="Z89" s="189"/>
      <c r="AA89" s="190">
        <f t="shared" si="53"/>
        <v>2014</v>
      </c>
      <c r="AB89" s="191">
        <f t="shared" si="54"/>
        <v>0.95763082134798494</v>
      </c>
      <c r="AC89" s="192">
        <f>IF(AB89="","",AB89*SFAssumptions!$C$3)</f>
        <v>245.83656832995166</v>
      </c>
      <c r="AD89" s="193">
        <f t="shared" si="55"/>
        <v>9.3761759999999992</v>
      </c>
      <c r="AE89" s="194">
        <f>IF(AD89="","",AD89*SFAssumptions!$C$3)</f>
        <v>2406.9890823408</v>
      </c>
      <c r="AF89" s="192">
        <f t="shared" si="44"/>
        <v>2.4</v>
      </c>
      <c r="AG89" s="192">
        <f t="shared" si="56"/>
        <v>3.9067400000000001</v>
      </c>
      <c r="AH89" s="192">
        <f t="shared" si="57"/>
        <v>2.5061850000000003</v>
      </c>
      <c r="AI89" s="692">
        <f ca="1">IF(AC89="","",AC89*SFAssumptions!$C$8/'SavingsData&amp;Analysis'!AF89)</f>
        <v>386.88604708738882</v>
      </c>
      <c r="AJ89" s="692">
        <f ca="1">IF(OR(AE89="",AF89=""),"",AE89*SFAssumptions!$C$8/AF89)</f>
        <v>3788.0063888602394</v>
      </c>
      <c r="AK89" s="191">
        <f t="shared" si="58"/>
        <v>0.8191126279863481</v>
      </c>
      <c r="AL89" s="692">
        <f>IF(AK89="","",AK89*SFAssumptions!$C$3)</f>
        <v>210.27710580204777</v>
      </c>
      <c r="AM89" s="193">
        <f t="shared" si="59"/>
        <v>8.8800000000000008</v>
      </c>
      <c r="AN89" s="194">
        <f>IF(AM89="","",AM89*SFAssumptions!$C$3)</f>
        <v>2279.6141040000002</v>
      </c>
      <c r="AO89" s="693">
        <f t="shared" si="60"/>
        <v>3.7</v>
      </c>
      <c r="AP89" s="693">
        <f t="shared" si="61"/>
        <v>2.93</v>
      </c>
      <c r="AQ89" s="692">
        <f ca="1">IF(AL89="","",AL89*SFAssumptions!$C$8/'SavingsData&amp;Analysis'!AF89)</f>
        <v>330.92423478488314</v>
      </c>
      <c r="AR89" s="692">
        <f ca="1">IF(OR(AN89="",AF89=""),"",AN89*SFAssumptions!$C$8/AF89)</f>
        <v>3587.5496293029187</v>
      </c>
      <c r="AS89" s="190" t="str">
        <f>IF(OR(AG89="",AH89=""),"No",IF(AND(G89="Horizontal",AH89&gt;='Eff. Standards &amp; Certifications'!$B$21,AG89&lt;='Eff. Standards &amp; Certifications'!$C$21),"Consider",IF(AND(G89="Vertical",AH89&gt;='Eff. Standards &amp; Certifications'!$B$20,AG89&lt;='Eff. Standards &amp; Certifications'!$C$20),"Consider","No")))</f>
        <v>Consider</v>
      </c>
      <c r="AT89" s="190" t="str">
        <f t="shared" si="46"/>
        <v>Residential</v>
      </c>
      <c r="AU89" s="190"/>
      <c r="AV89" s="190" t="str">
        <f t="shared" si="40"/>
        <v>NO</v>
      </c>
      <c r="AW89" s="190" t="str">
        <f t="shared" si="40"/>
        <v>YES</v>
      </c>
      <c r="AX89" s="190" t="str">
        <f t="shared" si="62"/>
        <v>YES</v>
      </c>
      <c r="AY89" s="190" t="str">
        <f t="shared" si="47"/>
        <v>NO</v>
      </c>
      <c r="AZ89" s="190" t="str">
        <f t="shared" si="47"/>
        <v>YES</v>
      </c>
      <c r="BA89" s="190" t="str">
        <f t="shared" si="63"/>
        <v>YES</v>
      </c>
      <c r="BB89" s="190" t="str">
        <f t="shared" si="48"/>
        <v>NO</v>
      </c>
      <c r="BC89" s="190" t="str">
        <f t="shared" si="49"/>
        <v>NO</v>
      </c>
      <c r="BD89" s="190" t="str">
        <f t="shared" si="64"/>
        <v>NO</v>
      </c>
      <c r="BE89" s="190" t="str">
        <f t="shared" si="50"/>
        <v>NO</v>
      </c>
      <c r="BF89" s="190" t="str">
        <f t="shared" si="51"/>
        <v>NO</v>
      </c>
      <c r="BG89" s="190" t="str">
        <f t="shared" si="52"/>
        <v>NO</v>
      </c>
      <c r="BH89" s="88"/>
      <c r="BI89" s="9"/>
      <c r="BJ89" s="694" t="str">
        <f t="shared" si="41"/>
        <v/>
      </c>
      <c r="BK89" s="694">
        <f t="shared" si="41"/>
        <v>2.5061850000000003</v>
      </c>
      <c r="BL89" s="694" t="str">
        <f t="shared" si="42"/>
        <v/>
      </c>
      <c r="BM89" s="694">
        <f t="shared" si="42"/>
        <v>3.9067400000000001</v>
      </c>
      <c r="BN89" s="88"/>
      <c r="BO89" s="195"/>
      <c r="BP89" s="195"/>
      <c r="BQ89" s="195"/>
      <c r="BR89" s="195"/>
      <c r="BS89" s="195"/>
      <c r="BT89" s="195"/>
      <c r="BU89" s="195"/>
      <c r="BV89" s="195"/>
      <c r="BW89" s="195"/>
      <c r="BX89" s="195"/>
    </row>
    <row r="90" spans="1:76" s="124" customFormat="1" ht="15">
      <c r="A90" s="187">
        <v>4653</v>
      </c>
      <c r="B90" s="187" t="s">
        <v>449</v>
      </c>
      <c r="C90" s="187" t="s">
        <v>449</v>
      </c>
      <c r="D90" s="187" t="s">
        <v>453</v>
      </c>
      <c r="E90" s="187" t="s">
        <v>385</v>
      </c>
      <c r="F90" s="187" t="s">
        <v>386</v>
      </c>
      <c r="G90" s="187" t="s">
        <v>387</v>
      </c>
      <c r="H90" s="187" t="b">
        <v>0</v>
      </c>
      <c r="I90" s="187" t="s">
        <v>388</v>
      </c>
      <c r="J90" s="187" t="s">
        <v>389</v>
      </c>
      <c r="K90" s="187" t="b">
        <v>1</v>
      </c>
      <c r="L90" s="187">
        <v>4.3</v>
      </c>
      <c r="M90" s="187">
        <v>0.26</v>
      </c>
      <c r="N90" s="187">
        <v>11.95</v>
      </c>
      <c r="O90" s="187">
        <v>2.8</v>
      </c>
      <c r="P90" s="187">
        <v>16.53</v>
      </c>
      <c r="Q90" s="187"/>
      <c r="R90" s="187"/>
      <c r="S90" s="187"/>
      <c r="T90" s="187"/>
      <c r="U90" s="187">
        <v>35</v>
      </c>
      <c r="V90" s="187">
        <v>3.33</v>
      </c>
      <c r="W90" s="188">
        <v>40486</v>
      </c>
      <c r="X90" s="691">
        <f t="shared" si="43"/>
        <v>2.8719849999999996</v>
      </c>
      <c r="Y90" s="691">
        <f t="shared" si="45"/>
        <v>2.9849599999999996</v>
      </c>
      <c r="Z90" s="189"/>
      <c r="AA90" s="190">
        <f t="shared" si="53"/>
        <v>2010</v>
      </c>
      <c r="AB90" s="191">
        <f t="shared" si="54"/>
        <v>1.4972223044340414</v>
      </c>
      <c r="AC90" s="192">
        <f>IF(AB90="","",AB90*SFAssumptions!$C$3)</f>
        <v>384.3568786048674</v>
      </c>
      <c r="AD90" s="193">
        <f t="shared" si="55"/>
        <v>12.835327999999997</v>
      </c>
      <c r="AE90" s="194">
        <f>IF(AD90="","",AD90*SFAssumptions!$C$3)</f>
        <v>3294.9994074623992</v>
      </c>
      <c r="AF90" s="192">
        <f t="shared" si="44"/>
        <v>4.3</v>
      </c>
      <c r="AG90" s="192">
        <f t="shared" si="56"/>
        <v>2.9849599999999996</v>
      </c>
      <c r="AH90" s="192">
        <f t="shared" si="57"/>
        <v>2.8719849999999996</v>
      </c>
      <c r="AI90" s="692">
        <f ca="1">IF(AC90="","",AC90*SFAssumptions!$C$8/'SavingsData&amp;Analysis'!AF90)</f>
        <v>337.60900837563838</v>
      </c>
      <c r="AJ90" s="692">
        <f ca="1">IF(OR(AE90="",AF90=""),"",AE90*SFAssumptions!$C$8/AF90)</f>
        <v>2894.2411193200101</v>
      </c>
      <c r="AK90" s="191">
        <f t="shared" si="58"/>
        <v>1.2912912912912913</v>
      </c>
      <c r="AL90" s="692">
        <f>IF(AK90="","",AK90*SFAssumptions!$C$3)</f>
        <v>331.49164864864866</v>
      </c>
      <c r="AM90" s="193">
        <f t="shared" si="59"/>
        <v>12.04</v>
      </c>
      <c r="AN90" s="194">
        <f>IF(AM90="","",AM90*SFAssumptions!$C$3)</f>
        <v>3090.8281319999996</v>
      </c>
      <c r="AO90" s="693">
        <f t="shared" si="60"/>
        <v>2.8</v>
      </c>
      <c r="AP90" s="693">
        <f t="shared" si="61"/>
        <v>3.33</v>
      </c>
      <c r="AQ90" s="692">
        <f ca="1">IF(AL90="","",AL90*SFAssumptions!$C$8/'SavingsData&amp;Analysis'!AF90)</f>
        <v>291.17357595186422</v>
      </c>
      <c r="AR90" s="692">
        <f ca="1">IF(OR(AN90="",AF90=""),"",AN90*SFAssumptions!$C$8/AF90)</f>
        <v>2714.9024221751811</v>
      </c>
      <c r="AS90" s="190" t="str">
        <f>IF(OR(AG90="",AH90=""),"No",IF(AND(G90="Horizontal",AH90&gt;='Eff. Standards &amp; Certifications'!$B$21,AG90&lt;='Eff. Standards &amp; Certifications'!$C$21),"Consider",IF(AND(G90="Vertical",AH90&gt;='Eff. Standards &amp; Certifications'!$B$20,AG90&lt;='Eff. Standards &amp; Certifications'!$C$20),"Consider","No")))</f>
        <v>Consider</v>
      </c>
      <c r="AT90" s="190" t="str">
        <f t="shared" si="46"/>
        <v>Residential</v>
      </c>
      <c r="AU90" s="190"/>
      <c r="AV90" s="190" t="str">
        <f t="shared" si="40"/>
        <v>NO</v>
      </c>
      <c r="AW90" s="190" t="str">
        <f t="shared" si="40"/>
        <v>YES</v>
      </c>
      <c r="AX90" s="190" t="str">
        <f t="shared" si="62"/>
        <v>YES</v>
      </c>
      <c r="AY90" s="190" t="str">
        <f t="shared" si="47"/>
        <v>NO</v>
      </c>
      <c r="AZ90" s="190" t="str">
        <f t="shared" si="47"/>
        <v>NO</v>
      </c>
      <c r="BA90" s="190" t="str">
        <f t="shared" si="63"/>
        <v>NO</v>
      </c>
      <c r="BB90" s="190" t="str">
        <f t="shared" si="48"/>
        <v>NO</v>
      </c>
      <c r="BC90" s="190" t="str">
        <f t="shared" si="49"/>
        <v>YES</v>
      </c>
      <c r="BD90" s="190" t="str">
        <f t="shared" si="64"/>
        <v>YES</v>
      </c>
      <c r="BE90" s="190" t="str">
        <f t="shared" si="50"/>
        <v>NO</v>
      </c>
      <c r="BF90" s="190" t="str">
        <f t="shared" si="51"/>
        <v>YES</v>
      </c>
      <c r="BG90" s="190" t="str">
        <f t="shared" si="52"/>
        <v>NO</v>
      </c>
      <c r="BH90" s="88"/>
      <c r="BI90" s="9"/>
      <c r="BJ90" s="694" t="str">
        <f t="shared" si="41"/>
        <v/>
      </c>
      <c r="BK90" s="694">
        <f t="shared" si="41"/>
        <v>2.8719849999999996</v>
      </c>
      <c r="BL90" s="694" t="str">
        <f t="shared" si="42"/>
        <v/>
      </c>
      <c r="BM90" s="694">
        <f t="shared" si="42"/>
        <v>2.9849599999999996</v>
      </c>
      <c r="BN90" s="88"/>
      <c r="BO90" s="195"/>
      <c r="BP90" s="195"/>
      <c r="BQ90" s="195"/>
      <c r="BR90" s="195"/>
      <c r="BS90" s="195"/>
      <c r="BT90" s="195"/>
      <c r="BU90" s="195"/>
      <c r="BV90" s="195"/>
      <c r="BW90" s="195"/>
      <c r="BX90" s="195"/>
    </row>
    <row r="91" spans="1:76" s="124" customFormat="1" ht="15">
      <c r="A91" s="187">
        <v>4577</v>
      </c>
      <c r="B91" s="187" t="s">
        <v>449</v>
      </c>
      <c r="C91" s="187" t="s">
        <v>449</v>
      </c>
      <c r="D91" s="187" t="s">
        <v>454</v>
      </c>
      <c r="E91" s="187" t="s">
        <v>385</v>
      </c>
      <c r="F91" s="187" t="s">
        <v>386</v>
      </c>
      <c r="G91" s="187" t="s">
        <v>387</v>
      </c>
      <c r="H91" s="187" t="b">
        <v>0</v>
      </c>
      <c r="I91" s="187" t="s">
        <v>388</v>
      </c>
      <c r="J91" s="187" t="s">
        <v>389</v>
      </c>
      <c r="K91" s="187" t="b">
        <v>1</v>
      </c>
      <c r="L91" s="187">
        <v>4.4000000000000004</v>
      </c>
      <c r="M91" s="187">
        <v>0.28000000000000003</v>
      </c>
      <c r="N91" s="187">
        <v>12.32</v>
      </c>
      <c r="O91" s="187">
        <v>2.8</v>
      </c>
      <c r="P91" s="187">
        <v>13.7</v>
      </c>
      <c r="Q91" s="187"/>
      <c r="R91" s="187"/>
      <c r="S91" s="187"/>
      <c r="T91" s="187"/>
      <c r="U91" s="187">
        <v>35.200000000000003</v>
      </c>
      <c r="V91" s="187">
        <v>3.29</v>
      </c>
      <c r="W91" s="188">
        <v>40406</v>
      </c>
      <c r="X91" s="691">
        <f t="shared" si="43"/>
        <v>2.8354049999999997</v>
      </c>
      <c r="Y91" s="691">
        <f t="shared" si="45"/>
        <v>2.9849599999999996</v>
      </c>
      <c r="Z91" s="189"/>
      <c r="AA91" s="190">
        <f t="shared" si="53"/>
        <v>2010</v>
      </c>
      <c r="AB91" s="191">
        <f t="shared" si="54"/>
        <v>1.5518065320474503</v>
      </c>
      <c r="AC91" s="192">
        <f>IF(AB91="","",AB91*SFAssumptions!$C$3)</f>
        <v>398.36937580345676</v>
      </c>
      <c r="AD91" s="193">
        <f t="shared" si="55"/>
        <v>13.133823999999999</v>
      </c>
      <c r="AE91" s="194">
        <f>IF(AD91="","",AD91*SFAssumptions!$C$3)</f>
        <v>3371.6273006591996</v>
      </c>
      <c r="AF91" s="192">
        <f t="shared" si="44"/>
        <v>4.4000000000000004</v>
      </c>
      <c r="AG91" s="192">
        <f t="shared" si="56"/>
        <v>2.9849599999999996</v>
      </c>
      <c r="AH91" s="192">
        <f t="shared" si="57"/>
        <v>2.8354049999999997</v>
      </c>
      <c r="AI91" s="692">
        <f ca="1">IF(AC91="","",AC91*SFAssumptions!$C$8/'SavingsData&amp;Analysis'!AF91)</f>
        <v>341.96455459439051</v>
      </c>
      <c r="AJ91" s="692">
        <f ca="1">IF(OR(AE91="",AF91=""),"",AE91*SFAssumptions!$C$8/AF91)</f>
        <v>2894.2411193200101</v>
      </c>
      <c r="AK91" s="191">
        <f t="shared" si="58"/>
        <v>1.3373860182370823</v>
      </c>
      <c r="AL91" s="692">
        <f>IF(AK91="","",AK91*SFAssumptions!$C$3)</f>
        <v>343.32477811550154</v>
      </c>
      <c r="AM91" s="193">
        <f t="shared" si="59"/>
        <v>12.32</v>
      </c>
      <c r="AN91" s="194">
        <f>IF(AM91="","",AM91*SFAssumptions!$C$3)</f>
        <v>3162.707856</v>
      </c>
      <c r="AO91" s="693">
        <f t="shared" si="60"/>
        <v>2.8</v>
      </c>
      <c r="AP91" s="693">
        <f t="shared" si="61"/>
        <v>3.29</v>
      </c>
      <c r="AQ91" s="692">
        <f ca="1">IF(AL91="","",AL91*SFAssumptions!$C$8/'SavingsData&amp;Analysis'!AF91)</f>
        <v>294.71368021875611</v>
      </c>
      <c r="AR91" s="692">
        <f ca="1">IF(OR(AN91="",AF91=""),"",AN91*SFAssumptions!$C$8/AF91)</f>
        <v>2714.9024221751815</v>
      </c>
      <c r="AS91" s="190" t="str">
        <f>IF(OR(AG91="",AH91=""),"No",IF(AND(G91="Horizontal",AH91&gt;='Eff. Standards &amp; Certifications'!$B$21,AG91&lt;='Eff. Standards &amp; Certifications'!$C$21),"Consider",IF(AND(G91="Vertical",AH91&gt;='Eff. Standards &amp; Certifications'!$B$20,AG91&lt;='Eff. Standards &amp; Certifications'!$C$20),"Consider","No")))</f>
        <v>Consider</v>
      </c>
      <c r="AT91" s="190" t="str">
        <f t="shared" si="46"/>
        <v>Residential</v>
      </c>
      <c r="AU91" s="190"/>
      <c r="AV91" s="190" t="str">
        <f t="shared" si="40"/>
        <v>NO</v>
      </c>
      <c r="AW91" s="190" t="str">
        <f t="shared" si="40"/>
        <v>YES</v>
      </c>
      <c r="AX91" s="190" t="str">
        <f t="shared" si="62"/>
        <v>YES</v>
      </c>
      <c r="AY91" s="190" t="str">
        <f t="shared" si="47"/>
        <v>NO</v>
      </c>
      <c r="AZ91" s="190" t="str">
        <f t="shared" si="47"/>
        <v>NO</v>
      </c>
      <c r="BA91" s="190" t="str">
        <f t="shared" si="63"/>
        <v>NO</v>
      </c>
      <c r="BB91" s="190" t="str">
        <f t="shared" si="48"/>
        <v>NO</v>
      </c>
      <c r="BC91" s="190" t="str">
        <f t="shared" si="49"/>
        <v>YES</v>
      </c>
      <c r="BD91" s="190" t="str">
        <f t="shared" si="64"/>
        <v>YES</v>
      </c>
      <c r="BE91" s="190" t="str">
        <f t="shared" si="50"/>
        <v>NO</v>
      </c>
      <c r="BF91" s="190" t="str">
        <f t="shared" si="51"/>
        <v>YES</v>
      </c>
      <c r="BG91" s="190" t="str">
        <f t="shared" si="52"/>
        <v>NO</v>
      </c>
      <c r="BH91" s="88"/>
      <c r="BI91" s="9"/>
      <c r="BJ91" s="694" t="str">
        <f t="shared" si="41"/>
        <v/>
      </c>
      <c r="BK91" s="694">
        <f t="shared" si="41"/>
        <v>2.8354049999999997</v>
      </c>
      <c r="BL91" s="694" t="str">
        <f t="shared" si="42"/>
        <v/>
      </c>
      <c r="BM91" s="694">
        <f t="shared" si="42"/>
        <v>2.9849599999999996</v>
      </c>
      <c r="BN91" s="88"/>
      <c r="BO91" s="195"/>
      <c r="BP91" s="195"/>
      <c r="BQ91" s="195"/>
      <c r="BR91" s="195"/>
      <c r="BS91" s="195"/>
      <c r="BT91" s="195"/>
      <c r="BU91" s="195"/>
      <c r="BV91" s="195"/>
      <c r="BW91" s="195"/>
      <c r="BX91" s="195"/>
    </row>
    <row r="92" spans="1:76" s="124" customFormat="1" ht="15">
      <c r="A92" s="187">
        <v>6541</v>
      </c>
      <c r="B92" s="187" t="s">
        <v>449</v>
      </c>
      <c r="C92" s="187" t="s">
        <v>455</v>
      </c>
      <c r="D92" s="187" t="s">
        <v>456</v>
      </c>
      <c r="E92" s="187" t="s">
        <v>385</v>
      </c>
      <c r="F92" s="187" t="s">
        <v>386</v>
      </c>
      <c r="G92" s="187" t="s">
        <v>387</v>
      </c>
      <c r="H92" s="187" t="b">
        <v>0</v>
      </c>
      <c r="I92" s="187" t="s">
        <v>388</v>
      </c>
      <c r="J92" s="187" t="s">
        <v>389</v>
      </c>
      <c r="K92" s="187" t="b">
        <v>1</v>
      </c>
      <c r="L92" s="187">
        <v>3.3</v>
      </c>
      <c r="M92" s="187">
        <v>0.22</v>
      </c>
      <c r="N92" s="187">
        <v>11.55</v>
      </c>
      <c r="O92" s="187">
        <v>3.3</v>
      </c>
      <c r="P92" s="187">
        <v>14.36</v>
      </c>
      <c r="Q92" s="187">
        <v>34.1</v>
      </c>
      <c r="R92" s="187">
        <v>2.86</v>
      </c>
      <c r="S92" s="187">
        <v>1.3</v>
      </c>
      <c r="T92" s="187">
        <v>1</v>
      </c>
      <c r="U92" s="187">
        <v>34.1</v>
      </c>
      <c r="V92" s="187">
        <v>3</v>
      </c>
      <c r="W92" s="188">
        <v>41869</v>
      </c>
      <c r="X92" s="691">
        <f t="shared" si="43"/>
        <v>2.5701999999999998</v>
      </c>
      <c r="Y92" s="691">
        <f t="shared" si="45"/>
        <v>3.4970599999999998</v>
      </c>
      <c r="Z92" s="189"/>
      <c r="AA92" s="190">
        <f t="shared" si="53"/>
        <v>2014</v>
      </c>
      <c r="AB92" s="191">
        <f t="shared" si="54"/>
        <v>1.2839467745700723</v>
      </c>
      <c r="AC92" s="192">
        <f>IF(AB92="","",AB92*SFAssumptions!$C$3)</f>
        <v>329.60621352423937</v>
      </c>
      <c r="AD92" s="193">
        <f t="shared" si="55"/>
        <v>11.540297999999998</v>
      </c>
      <c r="AE92" s="194">
        <f>IF(AD92="","",AD92*SFAssumptions!$C$3)</f>
        <v>2962.5479825633997</v>
      </c>
      <c r="AF92" s="192">
        <f t="shared" si="44"/>
        <v>3.3</v>
      </c>
      <c r="AG92" s="192">
        <f t="shared" si="56"/>
        <v>3.4970599999999998</v>
      </c>
      <c r="AH92" s="192">
        <f t="shared" si="57"/>
        <v>2.5701999999999998</v>
      </c>
      <c r="AI92" s="692">
        <f ca="1">IF(AC92="","",AC92*SFAssumptions!$C$8/'SavingsData&amp;Analysis'!AF92)</f>
        <v>377.25002253509757</v>
      </c>
      <c r="AJ92" s="692">
        <f ca="1">IF(OR(AE92="",AF92=""),"",AE92*SFAssumptions!$C$8/AF92)</f>
        <v>3390.7773801756925</v>
      </c>
      <c r="AK92" s="191">
        <f t="shared" si="58"/>
        <v>1.0999999999999999</v>
      </c>
      <c r="AL92" s="692">
        <f>IF(AK92="","",AK92*SFAssumptions!$C$3)</f>
        <v>282.38462999999996</v>
      </c>
      <c r="AM92" s="193">
        <f t="shared" si="59"/>
        <v>10.889999999999999</v>
      </c>
      <c r="AN92" s="194">
        <f>IF(AM92="","",AM92*SFAssumptions!$C$3)</f>
        <v>2795.6078369999996</v>
      </c>
      <c r="AO92" s="693">
        <f t="shared" si="60"/>
        <v>3.3</v>
      </c>
      <c r="AP92" s="693">
        <f t="shared" si="61"/>
        <v>3</v>
      </c>
      <c r="AQ92" s="692">
        <f ca="1">IF(AL92="","",AL92*SFAssumptions!$C$8/'SavingsData&amp;Analysis'!AF92)</f>
        <v>323.20266930656919</v>
      </c>
      <c r="AR92" s="692">
        <f ca="1">IF(OR(AN92="",AF92=""),"",AN92*SFAssumptions!$C$8/AF92)</f>
        <v>3199.7064261350347</v>
      </c>
      <c r="AS92" s="190" t="str">
        <f>IF(OR(AG92="",AH92=""),"No",IF(AND(G92="Horizontal",AH92&gt;='Eff. Standards &amp; Certifications'!$B$21,AG92&lt;='Eff. Standards &amp; Certifications'!$C$21),"Consider",IF(AND(G92="Vertical",AH92&gt;='Eff. Standards &amp; Certifications'!$B$20,AG92&lt;='Eff. Standards &amp; Certifications'!$C$20),"Consider","No")))</f>
        <v>Consider</v>
      </c>
      <c r="AT92" s="190" t="str">
        <f t="shared" si="46"/>
        <v>Residential</v>
      </c>
      <c r="AU92" s="190"/>
      <c r="AV92" s="190" t="str">
        <f t="shared" si="40"/>
        <v>NO</v>
      </c>
      <c r="AW92" s="190" t="str">
        <f t="shared" si="40"/>
        <v>YES</v>
      </c>
      <c r="AX92" s="190" t="str">
        <f t="shared" si="62"/>
        <v>YES</v>
      </c>
      <c r="AY92" s="190" t="str">
        <f t="shared" si="47"/>
        <v>NO</v>
      </c>
      <c r="AZ92" s="190" t="str">
        <f t="shared" si="47"/>
        <v>NO</v>
      </c>
      <c r="BA92" s="190" t="str">
        <f t="shared" si="63"/>
        <v>NO</v>
      </c>
      <c r="BB92" s="190" t="str">
        <f t="shared" si="48"/>
        <v>NO</v>
      </c>
      <c r="BC92" s="190" t="str">
        <f t="shared" si="49"/>
        <v>YES</v>
      </c>
      <c r="BD92" s="190" t="str">
        <f t="shared" si="64"/>
        <v>YES</v>
      </c>
      <c r="BE92" s="190" t="str">
        <f t="shared" si="50"/>
        <v>YES</v>
      </c>
      <c r="BF92" s="190" t="str">
        <f t="shared" si="51"/>
        <v>NO</v>
      </c>
      <c r="BG92" s="190" t="str">
        <f t="shared" si="52"/>
        <v>NO</v>
      </c>
      <c r="BH92" s="88"/>
      <c r="BI92" s="9"/>
      <c r="BJ92" s="694" t="str">
        <f t="shared" si="41"/>
        <v/>
      </c>
      <c r="BK92" s="694">
        <f t="shared" si="41"/>
        <v>2.5701999999999998</v>
      </c>
      <c r="BL92" s="694" t="str">
        <f t="shared" si="42"/>
        <v/>
      </c>
      <c r="BM92" s="694">
        <f t="shared" si="42"/>
        <v>3.4970599999999998</v>
      </c>
      <c r="BN92" s="88"/>
      <c r="BO92" s="195"/>
      <c r="BP92" s="195"/>
      <c r="BQ92" s="195"/>
      <c r="BR92" s="195"/>
      <c r="BS92" s="195"/>
      <c r="BT92" s="195"/>
      <c r="BU92" s="195"/>
      <c r="BV92" s="195"/>
      <c r="BW92" s="195"/>
      <c r="BX92" s="195"/>
    </row>
    <row r="93" spans="1:76" s="124" customFormat="1" ht="15">
      <c r="A93" s="187">
        <v>6850</v>
      </c>
      <c r="B93" s="187" t="s">
        <v>449</v>
      </c>
      <c r="C93" s="187" t="s">
        <v>455</v>
      </c>
      <c r="D93" s="187" t="s">
        <v>1309</v>
      </c>
      <c r="E93" s="187" t="s">
        <v>392</v>
      </c>
      <c r="F93" s="187" t="s">
        <v>386</v>
      </c>
      <c r="G93" s="187" t="s">
        <v>393</v>
      </c>
      <c r="H93" s="187" t="b">
        <v>0</v>
      </c>
      <c r="I93" s="187" t="s">
        <v>388</v>
      </c>
      <c r="J93" s="187" t="s">
        <v>389</v>
      </c>
      <c r="K93" s="187" t="b">
        <v>1</v>
      </c>
      <c r="L93" s="187">
        <v>3.4</v>
      </c>
      <c r="M93" s="187">
        <v>0.38</v>
      </c>
      <c r="N93" s="187">
        <v>19.59</v>
      </c>
      <c r="O93" s="187">
        <v>6.3</v>
      </c>
      <c r="P93" s="187">
        <v>9.0500000000000007</v>
      </c>
      <c r="Q93" s="187"/>
      <c r="R93" s="187"/>
      <c r="S93" s="187"/>
      <c r="T93" s="187"/>
      <c r="U93" s="187">
        <v>52.6</v>
      </c>
      <c r="V93" s="187">
        <v>1.67</v>
      </c>
      <c r="W93" s="188">
        <v>41990</v>
      </c>
      <c r="X93" s="691">
        <f t="shared" si="43"/>
        <v>1.2370000000000001</v>
      </c>
      <c r="Y93" s="691">
        <f t="shared" si="45"/>
        <v>6.7581699999999998</v>
      </c>
      <c r="Z93" s="189"/>
      <c r="AA93" s="190">
        <f t="shared" si="53"/>
        <v>2014</v>
      </c>
      <c r="AB93" s="191">
        <f t="shared" si="54"/>
        <v>2.7485852869846399</v>
      </c>
      <c r="AC93" s="192">
        <f>IF(AB93="","",AB93*SFAssumptions!$C$3)</f>
        <v>705.59839935327398</v>
      </c>
      <c r="AD93" s="193">
        <f t="shared" si="55"/>
        <v>22.977777999999997</v>
      </c>
      <c r="AE93" s="194">
        <f>IF(AD93="","",AD93*SFAssumptions!$C$3)</f>
        <v>5898.701217047399</v>
      </c>
      <c r="AF93" s="192">
        <f t="shared" si="44"/>
        <v>3.4</v>
      </c>
      <c r="AG93" s="192">
        <f t="shared" si="56"/>
        <v>6.7581699999999998</v>
      </c>
      <c r="AH93" s="192">
        <f t="shared" si="57"/>
        <v>1.2370000000000001</v>
      </c>
      <c r="AI93" s="692">
        <f ca="1">IF(AC93="","",AC93*SFAssumptions!$C$8/'SavingsData&amp;Analysis'!AF93)</f>
        <v>783.8383249148809</v>
      </c>
      <c r="AJ93" s="692">
        <f ca="1">IF(OR(AE93="",AF93=""),"",AE93*SFAssumptions!$C$8/AF93)</f>
        <v>6552.7757508827299</v>
      </c>
      <c r="AK93" s="191">
        <f t="shared" si="58"/>
        <v>2.0359281437125749</v>
      </c>
      <c r="AL93" s="692">
        <f>IF(AK93="","",AK93*SFAssumptions!$C$3)</f>
        <v>522.64983233532939</v>
      </c>
      <c r="AM93" s="193">
        <f t="shared" si="59"/>
        <v>21.419999999999998</v>
      </c>
      <c r="AN93" s="194">
        <f>IF(AM93="","",AM93*SFAssumptions!$C$3)</f>
        <v>5498.7988859999996</v>
      </c>
      <c r="AO93" s="693">
        <f t="shared" si="60"/>
        <v>6.3</v>
      </c>
      <c r="AP93" s="693">
        <f t="shared" si="61"/>
        <v>1.67</v>
      </c>
      <c r="AQ93" s="692">
        <f ca="1">IF(AL93="","",AL93*SFAssumptions!$C$8/'SavingsData&amp;Analysis'!AF93)</f>
        <v>580.60359755671129</v>
      </c>
      <c r="AR93" s="692">
        <f ca="1">IF(OR(AN93="",AF93=""),"",AN93*SFAssumptions!$C$8/AF93)</f>
        <v>6108.5304498941578</v>
      </c>
      <c r="AS93" s="190" t="str">
        <f>IF(OR(AG93="",AH93=""),"No",IF(AND(G93="Horizontal",AH93&gt;='Eff. Standards &amp; Certifications'!$B$21,AG93&lt;='Eff. Standards &amp; Certifications'!$C$21),"Consider",IF(AND(G93="Vertical",AH93&gt;='Eff. Standards &amp; Certifications'!$B$20,AG93&lt;='Eff. Standards &amp; Certifications'!$C$20),"Consider","No")))</f>
        <v>No</v>
      </c>
      <c r="AT93" s="190" t="str">
        <f t="shared" si="46"/>
        <v>Residential</v>
      </c>
      <c r="AU93" s="190"/>
      <c r="AV93" s="190" t="str">
        <f t="shared" si="40"/>
        <v>NO</v>
      </c>
      <c r="AW93" s="190" t="str">
        <f t="shared" si="40"/>
        <v>NO</v>
      </c>
      <c r="AX93" s="190" t="str">
        <f t="shared" si="62"/>
        <v>NO</v>
      </c>
      <c r="AY93" s="190" t="str">
        <f t="shared" si="47"/>
        <v>NO</v>
      </c>
      <c r="AZ93" s="190" t="str">
        <f t="shared" si="47"/>
        <v>NO</v>
      </c>
      <c r="BA93" s="190" t="str">
        <f t="shared" si="63"/>
        <v>NO</v>
      </c>
      <c r="BB93" s="190" t="str">
        <f t="shared" si="48"/>
        <v>NO</v>
      </c>
      <c r="BC93" s="190" t="str">
        <f t="shared" si="49"/>
        <v>NO</v>
      </c>
      <c r="BD93" s="190" t="str">
        <f t="shared" si="64"/>
        <v>NO</v>
      </c>
      <c r="BE93" s="190" t="str">
        <f t="shared" si="50"/>
        <v>NO</v>
      </c>
      <c r="BF93" s="190" t="str">
        <f t="shared" si="51"/>
        <v>NO</v>
      </c>
      <c r="BG93" s="190" t="str">
        <f t="shared" si="52"/>
        <v>NO</v>
      </c>
      <c r="BH93" s="88"/>
      <c r="BI93" s="9"/>
      <c r="BJ93" s="694" t="str">
        <f t="shared" si="41"/>
        <v/>
      </c>
      <c r="BK93" s="694" t="str">
        <f t="shared" si="41"/>
        <v/>
      </c>
      <c r="BL93" s="694" t="str">
        <f t="shared" si="42"/>
        <v/>
      </c>
      <c r="BM93" s="694" t="str">
        <f t="shared" si="42"/>
        <v/>
      </c>
      <c r="BN93" s="88"/>
      <c r="BO93" s="195"/>
      <c r="BP93" s="195"/>
      <c r="BQ93" s="195"/>
      <c r="BR93" s="195"/>
      <c r="BS93" s="195"/>
      <c r="BT93" s="195"/>
      <c r="BU93" s="195"/>
      <c r="BV93" s="195"/>
      <c r="BW93" s="195"/>
      <c r="BX93" s="195"/>
    </row>
    <row r="94" spans="1:76" s="124" customFormat="1" ht="15">
      <c r="A94" s="187">
        <v>5936</v>
      </c>
      <c r="B94" s="187" t="s">
        <v>449</v>
      </c>
      <c r="C94" s="187" t="s">
        <v>455</v>
      </c>
      <c r="D94" s="187" t="s">
        <v>457</v>
      </c>
      <c r="E94" s="187" t="s">
        <v>385</v>
      </c>
      <c r="F94" s="187" t="s">
        <v>386</v>
      </c>
      <c r="G94" s="187" t="s">
        <v>387</v>
      </c>
      <c r="H94" s="187" t="b">
        <v>0</v>
      </c>
      <c r="I94" s="187" t="s">
        <v>388</v>
      </c>
      <c r="J94" s="187" t="s">
        <v>389</v>
      </c>
      <c r="K94" s="187" t="b">
        <v>1</v>
      </c>
      <c r="L94" s="187">
        <v>3.9</v>
      </c>
      <c r="M94" s="187">
        <v>0.18</v>
      </c>
      <c r="N94" s="187">
        <v>10.52</v>
      </c>
      <c r="O94" s="187">
        <v>2.8</v>
      </c>
      <c r="P94" s="187">
        <v>16.21</v>
      </c>
      <c r="Q94" s="187"/>
      <c r="R94" s="187"/>
      <c r="S94" s="187"/>
      <c r="T94" s="187"/>
      <c r="U94" s="187">
        <v>31</v>
      </c>
      <c r="V94" s="187">
        <v>3.21</v>
      </c>
      <c r="W94" s="188">
        <v>41520</v>
      </c>
      <c r="X94" s="691">
        <f t="shared" si="43"/>
        <v>2.7622450000000001</v>
      </c>
      <c r="Y94" s="691">
        <f t="shared" si="45"/>
        <v>2.9849599999999996</v>
      </c>
      <c r="Z94" s="189"/>
      <c r="AA94" s="190">
        <f t="shared" si="53"/>
        <v>2013</v>
      </c>
      <c r="AB94" s="191">
        <f t="shared" si="54"/>
        <v>1.4118950346547825</v>
      </c>
      <c r="AC94" s="192">
        <f>IF(AB94="","",AB94*SFAssumptions!$C$3)</f>
        <v>362.45223359984357</v>
      </c>
      <c r="AD94" s="193">
        <f t="shared" si="55"/>
        <v>11.641343999999998</v>
      </c>
      <c r="AE94" s="194">
        <f>IF(AD94="","",AD94*SFAssumptions!$C$3)</f>
        <v>2988.4878346751998</v>
      </c>
      <c r="AF94" s="192">
        <f t="shared" si="44"/>
        <v>3.9</v>
      </c>
      <c r="AG94" s="192">
        <f t="shared" si="56"/>
        <v>2.9849599999999996</v>
      </c>
      <c r="AH94" s="192">
        <f t="shared" si="57"/>
        <v>2.7622450000000001</v>
      </c>
      <c r="AI94" s="692">
        <f ca="1">IF(AC94="","",AC94*SFAssumptions!$C$8/'SavingsData&amp;Analysis'!AF94)</f>
        <v>351.02172613932055</v>
      </c>
      <c r="AJ94" s="692">
        <f ca="1">IF(OR(AE94="",AF94=""),"",AE94*SFAssumptions!$C$8/AF94)</f>
        <v>2894.2411193200105</v>
      </c>
      <c r="AK94" s="191">
        <f t="shared" si="58"/>
        <v>1.2149532710280373</v>
      </c>
      <c r="AL94" s="692">
        <f>IF(AK94="","",AK94*SFAssumptions!$C$3)</f>
        <v>311.89466355140183</v>
      </c>
      <c r="AM94" s="193">
        <f t="shared" si="59"/>
        <v>10.92</v>
      </c>
      <c r="AN94" s="194">
        <f>IF(AM94="","",AM94*SFAssumptions!$C$3)</f>
        <v>2803.3092360000001</v>
      </c>
      <c r="AO94" s="693">
        <f t="shared" si="60"/>
        <v>2.8</v>
      </c>
      <c r="AP94" s="693">
        <f t="shared" si="61"/>
        <v>3.21</v>
      </c>
      <c r="AQ94" s="692">
        <f ca="1">IF(AL94="","",AL94*SFAssumptions!$C$8/'SavingsData&amp;Analysis'!AF94)</f>
        <v>302.05856944539175</v>
      </c>
      <c r="AR94" s="692">
        <f ca="1">IF(OR(AN94="",AF94=""),"",AN94*SFAssumptions!$C$8/AF94)</f>
        <v>2714.9024221751815</v>
      </c>
      <c r="AS94" s="190" t="str">
        <f>IF(OR(AG94="",AH94=""),"No",IF(AND(G94="Horizontal",AH94&gt;='Eff. Standards &amp; Certifications'!$B$21,AG94&lt;='Eff. Standards &amp; Certifications'!$C$21),"Consider",IF(AND(G94="Vertical",AH94&gt;='Eff. Standards &amp; Certifications'!$B$20,AG94&lt;='Eff. Standards &amp; Certifications'!$C$20),"Consider","No")))</f>
        <v>Consider</v>
      </c>
      <c r="AT94" s="190" t="str">
        <f t="shared" si="46"/>
        <v>Residential</v>
      </c>
      <c r="AU94" s="190"/>
      <c r="AV94" s="190" t="str">
        <f t="shared" si="40"/>
        <v>NO</v>
      </c>
      <c r="AW94" s="190" t="str">
        <f t="shared" si="40"/>
        <v>YES</v>
      </c>
      <c r="AX94" s="190" t="str">
        <f t="shared" si="62"/>
        <v>YES</v>
      </c>
      <c r="AY94" s="190" t="str">
        <f t="shared" si="47"/>
        <v>NO</v>
      </c>
      <c r="AZ94" s="190" t="str">
        <f t="shared" si="47"/>
        <v>NO</v>
      </c>
      <c r="BA94" s="190" t="str">
        <f t="shared" si="63"/>
        <v>NO</v>
      </c>
      <c r="BB94" s="190" t="str">
        <f t="shared" si="48"/>
        <v>NO</v>
      </c>
      <c r="BC94" s="190" t="str">
        <f t="shared" si="49"/>
        <v>YES</v>
      </c>
      <c r="BD94" s="190" t="str">
        <f t="shared" si="64"/>
        <v>YES</v>
      </c>
      <c r="BE94" s="190" t="str">
        <f t="shared" si="50"/>
        <v>NO</v>
      </c>
      <c r="BF94" s="190" t="str">
        <f t="shared" si="51"/>
        <v>YES</v>
      </c>
      <c r="BG94" s="190" t="str">
        <f t="shared" si="52"/>
        <v>NO</v>
      </c>
      <c r="BH94" s="88"/>
      <c r="BI94" s="9"/>
      <c r="BJ94" s="694" t="str">
        <f t="shared" si="41"/>
        <v/>
      </c>
      <c r="BK94" s="694">
        <f t="shared" si="41"/>
        <v>2.7622450000000001</v>
      </c>
      <c r="BL94" s="694" t="str">
        <f t="shared" si="42"/>
        <v/>
      </c>
      <c r="BM94" s="694">
        <f t="shared" si="42"/>
        <v>2.9849599999999996</v>
      </c>
      <c r="BN94" s="88"/>
      <c r="BO94" s="195"/>
      <c r="BP94" s="195"/>
      <c r="BQ94" s="195"/>
      <c r="BR94" s="195"/>
      <c r="BS94" s="195"/>
      <c r="BT94" s="195"/>
      <c r="BU94" s="195"/>
      <c r="BV94" s="195"/>
      <c r="BW94" s="195"/>
      <c r="BX94" s="195"/>
    </row>
    <row r="95" spans="1:76" s="124" customFormat="1" ht="15">
      <c r="A95" s="187">
        <v>6540</v>
      </c>
      <c r="B95" s="187" t="s">
        <v>449</v>
      </c>
      <c r="C95" s="187" t="s">
        <v>455</v>
      </c>
      <c r="D95" s="187" t="s">
        <v>1310</v>
      </c>
      <c r="E95" s="187" t="s">
        <v>385</v>
      </c>
      <c r="F95" s="187" t="s">
        <v>386</v>
      </c>
      <c r="G95" s="187" t="s">
        <v>387</v>
      </c>
      <c r="H95" s="187" t="b">
        <v>0</v>
      </c>
      <c r="I95" s="187" t="s">
        <v>388</v>
      </c>
      <c r="J95" s="187" t="s">
        <v>389</v>
      </c>
      <c r="K95" s="187" t="b">
        <v>1</v>
      </c>
      <c r="L95" s="187">
        <v>3.3</v>
      </c>
      <c r="M95" s="187">
        <v>0.22</v>
      </c>
      <c r="N95" s="187">
        <v>11.55</v>
      </c>
      <c r="O95" s="187">
        <v>3.3</v>
      </c>
      <c r="P95" s="187">
        <v>14.36</v>
      </c>
      <c r="Q95" s="187"/>
      <c r="R95" s="187"/>
      <c r="S95" s="187"/>
      <c r="T95" s="187"/>
      <c r="U95" s="187">
        <v>34.1</v>
      </c>
      <c r="V95" s="187">
        <v>3</v>
      </c>
      <c r="W95" s="188">
        <v>41869</v>
      </c>
      <c r="X95" s="691">
        <f t="shared" si="43"/>
        <v>2.5701999999999998</v>
      </c>
      <c r="Y95" s="691">
        <f t="shared" si="45"/>
        <v>3.4970599999999998</v>
      </c>
      <c r="Z95" s="189"/>
      <c r="AA95" s="190">
        <f t="shared" si="53"/>
        <v>2014</v>
      </c>
      <c r="AB95" s="191">
        <f t="shared" si="54"/>
        <v>1.2839467745700723</v>
      </c>
      <c r="AC95" s="192">
        <f>IF(AB95="","",AB95*SFAssumptions!$C$3)</f>
        <v>329.60621352423937</v>
      </c>
      <c r="AD95" s="193">
        <f t="shared" si="55"/>
        <v>11.540297999999998</v>
      </c>
      <c r="AE95" s="194">
        <f>IF(AD95="","",AD95*SFAssumptions!$C$3)</f>
        <v>2962.5479825633997</v>
      </c>
      <c r="AF95" s="192">
        <f t="shared" si="44"/>
        <v>3.3</v>
      </c>
      <c r="AG95" s="192">
        <f t="shared" si="56"/>
        <v>3.4970599999999998</v>
      </c>
      <c r="AH95" s="192">
        <f t="shared" si="57"/>
        <v>2.5701999999999998</v>
      </c>
      <c r="AI95" s="692">
        <f ca="1">IF(AC95="","",AC95*SFAssumptions!$C$8/'SavingsData&amp;Analysis'!AF95)</f>
        <v>377.25002253509757</v>
      </c>
      <c r="AJ95" s="692">
        <f ca="1">IF(OR(AE95="",AF95=""),"",AE95*SFAssumptions!$C$8/AF95)</f>
        <v>3390.7773801756925</v>
      </c>
      <c r="AK95" s="191">
        <f t="shared" si="58"/>
        <v>1.0999999999999999</v>
      </c>
      <c r="AL95" s="692">
        <f>IF(AK95="","",AK95*SFAssumptions!$C$3)</f>
        <v>282.38462999999996</v>
      </c>
      <c r="AM95" s="193">
        <f t="shared" si="59"/>
        <v>10.889999999999999</v>
      </c>
      <c r="AN95" s="194">
        <f>IF(AM95="","",AM95*SFAssumptions!$C$3)</f>
        <v>2795.6078369999996</v>
      </c>
      <c r="AO95" s="693">
        <f t="shared" si="60"/>
        <v>3.3</v>
      </c>
      <c r="AP95" s="693">
        <f t="shared" si="61"/>
        <v>3</v>
      </c>
      <c r="AQ95" s="692">
        <f ca="1">IF(AL95="","",AL95*SFAssumptions!$C$8/'SavingsData&amp;Analysis'!AF95)</f>
        <v>323.20266930656919</v>
      </c>
      <c r="AR95" s="692">
        <f ca="1">IF(OR(AN95="",AF95=""),"",AN95*SFAssumptions!$C$8/AF95)</f>
        <v>3199.7064261350347</v>
      </c>
      <c r="AS95" s="190" t="str">
        <f>IF(OR(AG95="",AH95=""),"No",IF(AND(G95="Horizontal",AH95&gt;='Eff. Standards &amp; Certifications'!$B$21,AG95&lt;='Eff. Standards &amp; Certifications'!$C$21),"Consider",IF(AND(G95="Vertical",AH95&gt;='Eff. Standards &amp; Certifications'!$B$20,AG95&lt;='Eff. Standards &amp; Certifications'!$C$20),"Consider","No")))</f>
        <v>Consider</v>
      </c>
      <c r="AT95" s="190" t="str">
        <f t="shared" si="46"/>
        <v>Residential</v>
      </c>
      <c r="AU95" s="190"/>
      <c r="AV95" s="190" t="str">
        <f t="shared" si="40"/>
        <v>NO</v>
      </c>
      <c r="AW95" s="190" t="str">
        <f t="shared" si="40"/>
        <v>YES</v>
      </c>
      <c r="AX95" s="190" t="str">
        <f t="shared" si="62"/>
        <v>YES</v>
      </c>
      <c r="AY95" s="190" t="str">
        <f t="shared" si="47"/>
        <v>NO</v>
      </c>
      <c r="AZ95" s="190" t="str">
        <f t="shared" si="47"/>
        <v>NO</v>
      </c>
      <c r="BA95" s="190" t="str">
        <f t="shared" si="63"/>
        <v>NO</v>
      </c>
      <c r="BB95" s="190" t="str">
        <f t="shared" si="48"/>
        <v>NO</v>
      </c>
      <c r="BC95" s="190" t="str">
        <f t="shared" si="49"/>
        <v>YES</v>
      </c>
      <c r="BD95" s="190" t="str">
        <f t="shared" si="64"/>
        <v>YES</v>
      </c>
      <c r="BE95" s="190" t="str">
        <f t="shared" si="50"/>
        <v>YES</v>
      </c>
      <c r="BF95" s="190" t="str">
        <f t="shared" si="51"/>
        <v>NO</v>
      </c>
      <c r="BG95" s="190" t="str">
        <f t="shared" si="52"/>
        <v>NO</v>
      </c>
      <c r="BH95" s="88"/>
      <c r="BI95" s="9"/>
      <c r="BJ95" s="694" t="str">
        <f t="shared" si="41"/>
        <v/>
      </c>
      <c r="BK95" s="694">
        <f t="shared" si="41"/>
        <v>2.5701999999999998</v>
      </c>
      <c r="BL95" s="694" t="str">
        <f t="shared" si="42"/>
        <v/>
      </c>
      <c r="BM95" s="694">
        <f t="shared" si="42"/>
        <v>3.4970599999999998</v>
      </c>
      <c r="BN95" s="88"/>
      <c r="BO95" s="195"/>
      <c r="BP95" s="195"/>
      <c r="BQ95" s="195"/>
      <c r="BR95" s="195"/>
      <c r="BS95" s="195"/>
      <c r="BT95" s="195"/>
      <c r="BU95" s="195"/>
      <c r="BV95" s="195"/>
      <c r="BW95" s="195"/>
      <c r="BX95" s="195"/>
    </row>
    <row r="96" spans="1:76" s="124" customFormat="1" ht="15">
      <c r="A96" s="187">
        <v>5934</v>
      </c>
      <c r="B96" s="187" t="s">
        <v>449</v>
      </c>
      <c r="C96" s="187" t="s">
        <v>455</v>
      </c>
      <c r="D96" s="187" t="s">
        <v>458</v>
      </c>
      <c r="E96" s="187" t="s">
        <v>392</v>
      </c>
      <c r="F96" s="187" t="s">
        <v>386</v>
      </c>
      <c r="G96" s="187" t="s">
        <v>393</v>
      </c>
      <c r="H96" s="187" t="b">
        <v>0</v>
      </c>
      <c r="I96" s="187" t="s">
        <v>388</v>
      </c>
      <c r="J96" s="187" t="s">
        <v>389</v>
      </c>
      <c r="K96" s="187" t="b">
        <v>1</v>
      </c>
      <c r="L96" s="187">
        <v>3.4</v>
      </c>
      <c r="M96" s="187">
        <v>0.1</v>
      </c>
      <c r="N96" s="187">
        <v>28.53</v>
      </c>
      <c r="O96" s="187">
        <v>9.3000000000000007</v>
      </c>
      <c r="P96" s="187">
        <v>3.53</v>
      </c>
      <c r="Q96" s="187"/>
      <c r="R96" s="187"/>
      <c r="S96" s="187"/>
      <c r="T96" s="187"/>
      <c r="U96" s="187">
        <v>39.9</v>
      </c>
      <c r="V96" s="187">
        <v>1.5</v>
      </c>
      <c r="W96" s="188">
        <v>41520</v>
      </c>
      <c r="X96" s="691">
        <f t="shared" si="43"/>
        <v>1.0686999999999998</v>
      </c>
      <c r="Y96" s="691">
        <f t="shared" si="45"/>
        <v>9.724870000000001</v>
      </c>
      <c r="Z96" s="189"/>
      <c r="AA96" s="190">
        <f t="shared" si="53"/>
        <v>2013</v>
      </c>
      <c r="AB96" s="191">
        <f t="shared" si="54"/>
        <v>3.1814353887901197</v>
      </c>
      <c r="AC96" s="192">
        <f>IF(AB96="","",AB96*SFAssumptions!$C$3)</f>
        <v>816.71677739309462</v>
      </c>
      <c r="AD96" s="193">
        <f t="shared" si="55"/>
        <v>33.064558000000005</v>
      </c>
      <c r="AE96" s="194">
        <f>IF(AD96="","",AD96*SFAssumptions!$C$3)</f>
        <v>8488.1117972214015</v>
      </c>
      <c r="AF96" s="192">
        <f t="shared" si="44"/>
        <v>3.4</v>
      </c>
      <c r="AG96" s="192">
        <f t="shared" si="56"/>
        <v>9.724870000000001</v>
      </c>
      <c r="AH96" s="192">
        <f t="shared" si="57"/>
        <v>1.0686999999999998</v>
      </c>
      <c r="AI96" s="692">
        <f ca="1">IF(AC96="","",AC96*SFAssumptions!$C$8/'SavingsData&amp;Analysis'!AF96)</f>
        <v>907.27800872060254</v>
      </c>
      <c r="AJ96" s="692">
        <f ca="1">IF(OR(AE96="",AF96=""),"",AE96*SFAssumptions!$C$8/AF96)</f>
        <v>9429.3118279781302</v>
      </c>
      <c r="AK96" s="191">
        <f t="shared" si="58"/>
        <v>2.2666666666666666</v>
      </c>
      <c r="AL96" s="692">
        <f>IF(AK96="","",AK96*SFAssumptions!$C$3)</f>
        <v>581.88347999999996</v>
      </c>
      <c r="AM96" s="193">
        <f t="shared" si="59"/>
        <v>31.62</v>
      </c>
      <c r="AN96" s="194">
        <f>IF(AM96="","",AM96*SFAssumptions!$C$3)</f>
        <v>8117.2745460000006</v>
      </c>
      <c r="AO96" s="693">
        <f t="shared" si="60"/>
        <v>9.3000000000000007</v>
      </c>
      <c r="AP96" s="693">
        <f t="shared" si="61"/>
        <v>1.5</v>
      </c>
      <c r="AQ96" s="692">
        <f ca="1">IF(AL96="","",AL96*SFAssumptions!$C$8/'SavingsData&amp;Analysis'!AF96)</f>
        <v>646.40533861313838</v>
      </c>
      <c r="AR96" s="692">
        <f ca="1">IF(OR(AN96="",AF96=""),"",AN96*SFAssumptions!$C$8/AF96)</f>
        <v>9017.3544736532822</v>
      </c>
      <c r="AS96" s="190" t="str">
        <f>IF(OR(AG96="",AH96=""),"No",IF(AND(G96="Horizontal",AH96&gt;='Eff. Standards &amp; Certifications'!$B$21,AG96&lt;='Eff. Standards &amp; Certifications'!$C$21),"Consider",IF(AND(G96="Vertical",AH96&gt;='Eff. Standards &amp; Certifications'!$B$20,AG96&lt;='Eff. Standards &amp; Certifications'!$C$20),"Consider","No")))</f>
        <v>No</v>
      </c>
      <c r="AT96" s="190" t="str">
        <f t="shared" si="46"/>
        <v>Residential</v>
      </c>
      <c r="AU96" s="190"/>
      <c r="AV96" s="190" t="str">
        <f t="shared" si="40"/>
        <v>NO</v>
      </c>
      <c r="AW96" s="190" t="str">
        <f t="shared" si="40"/>
        <v>NO</v>
      </c>
      <c r="AX96" s="190" t="str">
        <f t="shared" si="62"/>
        <v>NO</v>
      </c>
      <c r="AY96" s="190" t="str">
        <f t="shared" si="47"/>
        <v>NO</v>
      </c>
      <c r="AZ96" s="190" t="str">
        <f t="shared" si="47"/>
        <v>NO</v>
      </c>
      <c r="BA96" s="190" t="str">
        <f t="shared" si="63"/>
        <v>NO</v>
      </c>
      <c r="BB96" s="190" t="str">
        <f t="shared" si="48"/>
        <v>NO</v>
      </c>
      <c r="BC96" s="190" t="str">
        <f t="shared" si="49"/>
        <v>NO</v>
      </c>
      <c r="BD96" s="190" t="str">
        <f t="shared" si="64"/>
        <v>NO</v>
      </c>
      <c r="BE96" s="190" t="str">
        <f t="shared" si="50"/>
        <v>NO</v>
      </c>
      <c r="BF96" s="190" t="str">
        <f t="shared" si="51"/>
        <v>NO</v>
      </c>
      <c r="BG96" s="190" t="str">
        <f t="shared" si="52"/>
        <v>NO</v>
      </c>
      <c r="BH96" s="88"/>
      <c r="BI96" s="9"/>
      <c r="BJ96" s="694" t="str">
        <f t="shared" si="41"/>
        <v/>
      </c>
      <c r="BK96" s="694" t="str">
        <f t="shared" si="41"/>
        <v/>
      </c>
      <c r="BL96" s="694" t="str">
        <f t="shared" si="42"/>
        <v/>
      </c>
      <c r="BM96" s="694" t="str">
        <f t="shared" si="42"/>
        <v/>
      </c>
      <c r="BN96" s="88"/>
      <c r="BO96" s="195"/>
      <c r="BP96" s="195"/>
      <c r="BQ96" s="195"/>
      <c r="BR96" s="195"/>
      <c r="BS96" s="195"/>
      <c r="BT96" s="195"/>
      <c r="BU96" s="195"/>
      <c r="BV96" s="195"/>
      <c r="BW96" s="195"/>
      <c r="BX96" s="195"/>
    </row>
    <row r="97" spans="1:76" s="124" customFormat="1" ht="15">
      <c r="A97" s="187">
        <v>4739</v>
      </c>
      <c r="B97" s="187" t="s">
        <v>449</v>
      </c>
      <c r="C97" s="187" t="s">
        <v>459</v>
      </c>
      <c r="D97" s="187" t="s">
        <v>460</v>
      </c>
      <c r="E97" s="187" t="s">
        <v>385</v>
      </c>
      <c r="F97" s="187" t="s">
        <v>386</v>
      </c>
      <c r="G97" s="187" t="s">
        <v>387</v>
      </c>
      <c r="H97" s="187" t="b">
        <v>0</v>
      </c>
      <c r="I97" s="187" t="s">
        <v>388</v>
      </c>
      <c r="J97" s="187" t="s">
        <v>389</v>
      </c>
      <c r="K97" s="187" t="b">
        <v>1</v>
      </c>
      <c r="L97" s="187">
        <v>4.3</v>
      </c>
      <c r="M97" s="187">
        <v>0.27</v>
      </c>
      <c r="N97" s="187">
        <v>12.15</v>
      </c>
      <c r="O97" s="187">
        <v>3.2</v>
      </c>
      <c r="P97" s="187">
        <v>16.36</v>
      </c>
      <c r="Q97" s="187"/>
      <c r="R97" s="187"/>
      <c r="S97" s="187"/>
      <c r="T97" s="187"/>
      <c r="U97" s="187">
        <v>33.299999999999997</v>
      </c>
      <c r="V97" s="187">
        <v>2.8</v>
      </c>
      <c r="W97" s="188">
        <v>40570</v>
      </c>
      <c r="X97" s="691">
        <f t="shared" si="43"/>
        <v>2.3872999999999998</v>
      </c>
      <c r="Y97" s="691">
        <f t="shared" si="45"/>
        <v>3.3946400000000003</v>
      </c>
      <c r="Z97" s="189"/>
      <c r="AA97" s="190">
        <f t="shared" si="53"/>
        <v>2011</v>
      </c>
      <c r="AB97" s="191">
        <f t="shared" si="54"/>
        <v>1.8011980061156956</v>
      </c>
      <c r="AC97" s="192">
        <f>IF(AB97="","",AB97*SFAssumptions!$C$3)</f>
        <v>462.39148410338038</v>
      </c>
      <c r="AD97" s="193">
        <f t="shared" si="55"/>
        <v>14.596952</v>
      </c>
      <c r="AE97" s="194">
        <f>IF(AD97="","",AD97*SFAssumptions!$C$3)</f>
        <v>3747.2317178615999</v>
      </c>
      <c r="AF97" s="192">
        <f t="shared" si="44"/>
        <v>4.3</v>
      </c>
      <c r="AG97" s="192">
        <f t="shared" si="56"/>
        <v>3.3946400000000003</v>
      </c>
      <c r="AH97" s="192">
        <f t="shared" si="57"/>
        <v>2.3872999999999998</v>
      </c>
      <c r="AI97" s="692">
        <f ca="1">IF(AC97="","",AC97*SFAssumptions!$C$8/'SavingsData&amp;Analysis'!AF97)</f>
        <v>406.15256059971836</v>
      </c>
      <c r="AJ97" s="692">
        <f ca="1">IF(OR(AE97="",AF97=""),"",AE97*SFAssumptions!$C$8/AF97)</f>
        <v>3291.4701280045565</v>
      </c>
      <c r="AK97" s="191">
        <f t="shared" si="58"/>
        <v>1.5357142857142858</v>
      </c>
      <c r="AL97" s="692">
        <f>IF(AK97="","",AK97*SFAssumptions!$C$3)</f>
        <v>394.2382821428572</v>
      </c>
      <c r="AM97" s="193">
        <f t="shared" si="59"/>
        <v>13.76</v>
      </c>
      <c r="AN97" s="194">
        <f>IF(AM97="","",AM97*SFAssumptions!$C$3)</f>
        <v>3532.375008</v>
      </c>
      <c r="AO97" s="693">
        <f t="shared" si="60"/>
        <v>3.2</v>
      </c>
      <c r="AP97" s="693">
        <f t="shared" si="61"/>
        <v>2.8</v>
      </c>
      <c r="AQ97" s="692">
        <f ca="1">IF(AL97="","",AL97*SFAssumptions!$C$8/'SavingsData&amp;Analysis'!AF97)</f>
        <v>346.28857425703853</v>
      </c>
      <c r="AR97" s="692">
        <f ca="1">IF(OR(AN97="",AF97=""),"",AN97*SFAssumptions!$C$8/AF97)</f>
        <v>3102.7456253430646</v>
      </c>
      <c r="AS97" s="190" t="str">
        <f>IF(OR(AG97="",AH97=""),"No",IF(AND(G97="Horizontal",AH97&gt;='Eff. Standards &amp; Certifications'!$B$21,AG97&lt;='Eff. Standards &amp; Certifications'!$C$21),"Consider",IF(AND(G97="Vertical",AH97&gt;='Eff. Standards &amp; Certifications'!$B$20,AG97&lt;='Eff. Standards &amp; Certifications'!$C$20),"Consider","No")))</f>
        <v>Consider</v>
      </c>
      <c r="AT97" s="190" t="str">
        <f t="shared" si="46"/>
        <v>Residential</v>
      </c>
      <c r="AU97" s="190"/>
      <c r="AV97" s="190" t="str">
        <f t="shared" si="40"/>
        <v>NO</v>
      </c>
      <c r="AW97" s="190" t="str">
        <f t="shared" si="40"/>
        <v>YES</v>
      </c>
      <c r="AX97" s="190" t="str">
        <f t="shared" si="62"/>
        <v>YES</v>
      </c>
      <c r="AY97" s="190" t="str">
        <f t="shared" si="47"/>
        <v>NO</v>
      </c>
      <c r="AZ97" s="190" t="str">
        <f t="shared" si="47"/>
        <v>NO</v>
      </c>
      <c r="BA97" s="190" t="str">
        <f t="shared" si="63"/>
        <v>NO</v>
      </c>
      <c r="BB97" s="190" t="str">
        <f t="shared" si="48"/>
        <v>NO</v>
      </c>
      <c r="BC97" s="190" t="str">
        <f t="shared" si="49"/>
        <v>YES</v>
      </c>
      <c r="BD97" s="190" t="str">
        <f t="shared" si="64"/>
        <v>YES</v>
      </c>
      <c r="BE97" s="190" t="str">
        <f t="shared" si="50"/>
        <v>YES</v>
      </c>
      <c r="BF97" s="190" t="str">
        <f t="shared" si="51"/>
        <v>NO</v>
      </c>
      <c r="BG97" s="190" t="str">
        <f t="shared" si="52"/>
        <v>NO</v>
      </c>
      <c r="BH97" s="88"/>
      <c r="BI97" s="9"/>
      <c r="BJ97" s="694" t="str">
        <f t="shared" si="41"/>
        <v/>
      </c>
      <c r="BK97" s="694">
        <f t="shared" si="41"/>
        <v>2.3872999999999998</v>
      </c>
      <c r="BL97" s="694" t="str">
        <f t="shared" si="42"/>
        <v/>
      </c>
      <c r="BM97" s="694">
        <f t="shared" si="42"/>
        <v>3.3946400000000003</v>
      </c>
      <c r="BN97" s="88"/>
      <c r="BO97" s="195"/>
      <c r="BP97" s="195"/>
      <c r="BQ97" s="195"/>
      <c r="BR97" s="195"/>
      <c r="BS97" s="195"/>
      <c r="BT97" s="195"/>
      <c r="BU97" s="195"/>
      <c r="BV97" s="195"/>
      <c r="BW97" s="195"/>
      <c r="BX97" s="195"/>
    </row>
    <row r="98" spans="1:76" s="124" customFormat="1" ht="15">
      <c r="A98" s="187">
        <v>5978</v>
      </c>
      <c r="B98" s="187" t="s">
        <v>449</v>
      </c>
      <c r="C98" s="187" t="s">
        <v>459</v>
      </c>
      <c r="D98" s="187" t="s">
        <v>1311</v>
      </c>
      <c r="E98" s="187" t="s">
        <v>385</v>
      </c>
      <c r="F98" s="187" t="s">
        <v>386</v>
      </c>
      <c r="G98" s="187" t="s">
        <v>387</v>
      </c>
      <c r="H98" s="187" t="b">
        <v>0</v>
      </c>
      <c r="I98" s="187" t="s">
        <v>388</v>
      </c>
      <c r="J98" s="187" t="s">
        <v>389</v>
      </c>
      <c r="K98" s="187" t="b">
        <v>1</v>
      </c>
      <c r="L98" s="187">
        <v>3.7</v>
      </c>
      <c r="M98" s="187">
        <v>0.15</v>
      </c>
      <c r="N98" s="187">
        <v>10.26</v>
      </c>
      <c r="O98" s="187">
        <v>2.9</v>
      </c>
      <c r="P98" s="187">
        <v>18.89</v>
      </c>
      <c r="Q98" s="187"/>
      <c r="R98" s="187"/>
      <c r="S98" s="187"/>
      <c r="T98" s="187"/>
      <c r="U98" s="187">
        <v>29.6</v>
      </c>
      <c r="V98" s="187">
        <v>3.35</v>
      </c>
      <c r="W98" s="188">
        <v>41526</v>
      </c>
      <c r="X98" s="691">
        <f t="shared" si="43"/>
        <v>2.8902749999999999</v>
      </c>
      <c r="Y98" s="691">
        <f t="shared" si="45"/>
        <v>3.08738</v>
      </c>
      <c r="Z98" s="189"/>
      <c r="AA98" s="190">
        <f t="shared" si="53"/>
        <v>2013</v>
      </c>
      <c r="AB98" s="191">
        <f t="shared" si="54"/>
        <v>1.2801550025516604</v>
      </c>
      <c r="AC98" s="192">
        <f>IF(AB98="","",AB98*SFAssumptions!$C$3)</f>
        <v>328.63281521654517</v>
      </c>
      <c r="AD98" s="193">
        <f t="shared" si="55"/>
        <v>11.423306</v>
      </c>
      <c r="AE98" s="194">
        <f>IF(AD98="","",AD98*SFAssumptions!$C$3)</f>
        <v>2932.5145801698</v>
      </c>
      <c r="AF98" s="192">
        <f t="shared" si="44"/>
        <v>3.7</v>
      </c>
      <c r="AG98" s="192">
        <f t="shared" si="56"/>
        <v>3.08738</v>
      </c>
      <c r="AH98" s="192">
        <f t="shared" si="57"/>
        <v>2.8902749999999999</v>
      </c>
      <c r="AI98" s="692">
        <f ca="1">IF(AC98="","",AC98*SFAssumptions!$C$8/'SavingsData&amp;Analysis'!AF98)</f>
        <v>335.47257887907125</v>
      </c>
      <c r="AJ98" s="692">
        <f ca="1">IF(OR(AE98="",AF98=""),"",AE98*SFAssumptions!$C$8/AF98)</f>
        <v>2993.5483714911466</v>
      </c>
      <c r="AK98" s="191">
        <f t="shared" si="58"/>
        <v>1.1044776119402986</v>
      </c>
      <c r="AL98" s="692">
        <f>IF(AK98="","",AK98*SFAssumptions!$C$3)</f>
        <v>283.53409253731348</v>
      </c>
      <c r="AM98" s="193">
        <f t="shared" si="59"/>
        <v>10.73</v>
      </c>
      <c r="AN98" s="194">
        <f>IF(AM98="","",AM98*SFAssumptions!$C$3)</f>
        <v>2754.5337090000003</v>
      </c>
      <c r="AO98" s="693">
        <f t="shared" si="60"/>
        <v>2.9</v>
      </c>
      <c r="AP98" s="693">
        <f t="shared" si="61"/>
        <v>3.35</v>
      </c>
      <c r="AQ98" s="692">
        <f ca="1">IF(AL98="","",AL98*SFAssumptions!$C$8/'SavingsData&amp;Analysis'!AF98)</f>
        <v>289.43522624468892</v>
      </c>
      <c r="AR98" s="692">
        <f ca="1">IF(OR(AN98="",AF98=""),"",AN98*SFAssumptions!$C$8/AF98)</f>
        <v>2811.8632229671525</v>
      </c>
      <c r="AS98" s="190" t="str">
        <f>IF(OR(AG98="",AH98=""),"No",IF(AND(G98="Horizontal",AH98&gt;='Eff. Standards &amp; Certifications'!$B$21,AG98&lt;='Eff. Standards &amp; Certifications'!$C$21),"Consider",IF(AND(G98="Vertical",AH98&gt;='Eff. Standards &amp; Certifications'!$B$20,AG98&lt;='Eff. Standards &amp; Certifications'!$C$20),"Consider","No")))</f>
        <v>Consider</v>
      </c>
      <c r="AT98" s="190" t="str">
        <f t="shared" si="46"/>
        <v>Residential</v>
      </c>
      <c r="AU98" s="190"/>
      <c r="AV98" s="190" t="str">
        <f t="shared" si="40"/>
        <v>NO</v>
      </c>
      <c r="AW98" s="190" t="str">
        <f t="shared" si="40"/>
        <v>YES</v>
      </c>
      <c r="AX98" s="190" t="str">
        <f t="shared" si="62"/>
        <v>YES</v>
      </c>
      <c r="AY98" s="190" t="str">
        <f t="shared" si="47"/>
        <v>NO</v>
      </c>
      <c r="AZ98" s="190" t="str">
        <f t="shared" si="47"/>
        <v>NO</v>
      </c>
      <c r="BA98" s="190" t="str">
        <f t="shared" si="63"/>
        <v>NO</v>
      </c>
      <c r="BB98" s="190" t="str">
        <f t="shared" si="48"/>
        <v>NO</v>
      </c>
      <c r="BC98" s="190" t="str">
        <f t="shared" si="49"/>
        <v>YES</v>
      </c>
      <c r="BD98" s="190" t="str">
        <f t="shared" si="64"/>
        <v>YES</v>
      </c>
      <c r="BE98" s="190" t="str">
        <f t="shared" si="50"/>
        <v>NO</v>
      </c>
      <c r="BF98" s="190" t="str">
        <f t="shared" si="51"/>
        <v>YES</v>
      </c>
      <c r="BG98" s="190" t="str">
        <f t="shared" si="52"/>
        <v>NO</v>
      </c>
      <c r="BH98" s="88"/>
      <c r="BI98" s="9"/>
      <c r="BJ98" s="694" t="str">
        <f t="shared" si="41"/>
        <v/>
      </c>
      <c r="BK98" s="694">
        <f t="shared" si="41"/>
        <v>2.8902749999999999</v>
      </c>
      <c r="BL98" s="694" t="str">
        <f t="shared" si="42"/>
        <v/>
      </c>
      <c r="BM98" s="694">
        <f t="shared" si="42"/>
        <v>3.08738</v>
      </c>
      <c r="BN98" s="88"/>
      <c r="BO98" s="195"/>
      <c r="BP98" s="195"/>
      <c r="BQ98" s="195"/>
      <c r="BR98" s="195"/>
      <c r="BS98" s="195"/>
      <c r="BT98" s="195"/>
      <c r="BU98" s="195"/>
      <c r="BV98" s="195"/>
      <c r="BW98" s="195"/>
      <c r="BX98" s="195"/>
    </row>
    <row r="99" spans="1:76" s="124" customFormat="1" ht="15">
      <c r="A99" s="187">
        <v>5361</v>
      </c>
      <c r="B99" s="187" t="s">
        <v>461</v>
      </c>
      <c r="C99" s="187" t="s">
        <v>449</v>
      </c>
      <c r="D99" s="187" t="s">
        <v>462</v>
      </c>
      <c r="E99" s="187" t="s">
        <v>385</v>
      </c>
      <c r="F99" s="187" t="s">
        <v>386</v>
      </c>
      <c r="G99" s="187" t="s">
        <v>387</v>
      </c>
      <c r="H99" s="187" t="b">
        <v>0</v>
      </c>
      <c r="I99" s="187" t="s">
        <v>388</v>
      </c>
      <c r="J99" s="187" t="s">
        <v>389</v>
      </c>
      <c r="K99" s="187" t="b">
        <v>1</v>
      </c>
      <c r="L99" s="187">
        <v>4.2</v>
      </c>
      <c r="M99" s="187">
        <v>0.3</v>
      </c>
      <c r="N99" s="187">
        <v>11.39</v>
      </c>
      <c r="O99" s="187">
        <v>2.7</v>
      </c>
      <c r="P99" s="187">
        <v>14</v>
      </c>
      <c r="Q99" s="187"/>
      <c r="R99" s="187"/>
      <c r="S99" s="187"/>
      <c r="T99" s="187"/>
      <c r="U99" s="187">
        <v>35.6</v>
      </c>
      <c r="V99" s="187">
        <v>3.1</v>
      </c>
      <c r="W99" s="188">
        <v>41009</v>
      </c>
      <c r="X99" s="691">
        <f t="shared" si="43"/>
        <v>2.6616499999999998</v>
      </c>
      <c r="Y99" s="691">
        <f t="shared" si="45"/>
        <v>2.8825400000000001</v>
      </c>
      <c r="Z99" s="189"/>
      <c r="AA99" s="190">
        <f t="shared" si="53"/>
        <v>2012</v>
      </c>
      <c r="AB99" s="191">
        <f t="shared" si="54"/>
        <v>1.5779685533409729</v>
      </c>
      <c r="AC99" s="192">
        <f>IF(AB99="","",AB99*SFAssumptions!$C$3)</f>
        <v>405.0855146243872</v>
      </c>
      <c r="AD99" s="193">
        <f t="shared" si="55"/>
        <v>12.106668000000001</v>
      </c>
      <c r="AE99" s="194">
        <f>IF(AD99="","",AD99*SFAssumptions!$C$3)</f>
        <v>3107.9426942844002</v>
      </c>
      <c r="AF99" s="192">
        <f t="shared" si="44"/>
        <v>4.2</v>
      </c>
      <c r="AG99" s="192">
        <f t="shared" si="56"/>
        <v>2.8825400000000001</v>
      </c>
      <c r="AH99" s="192">
        <f t="shared" si="57"/>
        <v>2.6616499999999998</v>
      </c>
      <c r="AI99" s="692">
        <f ca="1">IF(AC99="","",AC99*SFAssumptions!$C$8/'SavingsData&amp;Analysis'!AF99)</f>
        <v>364.28832037259133</v>
      </c>
      <c r="AJ99" s="692">
        <f ca="1">IF(OR(AE99="",AF99=""),"",AE99*SFAssumptions!$C$8/AF99)</f>
        <v>2794.9338671488745</v>
      </c>
      <c r="AK99" s="191">
        <f t="shared" si="58"/>
        <v>1.3548387096774195</v>
      </c>
      <c r="AL99" s="692">
        <f>IF(AK99="","",AK99*SFAssumptions!$C$3)</f>
        <v>347.80511612903229</v>
      </c>
      <c r="AM99" s="193">
        <f t="shared" si="59"/>
        <v>11.340000000000002</v>
      </c>
      <c r="AN99" s="194">
        <f>IF(AM99="","",AM99*SFAssumptions!$C$3)</f>
        <v>2911.1288220000006</v>
      </c>
      <c r="AO99" s="693">
        <f t="shared" si="60"/>
        <v>2.7</v>
      </c>
      <c r="AP99" s="693">
        <f t="shared" si="61"/>
        <v>3.1</v>
      </c>
      <c r="AQ99" s="692">
        <f ca="1">IF(AL99="","",AL99*SFAssumptions!$C$8/'SavingsData&amp;Analysis'!AF99)</f>
        <v>312.77677674829283</v>
      </c>
      <c r="AR99" s="692">
        <f ca="1">IF(OR(AN99="",AF99=""),"",AN99*SFAssumptions!$C$8/AF99)</f>
        <v>2617.941621383211</v>
      </c>
      <c r="AS99" s="190" t="str">
        <f>IF(OR(AG99="",AH99=""),"No",IF(AND(G99="Horizontal",AH99&gt;='Eff. Standards &amp; Certifications'!$B$21,AG99&lt;='Eff. Standards &amp; Certifications'!$C$21),"Consider",IF(AND(G99="Vertical",AH99&gt;='Eff. Standards &amp; Certifications'!$B$20,AG99&lt;='Eff. Standards &amp; Certifications'!$C$20),"Consider","No")))</f>
        <v>Consider</v>
      </c>
      <c r="AT99" s="190" t="str">
        <f t="shared" si="46"/>
        <v>Residential</v>
      </c>
      <c r="AU99" s="190"/>
      <c r="AV99" s="190" t="str">
        <f t="shared" si="40"/>
        <v>NO</v>
      </c>
      <c r="AW99" s="190" t="str">
        <f t="shared" si="40"/>
        <v>YES</v>
      </c>
      <c r="AX99" s="190" t="str">
        <f t="shared" si="62"/>
        <v>YES</v>
      </c>
      <c r="AY99" s="190" t="str">
        <f t="shared" si="47"/>
        <v>NO</v>
      </c>
      <c r="AZ99" s="190" t="str">
        <f t="shared" si="47"/>
        <v>NO</v>
      </c>
      <c r="BA99" s="190" t="str">
        <f t="shared" si="63"/>
        <v>NO</v>
      </c>
      <c r="BB99" s="190" t="str">
        <f t="shared" si="48"/>
        <v>NO</v>
      </c>
      <c r="BC99" s="190" t="str">
        <f t="shared" si="49"/>
        <v>YES</v>
      </c>
      <c r="BD99" s="190" t="str">
        <f t="shared" si="64"/>
        <v>YES</v>
      </c>
      <c r="BE99" s="190" t="str">
        <f t="shared" si="50"/>
        <v>YES</v>
      </c>
      <c r="BF99" s="190" t="str">
        <f t="shared" si="51"/>
        <v>NO</v>
      </c>
      <c r="BG99" s="190" t="str">
        <f t="shared" si="52"/>
        <v>NO</v>
      </c>
      <c r="BH99" s="88"/>
      <c r="BI99" s="9"/>
      <c r="BJ99" s="694" t="str">
        <f t="shared" si="41"/>
        <v/>
      </c>
      <c r="BK99" s="694">
        <f t="shared" si="41"/>
        <v>2.6616499999999998</v>
      </c>
      <c r="BL99" s="694" t="str">
        <f t="shared" si="42"/>
        <v/>
      </c>
      <c r="BM99" s="694">
        <f t="shared" si="42"/>
        <v>2.8825400000000001</v>
      </c>
      <c r="BN99" s="88"/>
      <c r="BO99" s="195"/>
      <c r="BP99" s="195"/>
      <c r="BQ99" s="195"/>
      <c r="BR99" s="195"/>
      <c r="BS99" s="195"/>
      <c r="BT99" s="195"/>
      <c r="BU99" s="195"/>
      <c r="BV99" s="195"/>
      <c r="BW99" s="195"/>
      <c r="BX99" s="195"/>
    </row>
    <row r="100" spans="1:76" s="124" customFormat="1" ht="15">
      <c r="A100" s="187">
        <v>5362</v>
      </c>
      <c r="B100" s="187" t="s">
        <v>461</v>
      </c>
      <c r="C100" s="187" t="s">
        <v>449</v>
      </c>
      <c r="D100" s="187" t="s">
        <v>463</v>
      </c>
      <c r="E100" s="187" t="s">
        <v>385</v>
      </c>
      <c r="F100" s="187" t="s">
        <v>386</v>
      </c>
      <c r="G100" s="187" t="s">
        <v>387</v>
      </c>
      <c r="H100" s="187" t="b">
        <v>0</v>
      </c>
      <c r="I100" s="187" t="s">
        <v>388</v>
      </c>
      <c r="J100" s="187" t="s">
        <v>389</v>
      </c>
      <c r="K100" s="187" t="b">
        <v>1</v>
      </c>
      <c r="L100" s="187">
        <v>4.2</v>
      </c>
      <c r="M100" s="187">
        <v>0.33</v>
      </c>
      <c r="N100" s="187">
        <v>11.82</v>
      </c>
      <c r="O100" s="187">
        <v>2.8</v>
      </c>
      <c r="P100" s="187">
        <v>12.72</v>
      </c>
      <c r="Q100" s="187"/>
      <c r="R100" s="187"/>
      <c r="S100" s="187"/>
      <c r="T100" s="187"/>
      <c r="U100" s="187">
        <v>31.3</v>
      </c>
      <c r="V100" s="187">
        <v>3.1</v>
      </c>
      <c r="W100" s="188">
        <v>41009</v>
      </c>
      <c r="X100" s="691">
        <f t="shared" si="43"/>
        <v>2.6616499999999998</v>
      </c>
      <c r="Y100" s="691">
        <f t="shared" si="45"/>
        <v>2.9849599999999996</v>
      </c>
      <c r="Z100" s="189"/>
      <c r="AA100" s="190">
        <f t="shared" si="53"/>
        <v>2012</v>
      </c>
      <c r="AB100" s="191">
        <f t="shared" si="54"/>
        <v>1.5779685533409729</v>
      </c>
      <c r="AC100" s="192">
        <f>IF(AB100="","",AB100*SFAssumptions!$C$3)</f>
        <v>405.0855146243872</v>
      </c>
      <c r="AD100" s="193">
        <f t="shared" si="55"/>
        <v>12.536831999999999</v>
      </c>
      <c r="AE100" s="194">
        <f>IF(AD100="","",AD100*SFAssumptions!$C$3)</f>
        <v>3218.3715142655997</v>
      </c>
      <c r="AF100" s="192">
        <f t="shared" si="44"/>
        <v>4.2</v>
      </c>
      <c r="AG100" s="192">
        <f t="shared" si="56"/>
        <v>2.9849599999999996</v>
      </c>
      <c r="AH100" s="192">
        <f t="shared" si="57"/>
        <v>2.6616499999999998</v>
      </c>
      <c r="AI100" s="692">
        <f ca="1">IF(AC100="","",AC100*SFAssumptions!$C$8/'SavingsData&amp;Analysis'!AF100)</f>
        <v>364.28832037259133</v>
      </c>
      <c r="AJ100" s="692">
        <f ca="1">IF(OR(AE100="",AF100=""),"",AE100*SFAssumptions!$C$8/AF100)</f>
        <v>2894.2411193200101</v>
      </c>
      <c r="AK100" s="191">
        <f t="shared" si="58"/>
        <v>1.3548387096774195</v>
      </c>
      <c r="AL100" s="692">
        <f>IF(AK100="","",AK100*SFAssumptions!$C$3)</f>
        <v>347.80511612903229</v>
      </c>
      <c r="AM100" s="193">
        <f t="shared" si="59"/>
        <v>11.76</v>
      </c>
      <c r="AN100" s="194">
        <f>IF(AM100="","",AM100*SFAssumptions!$C$3)</f>
        <v>3018.9484080000002</v>
      </c>
      <c r="AO100" s="693">
        <f t="shared" si="60"/>
        <v>2.8</v>
      </c>
      <c r="AP100" s="693">
        <f t="shared" si="61"/>
        <v>3.1</v>
      </c>
      <c r="AQ100" s="692">
        <f ca="1">IF(AL100="","",AL100*SFAssumptions!$C$8/'SavingsData&amp;Analysis'!AF100)</f>
        <v>312.77677674829283</v>
      </c>
      <c r="AR100" s="692">
        <f ca="1">IF(OR(AN100="",AF100=""),"",AN100*SFAssumptions!$C$8/AF100)</f>
        <v>2714.9024221751815</v>
      </c>
      <c r="AS100" s="190" t="str">
        <f>IF(OR(AG100="",AH100=""),"No",IF(AND(G100="Horizontal",AH100&gt;='Eff. Standards &amp; Certifications'!$B$21,AG100&lt;='Eff. Standards &amp; Certifications'!$C$21),"Consider",IF(AND(G100="Vertical",AH100&gt;='Eff. Standards &amp; Certifications'!$B$20,AG100&lt;='Eff. Standards &amp; Certifications'!$C$20),"Consider","No")))</f>
        <v>Consider</v>
      </c>
      <c r="AT100" s="190" t="str">
        <f t="shared" si="46"/>
        <v>Residential</v>
      </c>
      <c r="AU100" s="190"/>
      <c r="AV100" s="190" t="str">
        <f t="shared" si="40"/>
        <v>NO</v>
      </c>
      <c r="AW100" s="190" t="str">
        <f t="shared" si="40"/>
        <v>YES</v>
      </c>
      <c r="AX100" s="190" t="str">
        <f t="shared" si="62"/>
        <v>YES</v>
      </c>
      <c r="AY100" s="190" t="str">
        <f t="shared" si="47"/>
        <v>NO</v>
      </c>
      <c r="AZ100" s="190" t="str">
        <f t="shared" si="47"/>
        <v>NO</v>
      </c>
      <c r="BA100" s="190" t="str">
        <f t="shared" si="63"/>
        <v>NO</v>
      </c>
      <c r="BB100" s="190" t="str">
        <f t="shared" si="48"/>
        <v>NO</v>
      </c>
      <c r="BC100" s="190" t="str">
        <f t="shared" si="49"/>
        <v>YES</v>
      </c>
      <c r="BD100" s="190" t="str">
        <f t="shared" si="64"/>
        <v>YES</v>
      </c>
      <c r="BE100" s="190" t="str">
        <f t="shared" si="50"/>
        <v>YES</v>
      </c>
      <c r="BF100" s="190" t="str">
        <f t="shared" si="51"/>
        <v>NO</v>
      </c>
      <c r="BG100" s="190" t="str">
        <f t="shared" si="52"/>
        <v>NO</v>
      </c>
      <c r="BH100" s="88"/>
      <c r="BI100" s="9"/>
      <c r="BJ100" s="694" t="str">
        <f t="shared" si="41"/>
        <v/>
      </c>
      <c r="BK100" s="694">
        <f t="shared" si="41"/>
        <v>2.6616499999999998</v>
      </c>
      <c r="BL100" s="694" t="str">
        <f t="shared" si="42"/>
        <v/>
      </c>
      <c r="BM100" s="694">
        <f t="shared" si="42"/>
        <v>2.9849599999999996</v>
      </c>
      <c r="BN100" s="88"/>
      <c r="BO100" s="195"/>
      <c r="BP100" s="195"/>
      <c r="BQ100" s="195"/>
      <c r="BR100" s="195"/>
      <c r="BS100" s="195"/>
      <c r="BT100" s="195"/>
      <c r="BU100" s="195"/>
      <c r="BV100" s="195"/>
      <c r="BW100" s="195"/>
      <c r="BX100" s="195"/>
    </row>
    <row r="101" spans="1:76" s="124" customFormat="1" ht="15">
      <c r="A101" s="187">
        <v>5576</v>
      </c>
      <c r="B101" s="187" t="s">
        <v>461</v>
      </c>
      <c r="C101" s="187" t="s">
        <v>455</v>
      </c>
      <c r="D101" s="187" t="s">
        <v>464</v>
      </c>
      <c r="E101" s="187" t="s">
        <v>385</v>
      </c>
      <c r="F101" s="187" t="s">
        <v>386</v>
      </c>
      <c r="G101" s="187" t="s">
        <v>387</v>
      </c>
      <c r="H101" s="187" t="b">
        <v>0</v>
      </c>
      <c r="I101" s="187" t="s">
        <v>388</v>
      </c>
      <c r="J101" s="187" t="s">
        <v>389</v>
      </c>
      <c r="K101" s="187" t="b">
        <v>1</v>
      </c>
      <c r="L101" s="187">
        <v>3.8</v>
      </c>
      <c r="M101" s="187">
        <v>0.25</v>
      </c>
      <c r="N101" s="187">
        <v>10.67</v>
      </c>
      <c r="O101" s="187">
        <v>2.8</v>
      </c>
      <c r="P101" s="187">
        <v>15.55</v>
      </c>
      <c r="Q101" s="187"/>
      <c r="R101" s="187"/>
      <c r="S101" s="187"/>
      <c r="T101" s="187"/>
      <c r="U101" s="187">
        <v>33.1</v>
      </c>
      <c r="V101" s="187">
        <v>3.21</v>
      </c>
      <c r="W101" s="188">
        <v>41248</v>
      </c>
      <c r="X101" s="691">
        <f t="shared" si="43"/>
        <v>2.7622450000000001</v>
      </c>
      <c r="Y101" s="691">
        <f t="shared" si="45"/>
        <v>2.9849599999999996</v>
      </c>
      <c r="Z101" s="189"/>
      <c r="AA101" s="190">
        <f t="shared" si="53"/>
        <v>2012</v>
      </c>
      <c r="AB101" s="191">
        <f t="shared" si="54"/>
        <v>1.3756925978687624</v>
      </c>
      <c r="AC101" s="192">
        <f>IF(AB101="","",AB101*SFAssumptions!$C$3)</f>
        <v>353.15858658446297</v>
      </c>
      <c r="AD101" s="193">
        <f t="shared" si="55"/>
        <v>11.342847999999998</v>
      </c>
      <c r="AE101" s="194">
        <f>IF(AD101="","",AD101*SFAssumptions!$C$3)</f>
        <v>2911.8599414783994</v>
      </c>
      <c r="AF101" s="192">
        <f t="shared" si="44"/>
        <v>3.8</v>
      </c>
      <c r="AG101" s="192">
        <f t="shared" si="56"/>
        <v>2.9849599999999996</v>
      </c>
      <c r="AH101" s="192">
        <f t="shared" si="57"/>
        <v>2.7622450000000001</v>
      </c>
      <c r="AI101" s="692">
        <f ca="1">IF(AC101="","",AC101*SFAssumptions!$C$8/'SavingsData&amp;Analysis'!AF101)</f>
        <v>351.02172613932061</v>
      </c>
      <c r="AJ101" s="692">
        <f ca="1">IF(OR(AE101="",AF101=""),"",AE101*SFAssumptions!$C$8/AF101)</f>
        <v>2894.2411193200101</v>
      </c>
      <c r="AK101" s="191">
        <f t="shared" si="58"/>
        <v>1.1838006230529594</v>
      </c>
      <c r="AL101" s="692">
        <f>IF(AK101="","",AK101*SFAssumptions!$C$3)</f>
        <v>303.89736448598131</v>
      </c>
      <c r="AM101" s="193">
        <f t="shared" si="59"/>
        <v>10.639999999999999</v>
      </c>
      <c r="AN101" s="194">
        <f>IF(AM101="","",AM101*SFAssumptions!$C$3)</f>
        <v>2731.4295119999997</v>
      </c>
      <c r="AO101" s="693">
        <f t="shared" si="60"/>
        <v>2.8</v>
      </c>
      <c r="AP101" s="693">
        <f t="shared" si="61"/>
        <v>3.21</v>
      </c>
      <c r="AQ101" s="692">
        <f ca="1">IF(AL101="","",AL101*SFAssumptions!$C$8/'SavingsData&amp;Analysis'!AF101)</f>
        <v>302.05856944539181</v>
      </c>
      <c r="AR101" s="692">
        <f ca="1">IF(OR(AN101="",AF101=""),"",AN101*SFAssumptions!$C$8/AF101)</f>
        <v>2714.9024221751811</v>
      </c>
      <c r="AS101" s="190" t="str">
        <f>IF(OR(AG101="",AH101=""),"No",IF(AND(G101="Horizontal",AH101&gt;='Eff. Standards &amp; Certifications'!$B$21,AG101&lt;='Eff. Standards &amp; Certifications'!$C$21),"Consider",IF(AND(G101="Vertical",AH101&gt;='Eff. Standards &amp; Certifications'!$B$20,AG101&lt;='Eff. Standards &amp; Certifications'!$C$20),"Consider","No")))</f>
        <v>Consider</v>
      </c>
      <c r="AT101" s="190" t="str">
        <f t="shared" si="46"/>
        <v>Residential</v>
      </c>
      <c r="AU101" s="190"/>
      <c r="AV101" s="190" t="str">
        <f t="shared" si="40"/>
        <v>NO</v>
      </c>
      <c r="AW101" s="190" t="str">
        <f t="shared" si="40"/>
        <v>YES</v>
      </c>
      <c r="AX101" s="190" t="str">
        <f t="shared" si="62"/>
        <v>YES</v>
      </c>
      <c r="AY101" s="190" t="str">
        <f t="shared" si="47"/>
        <v>NO</v>
      </c>
      <c r="AZ101" s="190" t="str">
        <f t="shared" si="47"/>
        <v>NO</v>
      </c>
      <c r="BA101" s="190" t="str">
        <f t="shared" si="63"/>
        <v>NO</v>
      </c>
      <c r="BB101" s="190" t="str">
        <f t="shared" si="48"/>
        <v>NO</v>
      </c>
      <c r="BC101" s="190" t="str">
        <f t="shared" si="49"/>
        <v>YES</v>
      </c>
      <c r="BD101" s="190" t="str">
        <f t="shared" si="64"/>
        <v>YES</v>
      </c>
      <c r="BE101" s="190" t="str">
        <f t="shared" si="50"/>
        <v>NO</v>
      </c>
      <c r="BF101" s="190" t="str">
        <f t="shared" si="51"/>
        <v>YES</v>
      </c>
      <c r="BG101" s="190" t="str">
        <f t="shared" si="52"/>
        <v>NO</v>
      </c>
      <c r="BH101" s="88"/>
      <c r="BI101" s="9"/>
      <c r="BJ101" s="694" t="str">
        <f t="shared" si="41"/>
        <v/>
      </c>
      <c r="BK101" s="694">
        <f t="shared" si="41"/>
        <v>2.7622450000000001</v>
      </c>
      <c r="BL101" s="694" t="str">
        <f t="shared" si="42"/>
        <v/>
      </c>
      <c r="BM101" s="694">
        <f t="shared" si="42"/>
        <v>2.9849599999999996</v>
      </c>
      <c r="BN101" s="88"/>
      <c r="BO101" s="195"/>
      <c r="BP101" s="195"/>
      <c r="BQ101" s="195"/>
      <c r="BR101" s="195"/>
      <c r="BS101" s="195"/>
      <c r="BT101" s="195"/>
      <c r="BU101" s="195"/>
      <c r="BV101" s="195"/>
      <c r="BW101" s="195"/>
      <c r="BX101" s="195"/>
    </row>
    <row r="102" spans="1:76" s="124" customFormat="1" ht="15">
      <c r="A102" s="187">
        <v>5577</v>
      </c>
      <c r="B102" s="187" t="s">
        <v>461</v>
      </c>
      <c r="C102" s="187" t="s">
        <v>455</v>
      </c>
      <c r="D102" s="187" t="s">
        <v>465</v>
      </c>
      <c r="E102" s="187" t="s">
        <v>385</v>
      </c>
      <c r="F102" s="187" t="s">
        <v>386</v>
      </c>
      <c r="G102" s="187" t="s">
        <v>387</v>
      </c>
      <c r="H102" s="187" t="b">
        <v>0</v>
      </c>
      <c r="I102" s="187" t="s">
        <v>388</v>
      </c>
      <c r="J102" s="187" t="s">
        <v>389</v>
      </c>
      <c r="K102" s="187" t="b">
        <v>1</v>
      </c>
      <c r="L102" s="187">
        <v>3.9</v>
      </c>
      <c r="M102" s="187">
        <v>0.24</v>
      </c>
      <c r="N102" s="187">
        <v>10.8</v>
      </c>
      <c r="O102" s="187">
        <v>2.7</v>
      </c>
      <c r="P102" s="187">
        <v>16.420000000000002</v>
      </c>
      <c r="Q102" s="187"/>
      <c r="R102" s="187"/>
      <c r="S102" s="187"/>
      <c r="T102" s="187"/>
      <c r="U102" s="187">
        <v>31.5</v>
      </c>
      <c r="V102" s="187">
        <v>3.21</v>
      </c>
      <c r="W102" s="188">
        <v>41248</v>
      </c>
      <c r="X102" s="691">
        <f t="shared" si="43"/>
        <v>2.7622450000000001</v>
      </c>
      <c r="Y102" s="691">
        <f t="shared" si="45"/>
        <v>2.8825400000000001</v>
      </c>
      <c r="Z102" s="189"/>
      <c r="AA102" s="190">
        <f t="shared" si="53"/>
        <v>2012</v>
      </c>
      <c r="AB102" s="191">
        <f t="shared" si="54"/>
        <v>1.4118950346547825</v>
      </c>
      <c r="AC102" s="192">
        <f>IF(AB102="","",AB102*SFAssumptions!$C$3)</f>
        <v>362.45223359984357</v>
      </c>
      <c r="AD102" s="193">
        <f t="shared" si="55"/>
        <v>11.241906</v>
      </c>
      <c r="AE102" s="194">
        <f>IF(AD102="","",AD102*SFAssumptions!$C$3)</f>
        <v>2885.9467875497999</v>
      </c>
      <c r="AF102" s="192">
        <f t="shared" si="44"/>
        <v>3.9</v>
      </c>
      <c r="AG102" s="192">
        <f t="shared" si="56"/>
        <v>2.8825400000000001</v>
      </c>
      <c r="AH102" s="192">
        <f t="shared" si="57"/>
        <v>2.7622450000000001</v>
      </c>
      <c r="AI102" s="692">
        <f ca="1">IF(AC102="","",AC102*SFAssumptions!$C$8/'SavingsData&amp;Analysis'!AF102)</f>
        <v>351.02172613932055</v>
      </c>
      <c r="AJ102" s="692">
        <f ca="1">IF(OR(AE102="",AF102=""),"",AE102*SFAssumptions!$C$8/AF102)</f>
        <v>2794.9338671488745</v>
      </c>
      <c r="AK102" s="191">
        <f t="shared" si="58"/>
        <v>1.2149532710280373</v>
      </c>
      <c r="AL102" s="692">
        <f>IF(AK102="","",AK102*SFAssumptions!$C$3)</f>
        <v>311.89466355140183</v>
      </c>
      <c r="AM102" s="193">
        <f t="shared" si="59"/>
        <v>10.530000000000001</v>
      </c>
      <c r="AN102" s="194">
        <f>IF(AM102="","",AM102*SFAssumptions!$C$3)</f>
        <v>2703.1910490000005</v>
      </c>
      <c r="AO102" s="693">
        <f t="shared" si="60"/>
        <v>2.7</v>
      </c>
      <c r="AP102" s="693">
        <f t="shared" si="61"/>
        <v>3.21</v>
      </c>
      <c r="AQ102" s="692">
        <f ca="1">IF(AL102="","",AL102*SFAssumptions!$C$8/'SavingsData&amp;Analysis'!AF102)</f>
        <v>302.05856944539175</v>
      </c>
      <c r="AR102" s="692">
        <f ca="1">IF(OR(AN102="",AF102=""),"",AN102*SFAssumptions!$C$8/AF102)</f>
        <v>2617.9416213832114</v>
      </c>
      <c r="AS102" s="190" t="str">
        <f>IF(OR(AG102="",AH102=""),"No",IF(AND(G102="Horizontal",AH102&gt;='Eff. Standards &amp; Certifications'!$B$21,AG102&lt;='Eff. Standards &amp; Certifications'!$C$21),"Consider",IF(AND(G102="Vertical",AH102&gt;='Eff. Standards &amp; Certifications'!$B$20,AG102&lt;='Eff. Standards &amp; Certifications'!$C$20),"Consider","No")))</f>
        <v>Consider</v>
      </c>
      <c r="AT102" s="190" t="str">
        <f t="shared" si="46"/>
        <v>Residential</v>
      </c>
      <c r="AU102" s="190"/>
      <c r="AV102" s="190" t="str">
        <f t="shared" si="40"/>
        <v>NO</v>
      </c>
      <c r="AW102" s="190" t="str">
        <f t="shared" si="40"/>
        <v>YES</v>
      </c>
      <c r="AX102" s="190" t="str">
        <f t="shared" si="62"/>
        <v>YES</v>
      </c>
      <c r="AY102" s="190" t="str">
        <f t="shared" si="47"/>
        <v>NO</v>
      </c>
      <c r="AZ102" s="190" t="str">
        <f t="shared" si="47"/>
        <v>NO</v>
      </c>
      <c r="BA102" s="190" t="str">
        <f t="shared" si="63"/>
        <v>NO</v>
      </c>
      <c r="BB102" s="190" t="str">
        <f t="shared" si="48"/>
        <v>NO</v>
      </c>
      <c r="BC102" s="190" t="str">
        <f t="shared" si="49"/>
        <v>YES</v>
      </c>
      <c r="BD102" s="190" t="str">
        <f t="shared" si="64"/>
        <v>YES</v>
      </c>
      <c r="BE102" s="190" t="str">
        <f t="shared" si="50"/>
        <v>NO</v>
      </c>
      <c r="BF102" s="190" t="str">
        <f t="shared" si="51"/>
        <v>YES</v>
      </c>
      <c r="BG102" s="190" t="str">
        <f t="shared" si="52"/>
        <v>NO</v>
      </c>
      <c r="BH102" s="88"/>
      <c r="BI102" s="9"/>
      <c r="BJ102" s="694" t="str">
        <f t="shared" si="41"/>
        <v/>
      </c>
      <c r="BK102" s="694">
        <f t="shared" si="41"/>
        <v>2.7622450000000001</v>
      </c>
      <c r="BL102" s="694" t="str">
        <f t="shared" si="42"/>
        <v/>
      </c>
      <c r="BM102" s="694">
        <f t="shared" si="42"/>
        <v>2.8825400000000001</v>
      </c>
      <c r="BN102" s="88"/>
      <c r="BO102" s="195"/>
      <c r="BP102" s="195"/>
      <c r="BQ102" s="195"/>
      <c r="BR102" s="195"/>
      <c r="BS102" s="195"/>
      <c r="BT102" s="195"/>
      <c r="BU102" s="195"/>
      <c r="BV102" s="195"/>
      <c r="BW102" s="195"/>
      <c r="BX102" s="195"/>
    </row>
    <row r="103" spans="1:76" s="124" customFormat="1" ht="15">
      <c r="A103" s="187">
        <v>5172</v>
      </c>
      <c r="B103" s="187" t="s">
        <v>461</v>
      </c>
      <c r="C103" s="187" t="s">
        <v>455</v>
      </c>
      <c r="D103" s="187" t="s">
        <v>466</v>
      </c>
      <c r="E103" s="187" t="s">
        <v>385</v>
      </c>
      <c r="F103" s="187" t="s">
        <v>386</v>
      </c>
      <c r="G103" s="187" t="s">
        <v>387</v>
      </c>
      <c r="H103" s="187" t="b">
        <v>0</v>
      </c>
      <c r="I103" s="187" t="s">
        <v>388</v>
      </c>
      <c r="J103" s="187" t="s">
        <v>389</v>
      </c>
      <c r="K103" s="187" t="b">
        <v>1</v>
      </c>
      <c r="L103" s="187">
        <v>3.3</v>
      </c>
      <c r="M103" s="187">
        <v>0.17</v>
      </c>
      <c r="N103" s="187">
        <v>11.55</v>
      </c>
      <c r="O103" s="187">
        <v>3.5</v>
      </c>
      <c r="P103" s="187">
        <v>18.97</v>
      </c>
      <c r="Q103" s="187"/>
      <c r="R103" s="187"/>
      <c r="S103" s="187"/>
      <c r="T103" s="187"/>
      <c r="U103" s="187">
        <v>41.4</v>
      </c>
      <c r="V103" s="187">
        <v>2.86</v>
      </c>
      <c r="W103" s="188">
        <v>40794</v>
      </c>
      <c r="X103" s="691">
        <f t="shared" si="43"/>
        <v>2.44217</v>
      </c>
      <c r="Y103" s="691">
        <f t="shared" si="45"/>
        <v>3.7018999999999997</v>
      </c>
      <c r="Z103" s="189"/>
      <c r="AA103" s="190">
        <f t="shared" si="53"/>
        <v>2011</v>
      </c>
      <c r="AB103" s="191">
        <f t="shared" si="54"/>
        <v>1.3512572834814938</v>
      </c>
      <c r="AC103" s="192">
        <f>IF(AB103="","",AB103*SFAssumptions!$C$3)</f>
        <v>346.88571639156976</v>
      </c>
      <c r="AD103" s="193">
        <f t="shared" si="55"/>
        <v>12.216269999999998</v>
      </c>
      <c r="AE103" s="194">
        <f>IF(AD103="","",AD103*SFAssumptions!$C$3)</f>
        <v>3136.0789853909996</v>
      </c>
      <c r="AF103" s="192">
        <f t="shared" si="44"/>
        <v>3.3</v>
      </c>
      <c r="AG103" s="192">
        <f t="shared" si="56"/>
        <v>3.7018999999999997</v>
      </c>
      <c r="AH103" s="192">
        <f t="shared" si="57"/>
        <v>2.44217</v>
      </c>
      <c r="AI103" s="692">
        <f ca="1">IF(AC103="","",AC103*SFAssumptions!$C$8/'SavingsData&amp;Analysis'!AF103)</f>
        <v>397.02723721923849</v>
      </c>
      <c r="AJ103" s="692">
        <f ca="1">IF(OR(AE103="",AF103=""),"",AE103*SFAssumptions!$C$8/AF103)</f>
        <v>3589.3918845179655</v>
      </c>
      <c r="AK103" s="191">
        <f t="shared" si="58"/>
        <v>1.1538461538461537</v>
      </c>
      <c r="AL103" s="692">
        <f>IF(AK103="","",AK103*SFAssumptions!$C$3)</f>
        <v>296.20765384615385</v>
      </c>
      <c r="AM103" s="193">
        <f t="shared" si="59"/>
        <v>11.549999999999999</v>
      </c>
      <c r="AN103" s="194">
        <f>IF(AM103="","",AM103*SFAssumptions!$C$3)</f>
        <v>2965.0386149999999</v>
      </c>
      <c r="AO103" s="693">
        <f t="shared" si="60"/>
        <v>3.5</v>
      </c>
      <c r="AP103" s="693">
        <f t="shared" si="61"/>
        <v>2.86</v>
      </c>
      <c r="AQ103" s="692">
        <f ca="1">IF(AL103="","",AL103*SFAssumptions!$C$8/'SavingsData&amp;Analysis'!AF103)</f>
        <v>339.02377899290479</v>
      </c>
      <c r="AR103" s="692">
        <f ca="1">IF(OR(AN103="",AF103=""),"",AN103*SFAssumptions!$C$8/AF103)</f>
        <v>3393.6280277189767</v>
      </c>
      <c r="AS103" s="190" t="str">
        <f>IF(OR(AG103="",AH103=""),"No",IF(AND(G103="Horizontal",AH103&gt;='Eff. Standards &amp; Certifications'!$B$21,AG103&lt;='Eff. Standards &amp; Certifications'!$C$21),"Consider",IF(AND(G103="Vertical",AH103&gt;='Eff. Standards &amp; Certifications'!$B$20,AG103&lt;='Eff. Standards &amp; Certifications'!$C$20),"Consider","No")))</f>
        <v>Consider</v>
      </c>
      <c r="AT103" s="190" t="str">
        <f t="shared" si="46"/>
        <v>Residential</v>
      </c>
      <c r="AU103" s="190"/>
      <c r="AV103" s="190" t="str">
        <f t="shared" ref="AV103:AW122" si="65">IF(AND($G103=AV$18,$AS103="Consider",$AT103="Residential",$AH103&gt;=AV$3,$AH103&lt;=AV$4,$AG103&gt;=AV$5,$AG103&lt;=AV$6),"YES","NO")</f>
        <v>NO</v>
      </c>
      <c r="AW103" s="190" t="str">
        <f t="shared" si="65"/>
        <v>YES</v>
      </c>
      <c r="AX103" s="190" t="str">
        <f t="shared" si="62"/>
        <v>YES</v>
      </c>
      <c r="AY103" s="190" t="str">
        <f t="shared" si="47"/>
        <v>NO</v>
      </c>
      <c r="AZ103" s="190" t="str">
        <f t="shared" si="47"/>
        <v>YES</v>
      </c>
      <c r="BA103" s="190" t="str">
        <f t="shared" si="63"/>
        <v>YES</v>
      </c>
      <c r="BB103" s="190" t="str">
        <f t="shared" si="48"/>
        <v>NO</v>
      </c>
      <c r="BC103" s="190" t="str">
        <f t="shared" si="49"/>
        <v>NO</v>
      </c>
      <c r="BD103" s="190" t="str">
        <f t="shared" si="64"/>
        <v>NO</v>
      </c>
      <c r="BE103" s="190" t="str">
        <f t="shared" si="50"/>
        <v>NO</v>
      </c>
      <c r="BF103" s="190" t="str">
        <f t="shared" si="51"/>
        <v>NO</v>
      </c>
      <c r="BG103" s="190" t="str">
        <f t="shared" si="52"/>
        <v>NO</v>
      </c>
      <c r="BH103" s="88"/>
      <c r="BI103" s="9"/>
      <c r="BJ103" s="694" t="str">
        <f t="shared" ref="BJ103:BK122" si="66">IF(AND($G103=BJ$21,$AT103="Residential",$AS103="Consider"),$X103,"")</f>
        <v/>
      </c>
      <c r="BK103" s="694">
        <f t="shared" si="66"/>
        <v>2.44217</v>
      </c>
      <c r="BL103" s="694" t="str">
        <f t="shared" ref="BL103:BM122" si="67">IF(AND($G103=BL$21,$AT103="Residential",$AS103="Consider"),$Y103,"")</f>
        <v/>
      </c>
      <c r="BM103" s="694">
        <f t="shared" si="67"/>
        <v>3.7018999999999997</v>
      </c>
      <c r="BN103" s="88"/>
      <c r="BO103" s="195"/>
      <c r="BP103" s="195"/>
      <c r="BQ103" s="195"/>
      <c r="BR103" s="195"/>
      <c r="BS103" s="195"/>
      <c r="BT103" s="195"/>
      <c r="BU103" s="195"/>
      <c r="BV103" s="195"/>
      <c r="BW103" s="195"/>
      <c r="BX103" s="195"/>
    </row>
    <row r="104" spans="1:76" s="124" customFormat="1" ht="15">
      <c r="A104" s="187">
        <v>5292</v>
      </c>
      <c r="B104" s="187" t="s">
        <v>461</v>
      </c>
      <c r="C104" s="187" t="s">
        <v>455</v>
      </c>
      <c r="D104" s="187" t="s">
        <v>467</v>
      </c>
      <c r="E104" s="187" t="s">
        <v>385</v>
      </c>
      <c r="F104" s="187" t="s">
        <v>386</v>
      </c>
      <c r="G104" s="187" t="s">
        <v>387</v>
      </c>
      <c r="H104" s="187" t="b">
        <v>0</v>
      </c>
      <c r="I104" s="187" t="s">
        <v>388</v>
      </c>
      <c r="J104" s="187" t="s">
        <v>389</v>
      </c>
      <c r="K104" s="187" t="b">
        <v>1</v>
      </c>
      <c r="L104" s="187">
        <v>3.7</v>
      </c>
      <c r="M104" s="187">
        <v>0.27</v>
      </c>
      <c r="N104" s="187">
        <v>10.67</v>
      </c>
      <c r="O104" s="187">
        <v>2.9</v>
      </c>
      <c r="P104" s="187">
        <v>13.87</v>
      </c>
      <c r="Q104" s="187"/>
      <c r="R104" s="187"/>
      <c r="S104" s="187"/>
      <c r="T104" s="187"/>
      <c r="U104" s="187">
        <v>33.4</v>
      </c>
      <c r="V104" s="187">
        <v>3.35</v>
      </c>
      <c r="W104" s="188">
        <v>40952</v>
      </c>
      <c r="X104" s="691">
        <f t="shared" si="43"/>
        <v>2.8902749999999999</v>
      </c>
      <c r="Y104" s="691">
        <f t="shared" si="45"/>
        <v>3.08738</v>
      </c>
      <c r="Z104" s="189"/>
      <c r="AA104" s="190">
        <f t="shared" si="53"/>
        <v>2012</v>
      </c>
      <c r="AB104" s="191">
        <f t="shared" si="54"/>
        <v>1.2801550025516604</v>
      </c>
      <c r="AC104" s="192">
        <f>IF(AB104="","",AB104*SFAssumptions!$C$3)</f>
        <v>328.63281521654517</v>
      </c>
      <c r="AD104" s="193">
        <f t="shared" si="55"/>
        <v>11.423306</v>
      </c>
      <c r="AE104" s="194">
        <f>IF(AD104="","",AD104*SFAssumptions!$C$3)</f>
        <v>2932.5145801698</v>
      </c>
      <c r="AF104" s="192">
        <f t="shared" si="44"/>
        <v>3.7</v>
      </c>
      <c r="AG104" s="192">
        <f t="shared" si="56"/>
        <v>3.08738</v>
      </c>
      <c r="AH104" s="192">
        <f t="shared" si="57"/>
        <v>2.8902749999999999</v>
      </c>
      <c r="AI104" s="692">
        <f ca="1">IF(AC104="","",AC104*SFAssumptions!$C$8/'SavingsData&amp;Analysis'!AF104)</f>
        <v>335.47257887907125</v>
      </c>
      <c r="AJ104" s="692">
        <f ca="1">IF(OR(AE104="",AF104=""),"",AE104*SFAssumptions!$C$8/AF104)</f>
        <v>2993.5483714911466</v>
      </c>
      <c r="AK104" s="191">
        <f t="shared" si="58"/>
        <v>1.1044776119402986</v>
      </c>
      <c r="AL104" s="692">
        <f>IF(AK104="","",AK104*SFAssumptions!$C$3)</f>
        <v>283.53409253731348</v>
      </c>
      <c r="AM104" s="193">
        <f t="shared" si="59"/>
        <v>10.73</v>
      </c>
      <c r="AN104" s="194">
        <f>IF(AM104="","",AM104*SFAssumptions!$C$3)</f>
        <v>2754.5337090000003</v>
      </c>
      <c r="AO104" s="693">
        <f t="shared" si="60"/>
        <v>2.9</v>
      </c>
      <c r="AP104" s="693">
        <f t="shared" si="61"/>
        <v>3.35</v>
      </c>
      <c r="AQ104" s="692">
        <f ca="1">IF(AL104="","",AL104*SFAssumptions!$C$8/'SavingsData&amp;Analysis'!AF104)</f>
        <v>289.43522624468892</v>
      </c>
      <c r="AR104" s="692">
        <f ca="1">IF(OR(AN104="",AF104=""),"",AN104*SFAssumptions!$C$8/AF104)</f>
        <v>2811.8632229671525</v>
      </c>
      <c r="AS104" s="190" t="str">
        <f>IF(OR(AG104="",AH104=""),"No",IF(AND(G104="Horizontal",AH104&gt;='Eff. Standards &amp; Certifications'!$B$21,AG104&lt;='Eff. Standards &amp; Certifications'!$C$21),"Consider",IF(AND(G104="Vertical",AH104&gt;='Eff. Standards &amp; Certifications'!$B$20,AG104&lt;='Eff. Standards &amp; Certifications'!$C$20),"Consider","No")))</f>
        <v>Consider</v>
      </c>
      <c r="AT104" s="190" t="str">
        <f t="shared" si="46"/>
        <v>Residential</v>
      </c>
      <c r="AU104" s="190"/>
      <c r="AV104" s="190" t="str">
        <f t="shared" si="65"/>
        <v>NO</v>
      </c>
      <c r="AW104" s="190" t="str">
        <f t="shared" si="65"/>
        <v>YES</v>
      </c>
      <c r="AX104" s="190" t="str">
        <f t="shared" si="62"/>
        <v>YES</v>
      </c>
      <c r="AY104" s="190" t="str">
        <f t="shared" si="47"/>
        <v>NO</v>
      </c>
      <c r="AZ104" s="190" t="str">
        <f t="shared" si="47"/>
        <v>NO</v>
      </c>
      <c r="BA104" s="190" t="str">
        <f t="shared" si="63"/>
        <v>NO</v>
      </c>
      <c r="BB104" s="190" t="str">
        <f t="shared" si="48"/>
        <v>NO</v>
      </c>
      <c r="BC104" s="190" t="str">
        <f t="shared" si="49"/>
        <v>YES</v>
      </c>
      <c r="BD104" s="190" t="str">
        <f t="shared" si="64"/>
        <v>YES</v>
      </c>
      <c r="BE104" s="190" t="str">
        <f t="shared" si="50"/>
        <v>NO</v>
      </c>
      <c r="BF104" s="190" t="str">
        <f t="shared" si="51"/>
        <v>YES</v>
      </c>
      <c r="BG104" s="190" t="str">
        <f t="shared" si="52"/>
        <v>NO</v>
      </c>
      <c r="BH104" s="88"/>
      <c r="BI104" s="9"/>
      <c r="BJ104" s="694" t="str">
        <f t="shared" si="66"/>
        <v/>
      </c>
      <c r="BK104" s="694">
        <f t="shared" si="66"/>
        <v>2.8902749999999999</v>
      </c>
      <c r="BL104" s="694" t="str">
        <f t="shared" si="67"/>
        <v/>
      </c>
      <c r="BM104" s="694">
        <f t="shared" si="67"/>
        <v>3.08738</v>
      </c>
      <c r="BN104" s="88"/>
      <c r="BO104" s="195"/>
      <c r="BP104" s="195"/>
      <c r="BQ104" s="195"/>
      <c r="BR104" s="195"/>
      <c r="BS104" s="195"/>
      <c r="BT104" s="195"/>
      <c r="BU104" s="195"/>
      <c r="BV104" s="195"/>
      <c r="BW104" s="195"/>
      <c r="BX104" s="195"/>
    </row>
    <row r="105" spans="1:76" s="124" customFormat="1" ht="15">
      <c r="A105" s="187">
        <v>5474</v>
      </c>
      <c r="B105" s="187" t="s">
        <v>461</v>
      </c>
      <c r="C105" s="187" t="s">
        <v>455</v>
      </c>
      <c r="D105" s="187" t="s">
        <v>468</v>
      </c>
      <c r="E105" s="187" t="s">
        <v>392</v>
      </c>
      <c r="F105" s="187" t="s">
        <v>386</v>
      </c>
      <c r="G105" s="187" t="s">
        <v>393</v>
      </c>
      <c r="H105" s="187" t="b">
        <v>0</v>
      </c>
      <c r="I105" s="187" t="s">
        <v>388</v>
      </c>
      <c r="J105" s="187" t="s">
        <v>389</v>
      </c>
      <c r="K105" s="187" t="b">
        <v>0</v>
      </c>
      <c r="L105" s="187">
        <v>3.4</v>
      </c>
      <c r="M105" s="187">
        <v>0.54</v>
      </c>
      <c r="N105" s="187">
        <v>20.170000000000002</v>
      </c>
      <c r="O105" s="187">
        <v>6</v>
      </c>
      <c r="P105" s="187">
        <v>6.22</v>
      </c>
      <c r="Q105" s="187"/>
      <c r="R105" s="187"/>
      <c r="S105" s="187"/>
      <c r="T105" s="187"/>
      <c r="U105" s="187">
        <v>47.2</v>
      </c>
      <c r="V105" s="187">
        <v>2.0099999999999998</v>
      </c>
      <c r="W105" s="188">
        <v>41128</v>
      </c>
      <c r="X105" s="691">
        <f t="shared" si="43"/>
        <v>1.5735999999999999</v>
      </c>
      <c r="Y105" s="691">
        <f t="shared" si="45"/>
        <v>6.4615</v>
      </c>
      <c r="Z105" s="189"/>
      <c r="AA105" s="190">
        <f t="shared" si="53"/>
        <v>2012</v>
      </c>
      <c r="AB105" s="191">
        <f t="shared" si="54"/>
        <v>2.1606507371631927</v>
      </c>
      <c r="AC105" s="192">
        <f>IF(AB105="","",AB105*SFAssumptions!$C$3)</f>
        <v>554.6677808845958</v>
      </c>
      <c r="AD105" s="193">
        <f t="shared" si="55"/>
        <v>21.969100000000001</v>
      </c>
      <c r="AE105" s="194">
        <f>IF(AD105="","",AD105*SFAssumptions!$C$3)</f>
        <v>5639.7601590300001</v>
      </c>
      <c r="AF105" s="192">
        <f t="shared" si="44"/>
        <v>3.4</v>
      </c>
      <c r="AG105" s="192">
        <f t="shared" si="56"/>
        <v>6.4615</v>
      </c>
      <c r="AH105" s="192">
        <f t="shared" si="57"/>
        <v>1.5735999999999999</v>
      </c>
      <c r="AI105" s="692">
        <f ca="1">IF(AC105="","",AC105*SFAssumptions!$C$8/'SavingsData&amp;Analysis'!AF105)</f>
        <v>616.17184031501506</v>
      </c>
      <c r="AJ105" s="692">
        <f ca="1">IF(OR(AE105="",AF105=""),"",AE105*SFAssumptions!$C$8/AF105)</f>
        <v>6265.1221431731919</v>
      </c>
      <c r="AK105" s="191">
        <f t="shared" si="58"/>
        <v>1.691542288557214</v>
      </c>
      <c r="AL105" s="692">
        <f>IF(AK105="","",AK105*SFAssumptions!$C$3)</f>
        <v>434.24140298507467</v>
      </c>
      <c r="AM105" s="193">
        <f t="shared" si="59"/>
        <v>20.399999999999999</v>
      </c>
      <c r="AN105" s="194">
        <f>IF(AM105="","",AM105*SFAssumptions!$C$3)</f>
        <v>5236.9513200000001</v>
      </c>
      <c r="AO105" s="693">
        <f t="shared" si="60"/>
        <v>6</v>
      </c>
      <c r="AP105" s="693">
        <f t="shared" si="61"/>
        <v>2.0099999999999998</v>
      </c>
      <c r="AQ105" s="692">
        <f ca="1">IF(AL105="","",AL105*SFAssumptions!$C$8/'SavingsData&amp;Analysis'!AF105)</f>
        <v>482.39204374114814</v>
      </c>
      <c r="AR105" s="692">
        <f ca="1">IF(OR(AN105="",AF105=""),"",AN105*SFAssumptions!$C$8/AF105)</f>
        <v>5817.6480475182461</v>
      </c>
      <c r="AS105" s="190" t="str">
        <f>IF(OR(AG105="",AH105=""),"No",IF(AND(G105="Horizontal",AH105&gt;='Eff. Standards &amp; Certifications'!$B$21,AG105&lt;='Eff. Standards &amp; Certifications'!$C$21),"Consider",IF(AND(G105="Vertical",AH105&gt;='Eff. Standards &amp; Certifications'!$B$20,AG105&lt;='Eff. Standards &amp; Certifications'!$C$20),"Consider","No")))</f>
        <v>Consider</v>
      </c>
      <c r="AT105" s="190" t="str">
        <f t="shared" si="46"/>
        <v>Residential</v>
      </c>
      <c r="AU105" s="190"/>
      <c r="AV105" s="190" t="str">
        <f t="shared" si="65"/>
        <v>YES</v>
      </c>
      <c r="AW105" s="190" t="str">
        <f t="shared" si="65"/>
        <v>NO</v>
      </c>
      <c r="AX105" s="190" t="str">
        <f t="shared" si="62"/>
        <v>YES</v>
      </c>
      <c r="AY105" s="190" t="str">
        <f t="shared" si="47"/>
        <v>YES</v>
      </c>
      <c r="AZ105" s="190" t="str">
        <f t="shared" si="47"/>
        <v>NO</v>
      </c>
      <c r="BA105" s="190" t="str">
        <f t="shared" si="63"/>
        <v>YES</v>
      </c>
      <c r="BB105" s="190" t="str">
        <f t="shared" si="48"/>
        <v>NO</v>
      </c>
      <c r="BC105" s="190" t="str">
        <f t="shared" si="49"/>
        <v>NO</v>
      </c>
      <c r="BD105" s="190" t="str">
        <f t="shared" si="64"/>
        <v>NO</v>
      </c>
      <c r="BE105" s="190" t="str">
        <f t="shared" si="50"/>
        <v>NO</v>
      </c>
      <c r="BF105" s="190" t="str">
        <f t="shared" si="51"/>
        <v>NO</v>
      </c>
      <c r="BG105" s="190" t="str">
        <f t="shared" si="52"/>
        <v>NO</v>
      </c>
      <c r="BH105" s="88"/>
      <c r="BI105" s="9"/>
      <c r="BJ105" s="694">
        <f t="shared" si="66"/>
        <v>1.5735999999999999</v>
      </c>
      <c r="BK105" s="694" t="str">
        <f t="shared" si="66"/>
        <v/>
      </c>
      <c r="BL105" s="694">
        <f t="shared" si="67"/>
        <v>6.4615</v>
      </c>
      <c r="BM105" s="694" t="str">
        <f t="shared" si="67"/>
        <v/>
      </c>
      <c r="BN105" s="88"/>
      <c r="BO105" s="195"/>
      <c r="BP105" s="195"/>
      <c r="BQ105" s="195"/>
      <c r="BR105" s="195"/>
      <c r="BS105" s="195"/>
      <c r="BT105" s="195"/>
      <c r="BU105" s="195"/>
      <c r="BV105" s="195"/>
      <c r="BW105" s="195"/>
      <c r="BX105" s="195"/>
    </row>
    <row r="106" spans="1:76" s="124" customFormat="1" ht="15">
      <c r="A106" s="187">
        <v>5477</v>
      </c>
      <c r="B106" s="187" t="s">
        <v>461</v>
      </c>
      <c r="C106" s="187" t="s">
        <v>455</v>
      </c>
      <c r="D106" s="187" t="s">
        <v>1312</v>
      </c>
      <c r="E106" s="187" t="s">
        <v>392</v>
      </c>
      <c r="F106" s="187" t="s">
        <v>386</v>
      </c>
      <c r="G106" s="187" t="s">
        <v>393</v>
      </c>
      <c r="H106" s="187" t="b">
        <v>0</v>
      </c>
      <c r="I106" s="187" t="s">
        <v>388</v>
      </c>
      <c r="J106" s="187" t="s">
        <v>389</v>
      </c>
      <c r="K106" s="187" t="b">
        <v>0</v>
      </c>
      <c r="L106" s="187">
        <v>3.4</v>
      </c>
      <c r="M106" s="187">
        <v>0.44</v>
      </c>
      <c r="N106" s="187">
        <v>18.510000000000002</v>
      </c>
      <c r="O106" s="187">
        <v>5.5</v>
      </c>
      <c r="P106" s="187">
        <v>7.64</v>
      </c>
      <c r="Q106" s="187"/>
      <c r="R106" s="187"/>
      <c r="S106" s="187"/>
      <c r="T106" s="187"/>
      <c r="U106" s="187">
        <v>44.8</v>
      </c>
      <c r="V106" s="187">
        <v>2.0299999999999998</v>
      </c>
      <c r="W106" s="188">
        <v>41128</v>
      </c>
      <c r="X106" s="691">
        <f t="shared" si="43"/>
        <v>1.5933999999999995</v>
      </c>
      <c r="Y106" s="691">
        <f t="shared" si="45"/>
        <v>5.9670500000000004</v>
      </c>
      <c r="Z106" s="189"/>
      <c r="AA106" s="190">
        <f t="shared" si="53"/>
        <v>2012</v>
      </c>
      <c r="AB106" s="191">
        <f t="shared" si="54"/>
        <v>2.1338019329735163</v>
      </c>
      <c r="AC106" s="192">
        <f>IF(AB106="","",AB106*SFAssumptions!$C$3)</f>
        <v>547.77533576001019</v>
      </c>
      <c r="AD106" s="193">
        <f t="shared" si="55"/>
        <v>20.287970000000001</v>
      </c>
      <c r="AE106" s="194">
        <f>IF(AD106="","",AD106*SFAssumptions!$C$3)</f>
        <v>5208.1917290010006</v>
      </c>
      <c r="AF106" s="192">
        <f t="shared" si="44"/>
        <v>3.4</v>
      </c>
      <c r="AG106" s="192">
        <f t="shared" si="56"/>
        <v>5.9670500000000004</v>
      </c>
      <c r="AH106" s="192">
        <f t="shared" si="57"/>
        <v>1.5933999999999995</v>
      </c>
      <c r="AI106" s="692">
        <f ca="1">IF(AC106="","",AC106*SFAssumptions!$C$8/'SavingsData&amp;Analysis'!AF106)</f>
        <v>608.51512986049192</v>
      </c>
      <c r="AJ106" s="692">
        <f ca="1">IF(OR(AE106="",AF106=""),"",AE106*SFAssumptions!$C$8/AF106)</f>
        <v>5785.6994636572927</v>
      </c>
      <c r="AK106" s="191">
        <f t="shared" si="58"/>
        <v>1.6748768472906406</v>
      </c>
      <c r="AL106" s="692">
        <f>IF(AK106="","",AK106*SFAssumptions!$C$3)</f>
        <v>429.96316256157638</v>
      </c>
      <c r="AM106" s="193">
        <f t="shared" si="59"/>
        <v>18.7</v>
      </c>
      <c r="AN106" s="194">
        <f>IF(AM106="","",AM106*SFAssumptions!$C$3)</f>
        <v>4800.5387099999998</v>
      </c>
      <c r="AO106" s="693">
        <f t="shared" si="60"/>
        <v>5.5</v>
      </c>
      <c r="AP106" s="693">
        <f t="shared" si="61"/>
        <v>2.0299999999999998</v>
      </c>
      <c r="AQ106" s="692">
        <f ca="1">IF(AL106="","",AL106*SFAssumptions!$C$8/'SavingsData&amp;Analysis'!AF106)</f>
        <v>477.63941276832895</v>
      </c>
      <c r="AR106" s="692">
        <f ca="1">IF(OR(AN106="",AF106=""),"",AN106*SFAssumptions!$C$8/AF106)</f>
        <v>5332.8440435583916</v>
      </c>
      <c r="AS106" s="190" t="str">
        <f>IF(OR(AG106="",AH106=""),"No",IF(AND(G106="Horizontal",AH106&gt;='Eff. Standards &amp; Certifications'!$B$21,AG106&lt;='Eff. Standards &amp; Certifications'!$C$21),"Consider",IF(AND(G106="Vertical",AH106&gt;='Eff. Standards &amp; Certifications'!$B$20,AG106&lt;='Eff. Standards &amp; Certifications'!$C$20),"Consider","No")))</f>
        <v>Consider</v>
      </c>
      <c r="AT106" s="190" t="str">
        <f t="shared" si="46"/>
        <v>Residential</v>
      </c>
      <c r="AU106" s="190"/>
      <c r="AV106" s="190" t="str">
        <f t="shared" si="65"/>
        <v>YES</v>
      </c>
      <c r="AW106" s="190" t="str">
        <f t="shared" si="65"/>
        <v>NO</v>
      </c>
      <c r="AX106" s="190" t="str">
        <f t="shared" si="62"/>
        <v>YES</v>
      </c>
      <c r="AY106" s="190" t="str">
        <f t="shared" si="47"/>
        <v>YES</v>
      </c>
      <c r="AZ106" s="190" t="str">
        <f t="shared" si="47"/>
        <v>NO</v>
      </c>
      <c r="BA106" s="190" t="str">
        <f t="shared" si="63"/>
        <v>YES</v>
      </c>
      <c r="BB106" s="190" t="str">
        <f t="shared" si="48"/>
        <v>NO</v>
      </c>
      <c r="BC106" s="190" t="str">
        <f t="shared" si="49"/>
        <v>NO</v>
      </c>
      <c r="BD106" s="190" t="str">
        <f t="shared" si="64"/>
        <v>NO</v>
      </c>
      <c r="BE106" s="190" t="str">
        <f t="shared" si="50"/>
        <v>NO</v>
      </c>
      <c r="BF106" s="190" t="str">
        <f t="shared" si="51"/>
        <v>NO</v>
      </c>
      <c r="BG106" s="190" t="str">
        <f t="shared" si="52"/>
        <v>NO</v>
      </c>
      <c r="BH106" s="88"/>
      <c r="BI106" s="9"/>
      <c r="BJ106" s="694">
        <f t="shared" si="66"/>
        <v>1.5933999999999995</v>
      </c>
      <c r="BK106" s="694" t="str">
        <f t="shared" si="66"/>
        <v/>
      </c>
      <c r="BL106" s="694">
        <f t="shared" si="67"/>
        <v>5.9670500000000004</v>
      </c>
      <c r="BM106" s="694" t="str">
        <f t="shared" si="67"/>
        <v/>
      </c>
      <c r="BN106" s="88"/>
      <c r="BO106" s="195"/>
      <c r="BP106" s="195"/>
      <c r="BQ106" s="195"/>
      <c r="BR106" s="195"/>
      <c r="BS106" s="195"/>
      <c r="BT106" s="195"/>
      <c r="BU106" s="195"/>
      <c r="BV106" s="195"/>
      <c r="BW106" s="195"/>
      <c r="BX106" s="195"/>
    </row>
    <row r="107" spans="1:76" s="124" customFormat="1" ht="15">
      <c r="A107" s="187">
        <v>3258</v>
      </c>
      <c r="B107" s="187" t="s">
        <v>469</v>
      </c>
      <c r="C107" s="187" t="s">
        <v>469</v>
      </c>
      <c r="D107" s="187" t="s">
        <v>470</v>
      </c>
      <c r="E107" s="187" t="s">
        <v>385</v>
      </c>
      <c r="F107" s="187" t="s">
        <v>386</v>
      </c>
      <c r="G107" s="187" t="s">
        <v>387</v>
      </c>
      <c r="H107" s="187" t="b">
        <v>0</v>
      </c>
      <c r="I107" s="187" t="s">
        <v>388</v>
      </c>
      <c r="J107" s="187" t="s">
        <v>389</v>
      </c>
      <c r="K107" s="187" t="b">
        <v>1</v>
      </c>
      <c r="L107" s="187">
        <v>2</v>
      </c>
      <c r="M107" s="187">
        <v>0.49</v>
      </c>
      <c r="N107" s="187">
        <v>13.5</v>
      </c>
      <c r="O107" s="187">
        <v>6.7</v>
      </c>
      <c r="P107" s="187">
        <v>3.98</v>
      </c>
      <c r="Q107" s="187"/>
      <c r="R107" s="187"/>
      <c r="S107" s="187"/>
      <c r="T107" s="187"/>
      <c r="U107" s="187">
        <v>31.7</v>
      </c>
      <c r="V107" s="187">
        <v>2.0699999999999998</v>
      </c>
      <c r="W107" s="188">
        <v>39377</v>
      </c>
      <c r="X107" s="691">
        <f t="shared" si="43"/>
        <v>1.7197149999999999</v>
      </c>
      <c r="Y107" s="691">
        <f t="shared" si="45"/>
        <v>6.9793400000000005</v>
      </c>
      <c r="Z107" s="189"/>
      <c r="AA107" s="190">
        <f t="shared" si="53"/>
        <v>2007</v>
      </c>
      <c r="AB107" s="191">
        <f t="shared" si="54"/>
        <v>1.1629834013194047</v>
      </c>
      <c r="AC107" s="192">
        <f>IF(AB107="","",AB107*SFAssumptions!$C$3)</f>
        <v>298.55330679792871</v>
      </c>
      <c r="AD107" s="193">
        <f t="shared" si="55"/>
        <v>13.958680000000001</v>
      </c>
      <c r="AE107" s="194">
        <f>IF(AD107="","",AD107*SFAssumptions!$C$3)</f>
        <v>3583.3788064440005</v>
      </c>
      <c r="AF107" s="192">
        <f t="shared" si="44"/>
        <v>2</v>
      </c>
      <c r="AG107" s="192">
        <f t="shared" si="56"/>
        <v>6.9793400000000005</v>
      </c>
      <c r="AH107" s="192">
        <f t="shared" si="57"/>
        <v>1.7197149999999999</v>
      </c>
      <c r="AI107" s="692">
        <f ca="1">IF(AC107="","",AC107*SFAssumptions!$C$8/'SavingsData&amp;Analysis'!AF107)</f>
        <v>563.81900949849694</v>
      </c>
      <c r="AJ107" s="692">
        <f ca="1">IF(OR(AE107="",AF107=""),"",AE107*SFAssumptions!$C$8/AF107)</f>
        <v>6767.2239539943339</v>
      </c>
      <c r="AK107" s="191">
        <f t="shared" si="58"/>
        <v>0.96618357487922713</v>
      </c>
      <c r="AL107" s="692">
        <f>IF(AK107="","",AK107*SFAssumptions!$C$3)</f>
        <v>248.03217391304349</v>
      </c>
      <c r="AM107" s="193">
        <f t="shared" si="59"/>
        <v>13.4</v>
      </c>
      <c r="AN107" s="194">
        <f>IF(AM107="","",AM107*SFAssumptions!$C$3)</f>
        <v>3439.95822</v>
      </c>
      <c r="AO107" s="693">
        <f t="shared" si="60"/>
        <v>6.7</v>
      </c>
      <c r="AP107" s="693">
        <f t="shared" si="61"/>
        <v>2.0699999999999998</v>
      </c>
      <c r="AQ107" s="692">
        <f ca="1">IF(AL107="","",AL107*SFAssumptions!$C$8/'SavingsData&amp;Analysis'!AF107)</f>
        <v>468.40966566169453</v>
      </c>
      <c r="AR107" s="692">
        <f ca="1">IF(OR(AN107="",AF107=""),"",AN107*SFAssumptions!$C$8/AF107)</f>
        <v>6496.3736530620417</v>
      </c>
      <c r="AS107" s="190" t="str">
        <f>IF(OR(AG107="",AH107=""),"No",IF(AND(G107="Horizontal",AH107&gt;='Eff. Standards &amp; Certifications'!$B$21,AG107&lt;='Eff. Standards &amp; Certifications'!$C$21),"Consider",IF(AND(G107="Vertical",AH107&gt;='Eff. Standards &amp; Certifications'!$B$20,AG107&lt;='Eff. Standards &amp; Certifications'!$C$20),"Consider","No")))</f>
        <v>No</v>
      </c>
      <c r="AT107" s="190" t="str">
        <f t="shared" si="46"/>
        <v>Residential</v>
      </c>
      <c r="AU107" s="190"/>
      <c r="AV107" s="190" t="str">
        <f t="shared" si="65"/>
        <v>NO</v>
      </c>
      <c r="AW107" s="190" t="str">
        <f t="shared" si="65"/>
        <v>NO</v>
      </c>
      <c r="AX107" s="190" t="str">
        <f t="shared" si="62"/>
        <v>NO</v>
      </c>
      <c r="AY107" s="190" t="str">
        <f t="shared" si="47"/>
        <v>NO</v>
      </c>
      <c r="AZ107" s="190" t="str">
        <f t="shared" si="47"/>
        <v>NO</v>
      </c>
      <c r="BA107" s="190" t="str">
        <f t="shared" si="63"/>
        <v>NO</v>
      </c>
      <c r="BB107" s="190" t="str">
        <f t="shared" si="48"/>
        <v>NO</v>
      </c>
      <c r="BC107" s="190" t="str">
        <f t="shared" si="49"/>
        <v>NO</v>
      </c>
      <c r="BD107" s="190" t="str">
        <f t="shared" si="64"/>
        <v>NO</v>
      </c>
      <c r="BE107" s="190" t="str">
        <f t="shared" si="50"/>
        <v>NO</v>
      </c>
      <c r="BF107" s="190" t="str">
        <f t="shared" si="51"/>
        <v>NO</v>
      </c>
      <c r="BG107" s="190" t="str">
        <f t="shared" si="52"/>
        <v>NO</v>
      </c>
      <c r="BH107" s="88"/>
      <c r="BI107" s="9"/>
      <c r="BJ107" s="694" t="str">
        <f t="shared" si="66"/>
        <v/>
      </c>
      <c r="BK107" s="694" t="str">
        <f t="shared" si="66"/>
        <v/>
      </c>
      <c r="BL107" s="694" t="str">
        <f t="shared" si="67"/>
        <v/>
      </c>
      <c r="BM107" s="694" t="str">
        <f t="shared" si="67"/>
        <v/>
      </c>
      <c r="BN107" s="88"/>
      <c r="BO107" s="195"/>
      <c r="BP107" s="195"/>
      <c r="BQ107" s="195"/>
      <c r="BR107" s="195"/>
      <c r="BS107" s="195"/>
      <c r="BT107" s="195"/>
      <c r="BU107" s="195"/>
      <c r="BV107" s="195"/>
      <c r="BW107" s="195"/>
      <c r="BX107" s="195"/>
    </row>
    <row r="108" spans="1:76" s="124" customFormat="1" ht="15">
      <c r="A108" s="187">
        <v>3264</v>
      </c>
      <c r="B108" s="187" t="s">
        <v>471</v>
      </c>
      <c r="C108" s="187" t="s">
        <v>471</v>
      </c>
      <c r="D108" s="187" t="s">
        <v>472</v>
      </c>
      <c r="E108" s="187" t="s">
        <v>392</v>
      </c>
      <c r="F108" s="187" t="s">
        <v>386</v>
      </c>
      <c r="G108" s="187" t="s">
        <v>393</v>
      </c>
      <c r="H108" s="187" t="b">
        <v>0</v>
      </c>
      <c r="I108" s="187" t="s">
        <v>388</v>
      </c>
      <c r="J108" s="187" t="s">
        <v>389</v>
      </c>
      <c r="K108" s="187" t="b">
        <v>1</v>
      </c>
      <c r="L108" s="187">
        <v>3</v>
      </c>
      <c r="M108" s="187">
        <v>219</v>
      </c>
      <c r="N108" s="187">
        <v>21.18</v>
      </c>
      <c r="O108" s="187">
        <v>7.2</v>
      </c>
      <c r="P108" s="187">
        <v>5.37</v>
      </c>
      <c r="Q108" s="187"/>
      <c r="R108" s="187"/>
      <c r="S108" s="187"/>
      <c r="T108" s="187"/>
      <c r="U108" s="187">
        <v>37.700000000000003</v>
      </c>
      <c r="V108" s="187">
        <v>2</v>
      </c>
      <c r="W108" s="188">
        <v>39434</v>
      </c>
      <c r="X108" s="691">
        <f t="shared" si="43"/>
        <v>1.5636999999999999</v>
      </c>
      <c r="Y108" s="691">
        <f t="shared" si="45"/>
        <v>7.64818</v>
      </c>
      <c r="Z108" s="189"/>
      <c r="AA108" s="190">
        <f t="shared" si="53"/>
        <v>2007</v>
      </c>
      <c r="AB108" s="191">
        <f t="shared" si="54"/>
        <v>1.9185265715930166</v>
      </c>
      <c r="AC108" s="192">
        <f>IF(AB108="","",AB108*SFAssumptions!$C$3)</f>
        <v>492.51128733132958</v>
      </c>
      <c r="AD108" s="193">
        <f t="shared" si="55"/>
        <v>22.94454</v>
      </c>
      <c r="AE108" s="194">
        <f>IF(AD108="","",AD108*SFAssumptions!$C$3)</f>
        <v>5890.1685803820001</v>
      </c>
      <c r="AF108" s="192">
        <f t="shared" si="44"/>
        <v>3</v>
      </c>
      <c r="AG108" s="192">
        <f t="shared" si="56"/>
        <v>7.64818</v>
      </c>
      <c r="AH108" s="192">
        <f t="shared" si="57"/>
        <v>1.5636999999999999</v>
      </c>
      <c r="AI108" s="692">
        <f ca="1">IF(AC108="","",AC108*SFAssumptions!$C$8/'SavingsData&amp;Analysis'!AF108)</f>
        <v>620.07290907444383</v>
      </c>
      <c r="AJ108" s="692">
        <f ca="1">IF(OR(AE108="",AF108=""),"",AE108*SFAssumptions!$C$8/AF108)</f>
        <v>7415.7365740113501</v>
      </c>
      <c r="AK108" s="191">
        <f t="shared" si="58"/>
        <v>1.5</v>
      </c>
      <c r="AL108" s="692">
        <f>IF(AK108="","",AK108*SFAssumptions!$C$3)</f>
        <v>385.06995000000001</v>
      </c>
      <c r="AM108" s="193">
        <f t="shared" si="59"/>
        <v>21.6</v>
      </c>
      <c r="AN108" s="194">
        <f>IF(AM108="","",AM108*SFAssumptions!$C$3)</f>
        <v>5545.0072800000007</v>
      </c>
      <c r="AO108" s="693">
        <f t="shared" si="60"/>
        <v>7.2</v>
      </c>
      <c r="AP108" s="693">
        <f t="shared" si="61"/>
        <v>2</v>
      </c>
      <c r="AQ108" s="692">
        <f ca="1">IF(AL108="","",AL108*SFAssumptions!$C$8/'SavingsData&amp;Analysis'!AF108)</f>
        <v>484.80400395985384</v>
      </c>
      <c r="AR108" s="692">
        <f ca="1">IF(OR(AN108="",AF108=""),"",AN108*SFAssumptions!$C$8/AF108)</f>
        <v>6981.1776570218963</v>
      </c>
      <c r="AS108" s="190" t="str">
        <f>IF(OR(AG108="",AH108=""),"No",IF(AND(G108="Horizontal",AH108&gt;='Eff. Standards &amp; Certifications'!$B$21,AG108&lt;='Eff. Standards &amp; Certifications'!$C$21),"Consider",IF(AND(G108="Vertical",AH108&gt;='Eff. Standards &amp; Certifications'!$B$20,AG108&lt;='Eff. Standards &amp; Certifications'!$C$20),"Consider","No")))</f>
        <v>Consider</v>
      </c>
      <c r="AT108" s="190" t="str">
        <f t="shared" si="46"/>
        <v>Residential</v>
      </c>
      <c r="AU108" s="190"/>
      <c r="AV108" s="190" t="str">
        <f t="shared" si="65"/>
        <v>YES</v>
      </c>
      <c r="AW108" s="190" t="str">
        <f t="shared" si="65"/>
        <v>NO</v>
      </c>
      <c r="AX108" s="190" t="str">
        <f t="shared" si="62"/>
        <v>YES</v>
      </c>
      <c r="AY108" s="190" t="str">
        <f t="shared" si="47"/>
        <v>YES</v>
      </c>
      <c r="AZ108" s="190" t="str">
        <f t="shared" si="47"/>
        <v>NO</v>
      </c>
      <c r="BA108" s="190" t="str">
        <f t="shared" si="63"/>
        <v>YES</v>
      </c>
      <c r="BB108" s="190" t="str">
        <f t="shared" si="48"/>
        <v>NO</v>
      </c>
      <c r="BC108" s="190" t="str">
        <f t="shared" si="49"/>
        <v>NO</v>
      </c>
      <c r="BD108" s="190" t="str">
        <f t="shared" si="64"/>
        <v>NO</v>
      </c>
      <c r="BE108" s="190" t="str">
        <f t="shared" si="50"/>
        <v>NO</v>
      </c>
      <c r="BF108" s="190" t="str">
        <f t="shared" si="51"/>
        <v>NO</v>
      </c>
      <c r="BG108" s="190" t="str">
        <f t="shared" si="52"/>
        <v>NO</v>
      </c>
      <c r="BH108" s="88"/>
      <c r="BI108" s="9"/>
      <c r="BJ108" s="694">
        <f t="shared" si="66"/>
        <v>1.5636999999999999</v>
      </c>
      <c r="BK108" s="694" t="str">
        <f t="shared" si="66"/>
        <v/>
      </c>
      <c r="BL108" s="694">
        <f t="shared" si="67"/>
        <v>7.64818</v>
      </c>
      <c r="BM108" s="694" t="str">
        <f t="shared" si="67"/>
        <v/>
      </c>
      <c r="BN108" s="88"/>
      <c r="BO108" s="195"/>
      <c r="BP108" s="195"/>
      <c r="BQ108" s="195"/>
      <c r="BR108" s="195"/>
      <c r="BS108" s="195"/>
      <c r="BT108" s="195"/>
      <c r="BU108" s="195"/>
      <c r="BV108" s="195"/>
      <c r="BW108" s="195"/>
      <c r="BX108" s="195"/>
    </row>
    <row r="109" spans="1:76" s="124" customFormat="1" ht="15">
      <c r="A109" s="187">
        <v>3265</v>
      </c>
      <c r="B109" s="187" t="s">
        <v>471</v>
      </c>
      <c r="C109" s="187" t="s">
        <v>471</v>
      </c>
      <c r="D109" s="187" t="s">
        <v>473</v>
      </c>
      <c r="E109" s="187" t="s">
        <v>392</v>
      </c>
      <c r="F109" s="187" t="s">
        <v>386</v>
      </c>
      <c r="G109" s="187" t="s">
        <v>393</v>
      </c>
      <c r="H109" s="187" t="b">
        <v>0</v>
      </c>
      <c r="I109" s="187" t="s">
        <v>388</v>
      </c>
      <c r="J109" s="187" t="s">
        <v>389</v>
      </c>
      <c r="K109" s="187" t="b">
        <v>1</v>
      </c>
      <c r="L109" s="187">
        <v>3</v>
      </c>
      <c r="M109" s="187">
        <v>219</v>
      </c>
      <c r="N109" s="187">
        <v>20.47</v>
      </c>
      <c r="O109" s="187">
        <v>6.9</v>
      </c>
      <c r="P109" s="187">
        <v>5.38</v>
      </c>
      <c r="Q109" s="187"/>
      <c r="R109" s="187"/>
      <c r="S109" s="187"/>
      <c r="T109" s="187"/>
      <c r="U109" s="187">
        <v>38.299999999999997</v>
      </c>
      <c r="V109" s="187">
        <v>2</v>
      </c>
      <c r="W109" s="188">
        <v>39434</v>
      </c>
      <c r="X109" s="691">
        <f t="shared" si="43"/>
        <v>1.5636999999999999</v>
      </c>
      <c r="Y109" s="691">
        <f t="shared" si="45"/>
        <v>7.3515100000000002</v>
      </c>
      <c r="Z109" s="189"/>
      <c r="AA109" s="190">
        <f t="shared" si="53"/>
        <v>2007</v>
      </c>
      <c r="AB109" s="191">
        <f t="shared" si="54"/>
        <v>1.9185265715930166</v>
      </c>
      <c r="AC109" s="192">
        <f>IF(AB109="","",AB109*SFAssumptions!$C$3)</f>
        <v>492.51128733132958</v>
      </c>
      <c r="AD109" s="193">
        <f t="shared" si="55"/>
        <v>22.05453</v>
      </c>
      <c r="AE109" s="194">
        <f>IF(AD109="","",AD109*SFAssumptions!$C$3)</f>
        <v>5661.6911762489999</v>
      </c>
      <c r="AF109" s="192">
        <f t="shared" si="44"/>
        <v>3</v>
      </c>
      <c r="AG109" s="192">
        <f t="shared" si="56"/>
        <v>7.3515100000000002</v>
      </c>
      <c r="AH109" s="192">
        <f t="shared" si="57"/>
        <v>1.5636999999999999</v>
      </c>
      <c r="AI109" s="692">
        <f ca="1">IF(AC109="","",AC109*SFAssumptions!$C$8/'SavingsData&amp;Analysis'!AF109)</f>
        <v>620.07290907444383</v>
      </c>
      <c r="AJ109" s="692">
        <f ca="1">IF(OR(AE109="",AF109=""),"",AE109*SFAssumptions!$C$8/AF109)</f>
        <v>7128.0829663018094</v>
      </c>
      <c r="AK109" s="191">
        <f t="shared" si="58"/>
        <v>1.5</v>
      </c>
      <c r="AL109" s="692">
        <f>IF(AK109="","",AK109*SFAssumptions!$C$3)</f>
        <v>385.06995000000001</v>
      </c>
      <c r="AM109" s="193">
        <f t="shared" si="59"/>
        <v>20.700000000000003</v>
      </c>
      <c r="AN109" s="194">
        <f>IF(AM109="","",AM109*SFAssumptions!$C$3)</f>
        <v>5313.9653100000005</v>
      </c>
      <c r="AO109" s="693">
        <f t="shared" si="60"/>
        <v>6.9</v>
      </c>
      <c r="AP109" s="693">
        <f t="shared" si="61"/>
        <v>2</v>
      </c>
      <c r="AQ109" s="692">
        <f ca="1">IF(AL109="","",AL109*SFAssumptions!$C$8/'SavingsData&amp;Analysis'!AF109)</f>
        <v>484.80400395985384</v>
      </c>
      <c r="AR109" s="692">
        <f ca="1">IF(OR(AN109="",AF109=""),"",AN109*SFAssumptions!$C$8/AF109)</f>
        <v>6690.2952546459828</v>
      </c>
      <c r="AS109" s="190" t="str">
        <f>IF(OR(AG109="",AH109=""),"No",IF(AND(G109="Horizontal",AH109&gt;='Eff. Standards &amp; Certifications'!$B$21,AG109&lt;='Eff. Standards &amp; Certifications'!$C$21),"Consider",IF(AND(G109="Vertical",AH109&gt;='Eff. Standards &amp; Certifications'!$B$20,AG109&lt;='Eff. Standards &amp; Certifications'!$C$20),"Consider","No")))</f>
        <v>Consider</v>
      </c>
      <c r="AT109" s="190" t="str">
        <f t="shared" si="46"/>
        <v>Residential</v>
      </c>
      <c r="AU109" s="190"/>
      <c r="AV109" s="190" t="str">
        <f t="shared" si="65"/>
        <v>YES</v>
      </c>
      <c r="AW109" s="190" t="str">
        <f t="shared" si="65"/>
        <v>NO</v>
      </c>
      <c r="AX109" s="190" t="str">
        <f t="shared" si="62"/>
        <v>YES</v>
      </c>
      <c r="AY109" s="190" t="str">
        <f t="shared" si="47"/>
        <v>YES</v>
      </c>
      <c r="AZ109" s="190" t="str">
        <f t="shared" si="47"/>
        <v>NO</v>
      </c>
      <c r="BA109" s="190" t="str">
        <f t="shared" si="63"/>
        <v>YES</v>
      </c>
      <c r="BB109" s="190" t="str">
        <f t="shared" si="48"/>
        <v>NO</v>
      </c>
      <c r="BC109" s="190" t="str">
        <f t="shared" si="49"/>
        <v>NO</v>
      </c>
      <c r="BD109" s="190" t="str">
        <f t="shared" si="64"/>
        <v>NO</v>
      </c>
      <c r="BE109" s="190" t="str">
        <f t="shared" si="50"/>
        <v>NO</v>
      </c>
      <c r="BF109" s="190" t="str">
        <f t="shared" si="51"/>
        <v>NO</v>
      </c>
      <c r="BG109" s="190" t="str">
        <f t="shared" si="52"/>
        <v>NO</v>
      </c>
      <c r="BH109" s="88"/>
      <c r="BI109" s="9"/>
      <c r="BJ109" s="694">
        <f t="shared" si="66"/>
        <v>1.5636999999999999</v>
      </c>
      <c r="BK109" s="694" t="str">
        <f t="shared" si="66"/>
        <v/>
      </c>
      <c r="BL109" s="694">
        <f t="shared" si="67"/>
        <v>7.3515100000000002</v>
      </c>
      <c r="BM109" s="694" t="str">
        <f t="shared" si="67"/>
        <v/>
      </c>
      <c r="BN109" s="88"/>
      <c r="BO109" s="195"/>
      <c r="BP109" s="195"/>
      <c r="BQ109" s="195"/>
      <c r="BR109" s="195"/>
      <c r="BS109" s="195"/>
      <c r="BT109" s="195"/>
      <c r="BU109" s="195"/>
      <c r="BV109" s="195"/>
      <c r="BW109" s="195"/>
      <c r="BX109" s="195"/>
    </row>
    <row r="110" spans="1:76" s="124" customFormat="1" ht="15">
      <c r="A110" s="187">
        <v>4328</v>
      </c>
      <c r="B110" s="187" t="s">
        <v>471</v>
      </c>
      <c r="C110" s="187" t="s">
        <v>471</v>
      </c>
      <c r="D110" s="187" t="s">
        <v>474</v>
      </c>
      <c r="E110" s="187" t="s">
        <v>392</v>
      </c>
      <c r="F110" s="187" t="s">
        <v>386</v>
      </c>
      <c r="G110" s="187" t="s">
        <v>393</v>
      </c>
      <c r="H110" s="187" t="b">
        <v>0</v>
      </c>
      <c r="I110" s="187" t="s">
        <v>388</v>
      </c>
      <c r="J110" s="187" t="s">
        <v>389</v>
      </c>
      <c r="K110" s="187" t="b">
        <v>1</v>
      </c>
      <c r="L110" s="187">
        <v>3.7</v>
      </c>
      <c r="M110" s="187">
        <v>0.5</v>
      </c>
      <c r="N110" s="187">
        <v>18</v>
      </c>
      <c r="O110" s="187">
        <v>6</v>
      </c>
      <c r="P110" s="187">
        <v>5.94</v>
      </c>
      <c r="Q110" s="187"/>
      <c r="R110" s="187"/>
      <c r="S110" s="187"/>
      <c r="T110" s="187"/>
      <c r="U110" s="187">
        <v>36.799999999999997</v>
      </c>
      <c r="V110" s="187">
        <v>2.0699999999999998</v>
      </c>
      <c r="W110" s="188">
        <v>40148</v>
      </c>
      <c r="X110" s="691">
        <f t="shared" si="43"/>
        <v>1.6329999999999996</v>
      </c>
      <c r="Y110" s="691">
        <f t="shared" si="45"/>
        <v>6.4615</v>
      </c>
      <c r="Z110" s="189"/>
      <c r="AA110" s="190">
        <f t="shared" si="53"/>
        <v>2009</v>
      </c>
      <c r="AB110" s="191">
        <f t="shared" si="54"/>
        <v>2.2657685241886107</v>
      </c>
      <c r="AC110" s="192">
        <f>IF(AB110="","",AB110*SFAssumptions!$C$3)</f>
        <v>581.65291488058813</v>
      </c>
      <c r="AD110" s="193">
        <f t="shared" si="55"/>
        <v>23.907550000000001</v>
      </c>
      <c r="AE110" s="194">
        <f>IF(AD110="","",AD110*SFAssumptions!$C$3)</f>
        <v>6137.3860554150006</v>
      </c>
      <c r="AF110" s="192">
        <f t="shared" si="44"/>
        <v>3.7</v>
      </c>
      <c r="AG110" s="192">
        <f t="shared" si="56"/>
        <v>6.4615</v>
      </c>
      <c r="AH110" s="192">
        <f t="shared" si="57"/>
        <v>1.6329999999999996</v>
      </c>
      <c r="AI110" s="692">
        <f ca="1">IF(AC110="","",AC110*SFAssumptions!$C$8/'SavingsData&amp;Analysis'!AF110)</f>
        <v>593.75873112045804</v>
      </c>
      <c r="AJ110" s="692">
        <f ca="1">IF(OR(AE110="",AF110=""),"",AE110*SFAssumptions!$C$8/AF110)</f>
        <v>6265.122143173191</v>
      </c>
      <c r="AK110" s="191">
        <f t="shared" si="58"/>
        <v>1.7874396135265702</v>
      </c>
      <c r="AL110" s="692">
        <f>IF(AK110="","",AK110*SFAssumptions!$C$3)</f>
        <v>458.85952173913046</v>
      </c>
      <c r="AM110" s="193">
        <f t="shared" si="59"/>
        <v>22.200000000000003</v>
      </c>
      <c r="AN110" s="194">
        <f>IF(AM110="","",AM110*SFAssumptions!$C$3)</f>
        <v>5699.0352600000006</v>
      </c>
      <c r="AO110" s="693">
        <f t="shared" si="60"/>
        <v>6</v>
      </c>
      <c r="AP110" s="693">
        <f t="shared" si="61"/>
        <v>2.0699999999999998</v>
      </c>
      <c r="AQ110" s="692">
        <f ca="1">IF(AL110="","",AL110*SFAssumptions!$C$8/'SavingsData&amp;Analysis'!AF110)</f>
        <v>468.40966566169453</v>
      </c>
      <c r="AR110" s="692">
        <f ca="1">IF(OR(AN110="",AF110=""),"",AN110*SFAssumptions!$C$8/AF110)</f>
        <v>5817.6480475182461</v>
      </c>
      <c r="AS110" s="190" t="str">
        <f>IF(OR(AG110="",AH110=""),"No",IF(AND(G110="Horizontal",AH110&gt;='Eff. Standards &amp; Certifications'!$B$21,AG110&lt;='Eff. Standards &amp; Certifications'!$C$21),"Consider",IF(AND(G110="Vertical",AH110&gt;='Eff. Standards &amp; Certifications'!$B$20,AG110&lt;='Eff. Standards &amp; Certifications'!$C$20),"Consider","No")))</f>
        <v>Consider</v>
      </c>
      <c r="AT110" s="190" t="str">
        <f t="shared" si="46"/>
        <v>Residential</v>
      </c>
      <c r="AU110" s="190"/>
      <c r="AV110" s="190" t="str">
        <f t="shared" si="65"/>
        <v>YES</v>
      </c>
      <c r="AW110" s="190" t="str">
        <f t="shared" si="65"/>
        <v>NO</v>
      </c>
      <c r="AX110" s="190" t="str">
        <f t="shared" si="62"/>
        <v>YES</v>
      </c>
      <c r="AY110" s="190" t="str">
        <f t="shared" si="47"/>
        <v>YES</v>
      </c>
      <c r="AZ110" s="190" t="str">
        <f t="shared" si="47"/>
        <v>NO</v>
      </c>
      <c r="BA110" s="190" t="str">
        <f t="shared" si="63"/>
        <v>YES</v>
      </c>
      <c r="BB110" s="190" t="str">
        <f t="shared" si="48"/>
        <v>NO</v>
      </c>
      <c r="BC110" s="190" t="str">
        <f t="shared" si="49"/>
        <v>NO</v>
      </c>
      <c r="BD110" s="190" t="str">
        <f t="shared" si="64"/>
        <v>NO</v>
      </c>
      <c r="BE110" s="190" t="str">
        <f t="shared" si="50"/>
        <v>NO</v>
      </c>
      <c r="BF110" s="190" t="str">
        <f t="shared" si="51"/>
        <v>NO</v>
      </c>
      <c r="BG110" s="190" t="str">
        <f t="shared" si="52"/>
        <v>NO</v>
      </c>
      <c r="BH110" s="88"/>
      <c r="BI110" s="9"/>
      <c r="BJ110" s="694">
        <f t="shared" si="66"/>
        <v>1.6329999999999996</v>
      </c>
      <c r="BK110" s="694" t="str">
        <f t="shared" si="66"/>
        <v/>
      </c>
      <c r="BL110" s="694">
        <f t="shared" si="67"/>
        <v>6.4615</v>
      </c>
      <c r="BM110" s="694" t="str">
        <f t="shared" si="67"/>
        <v/>
      </c>
      <c r="BN110" s="88"/>
      <c r="BO110" s="195"/>
      <c r="BP110" s="195"/>
      <c r="BQ110" s="195"/>
      <c r="BR110" s="195"/>
      <c r="BS110" s="195"/>
      <c r="BT110" s="195"/>
      <c r="BU110" s="195"/>
      <c r="BV110" s="195"/>
      <c r="BW110" s="195"/>
      <c r="BX110" s="195"/>
    </row>
    <row r="111" spans="1:76" s="124" customFormat="1" ht="15">
      <c r="A111" s="187">
        <v>6097</v>
      </c>
      <c r="B111" s="187" t="s">
        <v>471</v>
      </c>
      <c r="C111" s="187" t="s">
        <v>471</v>
      </c>
      <c r="D111" s="187" t="s">
        <v>1313</v>
      </c>
      <c r="E111" s="187" t="s">
        <v>392</v>
      </c>
      <c r="F111" s="187" t="s">
        <v>386</v>
      </c>
      <c r="G111" s="187" t="s">
        <v>393</v>
      </c>
      <c r="H111" s="187" t="b">
        <v>0</v>
      </c>
      <c r="I111" s="187" t="s">
        <v>388</v>
      </c>
      <c r="J111" s="187" t="s">
        <v>389</v>
      </c>
      <c r="K111" s="187" t="b">
        <v>1</v>
      </c>
      <c r="L111" s="187">
        <v>4.0999999999999996</v>
      </c>
      <c r="M111" s="187">
        <v>192</v>
      </c>
      <c r="N111" s="187">
        <v>23.47</v>
      </c>
      <c r="O111" s="187">
        <v>5.8</v>
      </c>
      <c r="P111" s="187">
        <v>8.31</v>
      </c>
      <c r="Q111" s="187"/>
      <c r="R111" s="187"/>
      <c r="S111" s="187"/>
      <c r="T111" s="187"/>
      <c r="U111" s="187">
        <v>39.6</v>
      </c>
      <c r="V111" s="187">
        <v>2.2999999999999998</v>
      </c>
      <c r="W111" s="188">
        <v>41600</v>
      </c>
      <c r="X111" s="691">
        <f t="shared" si="43"/>
        <v>1.8606999999999996</v>
      </c>
      <c r="Y111" s="691">
        <f t="shared" si="45"/>
        <v>6.2637200000000002</v>
      </c>
      <c r="Z111" s="189"/>
      <c r="AA111" s="190">
        <f t="shared" si="53"/>
        <v>2013</v>
      </c>
      <c r="AB111" s="191">
        <f t="shared" si="54"/>
        <v>2.2034718116837753</v>
      </c>
      <c r="AC111" s="192">
        <f>IF(AB111="","",AB111*SFAssumptions!$C$3)</f>
        <v>565.66052023432053</v>
      </c>
      <c r="AD111" s="193">
        <f t="shared" si="55"/>
        <v>25.681251999999997</v>
      </c>
      <c r="AE111" s="194">
        <f>IF(AD111="","",AD111*SFAssumptions!$C$3)</f>
        <v>6592.7189490515993</v>
      </c>
      <c r="AF111" s="192">
        <f t="shared" si="44"/>
        <v>4.0999999999999996</v>
      </c>
      <c r="AG111" s="192">
        <f t="shared" si="56"/>
        <v>6.2637200000000002</v>
      </c>
      <c r="AH111" s="192">
        <f t="shared" si="57"/>
        <v>1.8606999999999996</v>
      </c>
      <c r="AI111" s="692">
        <f ca="1">IF(AC111="","",AC111*SFAssumptions!$C$8/'SavingsData&amp;Analysis'!AF111)</f>
        <v>521.09851556925241</v>
      </c>
      <c r="AJ111" s="692">
        <f ca="1">IF(OR(AE111="",AF111=""),"",AE111*SFAssumptions!$C$8/AF111)</f>
        <v>6073.3530713668315</v>
      </c>
      <c r="AK111" s="191">
        <f t="shared" si="58"/>
        <v>1.7826086956521738</v>
      </c>
      <c r="AL111" s="692">
        <f>IF(AK111="","",AK111*SFAssumptions!$C$3)</f>
        <v>457.61936086956518</v>
      </c>
      <c r="AM111" s="193">
        <f t="shared" si="59"/>
        <v>23.779999999999998</v>
      </c>
      <c r="AN111" s="194">
        <f>IF(AM111="","",AM111*SFAssumptions!$C$3)</f>
        <v>6104.6422739999998</v>
      </c>
      <c r="AO111" s="693">
        <f t="shared" si="60"/>
        <v>5.8</v>
      </c>
      <c r="AP111" s="693">
        <f t="shared" si="61"/>
        <v>2.2999999999999998</v>
      </c>
      <c r="AQ111" s="692">
        <f ca="1">IF(AL111="","",AL111*SFAssumptions!$C$8/'SavingsData&amp;Analysis'!AF111)</f>
        <v>421.56869909552506</v>
      </c>
      <c r="AR111" s="692">
        <f ca="1">IF(OR(AN111="",AF111=""),"",AN111*SFAssumptions!$C$8/AF111)</f>
        <v>5623.7264459343041</v>
      </c>
      <c r="AS111" s="190" t="str">
        <f>IF(OR(AG111="",AH111=""),"No",IF(AND(G111="Horizontal",AH111&gt;='Eff. Standards &amp; Certifications'!$B$21,AG111&lt;='Eff. Standards &amp; Certifications'!$C$21),"Consider",IF(AND(G111="Vertical",AH111&gt;='Eff. Standards &amp; Certifications'!$B$20,AG111&lt;='Eff. Standards &amp; Certifications'!$C$20),"Consider","No")))</f>
        <v>Consider</v>
      </c>
      <c r="AT111" s="190" t="str">
        <f t="shared" si="46"/>
        <v>Residential</v>
      </c>
      <c r="AU111" s="190"/>
      <c r="AV111" s="190" t="str">
        <f t="shared" si="65"/>
        <v>YES</v>
      </c>
      <c r="AW111" s="190" t="str">
        <f t="shared" si="65"/>
        <v>NO</v>
      </c>
      <c r="AX111" s="190" t="str">
        <f t="shared" si="62"/>
        <v>YES</v>
      </c>
      <c r="AY111" s="190" t="str">
        <f t="shared" si="47"/>
        <v>YES</v>
      </c>
      <c r="AZ111" s="190" t="str">
        <f t="shared" si="47"/>
        <v>NO</v>
      </c>
      <c r="BA111" s="190" t="str">
        <f t="shared" si="63"/>
        <v>YES</v>
      </c>
      <c r="BB111" s="190" t="str">
        <f t="shared" si="48"/>
        <v>NO</v>
      </c>
      <c r="BC111" s="190" t="str">
        <f t="shared" si="49"/>
        <v>NO</v>
      </c>
      <c r="BD111" s="190" t="str">
        <f t="shared" si="64"/>
        <v>NO</v>
      </c>
      <c r="BE111" s="190" t="str">
        <f t="shared" si="50"/>
        <v>NO</v>
      </c>
      <c r="BF111" s="190" t="str">
        <f t="shared" si="51"/>
        <v>NO</v>
      </c>
      <c r="BG111" s="190" t="str">
        <f t="shared" si="52"/>
        <v>NO</v>
      </c>
      <c r="BH111" s="88"/>
      <c r="BI111" s="9"/>
      <c r="BJ111" s="694">
        <f t="shared" si="66"/>
        <v>1.8606999999999996</v>
      </c>
      <c r="BK111" s="694" t="str">
        <f t="shared" si="66"/>
        <v/>
      </c>
      <c r="BL111" s="694">
        <f t="shared" si="67"/>
        <v>6.2637200000000002</v>
      </c>
      <c r="BM111" s="694" t="str">
        <f t="shared" si="67"/>
        <v/>
      </c>
      <c r="BN111" s="88"/>
      <c r="BO111" s="195"/>
      <c r="BP111" s="195"/>
      <c r="BQ111" s="195"/>
      <c r="BR111" s="195"/>
      <c r="BS111" s="195"/>
      <c r="BT111" s="195"/>
      <c r="BU111" s="195"/>
      <c r="BV111" s="195"/>
      <c r="BW111" s="195"/>
      <c r="BX111" s="195"/>
    </row>
    <row r="112" spans="1:76" s="124" customFormat="1" ht="15">
      <c r="A112" s="187">
        <v>3266</v>
      </c>
      <c r="B112" s="187" t="s">
        <v>471</v>
      </c>
      <c r="C112" s="187" t="s">
        <v>471</v>
      </c>
      <c r="D112" s="187" t="s">
        <v>475</v>
      </c>
      <c r="E112" s="187" t="s">
        <v>392</v>
      </c>
      <c r="F112" s="187" t="s">
        <v>386</v>
      </c>
      <c r="G112" s="187" t="s">
        <v>393</v>
      </c>
      <c r="H112" s="187" t="b">
        <v>0</v>
      </c>
      <c r="I112" s="187" t="s">
        <v>388</v>
      </c>
      <c r="J112" s="187" t="s">
        <v>389</v>
      </c>
      <c r="K112" s="187" t="b">
        <v>1</v>
      </c>
      <c r="L112" s="187">
        <v>3.1</v>
      </c>
      <c r="M112" s="187">
        <v>211</v>
      </c>
      <c r="N112" s="187">
        <v>16.309999999999999</v>
      </c>
      <c r="O112" s="187">
        <v>6</v>
      </c>
      <c r="P112" s="187">
        <v>5.82</v>
      </c>
      <c r="Q112" s="187"/>
      <c r="R112" s="187"/>
      <c r="S112" s="187"/>
      <c r="T112" s="187"/>
      <c r="U112" s="187">
        <v>36.1</v>
      </c>
      <c r="V112" s="187">
        <v>2.0499999999999998</v>
      </c>
      <c r="W112" s="188">
        <v>39434</v>
      </c>
      <c r="X112" s="691">
        <f t="shared" si="43"/>
        <v>1.6131999999999995</v>
      </c>
      <c r="Y112" s="691">
        <f t="shared" si="45"/>
        <v>6.4615</v>
      </c>
      <c r="Z112" s="189"/>
      <c r="AA112" s="190">
        <f t="shared" si="53"/>
        <v>2007</v>
      </c>
      <c r="AB112" s="191">
        <f t="shared" si="54"/>
        <v>1.9216464170592618</v>
      </c>
      <c r="AC112" s="192">
        <f>IF(AB112="","",AB112*SFAssumptions!$C$3)</f>
        <v>493.31219315645939</v>
      </c>
      <c r="AD112" s="193">
        <f t="shared" si="55"/>
        <v>20.030650000000001</v>
      </c>
      <c r="AE112" s="194">
        <f>IF(AD112="","",AD112*SFAssumptions!$C$3)</f>
        <v>5142.1342626450005</v>
      </c>
      <c r="AF112" s="192">
        <f t="shared" si="44"/>
        <v>3.1</v>
      </c>
      <c r="AG112" s="192">
        <f t="shared" si="56"/>
        <v>6.4615</v>
      </c>
      <c r="AH112" s="192">
        <f t="shared" si="57"/>
        <v>1.6131999999999995</v>
      </c>
      <c r="AI112" s="692">
        <f ca="1">IF(AC112="","",AC112*SFAssumptions!$C$8/'SavingsData&amp;Analysis'!AF112)</f>
        <v>601.04637237770146</v>
      </c>
      <c r="AJ112" s="692">
        <f ca="1">IF(OR(AE112="",AF112=""),"",AE112*SFAssumptions!$C$8/AF112)</f>
        <v>6265.1221431731919</v>
      </c>
      <c r="AK112" s="191">
        <f t="shared" si="58"/>
        <v>1.5121951219512197</v>
      </c>
      <c r="AL112" s="692">
        <f>IF(AK112="","",AK112*SFAssumptions!$C$3)</f>
        <v>388.20060000000007</v>
      </c>
      <c r="AM112" s="193">
        <f t="shared" si="59"/>
        <v>18.600000000000001</v>
      </c>
      <c r="AN112" s="194">
        <f>IF(AM112="","",AM112*SFAssumptions!$C$3)</f>
        <v>4774.8673800000006</v>
      </c>
      <c r="AO112" s="693">
        <f t="shared" si="60"/>
        <v>6</v>
      </c>
      <c r="AP112" s="693">
        <f t="shared" si="61"/>
        <v>2.0499999999999998</v>
      </c>
      <c r="AQ112" s="692">
        <f ca="1">IF(AL112="","",AL112*SFAssumptions!$C$8/'SavingsData&amp;Analysis'!AF112)</f>
        <v>472.97951605839404</v>
      </c>
      <c r="AR112" s="692">
        <f ca="1">IF(OR(AN112="",AF112=""),"",AN112*SFAssumptions!$C$8/AF112)</f>
        <v>5817.6480475182461</v>
      </c>
      <c r="AS112" s="190" t="str">
        <f>IF(OR(AG112="",AH112=""),"No",IF(AND(G112="Horizontal",AH112&gt;='Eff. Standards &amp; Certifications'!$B$21,AG112&lt;='Eff. Standards &amp; Certifications'!$C$21),"Consider",IF(AND(G112="Vertical",AH112&gt;='Eff. Standards &amp; Certifications'!$B$20,AG112&lt;='Eff. Standards &amp; Certifications'!$C$20),"Consider","No")))</f>
        <v>Consider</v>
      </c>
      <c r="AT112" s="190" t="str">
        <f t="shared" si="46"/>
        <v>Residential</v>
      </c>
      <c r="AU112" s="190"/>
      <c r="AV112" s="190" t="str">
        <f t="shared" si="65"/>
        <v>YES</v>
      </c>
      <c r="AW112" s="190" t="str">
        <f t="shared" si="65"/>
        <v>NO</v>
      </c>
      <c r="AX112" s="190" t="str">
        <f t="shared" si="62"/>
        <v>YES</v>
      </c>
      <c r="AY112" s="190" t="str">
        <f t="shared" si="47"/>
        <v>YES</v>
      </c>
      <c r="AZ112" s="190" t="str">
        <f t="shared" si="47"/>
        <v>NO</v>
      </c>
      <c r="BA112" s="190" t="str">
        <f t="shared" si="63"/>
        <v>YES</v>
      </c>
      <c r="BB112" s="190" t="str">
        <f t="shared" si="48"/>
        <v>NO</v>
      </c>
      <c r="BC112" s="190" t="str">
        <f t="shared" si="49"/>
        <v>NO</v>
      </c>
      <c r="BD112" s="190" t="str">
        <f t="shared" si="64"/>
        <v>NO</v>
      </c>
      <c r="BE112" s="190" t="str">
        <f t="shared" si="50"/>
        <v>NO</v>
      </c>
      <c r="BF112" s="190" t="str">
        <f t="shared" si="51"/>
        <v>NO</v>
      </c>
      <c r="BG112" s="190" t="str">
        <f t="shared" si="52"/>
        <v>NO</v>
      </c>
      <c r="BH112" s="88"/>
      <c r="BI112" s="9"/>
      <c r="BJ112" s="694">
        <f t="shared" si="66"/>
        <v>1.6131999999999995</v>
      </c>
      <c r="BK112" s="694" t="str">
        <f t="shared" si="66"/>
        <v/>
      </c>
      <c r="BL112" s="694">
        <f t="shared" si="67"/>
        <v>6.4615</v>
      </c>
      <c r="BM112" s="694" t="str">
        <f t="shared" si="67"/>
        <v/>
      </c>
      <c r="BN112" s="88"/>
      <c r="BO112" s="195"/>
      <c r="BP112" s="195"/>
      <c r="BQ112" s="195"/>
      <c r="BR112" s="195"/>
      <c r="BS112" s="195"/>
      <c r="BT112" s="195"/>
      <c r="BU112" s="195"/>
      <c r="BV112" s="195"/>
      <c r="BW112" s="195"/>
      <c r="BX112" s="195"/>
    </row>
    <row r="113" spans="1:76" s="124" customFormat="1" ht="15">
      <c r="A113" s="187">
        <v>4329</v>
      </c>
      <c r="B113" s="187" t="s">
        <v>471</v>
      </c>
      <c r="C113" s="187" t="s">
        <v>471</v>
      </c>
      <c r="D113" s="187" t="s">
        <v>476</v>
      </c>
      <c r="E113" s="187" t="s">
        <v>392</v>
      </c>
      <c r="F113" s="187" t="s">
        <v>386</v>
      </c>
      <c r="G113" s="187" t="s">
        <v>393</v>
      </c>
      <c r="H113" s="187" t="b">
        <v>0</v>
      </c>
      <c r="I113" s="187" t="s">
        <v>388</v>
      </c>
      <c r="J113" s="187" t="s">
        <v>389</v>
      </c>
      <c r="K113" s="187" t="b">
        <v>1</v>
      </c>
      <c r="L113" s="187">
        <v>3.7</v>
      </c>
      <c r="M113" s="187">
        <v>0.45</v>
      </c>
      <c r="N113" s="187">
        <v>13.3</v>
      </c>
      <c r="O113" s="187">
        <v>4.3</v>
      </c>
      <c r="P113" s="187">
        <v>7.02</v>
      </c>
      <c r="Q113" s="187"/>
      <c r="R113" s="187"/>
      <c r="S113" s="187"/>
      <c r="T113" s="187"/>
      <c r="U113" s="187">
        <v>37.6</v>
      </c>
      <c r="V113" s="187">
        <v>2.25</v>
      </c>
      <c r="W113" s="188">
        <v>40148</v>
      </c>
      <c r="X113" s="691">
        <f t="shared" si="43"/>
        <v>1.8111999999999999</v>
      </c>
      <c r="Y113" s="691">
        <f t="shared" si="45"/>
        <v>4.7803700000000005</v>
      </c>
      <c r="Z113" s="189"/>
      <c r="AA113" s="190">
        <f t="shared" si="53"/>
        <v>2009</v>
      </c>
      <c r="AB113" s="191">
        <f t="shared" si="54"/>
        <v>2.0428445229681982</v>
      </c>
      <c r="AC113" s="192">
        <f>IF(AB113="","",AB113*SFAssumptions!$C$3)</f>
        <v>524.42535887809197</v>
      </c>
      <c r="AD113" s="193">
        <f t="shared" si="55"/>
        <v>17.687369000000004</v>
      </c>
      <c r="AE113" s="194">
        <f>IF(AD113="","",AD113*SFAssumptions!$C$3)</f>
        <v>4540.5828643077011</v>
      </c>
      <c r="AF113" s="192">
        <f t="shared" si="44"/>
        <v>3.7</v>
      </c>
      <c r="AG113" s="192">
        <f t="shared" si="56"/>
        <v>4.7803700000000005</v>
      </c>
      <c r="AH113" s="192">
        <f t="shared" si="57"/>
        <v>1.8111999999999999</v>
      </c>
      <c r="AI113" s="692">
        <f ca="1">IF(AC113="","",AC113*SFAssumptions!$C$8/'SavingsData&amp;Analysis'!AF113)</f>
        <v>535.34011037969731</v>
      </c>
      <c r="AJ113" s="692">
        <f ca="1">IF(OR(AE113="",AF113=""),"",AE113*SFAssumptions!$C$8/AF113)</f>
        <v>4635.0850328191336</v>
      </c>
      <c r="AK113" s="191">
        <f t="shared" si="58"/>
        <v>1.6444444444444446</v>
      </c>
      <c r="AL113" s="692">
        <f>IF(AK113="","",AK113*SFAssumptions!$C$3)</f>
        <v>422.15076000000005</v>
      </c>
      <c r="AM113" s="193">
        <f t="shared" si="59"/>
        <v>15.91</v>
      </c>
      <c r="AN113" s="194">
        <f>IF(AM113="","",AM113*SFAssumptions!$C$3)</f>
        <v>4084.3086029999999</v>
      </c>
      <c r="AO113" s="693">
        <f t="shared" si="60"/>
        <v>4.3</v>
      </c>
      <c r="AP113" s="693">
        <f t="shared" si="61"/>
        <v>2.25</v>
      </c>
      <c r="AQ113" s="692">
        <f ca="1">IF(AL113="","",AL113*SFAssumptions!$C$8/'SavingsData&amp;Analysis'!AF113)</f>
        <v>430.93689240875898</v>
      </c>
      <c r="AR113" s="692">
        <f ca="1">IF(OR(AN113="",AF113=""),"",AN113*SFAssumptions!$C$8/AF113)</f>
        <v>4169.3144340547424</v>
      </c>
      <c r="AS113" s="190" t="str">
        <f>IF(OR(AG113="",AH113=""),"No",IF(AND(G113="Horizontal",AH113&gt;='Eff. Standards &amp; Certifications'!$B$21,AG113&lt;='Eff. Standards &amp; Certifications'!$C$21),"Consider",IF(AND(G113="Vertical",AH113&gt;='Eff. Standards &amp; Certifications'!$B$20,AG113&lt;='Eff. Standards &amp; Certifications'!$C$20),"Consider","No")))</f>
        <v>Consider</v>
      </c>
      <c r="AT113" s="190" t="str">
        <f t="shared" si="46"/>
        <v>Residential</v>
      </c>
      <c r="AU113" s="190"/>
      <c r="AV113" s="190" t="str">
        <f t="shared" si="65"/>
        <v>YES</v>
      </c>
      <c r="AW113" s="190" t="str">
        <f t="shared" si="65"/>
        <v>NO</v>
      </c>
      <c r="AX113" s="190" t="str">
        <f t="shared" si="62"/>
        <v>YES</v>
      </c>
      <c r="AY113" s="190" t="str">
        <f t="shared" si="47"/>
        <v>YES</v>
      </c>
      <c r="AZ113" s="190" t="str">
        <f t="shared" si="47"/>
        <v>NO</v>
      </c>
      <c r="BA113" s="190" t="str">
        <f t="shared" si="63"/>
        <v>YES</v>
      </c>
      <c r="BB113" s="190" t="str">
        <f t="shared" si="48"/>
        <v>NO</v>
      </c>
      <c r="BC113" s="190" t="str">
        <f t="shared" si="49"/>
        <v>NO</v>
      </c>
      <c r="BD113" s="190" t="str">
        <f t="shared" si="64"/>
        <v>NO</v>
      </c>
      <c r="BE113" s="190" t="str">
        <f t="shared" si="50"/>
        <v>NO</v>
      </c>
      <c r="BF113" s="190" t="str">
        <f t="shared" si="51"/>
        <v>NO</v>
      </c>
      <c r="BG113" s="190" t="str">
        <f t="shared" si="52"/>
        <v>NO</v>
      </c>
      <c r="BH113" s="88"/>
      <c r="BI113" s="9"/>
      <c r="BJ113" s="694">
        <f t="shared" si="66"/>
        <v>1.8111999999999999</v>
      </c>
      <c r="BK113" s="694" t="str">
        <f t="shared" si="66"/>
        <v/>
      </c>
      <c r="BL113" s="694">
        <f t="shared" si="67"/>
        <v>4.7803700000000005</v>
      </c>
      <c r="BM113" s="694" t="str">
        <f t="shared" si="67"/>
        <v/>
      </c>
      <c r="BN113" s="88"/>
      <c r="BO113" s="195"/>
      <c r="BP113" s="195"/>
      <c r="BQ113" s="195"/>
      <c r="BR113" s="195"/>
      <c r="BS113" s="195"/>
      <c r="BT113" s="195"/>
      <c r="BU113" s="195"/>
      <c r="BV113" s="195"/>
      <c r="BW113" s="195"/>
      <c r="BX113" s="195"/>
    </row>
    <row r="114" spans="1:76" s="124" customFormat="1" ht="15">
      <c r="A114" s="187">
        <v>3267</v>
      </c>
      <c r="B114" s="187" t="s">
        <v>471</v>
      </c>
      <c r="C114" s="187" t="s">
        <v>471</v>
      </c>
      <c r="D114" s="187" t="s">
        <v>477</v>
      </c>
      <c r="E114" s="187" t="s">
        <v>392</v>
      </c>
      <c r="F114" s="187" t="s">
        <v>386</v>
      </c>
      <c r="G114" s="187" t="s">
        <v>393</v>
      </c>
      <c r="H114" s="187" t="b">
        <v>0</v>
      </c>
      <c r="I114" s="187" t="s">
        <v>388</v>
      </c>
      <c r="J114" s="187" t="s">
        <v>389</v>
      </c>
      <c r="K114" s="187" t="b">
        <v>1</v>
      </c>
      <c r="L114" s="187">
        <v>3.1</v>
      </c>
      <c r="M114" s="187">
        <v>199</v>
      </c>
      <c r="N114" s="187">
        <v>16.75</v>
      </c>
      <c r="O114" s="187">
        <v>5.8</v>
      </c>
      <c r="P114" s="187">
        <v>6.16</v>
      </c>
      <c r="Q114" s="187"/>
      <c r="R114" s="187"/>
      <c r="S114" s="187"/>
      <c r="T114" s="187"/>
      <c r="U114" s="187">
        <v>36.9</v>
      </c>
      <c r="V114" s="187">
        <v>2.15</v>
      </c>
      <c r="W114" s="188">
        <v>39434</v>
      </c>
      <c r="X114" s="691">
        <f t="shared" si="43"/>
        <v>1.7121999999999997</v>
      </c>
      <c r="Y114" s="691">
        <f t="shared" si="45"/>
        <v>6.2637200000000002</v>
      </c>
      <c r="Z114" s="189"/>
      <c r="AA114" s="190">
        <f t="shared" si="53"/>
        <v>2007</v>
      </c>
      <c r="AB114" s="191">
        <f t="shared" si="54"/>
        <v>1.8105361523186547</v>
      </c>
      <c r="AC114" s="192">
        <f>IF(AB114="","",AB114*SFAssumptions!$C$3)</f>
        <v>464.78871043102453</v>
      </c>
      <c r="AD114" s="193">
        <f t="shared" si="55"/>
        <v>19.417532000000001</v>
      </c>
      <c r="AE114" s="194">
        <f>IF(AD114="","",AD114*SFAssumptions!$C$3)</f>
        <v>4984.7387175756003</v>
      </c>
      <c r="AF114" s="192">
        <f t="shared" si="44"/>
        <v>3.1</v>
      </c>
      <c r="AG114" s="192">
        <f t="shared" si="56"/>
        <v>6.2637200000000002</v>
      </c>
      <c r="AH114" s="192">
        <f t="shared" si="57"/>
        <v>1.7121999999999997</v>
      </c>
      <c r="AI114" s="692">
        <f ca="1">IF(AC114="","",AC114*SFAssumptions!$C$8/'SavingsData&amp;Analysis'!AF114)</f>
        <v>566.29366190848498</v>
      </c>
      <c r="AJ114" s="692">
        <f ca="1">IF(OR(AE114="",AF114=""),"",AE114*SFAssumptions!$C$8/AF114)</f>
        <v>6073.3530713668324</v>
      </c>
      <c r="AK114" s="191">
        <f t="shared" si="58"/>
        <v>1.4418604651162792</v>
      </c>
      <c r="AL114" s="692">
        <f>IF(AK114="","",AK114*SFAssumptions!$C$3)</f>
        <v>370.14475813953493</v>
      </c>
      <c r="AM114" s="193">
        <f t="shared" si="59"/>
        <v>17.98</v>
      </c>
      <c r="AN114" s="194">
        <f>IF(AM114="","",AM114*SFAssumptions!$C$3)</f>
        <v>4615.7051339999998</v>
      </c>
      <c r="AO114" s="693">
        <f t="shared" si="60"/>
        <v>5.8</v>
      </c>
      <c r="AP114" s="693">
        <f t="shared" si="61"/>
        <v>2.15</v>
      </c>
      <c r="AQ114" s="692">
        <f ca="1">IF(AL114="","",AL114*SFAssumptions!$C$8/'SavingsData&amp;Analysis'!AF114)</f>
        <v>450.98046879986413</v>
      </c>
      <c r="AR114" s="692">
        <f ca="1">IF(OR(AN114="",AF114=""),"",AN114*SFAssumptions!$C$8/AF114)</f>
        <v>5623.7264459343041</v>
      </c>
      <c r="AS114" s="190" t="str">
        <f>IF(OR(AG114="",AH114=""),"No",IF(AND(G114="Horizontal",AH114&gt;='Eff. Standards &amp; Certifications'!$B$21,AG114&lt;='Eff. Standards &amp; Certifications'!$C$21),"Consider",IF(AND(G114="Vertical",AH114&gt;='Eff. Standards &amp; Certifications'!$B$20,AG114&lt;='Eff. Standards &amp; Certifications'!$C$20),"Consider","No")))</f>
        <v>Consider</v>
      </c>
      <c r="AT114" s="190" t="str">
        <f t="shared" si="46"/>
        <v>Residential</v>
      </c>
      <c r="AU114" s="190"/>
      <c r="AV114" s="190" t="str">
        <f t="shared" si="65"/>
        <v>YES</v>
      </c>
      <c r="AW114" s="190" t="str">
        <f t="shared" si="65"/>
        <v>NO</v>
      </c>
      <c r="AX114" s="190" t="str">
        <f t="shared" si="62"/>
        <v>YES</v>
      </c>
      <c r="AY114" s="190" t="str">
        <f t="shared" si="47"/>
        <v>YES</v>
      </c>
      <c r="AZ114" s="190" t="str">
        <f t="shared" si="47"/>
        <v>NO</v>
      </c>
      <c r="BA114" s="190" t="str">
        <f t="shared" si="63"/>
        <v>YES</v>
      </c>
      <c r="BB114" s="190" t="str">
        <f t="shared" si="48"/>
        <v>NO</v>
      </c>
      <c r="BC114" s="190" t="str">
        <f t="shared" si="49"/>
        <v>NO</v>
      </c>
      <c r="BD114" s="190" t="str">
        <f t="shared" si="64"/>
        <v>NO</v>
      </c>
      <c r="BE114" s="190" t="str">
        <f t="shared" si="50"/>
        <v>NO</v>
      </c>
      <c r="BF114" s="190" t="str">
        <f t="shared" si="51"/>
        <v>NO</v>
      </c>
      <c r="BG114" s="190" t="str">
        <f t="shared" si="52"/>
        <v>NO</v>
      </c>
      <c r="BH114" s="88"/>
      <c r="BI114" s="9"/>
      <c r="BJ114" s="694">
        <f t="shared" si="66"/>
        <v>1.7121999999999997</v>
      </c>
      <c r="BK114" s="694" t="str">
        <f t="shared" si="66"/>
        <v/>
      </c>
      <c r="BL114" s="694">
        <f t="shared" si="67"/>
        <v>6.2637200000000002</v>
      </c>
      <c r="BM114" s="694" t="str">
        <f t="shared" si="67"/>
        <v/>
      </c>
      <c r="BN114" s="88"/>
      <c r="BO114" s="195"/>
      <c r="BP114" s="195"/>
      <c r="BQ114" s="195"/>
      <c r="BR114" s="195"/>
      <c r="BS114" s="195"/>
      <c r="BT114" s="195"/>
      <c r="BU114" s="195"/>
      <c r="BV114" s="195"/>
      <c r="BW114" s="195"/>
      <c r="BX114" s="195"/>
    </row>
    <row r="115" spans="1:76" s="124" customFormat="1" ht="15">
      <c r="A115" s="187">
        <v>5699</v>
      </c>
      <c r="B115" s="187" t="s">
        <v>471</v>
      </c>
      <c r="C115" s="187" t="s">
        <v>471</v>
      </c>
      <c r="D115" s="187" t="s">
        <v>478</v>
      </c>
      <c r="E115" s="187" t="s">
        <v>392</v>
      </c>
      <c r="F115" s="187" t="s">
        <v>386</v>
      </c>
      <c r="G115" s="187" t="s">
        <v>393</v>
      </c>
      <c r="H115" s="187" t="b">
        <v>0</v>
      </c>
      <c r="I115" s="187" t="s">
        <v>388</v>
      </c>
      <c r="J115" s="187" t="s">
        <v>389</v>
      </c>
      <c r="K115" s="187" t="b">
        <v>1</v>
      </c>
      <c r="L115" s="187">
        <v>4.2</v>
      </c>
      <c r="M115" s="187">
        <v>182</v>
      </c>
      <c r="N115" s="187">
        <v>0.51</v>
      </c>
      <c r="O115" s="187">
        <v>0.1</v>
      </c>
      <c r="P115" s="187">
        <v>253.5</v>
      </c>
      <c r="Q115" s="187"/>
      <c r="R115" s="187"/>
      <c r="S115" s="187"/>
      <c r="T115" s="187"/>
      <c r="U115" s="187">
        <v>37.5</v>
      </c>
      <c r="V115" s="691"/>
      <c r="W115" s="188">
        <v>41316</v>
      </c>
      <c r="X115" s="691"/>
      <c r="Y115" s="691">
        <f t="shared" si="45"/>
        <v>0.62699000000000005</v>
      </c>
      <c r="Z115" s="189"/>
      <c r="AA115" s="190">
        <f t="shared" si="53"/>
        <v>2013</v>
      </c>
      <c r="AB115" s="191" t="str">
        <f t="shared" si="54"/>
        <v/>
      </c>
      <c r="AC115" s="192" t="str">
        <f>IF(AB115="","",AB115*SFAssumptions!$C$3)</f>
        <v/>
      </c>
      <c r="AD115" s="193">
        <f t="shared" si="55"/>
        <v>2.6333580000000003</v>
      </c>
      <c r="AE115" s="194">
        <f>IF(AD115="","",AD115*SFAssumptions!$C$3)</f>
        <v>676.01802226140012</v>
      </c>
      <c r="AF115" s="192">
        <f t="shared" si="44"/>
        <v>4.2</v>
      </c>
      <c r="AG115" s="192">
        <f t="shared" si="56"/>
        <v>0.62699000000000005</v>
      </c>
      <c r="AH115" s="192" t="str">
        <f t="shared" si="57"/>
        <v/>
      </c>
      <c r="AI115" s="692" t="str">
        <f>IF(AC115="","",AC115*SFAssumptions!$C$8/'SavingsData&amp;Analysis'!AF115)</f>
        <v/>
      </c>
      <c r="AJ115" s="692">
        <f ca="1">IF(OR(AE115="",AF115=""),"",AE115*SFAssumptions!$C$8/AF115)</f>
        <v>607.93452488557762</v>
      </c>
      <c r="AK115" s="191" t="str">
        <f t="shared" si="58"/>
        <v/>
      </c>
      <c r="AL115" s="692" t="str">
        <f>IF(AK115="","",AK115*SFAssumptions!$C$3)</f>
        <v/>
      </c>
      <c r="AM115" s="193">
        <f t="shared" si="59"/>
        <v>0.42000000000000004</v>
      </c>
      <c r="AN115" s="194">
        <f>IF(AM115="","",AM115*SFAssumptions!$C$3)</f>
        <v>107.81958600000002</v>
      </c>
      <c r="AO115" s="693">
        <f t="shared" si="60"/>
        <v>0.1</v>
      </c>
      <c r="AP115" s="693" t="str">
        <f t="shared" si="61"/>
        <v/>
      </c>
      <c r="AQ115" s="692" t="str">
        <f>IF(AL115="","",AL115*SFAssumptions!$C$8/'SavingsData&amp;Analysis'!AF115)</f>
        <v/>
      </c>
      <c r="AR115" s="692">
        <f ca="1">IF(OR(AN115="",AF115=""),"",AN115*SFAssumptions!$C$8/AF115)</f>
        <v>96.960800791970783</v>
      </c>
      <c r="AS115" s="190" t="str">
        <f>IF(OR(AG115="",AH115=""),"No",IF(AND(G115="Horizontal",AH115&gt;='Eff. Standards &amp; Certifications'!$B$21,AG115&lt;='Eff. Standards &amp; Certifications'!$C$21),"Consider",IF(AND(G115="Vertical",AH115&gt;='Eff. Standards &amp; Certifications'!$B$20,AG115&lt;='Eff. Standards &amp; Certifications'!$C$20),"Consider","No")))</f>
        <v>No</v>
      </c>
      <c r="AT115" s="190" t="str">
        <f t="shared" si="46"/>
        <v>Residential</v>
      </c>
      <c r="AU115" s="190"/>
      <c r="AV115" s="190" t="str">
        <f t="shared" si="65"/>
        <v>NO</v>
      </c>
      <c r="AW115" s="190" t="str">
        <f t="shared" si="65"/>
        <v>NO</v>
      </c>
      <c r="AX115" s="190" t="str">
        <f t="shared" si="62"/>
        <v>NO</v>
      </c>
      <c r="AY115" s="190" t="str">
        <f t="shared" si="47"/>
        <v>NO</v>
      </c>
      <c r="AZ115" s="190" t="str">
        <f t="shared" si="47"/>
        <v>NO</v>
      </c>
      <c r="BA115" s="190" t="str">
        <f t="shared" si="63"/>
        <v>NO</v>
      </c>
      <c r="BB115" s="190" t="str">
        <f t="shared" si="48"/>
        <v>NO</v>
      </c>
      <c r="BC115" s="190" t="str">
        <f t="shared" si="49"/>
        <v>NO</v>
      </c>
      <c r="BD115" s="190" t="str">
        <f t="shared" si="64"/>
        <v>NO</v>
      </c>
      <c r="BE115" s="190" t="str">
        <f t="shared" si="50"/>
        <v>NO</v>
      </c>
      <c r="BF115" s="190" t="str">
        <f t="shared" si="51"/>
        <v>NO</v>
      </c>
      <c r="BG115" s="190" t="str">
        <f t="shared" si="52"/>
        <v>NO</v>
      </c>
      <c r="BH115" s="88"/>
      <c r="BI115" s="9"/>
      <c r="BJ115" s="694" t="str">
        <f t="shared" si="66"/>
        <v/>
      </c>
      <c r="BK115" s="694" t="str">
        <f t="shared" si="66"/>
        <v/>
      </c>
      <c r="BL115" s="694" t="str">
        <f t="shared" si="67"/>
        <v/>
      </c>
      <c r="BM115" s="694" t="str">
        <f t="shared" si="67"/>
        <v/>
      </c>
      <c r="BN115" s="88"/>
      <c r="BO115" s="195"/>
      <c r="BP115" s="195"/>
      <c r="BQ115" s="195"/>
      <c r="BR115" s="195"/>
      <c r="BS115" s="195"/>
      <c r="BT115" s="195"/>
      <c r="BU115" s="195"/>
      <c r="BV115" s="195"/>
      <c r="BW115" s="195"/>
      <c r="BX115" s="195"/>
    </row>
    <row r="116" spans="1:76" s="124" customFormat="1" ht="15">
      <c r="A116" s="187">
        <v>5314</v>
      </c>
      <c r="B116" s="187" t="s">
        <v>479</v>
      </c>
      <c r="C116" s="187" t="s">
        <v>479</v>
      </c>
      <c r="D116" s="187" t="s">
        <v>480</v>
      </c>
      <c r="E116" s="187" t="s">
        <v>392</v>
      </c>
      <c r="F116" s="187" t="s">
        <v>386</v>
      </c>
      <c r="G116" s="187" t="s">
        <v>393</v>
      </c>
      <c r="H116" s="187" t="b">
        <v>0</v>
      </c>
      <c r="I116" s="187" t="s">
        <v>388</v>
      </c>
      <c r="J116" s="187" t="s">
        <v>389</v>
      </c>
      <c r="K116" s="187" t="b">
        <v>0</v>
      </c>
      <c r="L116" s="187">
        <v>3.9</v>
      </c>
      <c r="M116" s="187">
        <v>1.26</v>
      </c>
      <c r="N116" s="187">
        <v>33.880000000000003</v>
      </c>
      <c r="O116" s="187">
        <v>9.5</v>
      </c>
      <c r="P116" s="187">
        <v>3.13</v>
      </c>
      <c r="Q116" s="187"/>
      <c r="R116" s="187"/>
      <c r="S116" s="187"/>
      <c r="T116" s="187"/>
      <c r="U116" s="187">
        <v>49.5</v>
      </c>
      <c r="V116" s="691"/>
      <c r="W116" s="188">
        <v>40968</v>
      </c>
      <c r="X116" s="691"/>
      <c r="Y116" s="691">
        <f t="shared" si="45"/>
        <v>9.9226500000000009</v>
      </c>
      <c r="Z116" s="189"/>
      <c r="AA116" s="190">
        <f t="shared" si="53"/>
        <v>2012</v>
      </c>
      <c r="AB116" s="191" t="str">
        <f t="shared" si="54"/>
        <v/>
      </c>
      <c r="AC116" s="192" t="str">
        <f>IF(AB116="","",AB116*SFAssumptions!$C$3)</f>
        <v/>
      </c>
      <c r="AD116" s="193">
        <f t="shared" si="55"/>
        <v>38.698335</v>
      </c>
      <c r="AE116" s="194">
        <f>IF(AD116="","",AD116*SFAssumptions!$C$3)</f>
        <v>9934.3772823555009</v>
      </c>
      <c r="AF116" s="192">
        <f t="shared" si="44"/>
        <v>3.9</v>
      </c>
      <c r="AG116" s="192">
        <f t="shared" si="56"/>
        <v>9.9226500000000009</v>
      </c>
      <c r="AH116" s="192" t="str">
        <f t="shared" si="57"/>
        <v/>
      </c>
      <c r="AI116" s="692" t="str">
        <f>IF(AC116="","",AC116*SFAssumptions!$C$8/'SavingsData&amp;Analysis'!AF116)</f>
        <v/>
      </c>
      <c r="AJ116" s="692">
        <f ca="1">IF(OR(AE116="",AF116=""),"",AE116*SFAssumptions!$C$8/AF116)</f>
        <v>9621.0808997844888</v>
      </c>
      <c r="AK116" s="191" t="str">
        <f t="shared" si="58"/>
        <v/>
      </c>
      <c r="AL116" s="692" t="str">
        <f>IF(AK116="","",AK116*SFAssumptions!$C$3)</f>
        <v/>
      </c>
      <c r="AM116" s="193">
        <f t="shared" si="59"/>
        <v>37.049999999999997</v>
      </c>
      <c r="AN116" s="194">
        <f>IF(AM116="","",AM116*SFAssumptions!$C$3)</f>
        <v>9511.2277649999996</v>
      </c>
      <c r="AO116" s="693">
        <f t="shared" si="60"/>
        <v>9.5</v>
      </c>
      <c r="AP116" s="693" t="str">
        <f t="shared" si="61"/>
        <v/>
      </c>
      <c r="AQ116" s="692" t="str">
        <f>IF(AL116="","",AL116*SFAssumptions!$C$8/'SavingsData&amp;Analysis'!AF116)</f>
        <v/>
      </c>
      <c r="AR116" s="692">
        <f ca="1">IF(OR(AN116="",AF116=""),"",AN116*SFAssumptions!$C$8/AF116)</f>
        <v>9211.2760752372233</v>
      </c>
      <c r="AS116" s="190" t="str">
        <f>IF(OR(AG116="",AH116=""),"No",IF(AND(G116="Horizontal",AH116&gt;='Eff. Standards &amp; Certifications'!$B$21,AG116&lt;='Eff. Standards &amp; Certifications'!$C$21),"Consider",IF(AND(G116="Vertical",AH116&gt;='Eff. Standards &amp; Certifications'!$B$20,AG116&lt;='Eff. Standards &amp; Certifications'!$C$20),"Consider","No")))</f>
        <v>No</v>
      </c>
      <c r="AT116" s="190" t="str">
        <f t="shared" si="46"/>
        <v>Residential</v>
      </c>
      <c r="AU116" s="190"/>
      <c r="AV116" s="190" t="str">
        <f t="shared" si="65"/>
        <v>NO</v>
      </c>
      <c r="AW116" s="190" t="str">
        <f t="shared" si="65"/>
        <v>NO</v>
      </c>
      <c r="AX116" s="190" t="str">
        <f t="shared" si="62"/>
        <v>NO</v>
      </c>
      <c r="AY116" s="190" t="str">
        <f t="shared" si="47"/>
        <v>NO</v>
      </c>
      <c r="AZ116" s="190" t="str">
        <f t="shared" si="47"/>
        <v>NO</v>
      </c>
      <c r="BA116" s="190" t="str">
        <f t="shared" si="63"/>
        <v>NO</v>
      </c>
      <c r="BB116" s="190" t="str">
        <f t="shared" si="48"/>
        <v>NO</v>
      </c>
      <c r="BC116" s="190" t="str">
        <f t="shared" si="49"/>
        <v>NO</v>
      </c>
      <c r="BD116" s="190" t="str">
        <f t="shared" si="64"/>
        <v>NO</v>
      </c>
      <c r="BE116" s="190" t="str">
        <f t="shared" si="50"/>
        <v>NO</v>
      </c>
      <c r="BF116" s="190" t="str">
        <f t="shared" si="51"/>
        <v>NO</v>
      </c>
      <c r="BG116" s="190" t="str">
        <f t="shared" si="52"/>
        <v>NO</v>
      </c>
      <c r="BH116" s="88"/>
      <c r="BI116" s="9"/>
      <c r="BJ116" s="694" t="str">
        <f t="shared" si="66"/>
        <v/>
      </c>
      <c r="BK116" s="694" t="str">
        <f t="shared" si="66"/>
        <v/>
      </c>
      <c r="BL116" s="694" t="str">
        <f t="shared" si="67"/>
        <v/>
      </c>
      <c r="BM116" s="694" t="str">
        <f t="shared" si="67"/>
        <v/>
      </c>
      <c r="BN116" s="88"/>
      <c r="BO116" s="195"/>
      <c r="BP116" s="195"/>
      <c r="BQ116" s="195"/>
      <c r="BR116" s="195"/>
      <c r="BS116" s="195"/>
      <c r="BT116" s="195"/>
      <c r="BU116" s="195"/>
      <c r="BV116" s="195"/>
      <c r="BW116" s="195"/>
      <c r="BX116" s="195"/>
    </row>
    <row r="117" spans="1:76" s="124" customFormat="1" ht="15">
      <c r="A117" s="187">
        <v>5345</v>
      </c>
      <c r="B117" s="187" t="s">
        <v>479</v>
      </c>
      <c r="C117" s="187" t="s">
        <v>479</v>
      </c>
      <c r="D117" s="187" t="s">
        <v>481</v>
      </c>
      <c r="E117" s="187" t="s">
        <v>392</v>
      </c>
      <c r="F117" s="187" t="s">
        <v>386</v>
      </c>
      <c r="G117" s="187" t="s">
        <v>393</v>
      </c>
      <c r="H117" s="187" t="b">
        <v>0</v>
      </c>
      <c r="I117" s="187" t="s">
        <v>388</v>
      </c>
      <c r="J117" s="187" t="s">
        <v>389</v>
      </c>
      <c r="K117" s="187" t="b">
        <v>1</v>
      </c>
      <c r="L117" s="187">
        <v>4</v>
      </c>
      <c r="M117" s="187">
        <v>0.42</v>
      </c>
      <c r="N117" s="187">
        <v>19.82</v>
      </c>
      <c r="O117" s="187">
        <v>4.5</v>
      </c>
      <c r="P117" s="187">
        <v>9.41</v>
      </c>
      <c r="Q117" s="187"/>
      <c r="R117" s="187"/>
      <c r="S117" s="187"/>
      <c r="T117" s="187"/>
      <c r="U117" s="187">
        <v>41.5</v>
      </c>
      <c r="V117" s="187">
        <v>2.2000000000000002</v>
      </c>
      <c r="W117" s="188">
        <v>40987</v>
      </c>
      <c r="X117" s="691">
        <f t="shared" ref="X117:X179" si="68">IF($V117="","",IF($G117="Horizontal",V117*slope_FrontLoad_MEF+int_FrontLoad_MEF,IF($G117="Vertical",V117*slope_TopLoad_MEF+int_TopLoad_MEF,"")))</f>
        <v>1.7616999999999998</v>
      </c>
      <c r="Y117" s="691">
        <f t="shared" si="45"/>
        <v>4.9781500000000003</v>
      </c>
      <c r="Z117" s="189"/>
      <c r="AA117" s="190">
        <f t="shared" si="53"/>
        <v>2012</v>
      </c>
      <c r="AB117" s="191">
        <f t="shared" si="54"/>
        <v>2.2705341431571782</v>
      </c>
      <c r="AC117" s="192">
        <f>IF(AB117="","",AB117*SFAssumptions!$C$3)</f>
        <v>582.87631265255163</v>
      </c>
      <c r="AD117" s="193">
        <f t="shared" si="55"/>
        <v>19.912600000000001</v>
      </c>
      <c r="AE117" s="194">
        <f>IF(AD117="","",AD117*SFAssumptions!$C$3)</f>
        <v>5111.8292575800006</v>
      </c>
      <c r="AF117" s="192">
        <f t="shared" si="44"/>
        <v>4</v>
      </c>
      <c r="AG117" s="192">
        <f t="shared" si="56"/>
        <v>4.9781500000000003</v>
      </c>
      <c r="AH117" s="192">
        <f t="shared" si="57"/>
        <v>1.7616999999999998</v>
      </c>
      <c r="AI117" s="692">
        <f ca="1">IF(AC117="","",AC117*SFAssumptions!$C$8/'SavingsData&amp;Analysis'!AF117)</f>
        <v>550.38202186507795</v>
      </c>
      <c r="AJ117" s="692">
        <f ca="1">IF(OR(AE117="",AF117=""),"",AE117*SFAssumptions!$C$8/AF117)</f>
        <v>4826.8541046254932</v>
      </c>
      <c r="AK117" s="191">
        <f t="shared" si="58"/>
        <v>1.8181818181818181</v>
      </c>
      <c r="AL117" s="692">
        <f>IF(AK117="","",AK117*SFAssumptions!$C$3)</f>
        <v>466.75145454545452</v>
      </c>
      <c r="AM117" s="193">
        <f t="shared" si="59"/>
        <v>18</v>
      </c>
      <c r="AN117" s="194">
        <f>IF(AM117="","",AM117*SFAssumptions!$C$3)</f>
        <v>4620.8393999999998</v>
      </c>
      <c r="AO117" s="693">
        <f t="shared" si="60"/>
        <v>4.5</v>
      </c>
      <c r="AP117" s="693">
        <f t="shared" si="61"/>
        <v>2.2000000000000002</v>
      </c>
      <c r="AQ117" s="692">
        <f ca="1">IF(AL117="","",AL117*SFAssumptions!$C$8/'SavingsData&amp;Analysis'!AF117)</f>
        <v>440.73091269077622</v>
      </c>
      <c r="AR117" s="692">
        <f ca="1">IF(OR(AN117="",AF117=""),"",AN117*SFAssumptions!$C$8/AF117)</f>
        <v>4363.2360356386844</v>
      </c>
      <c r="AS117" s="190" t="str">
        <f>IF(OR(AG117="",AH117=""),"No",IF(AND(G117="Horizontal",AH117&gt;='Eff. Standards &amp; Certifications'!$B$21,AG117&lt;='Eff. Standards &amp; Certifications'!$C$21),"Consider",IF(AND(G117="Vertical",AH117&gt;='Eff. Standards &amp; Certifications'!$B$20,AG117&lt;='Eff. Standards &amp; Certifications'!$C$20),"Consider","No")))</f>
        <v>Consider</v>
      </c>
      <c r="AT117" s="190" t="str">
        <f t="shared" si="46"/>
        <v>Residential</v>
      </c>
      <c r="AU117" s="190"/>
      <c r="AV117" s="190" t="str">
        <f t="shared" si="65"/>
        <v>YES</v>
      </c>
      <c r="AW117" s="190" t="str">
        <f t="shared" si="65"/>
        <v>NO</v>
      </c>
      <c r="AX117" s="190" t="str">
        <f t="shared" si="62"/>
        <v>YES</v>
      </c>
      <c r="AY117" s="190" t="str">
        <f t="shared" si="47"/>
        <v>YES</v>
      </c>
      <c r="AZ117" s="190" t="str">
        <f t="shared" si="47"/>
        <v>NO</v>
      </c>
      <c r="BA117" s="190" t="str">
        <f t="shared" si="63"/>
        <v>YES</v>
      </c>
      <c r="BB117" s="190" t="str">
        <f t="shared" si="48"/>
        <v>NO</v>
      </c>
      <c r="BC117" s="190" t="str">
        <f t="shared" si="49"/>
        <v>NO</v>
      </c>
      <c r="BD117" s="190" t="str">
        <f t="shared" si="64"/>
        <v>NO</v>
      </c>
      <c r="BE117" s="190" t="str">
        <f t="shared" si="50"/>
        <v>NO</v>
      </c>
      <c r="BF117" s="190" t="str">
        <f t="shared" si="51"/>
        <v>NO</v>
      </c>
      <c r="BG117" s="190" t="str">
        <f t="shared" si="52"/>
        <v>NO</v>
      </c>
      <c r="BH117" s="88"/>
      <c r="BI117" s="9"/>
      <c r="BJ117" s="694">
        <f t="shared" si="66"/>
        <v>1.7616999999999998</v>
      </c>
      <c r="BK117" s="694" t="str">
        <f t="shared" si="66"/>
        <v/>
      </c>
      <c r="BL117" s="694">
        <f t="shared" si="67"/>
        <v>4.9781500000000003</v>
      </c>
      <c r="BM117" s="694" t="str">
        <f t="shared" si="67"/>
        <v/>
      </c>
      <c r="BN117" s="88"/>
      <c r="BO117" s="195"/>
      <c r="BP117" s="195"/>
      <c r="BQ117" s="195"/>
      <c r="BR117" s="195"/>
      <c r="BS117" s="195"/>
      <c r="BT117" s="195"/>
      <c r="BU117" s="195"/>
      <c r="BV117" s="195"/>
      <c r="BW117" s="195"/>
      <c r="BX117" s="195"/>
    </row>
    <row r="118" spans="1:76" s="124" customFormat="1" ht="15">
      <c r="A118" s="187">
        <v>5309</v>
      </c>
      <c r="B118" s="187" t="s">
        <v>479</v>
      </c>
      <c r="C118" s="187" t="s">
        <v>479</v>
      </c>
      <c r="D118" s="187" t="s">
        <v>482</v>
      </c>
      <c r="E118" s="187" t="s">
        <v>392</v>
      </c>
      <c r="F118" s="187" t="s">
        <v>386</v>
      </c>
      <c r="G118" s="187" t="s">
        <v>393</v>
      </c>
      <c r="H118" s="187" t="b">
        <v>0</v>
      </c>
      <c r="I118" s="187" t="s">
        <v>388</v>
      </c>
      <c r="J118" s="187" t="s">
        <v>389</v>
      </c>
      <c r="K118" s="187" t="b">
        <v>1</v>
      </c>
      <c r="L118" s="187">
        <v>3.6</v>
      </c>
      <c r="M118" s="187">
        <v>1.22</v>
      </c>
      <c r="N118" s="187">
        <v>31.64</v>
      </c>
      <c r="O118" s="187">
        <v>9.5</v>
      </c>
      <c r="P118" s="187">
        <v>3.01</v>
      </c>
      <c r="Q118" s="187"/>
      <c r="R118" s="187"/>
      <c r="S118" s="187"/>
      <c r="T118" s="187"/>
      <c r="U118" s="187">
        <v>63.7</v>
      </c>
      <c r="V118" s="187">
        <v>1.26</v>
      </c>
      <c r="W118" s="188">
        <v>40960</v>
      </c>
      <c r="X118" s="691">
        <f t="shared" si="68"/>
        <v>0.83110000000000006</v>
      </c>
      <c r="Y118" s="691">
        <f t="shared" si="45"/>
        <v>9.9226500000000009</v>
      </c>
      <c r="Z118" s="189"/>
      <c r="AA118" s="190">
        <f t="shared" si="53"/>
        <v>2012</v>
      </c>
      <c r="AB118" s="191">
        <f t="shared" si="54"/>
        <v>4.3316087113464086</v>
      </c>
      <c r="AC118" s="192">
        <f>IF(AB118="","",AB118*SFAssumptions!$C$3)</f>
        <v>1111.9815665984841</v>
      </c>
      <c r="AD118" s="193">
        <f t="shared" si="55"/>
        <v>35.721540000000005</v>
      </c>
      <c r="AE118" s="194">
        <f>IF(AD118="","",AD118*SFAssumptions!$C$3)</f>
        <v>9170.1944144820009</v>
      </c>
      <c r="AF118" s="192">
        <f t="shared" si="44"/>
        <v>3.6</v>
      </c>
      <c r="AG118" s="192">
        <f t="shared" si="56"/>
        <v>9.9226500000000009</v>
      </c>
      <c r="AH118" s="192">
        <f t="shared" si="57"/>
        <v>0.83110000000000006</v>
      </c>
      <c r="AI118" s="692">
        <f ca="1">IF(AC118="","",AC118*SFAssumptions!$C$8/'SavingsData&amp;Analysis'!AF118)</f>
        <v>1166.6562482489564</v>
      </c>
      <c r="AJ118" s="692">
        <f ca="1">IF(OR(AE118="",AF118=""),"",AE118*SFAssumptions!$C$8/AF118)</f>
        <v>9621.080899784487</v>
      </c>
      <c r="AK118" s="191">
        <f t="shared" si="58"/>
        <v>2.8571428571428572</v>
      </c>
      <c r="AL118" s="692">
        <f>IF(AK118="","",AK118*SFAssumptions!$C$3)</f>
        <v>733.46657142857146</v>
      </c>
      <c r="AM118" s="193">
        <f t="shared" si="59"/>
        <v>34.200000000000003</v>
      </c>
      <c r="AN118" s="194">
        <f>IF(AM118="","",AM118*SFAssumptions!$C$3)</f>
        <v>8779.5948600000011</v>
      </c>
      <c r="AO118" s="693">
        <f t="shared" si="60"/>
        <v>9.5</v>
      </c>
      <c r="AP118" s="693">
        <f t="shared" si="61"/>
        <v>1.26</v>
      </c>
      <c r="AQ118" s="692">
        <f ca="1">IF(AL118="","",AL118*SFAssumptions!$C$8/'SavingsData&amp;Analysis'!AF118)</f>
        <v>769.53016501564105</v>
      </c>
      <c r="AR118" s="692">
        <f ca="1">IF(OR(AN118="",AF118=""),"",AN118*SFAssumptions!$C$8/AF118)</f>
        <v>9211.2760752372233</v>
      </c>
      <c r="AS118" s="190" t="str">
        <f>IF(OR(AG118="",AH118=""),"No",IF(AND(G118="Horizontal",AH118&gt;='Eff. Standards &amp; Certifications'!$B$21,AG118&lt;='Eff. Standards &amp; Certifications'!$C$21),"Consider",IF(AND(G118="Vertical",AH118&gt;='Eff. Standards &amp; Certifications'!$B$20,AG118&lt;='Eff. Standards &amp; Certifications'!$C$20),"Consider","No")))</f>
        <v>No</v>
      </c>
      <c r="AT118" s="190" t="str">
        <f t="shared" si="46"/>
        <v>Residential</v>
      </c>
      <c r="AU118" s="190"/>
      <c r="AV118" s="190" t="str">
        <f t="shared" si="65"/>
        <v>NO</v>
      </c>
      <c r="AW118" s="190" t="str">
        <f t="shared" si="65"/>
        <v>NO</v>
      </c>
      <c r="AX118" s="190" t="str">
        <f t="shared" si="62"/>
        <v>NO</v>
      </c>
      <c r="AY118" s="190" t="str">
        <f t="shared" si="47"/>
        <v>NO</v>
      </c>
      <c r="AZ118" s="190" t="str">
        <f t="shared" si="47"/>
        <v>NO</v>
      </c>
      <c r="BA118" s="190" t="str">
        <f t="shared" si="63"/>
        <v>NO</v>
      </c>
      <c r="BB118" s="190" t="str">
        <f t="shared" si="48"/>
        <v>NO</v>
      </c>
      <c r="BC118" s="190" t="str">
        <f t="shared" si="49"/>
        <v>NO</v>
      </c>
      <c r="BD118" s="190" t="str">
        <f t="shared" si="64"/>
        <v>NO</v>
      </c>
      <c r="BE118" s="190" t="str">
        <f t="shared" si="50"/>
        <v>NO</v>
      </c>
      <c r="BF118" s="190" t="str">
        <f t="shared" si="51"/>
        <v>NO</v>
      </c>
      <c r="BG118" s="190" t="str">
        <f t="shared" si="52"/>
        <v>NO</v>
      </c>
      <c r="BH118" s="88"/>
      <c r="BI118" s="9"/>
      <c r="BJ118" s="694" t="str">
        <f t="shared" si="66"/>
        <v/>
      </c>
      <c r="BK118" s="694" t="str">
        <f t="shared" si="66"/>
        <v/>
      </c>
      <c r="BL118" s="694" t="str">
        <f t="shared" si="67"/>
        <v/>
      </c>
      <c r="BM118" s="694" t="str">
        <f t="shared" si="67"/>
        <v/>
      </c>
      <c r="BN118" s="88"/>
      <c r="BO118" s="195"/>
      <c r="BP118" s="195"/>
      <c r="BQ118" s="195"/>
      <c r="BR118" s="195"/>
      <c r="BS118" s="195"/>
      <c r="BT118" s="195"/>
      <c r="BU118" s="195"/>
      <c r="BV118" s="195"/>
      <c r="BW118" s="195"/>
      <c r="BX118" s="195"/>
    </row>
    <row r="119" spans="1:76" s="124" customFormat="1" ht="15">
      <c r="A119" s="187">
        <v>6156</v>
      </c>
      <c r="B119" s="187" t="s">
        <v>479</v>
      </c>
      <c r="C119" s="187" t="s">
        <v>479</v>
      </c>
      <c r="D119" s="187" t="s">
        <v>1314</v>
      </c>
      <c r="E119" s="187" t="s">
        <v>385</v>
      </c>
      <c r="F119" s="187" t="s">
        <v>386</v>
      </c>
      <c r="G119" s="187" t="s">
        <v>387</v>
      </c>
      <c r="H119" s="187" t="b">
        <v>0</v>
      </c>
      <c r="I119" s="187" t="s">
        <v>388</v>
      </c>
      <c r="J119" s="187" t="s">
        <v>389</v>
      </c>
      <c r="K119" s="187" t="b">
        <v>1</v>
      </c>
      <c r="L119" s="187">
        <v>4.5</v>
      </c>
      <c r="M119" s="187">
        <v>0.4</v>
      </c>
      <c r="N119" s="187">
        <v>12</v>
      </c>
      <c r="O119" s="187">
        <v>2.7</v>
      </c>
      <c r="P119" s="187">
        <v>10.96</v>
      </c>
      <c r="Q119" s="187"/>
      <c r="R119" s="187"/>
      <c r="S119" s="187"/>
      <c r="T119" s="187"/>
      <c r="U119" s="187">
        <v>31.3</v>
      </c>
      <c r="V119" s="187">
        <v>3</v>
      </c>
      <c r="W119" s="188">
        <v>41674</v>
      </c>
      <c r="X119" s="691">
        <f t="shared" si="68"/>
        <v>2.5701999999999998</v>
      </c>
      <c r="Y119" s="691">
        <f t="shared" si="45"/>
        <v>2.8825400000000001</v>
      </c>
      <c r="Z119" s="189"/>
      <c r="AA119" s="190">
        <f t="shared" si="53"/>
        <v>2014</v>
      </c>
      <c r="AB119" s="191">
        <f t="shared" si="54"/>
        <v>1.7508365107773716</v>
      </c>
      <c r="AC119" s="192">
        <f>IF(AB119="","",AB119*SFAssumptions!$C$3)</f>
        <v>449.46301844214463</v>
      </c>
      <c r="AD119" s="193">
        <f t="shared" si="55"/>
        <v>12.97143</v>
      </c>
      <c r="AE119" s="194">
        <f>IF(AD119="","",AD119*SFAssumptions!$C$3)</f>
        <v>3329.9386010190001</v>
      </c>
      <c r="AF119" s="192">
        <f t="shared" si="44"/>
        <v>4.5</v>
      </c>
      <c r="AG119" s="192">
        <f t="shared" si="56"/>
        <v>2.8825400000000001</v>
      </c>
      <c r="AH119" s="192">
        <f t="shared" si="57"/>
        <v>2.5701999999999998</v>
      </c>
      <c r="AI119" s="692">
        <f ca="1">IF(AC119="","",AC119*SFAssumptions!$C$8/'SavingsData&amp;Analysis'!AF119)</f>
        <v>377.25002253509757</v>
      </c>
      <c r="AJ119" s="692">
        <f ca="1">IF(OR(AE119="",AF119=""),"",AE119*SFAssumptions!$C$8/AF119)</f>
        <v>2794.9338671488745</v>
      </c>
      <c r="AK119" s="191">
        <f t="shared" si="58"/>
        <v>1.5</v>
      </c>
      <c r="AL119" s="692">
        <f>IF(AK119="","",AK119*SFAssumptions!$C$3)</f>
        <v>385.06995000000001</v>
      </c>
      <c r="AM119" s="193">
        <f t="shared" si="59"/>
        <v>12.15</v>
      </c>
      <c r="AN119" s="194">
        <f>IF(AM119="","",AM119*SFAssumptions!$C$3)</f>
        <v>3119.0665950000002</v>
      </c>
      <c r="AO119" s="693">
        <f t="shared" si="60"/>
        <v>2.7</v>
      </c>
      <c r="AP119" s="693">
        <f t="shared" si="61"/>
        <v>3</v>
      </c>
      <c r="AQ119" s="692">
        <f ca="1">IF(AL119="","",AL119*SFAssumptions!$C$8/'SavingsData&amp;Analysis'!AF119)</f>
        <v>323.20266930656925</v>
      </c>
      <c r="AR119" s="692">
        <f ca="1">IF(OR(AN119="",AF119=""),"",AN119*SFAssumptions!$C$8/AF119)</f>
        <v>2617.941621383211</v>
      </c>
      <c r="AS119" s="190" t="str">
        <f>IF(OR(AG119="",AH119=""),"No",IF(AND(G119="Horizontal",AH119&gt;='Eff. Standards &amp; Certifications'!$B$21,AG119&lt;='Eff. Standards &amp; Certifications'!$C$21),"Consider",IF(AND(G119="Vertical",AH119&gt;='Eff. Standards &amp; Certifications'!$B$20,AG119&lt;='Eff. Standards &amp; Certifications'!$C$20),"Consider","No")))</f>
        <v>Consider</v>
      </c>
      <c r="AT119" s="190" t="str">
        <f t="shared" si="46"/>
        <v>Residential</v>
      </c>
      <c r="AU119" s="190"/>
      <c r="AV119" s="190" t="str">
        <f t="shared" si="65"/>
        <v>NO</v>
      </c>
      <c r="AW119" s="190" t="str">
        <f t="shared" si="65"/>
        <v>YES</v>
      </c>
      <c r="AX119" s="190" t="str">
        <f t="shared" si="62"/>
        <v>YES</v>
      </c>
      <c r="AY119" s="190" t="str">
        <f t="shared" si="47"/>
        <v>NO</v>
      </c>
      <c r="AZ119" s="190" t="str">
        <f t="shared" si="47"/>
        <v>NO</v>
      </c>
      <c r="BA119" s="190" t="str">
        <f t="shared" si="63"/>
        <v>NO</v>
      </c>
      <c r="BB119" s="190" t="str">
        <f t="shared" si="48"/>
        <v>NO</v>
      </c>
      <c r="BC119" s="190" t="str">
        <f t="shared" si="49"/>
        <v>YES</v>
      </c>
      <c r="BD119" s="190" t="str">
        <f t="shared" si="64"/>
        <v>YES</v>
      </c>
      <c r="BE119" s="190" t="str">
        <f t="shared" si="50"/>
        <v>YES</v>
      </c>
      <c r="BF119" s="190" t="str">
        <f t="shared" si="51"/>
        <v>NO</v>
      </c>
      <c r="BG119" s="190" t="str">
        <f t="shared" si="52"/>
        <v>NO</v>
      </c>
      <c r="BH119" s="88"/>
      <c r="BI119" s="9"/>
      <c r="BJ119" s="694" t="str">
        <f t="shared" si="66"/>
        <v/>
      </c>
      <c r="BK119" s="694">
        <f t="shared" si="66"/>
        <v>2.5701999999999998</v>
      </c>
      <c r="BL119" s="694" t="str">
        <f t="shared" si="67"/>
        <v/>
      </c>
      <c r="BM119" s="694">
        <f t="shared" si="67"/>
        <v>2.8825400000000001</v>
      </c>
      <c r="BN119" s="88"/>
      <c r="BO119" s="195"/>
      <c r="BP119" s="195"/>
      <c r="BQ119" s="195"/>
      <c r="BR119" s="195"/>
      <c r="BS119" s="195"/>
      <c r="BT119" s="195"/>
      <c r="BU119" s="195"/>
      <c r="BV119" s="195"/>
      <c r="BW119" s="195"/>
      <c r="BX119" s="195"/>
    </row>
    <row r="120" spans="1:76" s="124" customFormat="1" ht="15">
      <c r="A120" s="187">
        <v>6407</v>
      </c>
      <c r="B120" s="187" t="s">
        <v>479</v>
      </c>
      <c r="C120" s="187" t="s">
        <v>479</v>
      </c>
      <c r="D120" s="187" t="s">
        <v>483</v>
      </c>
      <c r="E120" s="187" t="s">
        <v>385</v>
      </c>
      <c r="F120" s="187" t="s">
        <v>386</v>
      </c>
      <c r="G120" s="187" t="s">
        <v>387</v>
      </c>
      <c r="H120" s="187" t="b">
        <v>0</v>
      </c>
      <c r="I120" s="187" t="s">
        <v>388</v>
      </c>
      <c r="J120" s="187" t="s">
        <v>389</v>
      </c>
      <c r="K120" s="187" t="b">
        <v>1</v>
      </c>
      <c r="L120" s="187">
        <v>4.8</v>
      </c>
      <c r="M120" s="187">
        <v>0.44</v>
      </c>
      <c r="N120" s="187">
        <v>12.1</v>
      </c>
      <c r="O120" s="187">
        <v>2.5</v>
      </c>
      <c r="P120" s="187">
        <v>11.1</v>
      </c>
      <c r="Q120" s="187">
        <v>31.4</v>
      </c>
      <c r="R120" s="187">
        <v>3.04</v>
      </c>
      <c r="S120" s="187">
        <v>1.3</v>
      </c>
      <c r="T120" s="187">
        <v>1</v>
      </c>
      <c r="U120" s="187">
        <v>31.4</v>
      </c>
      <c r="V120" s="187">
        <v>3</v>
      </c>
      <c r="W120" s="188">
        <v>41850</v>
      </c>
      <c r="X120" s="691">
        <f t="shared" si="68"/>
        <v>2.5701999999999998</v>
      </c>
      <c r="Y120" s="691">
        <f t="shared" si="45"/>
        <v>2.6777000000000002</v>
      </c>
      <c r="Z120" s="189"/>
      <c r="AA120" s="190">
        <f t="shared" si="53"/>
        <v>2014</v>
      </c>
      <c r="AB120" s="191">
        <f t="shared" si="54"/>
        <v>1.8675589448291963</v>
      </c>
      <c r="AC120" s="192">
        <f>IF(AB120="","",AB120*SFAssumptions!$C$3)</f>
        <v>479.42721967162089</v>
      </c>
      <c r="AD120" s="193">
        <f t="shared" si="55"/>
        <v>12.852960000000001</v>
      </c>
      <c r="AE120" s="194">
        <f>IF(AD120="","",AD120*SFAssumptions!$C$3)</f>
        <v>3299.5257763680002</v>
      </c>
      <c r="AF120" s="192">
        <f t="shared" si="44"/>
        <v>4.8</v>
      </c>
      <c r="AG120" s="192">
        <f t="shared" si="56"/>
        <v>2.6777000000000002</v>
      </c>
      <c r="AH120" s="192">
        <f t="shared" si="57"/>
        <v>2.5701999999999998</v>
      </c>
      <c r="AI120" s="692">
        <f ca="1">IF(AC120="","",AC120*SFAssumptions!$C$8/'SavingsData&amp;Analysis'!AF120)</f>
        <v>377.25002253509751</v>
      </c>
      <c r="AJ120" s="692">
        <f ca="1">IF(OR(AE120="",AF120=""),"",AE120*SFAssumptions!$C$8/AF120)</f>
        <v>2596.3193628066015</v>
      </c>
      <c r="AK120" s="191">
        <f t="shared" si="58"/>
        <v>1.5999999999999999</v>
      </c>
      <c r="AL120" s="692">
        <f>IF(AK120="","",AK120*SFAssumptions!$C$3)</f>
        <v>410.74127999999996</v>
      </c>
      <c r="AM120" s="193">
        <f t="shared" si="59"/>
        <v>12</v>
      </c>
      <c r="AN120" s="194">
        <f>IF(AM120="","",AM120*SFAssumptions!$C$3)</f>
        <v>3080.5596</v>
      </c>
      <c r="AO120" s="693">
        <f t="shared" si="60"/>
        <v>2.5</v>
      </c>
      <c r="AP120" s="693">
        <f t="shared" si="61"/>
        <v>3</v>
      </c>
      <c r="AQ120" s="692">
        <f ca="1">IF(AL120="","",AL120*SFAssumptions!$C$8/'SavingsData&amp;Analysis'!AF120)</f>
        <v>323.20266930656919</v>
      </c>
      <c r="AR120" s="692">
        <f ca="1">IF(OR(AN120="",AF120=""),"",AN120*SFAssumptions!$C$8/AF120)</f>
        <v>2424.0200197992694</v>
      </c>
      <c r="AS120" s="190" t="str">
        <f>IF(OR(AG120="",AH120=""),"No",IF(AND(G120="Horizontal",AH120&gt;='Eff. Standards &amp; Certifications'!$B$21,AG120&lt;='Eff. Standards &amp; Certifications'!$C$21),"Consider",IF(AND(G120="Vertical",AH120&gt;='Eff. Standards &amp; Certifications'!$B$20,AG120&lt;='Eff. Standards &amp; Certifications'!$C$20),"Consider","No")))</f>
        <v>Consider</v>
      </c>
      <c r="AT120" s="190" t="str">
        <f t="shared" si="46"/>
        <v>Residential</v>
      </c>
      <c r="AU120" s="190"/>
      <c r="AV120" s="190" t="str">
        <f t="shared" si="65"/>
        <v>NO</v>
      </c>
      <c r="AW120" s="190" t="str">
        <f t="shared" si="65"/>
        <v>YES</v>
      </c>
      <c r="AX120" s="190" t="str">
        <f t="shared" si="62"/>
        <v>YES</v>
      </c>
      <c r="AY120" s="190" t="str">
        <f t="shared" si="47"/>
        <v>NO</v>
      </c>
      <c r="AZ120" s="190" t="str">
        <f t="shared" si="47"/>
        <v>NO</v>
      </c>
      <c r="BA120" s="190" t="str">
        <f t="shared" si="63"/>
        <v>NO</v>
      </c>
      <c r="BB120" s="190" t="str">
        <f t="shared" si="48"/>
        <v>NO</v>
      </c>
      <c r="BC120" s="190" t="str">
        <f t="shared" si="49"/>
        <v>YES</v>
      </c>
      <c r="BD120" s="190" t="str">
        <f t="shared" si="64"/>
        <v>YES</v>
      </c>
      <c r="BE120" s="190" t="str">
        <f t="shared" si="50"/>
        <v>YES</v>
      </c>
      <c r="BF120" s="190" t="str">
        <f t="shared" si="51"/>
        <v>NO</v>
      </c>
      <c r="BG120" s="190" t="str">
        <f t="shared" si="52"/>
        <v>NO</v>
      </c>
      <c r="BH120" s="88"/>
      <c r="BI120" s="9"/>
      <c r="BJ120" s="694" t="str">
        <f t="shared" si="66"/>
        <v/>
      </c>
      <c r="BK120" s="694">
        <f t="shared" si="66"/>
        <v>2.5701999999999998</v>
      </c>
      <c r="BL120" s="694" t="str">
        <f t="shared" si="67"/>
        <v/>
      </c>
      <c r="BM120" s="694">
        <f t="shared" si="67"/>
        <v>2.6777000000000002</v>
      </c>
      <c r="BN120" s="88"/>
      <c r="BO120" s="195"/>
      <c r="BP120" s="195"/>
      <c r="BQ120" s="195"/>
      <c r="BR120" s="195"/>
      <c r="BS120" s="195"/>
      <c r="BT120" s="195"/>
      <c r="BU120" s="195"/>
      <c r="BV120" s="195"/>
      <c r="BW120" s="195"/>
      <c r="BX120" s="195"/>
    </row>
    <row r="121" spans="1:76" s="124" customFormat="1" ht="15">
      <c r="A121" s="187">
        <v>6411</v>
      </c>
      <c r="B121" s="187" t="s">
        <v>479</v>
      </c>
      <c r="C121" s="187" t="s">
        <v>479</v>
      </c>
      <c r="D121" s="187" t="s">
        <v>1315</v>
      </c>
      <c r="E121" s="187" t="s">
        <v>385</v>
      </c>
      <c r="F121" s="187" t="s">
        <v>386</v>
      </c>
      <c r="G121" s="187" t="s">
        <v>387</v>
      </c>
      <c r="H121" s="187" t="b">
        <v>0</v>
      </c>
      <c r="I121" s="187" t="s">
        <v>388</v>
      </c>
      <c r="J121" s="187" t="s">
        <v>389</v>
      </c>
      <c r="K121" s="187" t="b">
        <v>1</v>
      </c>
      <c r="L121" s="187">
        <v>4.5</v>
      </c>
      <c r="M121" s="187">
        <v>0.4</v>
      </c>
      <c r="N121" s="187">
        <v>12</v>
      </c>
      <c r="O121" s="187">
        <v>2.7</v>
      </c>
      <c r="P121" s="187">
        <v>11</v>
      </c>
      <c r="Q121" s="187">
        <v>31.3</v>
      </c>
      <c r="R121" s="187">
        <v>3</v>
      </c>
      <c r="S121" s="187">
        <v>1.3</v>
      </c>
      <c r="T121" s="187">
        <v>1</v>
      </c>
      <c r="U121" s="187">
        <v>31.3</v>
      </c>
      <c r="V121" s="187">
        <v>3</v>
      </c>
      <c r="W121" s="188">
        <v>41850</v>
      </c>
      <c r="X121" s="691">
        <f t="shared" si="68"/>
        <v>2.5701999999999998</v>
      </c>
      <c r="Y121" s="691">
        <f t="shared" si="45"/>
        <v>2.8825400000000001</v>
      </c>
      <c r="Z121" s="189"/>
      <c r="AA121" s="190">
        <f t="shared" si="53"/>
        <v>2014</v>
      </c>
      <c r="AB121" s="191">
        <f t="shared" si="54"/>
        <v>1.7508365107773716</v>
      </c>
      <c r="AC121" s="192">
        <f>IF(AB121="","",AB121*SFAssumptions!$C$3)</f>
        <v>449.46301844214463</v>
      </c>
      <c r="AD121" s="193">
        <f t="shared" si="55"/>
        <v>12.97143</v>
      </c>
      <c r="AE121" s="194">
        <f>IF(AD121="","",AD121*SFAssumptions!$C$3)</f>
        <v>3329.9386010190001</v>
      </c>
      <c r="AF121" s="192">
        <f t="shared" si="44"/>
        <v>4.5</v>
      </c>
      <c r="AG121" s="192">
        <f t="shared" si="56"/>
        <v>2.8825400000000001</v>
      </c>
      <c r="AH121" s="192">
        <f t="shared" si="57"/>
        <v>2.5701999999999998</v>
      </c>
      <c r="AI121" s="692">
        <f ca="1">IF(AC121="","",AC121*SFAssumptions!$C$8/'SavingsData&amp;Analysis'!AF121)</f>
        <v>377.25002253509757</v>
      </c>
      <c r="AJ121" s="692">
        <f ca="1">IF(OR(AE121="",AF121=""),"",AE121*SFAssumptions!$C$8/AF121)</f>
        <v>2794.9338671488745</v>
      </c>
      <c r="AK121" s="191">
        <f t="shared" si="58"/>
        <v>1.5</v>
      </c>
      <c r="AL121" s="692">
        <f>IF(AK121="","",AK121*SFAssumptions!$C$3)</f>
        <v>385.06995000000001</v>
      </c>
      <c r="AM121" s="193">
        <f t="shared" si="59"/>
        <v>12.15</v>
      </c>
      <c r="AN121" s="194">
        <f>IF(AM121="","",AM121*SFAssumptions!$C$3)</f>
        <v>3119.0665950000002</v>
      </c>
      <c r="AO121" s="693">
        <f t="shared" si="60"/>
        <v>2.7</v>
      </c>
      <c r="AP121" s="693">
        <f t="shared" si="61"/>
        <v>3</v>
      </c>
      <c r="AQ121" s="692">
        <f ca="1">IF(AL121="","",AL121*SFAssumptions!$C$8/'SavingsData&amp;Analysis'!AF121)</f>
        <v>323.20266930656925</v>
      </c>
      <c r="AR121" s="692">
        <f ca="1">IF(OR(AN121="",AF121=""),"",AN121*SFAssumptions!$C$8/AF121)</f>
        <v>2617.941621383211</v>
      </c>
      <c r="AS121" s="190" t="str">
        <f>IF(OR(AG121="",AH121=""),"No",IF(AND(G121="Horizontal",AH121&gt;='Eff. Standards &amp; Certifications'!$B$21,AG121&lt;='Eff. Standards &amp; Certifications'!$C$21),"Consider",IF(AND(G121="Vertical",AH121&gt;='Eff. Standards &amp; Certifications'!$B$20,AG121&lt;='Eff. Standards &amp; Certifications'!$C$20),"Consider","No")))</f>
        <v>Consider</v>
      </c>
      <c r="AT121" s="190" t="str">
        <f t="shared" si="46"/>
        <v>Residential</v>
      </c>
      <c r="AU121" s="190"/>
      <c r="AV121" s="190" t="str">
        <f t="shared" si="65"/>
        <v>NO</v>
      </c>
      <c r="AW121" s="190" t="str">
        <f t="shared" si="65"/>
        <v>YES</v>
      </c>
      <c r="AX121" s="190" t="str">
        <f t="shared" si="62"/>
        <v>YES</v>
      </c>
      <c r="AY121" s="190" t="str">
        <f t="shared" si="47"/>
        <v>NO</v>
      </c>
      <c r="AZ121" s="190" t="str">
        <f t="shared" si="47"/>
        <v>NO</v>
      </c>
      <c r="BA121" s="190" t="str">
        <f t="shared" si="63"/>
        <v>NO</v>
      </c>
      <c r="BB121" s="190" t="str">
        <f t="shared" si="48"/>
        <v>NO</v>
      </c>
      <c r="BC121" s="190" t="str">
        <f t="shared" si="49"/>
        <v>YES</v>
      </c>
      <c r="BD121" s="190" t="str">
        <f t="shared" si="64"/>
        <v>YES</v>
      </c>
      <c r="BE121" s="190" t="str">
        <f t="shared" si="50"/>
        <v>YES</v>
      </c>
      <c r="BF121" s="190" t="str">
        <f t="shared" si="51"/>
        <v>NO</v>
      </c>
      <c r="BG121" s="190" t="str">
        <f t="shared" si="52"/>
        <v>NO</v>
      </c>
      <c r="BH121" s="88"/>
      <c r="BI121" s="9"/>
      <c r="BJ121" s="694" t="str">
        <f t="shared" si="66"/>
        <v/>
      </c>
      <c r="BK121" s="694">
        <f t="shared" si="66"/>
        <v>2.5701999999999998</v>
      </c>
      <c r="BL121" s="694" t="str">
        <f t="shared" si="67"/>
        <v/>
      </c>
      <c r="BM121" s="694">
        <f t="shared" si="67"/>
        <v>2.8825400000000001</v>
      </c>
      <c r="BN121" s="88"/>
      <c r="BO121" s="195"/>
      <c r="BP121" s="195"/>
      <c r="BQ121" s="195"/>
      <c r="BR121" s="195"/>
      <c r="BS121" s="195"/>
      <c r="BT121" s="195"/>
      <c r="BU121" s="195"/>
      <c r="BV121" s="195"/>
      <c r="BW121" s="195"/>
      <c r="BX121" s="195"/>
    </row>
    <row r="122" spans="1:76" s="124" customFormat="1" ht="15">
      <c r="A122" s="187">
        <v>5312</v>
      </c>
      <c r="B122" s="187" t="s">
        <v>479</v>
      </c>
      <c r="C122" s="187" t="s">
        <v>479</v>
      </c>
      <c r="D122" s="187" t="s">
        <v>484</v>
      </c>
      <c r="E122" s="187" t="s">
        <v>392</v>
      </c>
      <c r="F122" s="187" t="s">
        <v>386</v>
      </c>
      <c r="G122" s="187" t="s">
        <v>393</v>
      </c>
      <c r="H122" s="187" t="b">
        <v>0</v>
      </c>
      <c r="I122" s="187" t="s">
        <v>388</v>
      </c>
      <c r="J122" s="187" t="s">
        <v>389</v>
      </c>
      <c r="K122" s="187" t="b">
        <v>1</v>
      </c>
      <c r="L122" s="187">
        <v>3.9</v>
      </c>
      <c r="M122" s="187">
        <v>0.53</v>
      </c>
      <c r="N122" s="187">
        <v>25.86</v>
      </c>
      <c r="O122" s="187">
        <v>6</v>
      </c>
      <c r="P122" s="187">
        <v>7.52</v>
      </c>
      <c r="Q122" s="187"/>
      <c r="R122" s="187"/>
      <c r="S122" s="187"/>
      <c r="T122" s="187"/>
      <c r="U122" s="187">
        <v>41.5</v>
      </c>
      <c r="V122" s="187">
        <v>2</v>
      </c>
      <c r="W122" s="188">
        <v>40960</v>
      </c>
      <c r="X122" s="691">
        <f t="shared" si="68"/>
        <v>1.5636999999999999</v>
      </c>
      <c r="Y122" s="691">
        <f t="shared" si="45"/>
        <v>6.4615</v>
      </c>
      <c r="Z122" s="189"/>
      <c r="AA122" s="190">
        <f t="shared" si="53"/>
        <v>2012</v>
      </c>
      <c r="AB122" s="191">
        <f t="shared" si="54"/>
        <v>2.4940845430709215</v>
      </c>
      <c r="AC122" s="192">
        <f>IF(AB122="","",AB122*SFAssumptions!$C$3)</f>
        <v>640.26467353072837</v>
      </c>
      <c r="AD122" s="193">
        <f t="shared" si="55"/>
        <v>25.199849999999998</v>
      </c>
      <c r="AE122" s="194">
        <f>IF(AD122="","",AD122*SFAssumptions!$C$3)</f>
        <v>6469.136653005</v>
      </c>
      <c r="AF122" s="192">
        <f t="shared" si="44"/>
        <v>3.9</v>
      </c>
      <c r="AG122" s="192">
        <f t="shared" si="56"/>
        <v>6.4615</v>
      </c>
      <c r="AH122" s="192">
        <f t="shared" si="57"/>
        <v>1.5636999999999999</v>
      </c>
      <c r="AI122" s="692">
        <f ca="1">IF(AC122="","",AC122*SFAssumptions!$C$8/'SavingsData&amp;Analysis'!AF122)</f>
        <v>620.07290907444371</v>
      </c>
      <c r="AJ122" s="692">
        <f ca="1">IF(OR(AE122="",AF122=""),"",AE122*SFAssumptions!$C$8/AF122)</f>
        <v>6265.1221431731919</v>
      </c>
      <c r="AK122" s="191">
        <f t="shared" si="58"/>
        <v>1.95</v>
      </c>
      <c r="AL122" s="692">
        <f>IF(AK122="","",AK122*SFAssumptions!$C$3)</f>
        <v>500.590935</v>
      </c>
      <c r="AM122" s="193">
        <f t="shared" si="59"/>
        <v>23.4</v>
      </c>
      <c r="AN122" s="194">
        <f>IF(AM122="","",AM122*SFAssumptions!$C$3)</f>
        <v>6007.0912199999993</v>
      </c>
      <c r="AO122" s="693">
        <f t="shared" si="60"/>
        <v>6</v>
      </c>
      <c r="AP122" s="693">
        <f t="shared" si="61"/>
        <v>2</v>
      </c>
      <c r="AQ122" s="692">
        <f ca="1">IF(AL122="","",AL122*SFAssumptions!$C$8/'SavingsData&amp;Analysis'!AF122)</f>
        <v>484.80400395985384</v>
      </c>
      <c r="AR122" s="692">
        <f ca="1">IF(OR(AN122="",AF122=""),"",AN122*SFAssumptions!$C$8/AF122)</f>
        <v>5817.6480475182461</v>
      </c>
      <c r="AS122" s="190" t="str">
        <f>IF(OR(AG122="",AH122=""),"No",IF(AND(G122="Horizontal",AH122&gt;='Eff. Standards &amp; Certifications'!$B$21,AG122&lt;='Eff. Standards &amp; Certifications'!$C$21),"Consider",IF(AND(G122="Vertical",AH122&gt;='Eff. Standards &amp; Certifications'!$B$20,AG122&lt;='Eff. Standards &amp; Certifications'!$C$20),"Consider","No")))</f>
        <v>Consider</v>
      </c>
      <c r="AT122" s="190" t="str">
        <f t="shared" si="46"/>
        <v>Residential</v>
      </c>
      <c r="AU122" s="190"/>
      <c r="AV122" s="190" t="str">
        <f t="shared" si="65"/>
        <v>YES</v>
      </c>
      <c r="AW122" s="190" t="str">
        <f t="shared" si="65"/>
        <v>NO</v>
      </c>
      <c r="AX122" s="190" t="str">
        <f t="shared" si="62"/>
        <v>YES</v>
      </c>
      <c r="AY122" s="190" t="str">
        <f t="shared" si="47"/>
        <v>YES</v>
      </c>
      <c r="AZ122" s="190" t="str">
        <f t="shared" si="47"/>
        <v>NO</v>
      </c>
      <c r="BA122" s="190" t="str">
        <f t="shared" si="63"/>
        <v>YES</v>
      </c>
      <c r="BB122" s="190" t="str">
        <f t="shared" si="48"/>
        <v>NO</v>
      </c>
      <c r="BC122" s="190" t="str">
        <f t="shared" si="49"/>
        <v>NO</v>
      </c>
      <c r="BD122" s="190" t="str">
        <f t="shared" si="64"/>
        <v>NO</v>
      </c>
      <c r="BE122" s="190" t="str">
        <f t="shared" si="50"/>
        <v>NO</v>
      </c>
      <c r="BF122" s="190" t="str">
        <f t="shared" si="51"/>
        <v>NO</v>
      </c>
      <c r="BG122" s="190" t="str">
        <f t="shared" si="52"/>
        <v>NO</v>
      </c>
      <c r="BH122" s="88"/>
      <c r="BI122" s="9"/>
      <c r="BJ122" s="694">
        <f t="shared" si="66"/>
        <v>1.5636999999999999</v>
      </c>
      <c r="BK122" s="694" t="str">
        <f t="shared" si="66"/>
        <v/>
      </c>
      <c r="BL122" s="694">
        <f t="shared" si="67"/>
        <v>6.4615</v>
      </c>
      <c r="BM122" s="694" t="str">
        <f t="shared" si="67"/>
        <v/>
      </c>
      <c r="BN122" s="88"/>
      <c r="BO122" s="195"/>
      <c r="BP122" s="195"/>
      <c r="BQ122" s="195"/>
      <c r="BR122" s="195"/>
      <c r="BS122" s="195"/>
      <c r="BT122" s="195"/>
      <c r="BU122" s="195"/>
      <c r="BV122" s="195"/>
      <c r="BW122" s="195"/>
      <c r="BX122" s="195"/>
    </row>
    <row r="123" spans="1:76" s="124" customFormat="1" ht="15">
      <c r="A123" s="187">
        <v>5546</v>
      </c>
      <c r="B123" s="187" t="s">
        <v>479</v>
      </c>
      <c r="C123" s="187" t="s">
        <v>479</v>
      </c>
      <c r="D123" s="187" t="s">
        <v>485</v>
      </c>
      <c r="E123" s="187" t="s">
        <v>392</v>
      </c>
      <c r="F123" s="187" t="s">
        <v>386</v>
      </c>
      <c r="G123" s="187" t="s">
        <v>393</v>
      </c>
      <c r="H123" s="187" t="b">
        <v>0</v>
      </c>
      <c r="I123" s="187" t="s">
        <v>388</v>
      </c>
      <c r="J123" s="187" t="s">
        <v>389</v>
      </c>
      <c r="K123" s="187" t="b">
        <v>1</v>
      </c>
      <c r="L123" s="187">
        <v>4.8</v>
      </c>
      <c r="M123" s="187">
        <v>0.49</v>
      </c>
      <c r="N123" s="187">
        <v>17.600000000000001</v>
      </c>
      <c r="O123" s="187">
        <v>3.7</v>
      </c>
      <c r="P123" s="187">
        <v>9.89</v>
      </c>
      <c r="Q123" s="187"/>
      <c r="R123" s="187"/>
      <c r="S123" s="187"/>
      <c r="T123" s="187"/>
      <c r="U123" s="187">
        <v>31.6</v>
      </c>
      <c r="V123" s="187">
        <v>2.87</v>
      </c>
      <c r="W123" s="188">
        <v>41178</v>
      </c>
      <c r="X123" s="691">
        <f t="shared" si="68"/>
        <v>2.4249999999999998</v>
      </c>
      <c r="Y123" s="691">
        <f t="shared" si="45"/>
        <v>4.18703</v>
      </c>
      <c r="Z123" s="189"/>
      <c r="AA123" s="190">
        <f t="shared" si="53"/>
        <v>2012</v>
      </c>
      <c r="AB123" s="191">
        <f t="shared" si="54"/>
        <v>1.9793814432989691</v>
      </c>
      <c r="AC123" s="192">
        <f>IF(AB123="","",AB123*SFAssumptions!$C$3)</f>
        <v>508.13354226804125</v>
      </c>
      <c r="AD123" s="193">
        <f t="shared" si="55"/>
        <v>20.097743999999999</v>
      </c>
      <c r="AE123" s="194">
        <f>IF(AD123="","",AD123*SFAssumptions!$C$3)</f>
        <v>5159.3581847952</v>
      </c>
      <c r="AF123" s="192">
        <f t="shared" si="44"/>
        <v>4.8</v>
      </c>
      <c r="AG123" s="192">
        <f t="shared" si="56"/>
        <v>4.18703</v>
      </c>
      <c r="AH123" s="192">
        <f t="shared" si="57"/>
        <v>2.4249999999999998</v>
      </c>
      <c r="AI123" s="692">
        <f ca="1">IF(AC123="","",AC123*SFAssumptions!$C$8/'SavingsData&amp;Analysis'!AF123)</f>
        <v>399.83835378132278</v>
      </c>
      <c r="AJ123" s="692">
        <f ca="1">IF(OR(AE123="",AF123=""),"",AE123*SFAssumptions!$C$8/AF123)</f>
        <v>4059.7778174000537</v>
      </c>
      <c r="AK123" s="191">
        <f t="shared" si="58"/>
        <v>1.6724738675958186</v>
      </c>
      <c r="AL123" s="692">
        <f>IF(AK123="","",AK123*SFAssumptions!$C$3)</f>
        <v>429.34628571428567</v>
      </c>
      <c r="AM123" s="193">
        <f t="shared" si="59"/>
        <v>17.760000000000002</v>
      </c>
      <c r="AN123" s="194">
        <f>IF(AM123="","",AM123*SFAssumptions!$C$3)</f>
        <v>4559.2282080000004</v>
      </c>
      <c r="AO123" s="693">
        <f t="shared" si="60"/>
        <v>3.7</v>
      </c>
      <c r="AP123" s="693">
        <f t="shared" si="61"/>
        <v>2.87</v>
      </c>
      <c r="AQ123" s="692">
        <f ca="1">IF(AL123="","",AL123*SFAssumptions!$C$8/'SavingsData&amp;Analysis'!AF123)</f>
        <v>337.84251147028141</v>
      </c>
      <c r="AR123" s="692">
        <f ca="1">IF(OR(AN123="",AF123=""),"",AN123*SFAssumptions!$C$8/AF123)</f>
        <v>3587.5496293029187</v>
      </c>
      <c r="AS123" s="190" t="str">
        <f>IF(OR(AG123="",AH123=""),"No",IF(AND(G123="Horizontal",AH123&gt;='Eff. Standards &amp; Certifications'!$B$21,AG123&lt;='Eff. Standards &amp; Certifications'!$C$21),"Consider",IF(AND(G123="Vertical",AH123&gt;='Eff. Standards &amp; Certifications'!$B$20,AG123&lt;='Eff. Standards &amp; Certifications'!$C$20),"Consider","No")))</f>
        <v>Consider</v>
      </c>
      <c r="AT123" s="190" t="str">
        <f t="shared" si="46"/>
        <v>Residential</v>
      </c>
      <c r="AU123" s="190"/>
      <c r="AV123" s="190" t="str">
        <f t="shared" ref="AV123:AW142" si="69">IF(AND($G123=AV$18,$AS123="Consider",$AT123="Residential",$AH123&gt;=AV$3,$AH123&lt;=AV$4,$AG123&gt;=AV$5,$AG123&lt;=AV$6),"YES","NO")</f>
        <v>YES</v>
      </c>
      <c r="AW123" s="190" t="str">
        <f t="shared" si="69"/>
        <v>NO</v>
      </c>
      <c r="AX123" s="190" t="str">
        <f t="shared" si="62"/>
        <v>YES</v>
      </c>
      <c r="AY123" s="190" t="str">
        <f t="shared" si="47"/>
        <v>NO</v>
      </c>
      <c r="AZ123" s="190" t="str">
        <f t="shared" si="47"/>
        <v>NO</v>
      </c>
      <c r="BA123" s="190" t="str">
        <f t="shared" si="63"/>
        <v>NO</v>
      </c>
      <c r="BB123" s="190" t="str">
        <f t="shared" si="48"/>
        <v>YES</v>
      </c>
      <c r="BC123" s="190" t="str">
        <f t="shared" si="49"/>
        <v>NO</v>
      </c>
      <c r="BD123" s="190" t="str">
        <f t="shared" si="64"/>
        <v>YES</v>
      </c>
      <c r="BE123" s="190" t="str">
        <f t="shared" si="50"/>
        <v>NO</v>
      </c>
      <c r="BF123" s="190" t="str">
        <f t="shared" si="51"/>
        <v>NO</v>
      </c>
      <c r="BG123" s="190" t="str">
        <f t="shared" si="52"/>
        <v>NO</v>
      </c>
      <c r="BH123" s="88"/>
      <c r="BI123" s="9"/>
      <c r="BJ123" s="694">
        <f t="shared" ref="BJ123:BK142" si="70">IF(AND($G123=BJ$21,$AT123="Residential",$AS123="Consider"),$X123,"")</f>
        <v>2.4249999999999998</v>
      </c>
      <c r="BK123" s="694" t="str">
        <f t="shared" si="70"/>
        <v/>
      </c>
      <c r="BL123" s="694">
        <f t="shared" ref="BL123:BM142" si="71">IF(AND($G123=BL$21,$AT123="Residential",$AS123="Consider"),$Y123,"")</f>
        <v>4.18703</v>
      </c>
      <c r="BM123" s="694" t="str">
        <f t="shared" si="71"/>
        <v/>
      </c>
      <c r="BN123" s="88"/>
      <c r="BO123" s="195"/>
      <c r="BP123" s="195"/>
      <c r="BQ123" s="195"/>
      <c r="BR123" s="195"/>
      <c r="BS123" s="195"/>
      <c r="BT123" s="195"/>
      <c r="BU123" s="195"/>
      <c r="BV123" s="195"/>
      <c r="BW123" s="195"/>
      <c r="BX123" s="195"/>
    </row>
    <row r="124" spans="1:76" s="124" customFormat="1" ht="15">
      <c r="A124" s="187">
        <v>6091</v>
      </c>
      <c r="B124" s="187" t="s">
        <v>479</v>
      </c>
      <c r="C124" s="187" t="s">
        <v>479</v>
      </c>
      <c r="D124" s="187" t="s">
        <v>1316</v>
      </c>
      <c r="E124" s="187" t="s">
        <v>392</v>
      </c>
      <c r="F124" s="187" t="s">
        <v>386</v>
      </c>
      <c r="G124" s="187" t="s">
        <v>393</v>
      </c>
      <c r="H124" s="187" t="b">
        <v>0</v>
      </c>
      <c r="I124" s="187" t="s">
        <v>388</v>
      </c>
      <c r="J124" s="187" t="s">
        <v>389</v>
      </c>
      <c r="K124" s="187" t="b">
        <v>1</v>
      </c>
      <c r="L124" s="187">
        <v>5</v>
      </c>
      <c r="M124" s="187">
        <v>0.59</v>
      </c>
      <c r="N124" s="187">
        <v>17.399999999999999</v>
      </c>
      <c r="O124" s="187">
        <v>3.5</v>
      </c>
      <c r="P124" s="187">
        <v>8.4700000000000006</v>
      </c>
      <c r="Q124" s="187"/>
      <c r="R124" s="187"/>
      <c r="S124" s="187"/>
      <c r="T124" s="187"/>
      <c r="U124" s="187">
        <v>31.8</v>
      </c>
      <c r="V124" s="187">
        <v>2.7</v>
      </c>
      <c r="W124" s="188">
        <v>41572</v>
      </c>
      <c r="X124" s="691">
        <f t="shared" si="68"/>
        <v>2.2566999999999999</v>
      </c>
      <c r="Y124" s="691">
        <f t="shared" si="45"/>
        <v>3.9892500000000002</v>
      </c>
      <c r="Z124" s="189"/>
      <c r="AA124" s="190">
        <f t="shared" si="53"/>
        <v>2013</v>
      </c>
      <c r="AB124" s="191">
        <f t="shared" si="54"/>
        <v>2.2156245845703904</v>
      </c>
      <c r="AC124" s="192">
        <f>IF(AB124="","",AB124*SFAssumptions!$C$3)</f>
        <v>568.78029866619397</v>
      </c>
      <c r="AD124" s="193">
        <f t="shared" si="55"/>
        <v>19.946249999999999</v>
      </c>
      <c r="AE124" s="194">
        <f>IF(AD124="","",AD124*SFAssumptions!$C$3)</f>
        <v>5120.4676601250003</v>
      </c>
      <c r="AF124" s="192">
        <f t="shared" si="44"/>
        <v>5</v>
      </c>
      <c r="AG124" s="192">
        <f t="shared" si="56"/>
        <v>3.9892500000000002</v>
      </c>
      <c r="AH124" s="192">
        <f t="shared" si="57"/>
        <v>2.2566999999999999</v>
      </c>
      <c r="AI124" s="692">
        <f ca="1">IF(AC124="","",AC124*SFAssumptions!$C$8/'SavingsData&amp;Analysis'!AF124)</f>
        <v>429.65746794864515</v>
      </c>
      <c r="AJ124" s="692">
        <f ca="1">IF(OR(AE124="",AF124=""),"",AE124*SFAssumptions!$C$8/AF124)</f>
        <v>3868.0087455936941</v>
      </c>
      <c r="AK124" s="191">
        <f t="shared" si="58"/>
        <v>1.8518518518518516</v>
      </c>
      <c r="AL124" s="692">
        <f>IF(AK124="","",AK124*SFAssumptions!$C$3)</f>
        <v>475.39499999999992</v>
      </c>
      <c r="AM124" s="193">
        <f t="shared" si="59"/>
        <v>17.5</v>
      </c>
      <c r="AN124" s="194">
        <f>IF(AM124="","",AM124*SFAssumptions!$C$3)</f>
        <v>4492.4827500000001</v>
      </c>
      <c r="AO124" s="693">
        <f t="shared" si="60"/>
        <v>3.5</v>
      </c>
      <c r="AP124" s="693">
        <f t="shared" si="61"/>
        <v>2.7</v>
      </c>
      <c r="AQ124" s="692">
        <f ca="1">IF(AL124="","",AL124*SFAssumptions!$C$8/'SavingsData&amp;Analysis'!AF124)</f>
        <v>359.1140770072991</v>
      </c>
      <c r="AR124" s="692">
        <f ca="1">IF(OR(AN124="",AF124=""),"",AN124*SFAssumptions!$C$8/AF124)</f>
        <v>3393.6280277189771</v>
      </c>
      <c r="AS124" s="190" t="str">
        <f>IF(OR(AG124="",AH124=""),"No",IF(AND(G124="Horizontal",AH124&gt;='Eff. Standards &amp; Certifications'!$B$21,AG124&lt;='Eff. Standards &amp; Certifications'!$C$21),"Consider",IF(AND(G124="Vertical",AH124&gt;='Eff. Standards &amp; Certifications'!$B$20,AG124&lt;='Eff. Standards &amp; Certifications'!$C$20),"Consider","No")))</f>
        <v>Consider</v>
      </c>
      <c r="AT124" s="190" t="str">
        <f t="shared" si="46"/>
        <v>Residential</v>
      </c>
      <c r="AU124" s="190"/>
      <c r="AV124" s="190" t="str">
        <f t="shared" si="69"/>
        <v>YES</v>
      </c>
      <c r="AW124" s="190" t="str">
        <f t="shared" si="69"/>
        <v>NO</v>
      </c>
      <c r="AX124" s="190" t="str">
        <f t="shared" si="62"/>
        <v>YES</v>
      </c>
      <c r="AY124" s="190" t="str">
        <f t="shared" si="47"/>
        <v>NO</v>
      </c>
      <c r="AZ124" s="190" t="str">
        <f t="shared" si="47"/>
        <v>NO</v>
      </c>
      <c r="BA124" s="190" t="str">
        <f t="shared" si="63"/>
        <v>NO</v>
      </c>
      <c r="BB124" s="190" t="str">
        <f t="shared" si="48"/>
        <v>YES</v>
      </c>
      <c r="BC124" s="190" t="str">
        <f t="shared" si="49"/>
        <v>NO</v>
      </c>
      <c r="BD124" s="190" t="str">
        <f t="shared" si="64"/>
        <v>YES</v>
      </c>
      <c r="BE124" s="190" t="str">
        <f t="shared" si="50"/>
        <v>NO</v>
      </c>
      <c r="BF124" s="190" t="str">
        <f t="shared" si="51"/>
        <v>NO</v>
      </c>
      <c r="BG124" s="190" t="str">
        <f t="shared" si="52"/>
        <v>NO</v>
      </c>
      <c r="BH124" s="88"/>
      <c r="BI124" s="9"/>
      <c r="BJ124" s="694">
        <f t="shared" si="70"/>
        <v>2.2566999999999999</v>
      </c>
      <c r="BK124" s="694" t="str">
        <f t="shared" si="70"/>
        <v/>
      </c>
      <c r="BL124" s="694">
        <f t="shared" si="71"/>
        <v>3.9892500000000002</v>
      </c>
      <c r="BM124" s="694" t="str">
        <f t="shared" si="71"/>
        <v/>
      </c>
      <c r="BN124" s="88"/>
      <c r="BO124" s="195"/>
      <c r="BP124" s="195"/>
      <c r="BQ124" s="195"/>
      <c r="BR124" s="195"/>
      <c r="BS124" s="195"/>
      <c r="BT124" s="195"/>
      <c r="BU124" s="195"/>
      <c r="BV124" s="195"/>
      <c r="BW124" s="195"/>
      <c r="BX124" s="195"/>
    </row>
    <row r="125" spans="1:76" s="124" customFormat="1" ht="15">
      <c r="A125" s="187">
        <v>5550</v>
      </c>
      <c r="B125" s="187" t="s">
        <v>479</v>
      </c>
      <c r="C125" s="187" t="s">
        <v>479</v>
      </c>
      <c r="D125" s="187" t="s">
        <v>486</v>
      </c>
      <c r="E125" s="187" t="s">
        <v>392</v>
      </c>
      <c r="F125" s="187" t="s">
        <v>386</v>
      </c>
      <c r="G125" s="187" t="s">
        <v>393</v>
      </c>
      <c r="H125" s="187" t="b">
        <v>0</v>
      </c>
      <c r="I125" s="187" t="s">
        <v>388</v>
      </c>
      <c r="J125" s="187" t="s">
        <v>389</v>
      </c>
      <c r="K125" s="187" t="b">
        <v>1</v>
      </c>
      <c r="L125" s="187">
        <v>4.5999999999999996</v>
      </c>
      <c r="M125" s="187">
        <v>0.47</v>
      </c>
      <c r="N125" s="187">
        <v>16.899999999999999</v>
      </c>
      <c r="O125" s="187">
        <v>3.7</v>
      </c>
      <c r="P125" s="187">
        <v>9.69</v>
      </c>
      <c r="Q125" s="187"/>
      <c r="R125" s="187"/>
      <c r="S125" s="187"/>
      <c r="T125" s="187"/>
      <c r="U125" s="187">
        <v>32.799999999999997</v>
      </c>
      <c r="V125" s="187">
        <v>2.78</v>
      </c>
      <c r="W125" s="188">
        <v>41191</v>
      </c>
      <c r="X125" s="691">
        <f t="shared" si="68"/>
        <v>2.3358999999999996</v>
      </c>
      <c r="Y125" s="691">
        <f t="shared" si="45"/>
        <v>4.18703</v>
      </c>
      <c r="Z125" s="189"/>
      <c r="AA125" s="190">
        <f t="shared" si="53"/>
        <v>2012</v>
      </c>
      <c r="AB125" s="191">
        <f t="shared" si="54"/>
        <v>1.9692623828074833</v>
      </c>
      <c r="AC125" s="192">
        <f>IF(AB125="","",AB125*SFAssumptions!$C$3)</f>
        <v>505.53584485637231</v>
      </c>
      <c r="AD125" s="193">
        <f t="shared" si="55"/>
        <v>19.260337999999997</v>
      </c>
      <c r="AE125" s="194">
        <f>IF(AD125="","",AD125*SFAssumptions!$C$3)</f>
        <v>4944.3849270953997</v>
      </c>
      <c r="AF125" s="192">
        <f t="shared" si="44"/>
        <v>4.5999999999999996</v>
      </c>
      <c r="AG125" s="192">
        <f t="shared" si="56"/>
        <v>4.18703</v>
      </c>
      <c r="AH125" s="192">
        <f t="shared" si="57"/>
        <v>2.3358999999999996</v>
      </c>
      <c r="AI125" s="692">
        <f ca="1">IF(AC125="","",AC125*SFAssumptions!$C$8/'SavingsData&amp;Analysis'!AF125)</f>
        <v>415.08969044895235</v>
      </c>
      <c r="AJ125" s="692">
        <f ca="1">IF(OR(AE125="",AF125=""),"",AE125*SFAssumptions!$C$8/AF125)</f>
        <v>4059.7778174000541</v>
      </c>
      <c r="AK125" s="191">
        <f t="shared" si="58"/>
        <v>1.6546762589928057</v>
      </c>
      <c r="AL125" s="692">
        <f>IF(AK125="","",AK125*SFAssumptions!$C$3)</f>
        <v>424.77740287769785</v>
      </c>
      <c r="AM125" s="193">
        <f t="shared" si="59"/>
        <v>17.02</v>
      </c>
      <c r="AN125" s="194">
        <f>IF(AM125="","",AM125*SFAssumptions!$C$3)</f>
        <v>4369.2603659999995</v>
      </c>
      <c r="AO125" s="693">
        <f t="shared" si="60"/>
        <v>3.7</v>
      </c>
      <c r="AP125" s="693">
        <f t="shared" si="61"/>
        <v>2.78</v>
      </c>
      <c r="AQ125" s="692">
        <f ca="1">IF(AL125="","",AL125*SFAssumptions!$C$8/'SavingsData&amp;Analysis'!AF125)</f>
        <v>348.77985896392369</v>
      </c>
      <c r="AR125" s="692">
        <f ca="1">IF(OR(AN125="",AF125=""),"",AN125*SFAssumptions!$C$8/AF125)</f>
        <v>3587.5496293029182</v>
      </c>
      <c r="AS125" s="190" t="str">
        <f>IF(OR(AG125="",AH125=""),"No",IF(AND(G125="Horizontal",AH125&gt;='Eff. Standards &amp; Certifications'!$B$21,AG125&lt;='Eff. Standards &amp; Certifications'!$C$21),"Consider",IF(AND(G125="Vertical",AH125&gt;='Eff. Standards &amp; Certifications'!$B$20,AG125&lt;='Eff. Standards &amp; Certifications'!$C$20),"Consider","No")))</f>
        <v>Consider</v>
      </c>
      <c r="AT125" s="190" t="str">
        <f t="shared" si="46"/>
        <v>Residential</v>
      </c>
      <c r="AU125" s="190"/>
      <c r="AV125" s="190" t="str">
        <f t="shared" si="69"/>
        <v>YES</v>
      </c>
      <c r="AW125" s="190" t="str">
        <f t="shared" si="69"/>
        <v>NO</v>
      </c>
      <c r="AX125" s="190" t="str">
        <f t="shared" si="62"/>
        <v>YES</v>
      </c>
      <c r="AY125" s="190" t="str">
        <f t="shared" si="47"/>
        <v>NO</v>
      </c>
      <c r="AZ125" s="190" t="str">
        <f t="shared" si="47"/>
        <v>NO</v>
      </c>
      <c r="BA125" s="190" t="str">
        <f t="shared" si="63"/>
        <v>NO</v>
      </c>
      <c r="BB125" s="190" t="str">
        <f t="shared" si="48"/>
        <v>YES</v>
      </c>
      <c r="BC125" s="190" t="str">
        <f t="shared" si="49"/>
        <v>NO</v>
      </c>
      <c r="BD125" s="190" t="str">
        <f t="shared" si="64"/>
        <v>YES</v>
      </c>
      <c r="BE125" s="190" t="str">
        <f t="shared" si="50"/>
        <v>NO</v>
      </c>
      <c r="BF125" s="190" t="str">
        <f t="shared" si="51"/>
        <v>NO</v>
      </c>
      <c r="BG125" s="190" t="str">
        <f t="shared" si="52"/>
        <v>NO</v>
      </c>
      <c r="BH125" s="88"/>
      <c r="BI125" s="9"/>
      <c r="BJ125" s="694">
        <f t="shared" si="70"/>
        <v>2.3358999999999996</v>
      </c>
      <c r="BK125" s="694" t="str">
        <f t="shared" si="70"/>
        <v/>
      </c>
      <c r="BL125" s="694">
        <f t="shared" si="71"/>
        <v>4.18703</v>
      </c>
      <c r="BM125" s="694" t="str">
        <f t="shared" si="71"/>
        <v/>
      </c>
      <c r="BN125" s="88"/>
      <c r="BO125" s="195"/>
      <c r="BP125" s="195"/>
      <c r="BQ125" s="195"/>
      <c r="BR125" s="195"/>
      <c r="BS125" s="195"/>
      <c r="BT125" s="195"/>
      <c r="BU125" s="195"/>
      <c r="BV125" s="195"/>
      <c r="BW125" s="195"/>
      <c r="BX125" s="195"/>
    </row>
    <row r="126" spans="1:76" s="124" customFormat="1" ht="15">
      <c r="A126" s="187">
        <v>6120</v>
      </c>
      <c r="B126" s="187" t="s">
        <v>479</v>
      </c>
      <c r="C126" s="187" t="s">
        <v>479</v>
      </c>
      <c r="D126" s="187" t="s">
        <v>1317</v>
      </c>
      <c r="E126" s="187" t="s">
        <v>392</v>
      </c>
      <c r="F126" s="187" t="s">
        <v>386</v>
      </c>
      <c r="G126" s="187" t="s">
        <v>393</v>
      </c>
      <c r="H126" s="187" t="b">
        <v>0</v>
      </c>
      <c r="I126" s="187" t="s">
        <v>388</v>
      </c>
      <c r="J126" s="187" t="s">
        <v>389</v>
      </c>
      <c r="K126" s="187" t="b">
        <v>1</v>
      </c>
      <c r="L126" s="187">
        <v>5</v>
      </c>
      <c r="M126" s="187">
        <v>0.42</v>
      </c>
      <c r="N126" s="187">
        <v>18.600000000000001</v>
      </c>
      <c r="O126" s="187">
        <v>3.7</v>
      </c>
      <c r="P126" s="187">
        <v>11.74</v>
      </c>
      <c r="Q126" s="187"/>
      <c r="R126" s="187"/>
      <c r="S126" s="187"/>
      <c r="T126" s="187"/>
      <c r="U126" s="187">
        <v>34</v>
      </c>
      <c r="V126" s="187">
        <v>2.86</v>
      </c>
      <c r="W126" s="188">
        <v>41619</v>
      </c>
      <c r="X126" s="691">
        <f t="shared" si="68"/>
        <v>2.4150999999999998</v>
      </c>
      <c r="Y126" s="691">
        <f t="shared" si="45"/>
        <v>4.18703</v>
      </c>
      <c r="Z126" s="189"/>
      <c r="AA126" s="190">
        <f t="shared" si="53"/>
        <v>2013</v>
      </c>
      <c r="AB126" s="191">
        <f t="shared" si="54"/>
        <v>2.0703076477164508</v>
      </c>
      <c r="AC126" s="192">
        <f>IF(AB126="","",AB126*SFAssumptions!$C$3)</f>
        <v>531.47550826052759</v>
      </c>
      <c r="AD126" s="193">
        <f t="shared" si="55"/>
        <v>20.93515</v>
      </c>
      <c r="AE126" s="194">
        <f>IF(AD126="","",AD126*SFAssumptions!$C$3)</f>
        <v>5374.3314424950004</v>
      </c>
      <c r="AF126" s="192">
        <f t="shared" si="44"/>
        <v>5</v>
      </c>
      <c r="AG126" s="192">
        <f t="shared" si="56"/>
        <v>4.18703</v>
      </c>
      <c r="AH126" s="192">
        <f t="shared" si="57"/>
        <v>2.4150999999999998</v>
      </c>
      <c r="AI126" s="692">
        <f ca="1">IF(AC126="","",AC126*SFAssumptions!$C$8/'SavingsData&amp;Analysis'!AF126)</f>
        <v>401.47737481665683</v>
      </c>
      <c r="AJ126" s="692">
        <f ca="1">IF(OR(AE126="",AF126=""),"",AE126*SFAssumptions!$C$8/AF126)</f>
        <v>4059.7778174000537</v>
      </c>
      <c r="AK126" s="191">
        <f t="shared" si="58"/>
        <v>1.7482517482517483</v>
      </c>
      <c r="AL126" s="692">
        <f>IF(AK126="","",AK126*SFAssumptions!$C$3)</f>
        <v>448.79947552447555</v>
      </c>
      <c r="AM126" s="193">
        <f t="shared" si="59"/>
        <v>18.5</v>
      </c>
      <c r="AN126" s="194">
        <f>IF(AM126="","",AM126*SFAssumptions!$C$3)</f>
        <v>4749.1960500000005</v>
      </c>
      <c r="AO126" s="693">
        <f t="shared" si="60"/>
        <v>3.7</v>
      </c>
      <c r="AP126" s="693">
        <f t="shared" si="61"/>
        <v>2.86</v>
      </c>
      <c r="AQ126" s="692">
        <f ca="1">IF(AL126="","",AL126*SFAssumptions!$C$8/'SavingsData&amp;Analysis'!AF126)</f>
        <v>339.02377899290479</v>
      </c>
      <c r="AR126" s="692">
        <f ca="1">IF(OR(AN126="",AF126=""),"",AN126*SFAssumptions!$C$8/AF126)</f>
        <v>3587.5496293029187</v>
      </c>
      <c r="AS126" s="190" t="str">
        <f>IF(OR(AG126="",AH126=""),"No",IF(AND(G126="Horizontal",AH126&gt;='Eff. Standards &amp; Certifications'!$B$21,AG126&lt;='Eff. Standards &amp; Certifications'!$C$21),"Consider",IF(AND(G126="Vertical",AH126&gt;='Eff. Standards &amp; Certifications'!$B$20,AG126&lt;='Eff. Standards &amp; Certifications'!$C$20),"Consider","No")))</f>
        <v>Consider</v>
      </c>
      <c r="AT126" s="190" t="str">
        <f t="shared" si="46"/>
        <v>Residential</v>
      </c>
      <c r="AU126" s="190"/>
      <c r="AV126" s="190" t="str">
        <f t="shared" si="69"/>
        <v>YES</v>
      </c>
      <c r="AW126" s="190" t="str">
        <f t="shared" si="69"/>
        <v>NO</v>
      </c>
      <c r="AX126" s="190" t="str">
        <f t="shared" si="62"/>
        <v>YES</v>
      </c>
      <c r="AY126" s="190" t="str">
        <f t="shared" si="47"/>
        <v>NO</v>
      </c>
      <c r="AZ126" s="190" t="str">
        <f t="shared" si="47"/>
        <v>NO</v>
      </c>
      <c r="BA126" s="190" t="str">
        <f t="shared" si="63"/>
        <v>NO</v>
      </c>
      <c r="BB126" s="190" t="str">
        <f t="shared" si="48"/>
        <v>YES</v>
      </c>
      <c r="BC126" s="190" t="str">
        <f t="shared" si="49"/>
        <v>NO</v>
      </c>
      <c r="BD126" s="190" t="str">
        <f t="shared" si="64"/>
        <v>YES</v>
      </c>
      <c r="BE126" s="190" t="str">
        <f t="shared" si="50"/>
        <v>NO</v>
      </c>
      <c r="BF126" s="190" t="str">
        <f t="shared" si="51"/>
        <v>NO</v>
      </c>
      <c r="BG126" s="190" t="str">
        <f t="shared" si="52"/>
        <v>NO</v>
      </c>
      <c r="BH126" s="88"/>
      <c r="BI126" s="9"/>
      <c r="BJ126" s="694">
        <f t="shared" si="70"/>
        <v>2.4150999999999998</v>
      </c>
      <c r="BK126" s="694" t="str">
        <f t="shared" si="70"/>
        <v/>
      </c>
      <c r="BL126" s="694">
        <f t="shared" si="71"/>
        <v>4.18703</v>
      </c>
      <c r="BM126" s="694" t="str">
        <f t="shared" si="71"/>
        <v/>
      </c>
      <c r="BN126" s="88"/>
      <c r="BO126" s="195"/>
      <c r="BP126" s="195"/>
      <c r="BQ126" s="195"/>
      <c r="BR126" s="195"/>
      <c r="BS126" s="195"/>
      <c r="BT126" s="195"/>
      <c r="BU126" s="195"/>
      <c r="BV126" s="195"/>
      <c r="BW126" s="195"/>
      <c r="BX126" s="195"/>
    </row>
    <row r="127" spans="1:76" s="124" customFormat="1" ht="15">
      <c r="A127" s="187">
        <v>5800</v>
      </c>
      <c r="B127" s="187" t="s">
        <v>479</v>
      </c>
      <c r="C127" s="187" t="s">
        <v>479</v>
      </c>
      <c r="D127" s="187" t="s">
        <v>487</v>
      </c>
      <c r="E127" s="187" t="s">
        <v>392</v>
      </c>
      <c r="F127" s="187" t="s">
        <v>386</v>
      </c>
      <c r="G127" s="187" t="s">
        <v>393</v>
      </c>
      <c r="H127" s="187" t="b">
        <v>0</v>
      </c>
      <c r="I127" s="187" t="s">
        <v>388</v>
      </c>
      <c r="J127" s="187" t="s">
        <v>389</v>
      </c>
      <c r="K127" s="187" t="b">
        <v>1</v>
      </c>
      <c r="L127" s="187">
        <v>3.7</v>
      </c>
      <c r="M127" s="187">
        <v>0.56999999999999995</v>
      </c>
      <c r="N127" s="187">
        <v>32.9</v>
      </c>
      <c r="O127" s="187">
        <v>9</v>
      </c>
      <c r="P127" s="187">
        <v>6.36</v>
      </c>
      <c r="Q127" s="187"/>
      <c r="R127" s="187"/>
      <c r="S127" s="187"/>
      <c r="T127" s="187"/>
      <c r="U127" s="187">
        <v>51.1</v>
      </c>
      <c r="V127" s="187">
        <v>1.73</v>
      </c>
      <c r="W127" s="188">
        <v>41353</v>
      </c>
      <c r="X127" s="691">
        <f t="shared" si="68"/>
        <v>1.2963999999999998</v>
      </c>
      <c r="Y127" s="691">
        <f t="shared" si="45"/>
        <v>9.4282000000000004</v>
      </c>
      <c r="Z127" s="189"/>
      <c r="AA127" s="190">
        <f t="shared" si="53"/>
        <v>2013</v>
      </c>
      <c r="AB127" s="191">
        <f t="shared" si="54"/>
        <v>2.8540573896945394</v>
      </c>
      <c r="AC127" s="192">
        <f>IF(AB127="","",AB127*SFAssumptions!$C$3)</f>
        <v>732.67449089787124</v>
      </c>
      <c r="AD127" s="193">
        <f t="shared" si="55"/>
        <v>34.884340000000002</v>
      </c>
      <c r="AE127" s="194">
        <f>IF(AD127="","",AD127*SFAssumptions!$C$3)</f>
        <v>8955.2740397220005</v>
      </c>
      <c r="AF127" s="192">
        <f t="shared" si="44"/>
        <v>3.7</v>
      </c>
      <c r="AG127" s="192">
        <f t="shared" si="56"/>
        <v>9.4282000000000004</v>
      </c>
      <c r="AH127" s="192">
        <f t="shared" si="57"/>
        <v>1.2963999999999998</v>
      </c>
      <c r="AI127" s="692">
        <f ca="1">IF(AC127="","",AC127*SFAssumptions!$C$8/'SavingsData&amp;Analysis'!AF127)</f>
        <v>747.92348651628197</v>
      </c>
      <c r="AJ127" s="692">
        <f ca="1">IF(OR(AE127="",AF127=""),"",AE127*SFAssumptions!$C$8/AF127)</f>
        <v>9141.6582202685877</v>
      </c>
      <c r="AK127" s="191">
        <f t="shared" si="58"/>
        <v>2.1387283236994219</v>
      </c>
      <c r="AL127" s="692">
        <f>IF(AK127="","",AK127*SFAssumptions!$C$3)</f>
        <v>549.04000578034686</v>
      </c>
      <c r="AM127" s="193">
        <f t="shared" si="59"/>
        <v>33.300000000000004</v>
      </c>
      <c r="AN127" s="194">
        <f>IF(AM127="","",AM127*SFAssumptions!$C$3)</f>
        <v>8548.5528900000008</v>
      </c>
      <c r="AO127" s="693">
        <f t="shared" si="60"/>
        <v>9</v>
      </c>
      <c r="AP127" s="693">
        <f t="shared" si="61"/>
        <v>1.73</v>
      </c>
      <c r="AQ127" s="692">
        <f ca="1">IF(AL127="","",AL127*SFAssumptions!$C$8/'SavingsData&amp;Analysis'!AF127)</f>
        <v>560.46705660098712</v>
      </c>
      <c r="AR127" s="692">
        <f ca="1">IF(OR(AN127="",AF127=""),"",AN127*SFAssumptions!$C$8/AF127)</f>
        <v>8726.4720712773706</v>
      </c>
      <c r="AS127" s="190" t="str">
        <f>IF(OR(AG127="",AH127=""),"No",IF(AND(G127="Horizontal",AH127&gt;='Eff. Standards &amp; Certifications'!$B$21,AG127&lt;='Eff. Standards &amp; Certifications'!$C$21),"Consider",IF(AND(G127="Vertical",AH127&gt;='Eff. Standards &amp; Certifications'!$B$20,AG127&lt;='Eff. Standards &amp; Certifications'!$C$20),"Consider","No")))</f>
        <v>No</v>
      </c>
      <c r="AT127" s="190" t="str">
        <f t="shared" si="46"/>
        <v>Residential</v>
      </c>
      <c r="AU127" s="190"/>
      <c r="AV127" s="190" t="str">
        <f t="shared" si="69"/>
        <v>NO</v>
      </c>
      <c r="AW127" s="190" t="str">
        <f t="shared" si="69"/>
        <v>NO</v>
      </c>
      <c r="AX127" s="190" t="str">
        <f t="shared" si="62"/>
        <v>NO</v>
      </c>
      <c r="AY127" s="190" t="str">
        <f t="shared" si="47"/>
        <v>NO</v>
      </c>
      <c r="AZ127" s="190" t="str">
        <f t="shared" si="47"/>
        <v>NO</v>
      </c>
      <c r="BA127" s="190" t="str">
        <f t="shared" si="63"/>
        <v>NO</v>
      </c>
      <c r="BB127" s="190" t="str">
        <f t="shared" si="48"/>
        <v>NO</v>
      </c>
      <c r="BC127" s="190" t="str">
        <f t="shared" si="49"/>
        <v>NO</v>
      </c>
      <c r="BD127" s="190" t="str">
        <f t="shared" si="64"/>
        <v>NO</v>
      </c>
      <c r="BE127" s="190" t="str">
        <f t="shared" si="50"/>
        <v>NO</v>
      </c>
      <c r="BF127" s="190" t="str">
        <f t="shared" si="51"/>
        <v>NO</v>
      </c>
      <c r="BG127" s="190" t="str">
        <f t="shared" si="52"/>
        <v>NO</v>
      </c>
      <c r="BH127" s="88"/>
      <c r="BI127" s="9"/>
      <c r="BJ127" s="694" t="str">
        <f t="shared" si="70"/>
        <v/>
      </c>
      <c r="BK127" s="694" t="str">
        <f t="shared" si="70"/>
        <v/>
      </c>
      <c r="BL127" s="694" t="str">
        <f t="shared" si="71"/>
        <v/>
      </c>
      <c r="BM127" s="694" t="str">
        <f t="shared" si="71"/>
        <v/>
      </c>
      <c r="BN127" s="88"/>
      <c r="BO127" s="195"/>
      <c r="BP127" s="195"/>
      <c r="BQ127" s="195"/>
      <c r="BR127" s="195"/>
      <c r="BS127" s="195"/>
      <c r="BT127" s="195"/>
      <c r="BU127" s="195"/>
      <c r="BV127" s="195"/>
      <c r="BW127" s="195"/>
      <c r="BX127" s="195"/>
    </row>
    <row r="128" spans="1:76" s="124" customFormat="1" ht="15">
      <c r="A128" s="187">
        <v>5551</v>
      </c>
      <c r="B128" s="187" t="s">
        <v>479</v>
      </c>
      <c r="C128" s="187" t="s">
        <v>479</v>
      </c>
      <c r="D128" s="187" t="s">
        <v>488</v>
      </c>
      <c r="E128" s="187" t="s">
        <v>392</v>
      </c>
      <c r="F128" s="187" t="s">
        <v>386</v>
      </c>
      <c r="G128" s="187" t="s">
        <v>393</v>
      </c>
      <c r="H128" s="187" t="b">
        <v>0</v>
      </c>
      <c r="I128" s="187" t="s">
        <v>388</v>
      </c>
      <c r="J128" s="187" t="s">
        <v>389</v>
      </c>
      <c r="K128" s="187" t="b">
        <v>1</v>
      </c>
      <c r="L128" s="187">
        <v>5</v>
      </c>
      <c r="M128" s="187">
        <v>0.59</v>
      </c>
      <c r="N128" s="187">
        <v>17.100000000000001</v>
      </c>
      <c r="O128" s="187">
        <v>3.5</v>
      </c>
      <c r="P128" s="187">
        <v>8.4700000000000006</v>
      </c>
      <c r="Q128" s="187"/>
      <c r="R128" s="187"/>
      <c r="S128" s="187"/>
      <c r="T128" s="187"/>
      <c r="U128" s="187">
        <v>31.8</v>
      </c>
      <c r="V128" s="187">
        <v>2.72</v>
      </c>
      <c r="W128" s="188">
        <v>41212</v>
      </c>
      <c r="X128" s="691">
        <f t="shared" si="68"/>
        <v>2.2765</v>
      </c>
      <c r="Y128" s="691">
        <f t="shared" si="45"/>
        <v>3.9892500000000002</v>
      </c>
      <c r="Z128" s="189"/>
      <c r="AA128" s="190">
        <f t="shared" si="53"/>
        <v>2012</v>
      </c>
      <c r="AB128" s="191">
        <f t="shared" si="54"/>
        <v>2.1963540522732266</v>
      </c>
      <c r="AC128" s="192">
        <f>IF(AB128="","",AB128*SFAssumptions!$C$3)</f>
        <v>563.83329672743253</v>
      </c>
      <c r="AD128" s="193">
        <f t="shared" si="55"/>
        <v>19.946249999999999</v>
      </c>
      <c r="AE128" s="194">
        <f>IF(AD128="","",AD128*SFAssumptions!$C$3)</f>
        <v>5120.4676601250003</v>
      </c>
      <c r="AF128" s="192">
        <f t="shared" si="44"/>
        <v>5</v>
      </c>
      <c r="AG128" s="192">
        <f t="shared" si="56"/>
        <v>3.9892500000000002</v>
      </c>
      <c r="AH128" s="192">
        <f t="shared" si="57"/>
        <v>2.2765</v>
      </c>
      <c r="AI128" s="692">
        <f ca="1">IF(AC128="","",AC128*SFAssumptions!$C$8/'SavingsData&amp;Analysis'!AF128)</f>
        <v>425.92049546220414</v>
      </c>
      <c r="AJ128" s="692">
        <f ca="1">IF(OR(AE128="",AF128=""),"",AE128*SFAssumptions!$C$8/AF128)</f>
        <v>3868.0087455936941</v>
      </c>
      <c r="AK128" s="191">
        <f t="shared" si="58"/>
        <v>1.838235294117647</v>
      </c>
      <c r="AL128" s="692">
        <f>IF(AK128="","",AK128*SFAssumptions!$C$3)</f>
        <v>471.89944852941176</v>
      </c>
      <c r="AM128" s="193">
        <f t="shared" si="59"/>
        <v>17.5</v>
      </c>
      <c r="AN128" s="194">
        <f>IF(AM128="","",AM128*SFAssumptions!$C$3)</f>
        <v>4492.4827500000001</v>
      </c>
      <c r="AO128" s="693">
        <f t="shared" si="60"/>
        <v>3.5</v>
      </c>
      <c r="AP128" s="693">
        <f t="shared" si="61"/>
        <v>2.72</v>
      </c>
      <c r="AQ128" s="692">
        <f ca="1">IF(AL128="","",AL128*SFAssumptions!$C$8/'SavingsData&amp;Analysis'!AF128)</f>
        <v>356.47353232342192</v>
      </c>
      <c r="AR128" s="692">
        <f ca="1">IF(OR(AN128="",AF128=""),"",AN128*SFAssumptions!$C$8/AF128)</f>
        <v>3393.6280277189771</v>
      </c>
      <c r="AS128" s="190" t="str">
        <f>IF(OR(AG128="",AH128=""),"No",IF(AND(G128="Horizontal",AH128&gt;='Eff. Standards &amp; Certifications'!$B$21,AG128&lt;='Eff. Standards &amp; Certifications'!$C$21),"Consider",IF(AND(G128="Vertical",AH128&gt;='Eff. Standards &amp; Certifications'!$B$20,AG128&lt;='Eff. Standards &amp; Certifications'!$C$20),"Consider","No")))</f>
        <v>Consider</v>
      </c>
      <c r="AT128" s="190" t="str">
        <f t="shared" si="46"/>
        <v>Residential</v>
      </c>
      <c r="AU128" s="190"/>
      <c r="AV128" s="190" t="str">
        <f t="shared" si="69"/>
        <v>YES</v>
      </c>
      <c r="AW128" s="190" t="str">
        <f t="shared" si="69"/>
        <v>NO</v>
      </c>
      <c r="AX128" s="190" t="str">
        <f t="shared" si="62"/>
        <v>YES</v>
      </c>
      <c r="AY128" s="190" t="str">
        <f t="shared" si="47"/>
        <v>NO</v>
      </c>
      <c r="AZ128" s="190" t="str">
        <f t="shared" si="47"/>
        <v>NO</v>
      </c>
      <c r="BA128" s="190" t="str">
        <f t="shared" si="63"/>
        <v>NO</v>
      </c>
      <c r="BB128" s="190" t="str">
        <f t="shared" si="48"/>
        <v>YES</v>
      </c>
      <c r="BC128" s="190" t="str">
        <f t="shared" si="49"/>
        <v>NO</v>
      </c>
      <c r="BD128" s="190" t="str">
        <f t="shared" si="64"/>
        <v>YES</v>
      </c>
      <c r="BE128" s="190" t="str">
        <f t="shared" si="50"/>
        <v>NO</v>
      </c>
      <c r="BF128" s="190" t="str">
        <f t="shared" si="51"/>
        <v>NO</v>
      </c>
      <c r="BG128" s="190" t="str">
        <f t="shared" si="52"/>
        <v>NO</v>
      </c>
      <c r="BH128" s="88"/>
      <c r="BI128" s="9"/>
      <c r="BJ128" s="694">
        <f t="shared" si="70"/>
        <v>2.2765</v>
      </c>
      <c r="BK128" s="694" t="str">
        <f t="shared" si="70"/>
        <v/>
      </c>
      <c r="BL128" s="694">
        <f t="shared" si="71"/>
        <v>3.9892500000000002</v>
      </c>
      <c r="BM128" s="694" t="str">
        <f t="shared" si="71"/>
        <v/>
      </c>
      <c r="BN128" s="88"/>
      <c r="BO128" s="195"/>
      <c r="BP128" s="195"/>
      <c r="BQ128" s="195"/>
      <c r="BR128" s="195"/>
      <c r="BS128" s="195"/>
      <c r="BT128" s="195"/>
      <c r="BU128" s="195"/>
      <c r="BV128" s="195"/>
      <c r="BW128" s="195"/>
      <c r="BX128" s="195"/>
    </row>
    <row r="129" spans="1:76" s="124" customFormat="1" ht="15">
      <c r="A129" s="187">
        <v>605</v>
      </c>
      <c r="B129" s="187" t="s">
        <v>490</v>
      </c>
      <c r="C129" s="187" t="s">
        <v>491</v>
      </c>
      <c r="D129" s="187" t="s">
        <v>492</v>
      </c>
      <c r="E129" s="187" t="s">
        <v>385</v>
      </c>
      <c r="F129" s="187" t="s">
        <v>386</v>
      </c>
      <c r="G129" s="187" t="s">
        <v>387</v>
      </c>
      <c r="H129" s="187" t="b">
        <v>0</v>
      </c>
      <c r="I129" s="187" t="s">
        <v>388</v>
      </c>
      <c r="J129" s="187" t="s">
        <v>389</v>
      </c>
      <c r="K129" s="187" t="b">
        <v>1</v>
      </c>
      <c r="L129" s="187">
        <v>3.2</v>
      </c>
      <c r="M129" s="187">
        <v>0.3</v>
      </c>
      <c r="N129" s="187">
        <v>11.38</v>
      </c>
      <c r="O129" s="187">
        <v>3.6</v>
      </c>
      <c r="P129" s="187">
        <v>10.45</v>
      </c>
      <c r="Q129" s="187"/>
      <c r="R129" s="187"/>
      <c r="S129" s="187"/>
      <c r="T129" s="187"/>
      <c r="U129" s="187">
        <v>36.299999999999997</v>
      </c>
      <c r="V129" s="187">
        <v>2.6</v>
      </c>
      <c r="W129" s="188">
        <v>40133</v>
      </c>
      <c r="X129" s="691">
        <f t="shared" si="68"/>
        <v>2.2043999999999997</v>
      </c>
      <c r="Y129" s="691">
        <f t="shared" si="45"/>
        <v>3.8043200000000001</v>
      </c>
      <c r="Z129" s="189"/>
      <c r="AA129" s="190">
        <f t="shared" si="53"/>
        <v>2009</v>
      </c>
      <c r="AB129" s="191">
        <f t="shared" si="54"/>
        <v>1.4516421702050448</v>
      </c>
      <c r="AC129" s="192">
        <f>IF(AB129="","",AB129*SFAssumptions!$C$3)</f>
        <v>372.65585193249876</v>
      </c>
      <c r="AD129" s="193">
        <f t="shared" si="55"/>
        <v>12.173824000000002</v>
      </c>
      <c r="AE129" s="194">
        <f>IF(AD129="","",AD129*SFAssumptions!$C$3)</f>
        <v>3125.1825326592007</v>
      </c>
      <c r="AF129" s="192">
        <f t="shared" si="44"/>
        <v>3.2</v>
      </c>
      <c r="AG129" s="192">
        <f t="shared" si="56"/>
        <v>3.8043200000000001</v>
      </c>
      <c r="AH129" s="192">
        <f t="shared" si="57"/>
        <v>2.2043999999999997</v>
      </c>
      <c r="AI129" s="692">
        <f ca="1">IF(AC129="","",AC129*SFAssumptions!$C$8/'SavingsData&amp;Analysis'!AF129)</f>
        <v>439.85121027023587</v>
      </c>
      <c r="AJ129" s="692">
        <f ca="1">IF(OR(AE129="",AF129=""),"",AE129*SFAssumptions!$C$8/AF129)</f>
        <v>3688.6991366891029</v>
      </c>
      <c r="AK129" s="191">
        <f t="shared" si="58"/>
        <v>1.2307692307692308</v>
      </c>
      <c r="AL129" s="692">
        <f>IF(AK129="","",AK129*SFAssumptions!$C$3)</f>
        <v>315.9548307692308</v>
      </c>
      <c r="AM129" s="193">
        <f t="shared" si="59"/>
        <v>11.520000000000001</v>
      </c>
      <c r="AN129" s="194">
        <f>IF(AM129="","",AM129*SFAssumptions!$C$3)</f>
        <v>2957.3372160000004</v>
      </c>
      <c r="AO129" s="693">
        <f t="shared" si="60"/>
        <v>3.6</v>
      </c>
      <c r="AP129" s="693">
        <f t="shared" si="61"/>
        <v>2.6</v>
      </c>
      <c r="AQ129" s="692">
        <f ca="1">IF(AL129="","",AL129*SFAssumptions!$C$8/'SavingsData&amp;Analysis'!AF129)</f>
        <v>372.92615689219531</v>
      </c>
      <c r="AR129" s="692">
        <f ca="1">IF(OR(AN129="",AF129=""),"",AN129*SFAssumptions!$C$8/AF129)</f>
        <v>3490.5888285109477</v>
      </c>
      <c r="AS129" s="190" t="str">
        <f>IF(OR(AG129="",AH129=""),"No",IF(AND(G129="Horizontal",AH129&gt;='Eff. Standards &amp; Certifications'!$B$21,AG129&lt;='Eff. Standards &amp; Certifications'!$C$21),"Consider",IF(AND(G129="Vertical",AH129&gt;='Eff. Standards &amp; Certifications'!$B$20,AG129&lt;='Eff. Standards &amp; Certifications'!$C$20),"Consider","No")))</f>
        <v>Consider</v>
      </c>
      <c r="AT129" s="190" t="str">
        <f t="shared" si="46"/>
        <v>Residential</v>
      </c>
      <c r="AU129" s="190"/>
      <c r="AV129" s="190" t="str">
        <f t="shared" si="69"/>
        <v>NO</v>
      </c>
      <c r="AW129" s="190" t="str">
        <f t="shared" si="69"/>
        <v>YES</v>
      </c>
      <c r="AX129" s="190" t="str">
        <f t="shared" si="62"/>
        <v>YES</v>
      </c>
      <c r="AY129" s="190" t="str">
        <f t="shared" si="47"/>
        <v>NO</v>
      </c>
      <c r="AZ129" s="190" t="str">
        <f t="shared" si="47"/>
        <v>YES</v>
      </c>
      <c r="BA129" s="190" t="str">
        <f t="shared" si="63"/>
        <v>YES</v>
      </c>
      <c r="BB129" s="190" t="str">
        <f t="shared" si="48"/>
        <v>NO</v>
      </c>
      <c r="BC129" s="190" t="str">
        <f t="shared" si="49"/>
        <v>NO</v>
      </c>
      <c r="BD129" s="190" t="str">
        <f t="shared" si="64"/>
        <v>NO</v>
      </c>
      <c r="BE129" s="190" t="str">
        <f t="shared" si="50"/>
        <v>NO</v>
      </c>
      <c r="BF129" s="190" t="str">
        <f t="shared" si="51"/>
        <v>NO</v>
      </c>
      <c r="BG129" s="190" t="str">
        <f t="shared" si="52"/>
        <v>NO</v>
      </c>
      <c r="BH129" s="88"/>
      <c r="BI129" s="9"/>
      <c r="BJ129" s="694" t="str">
        <f t="shared" si="70"/>
        <v/>
      </c>
      <c r="BK129" s="694">
        <f t="shared" si="70"/>
        <v>2.2043999999999997</v>
      </c>
      <c r="BL129" s="694" t="str">
        <f t="shared" si="71"/>
        <v/>
      </c>
      <c r="BM129" s="694">
        <f t="shared" si="71"/>
        <v>3.8043200000000001</v>
      </c>
      <c r="BN129" s="88"/>
      <c r="BO129" s="195"/>
      <c r="BP129" s="195"/>
      <c r="BQ129" s="195"/>
      <c r="BR129" s="195"/>
      <c r="BS129" s="195"/>
      <c r="BT129" s="195"/>
      <c r="BU129" s="195"/>
      <c r="BV129" s="195"/>
      <c r="BW129" s="195"/>
      <c r="BX129" s="195"/>
    </row>
    <row r="130" spans="1:76" s="124" customFormat="1" ht="15">
      <c r="A130" s="187">
        <v>606</v>
      </c>
      <c r="B130" s="187" t="s">
        <v>490</v>
      </c>
      <c r="C130" s="187" t="s">
        <v>491</v>
      </c>
      <c r="D130" s="187" t="s">
        <v>493</v>
      </c>
      <c r="E130" s="187" t="s">
        <v>385</v>
      </c>
      <c r="F130" s="187" t="s">
        <v>386</v>
      </c>
      <c r="G130" s="187" t="s">
        <v>387</v>
      </c>
      <c r="H130" s="187" t="b">
        <v>0</v>
      </c>
      <c r="I130" s="187" t="s">
        <v>388</v>
      </c>
      <c r="J130" s="187" t="s">
        <v>389</v>
      </c>
      <c r="K130" s="187" t="b">
        <v>1</v>
      </c>
      <c r="L130" s="187">
        <v>3.9</v>
      </c>
      <c r="M130" s="187">
        <v>0.28999999999999998</v>
      </c>
      <c r="N130" s="187">
        <v>12.96</v>
      </c>
      <c r="O130" s="187">
        <v>3.4</v>
      </c>
      <c r="P130" s="187">
        <v>13.57</v>
      </c>
      <c r="Q130" s="187"/>
      <c r="R130" s="187"/>
      <c r="S130" s="187"/>
      <c r="T130" s="187"/>
      <c r="U130" s="187">
        <v>35.799999999999997</v>
      </c>
      <c r="V130" s="187">
        <v>2.85</v>
      </c>
      <c r="W130" s="188">
        <v>40133</v>
      </c>
      <c r="X130" s="691">
        <f t="shared" si="68"/>
        <v>2.4330249999999998</v>
      </c>
      <c r="Y130" s="691">
        <f t="shared" si="45"/>
        <v>3.5994799999999998</v>
      </c>
      <c r="Z130" s="189"/>
      <c r="AA130" s="190">
        <f t="shared" si="53"/>
        <v>2009</v>
      </c>
      <c r="AB130" s="191">
        <f t="shared" si="54"/>
        <v>1.602942838647363</v>
      </c>
      <c r="AC130" s="192">
        <f>IF(AB130="","",AB130*SFAssumptions!$C$3)</f>
        <v>411.49674582053211</v>
      </c>
      <c r="AD130" s="193">
        <f t="shared" si="55"/>
        <v>14.037971999999998</v>
      </c>
      <c r="AE130" s="194">
        <f>IF(AD130="","",AD130*SFAssumptions!$C$3)</f>
        <v>3603.7341174275994</v>
      </c>
      <c r="AF130" s="192">
        <f t="shared" si="44"/>
        <v>3.9</v>
      </c>
      <c r="AG130" s="192">
        <f t="shared" si="56"/>
        <v>3.5994799999999998</v>
      </c>
      <c r="AH130" s="192">
        <f t="shared" si="57"/>
        <v>2.4330249999999998</v>
      </c>
      <c r="AI130" s="692">
        <f ca="1">IF(AC130="","",AC130*SFAssumptions!$C$8/'SavingsData&amp;Analysis'!AF130)</f>
        <v>398.51954168975158</v>
      </c>
      <c r="AJ130" s="692">
        <f ca="1">IF(OR(AE130="",AF130=""),"",AE130*SFAssumptions!$C$8/AF130)</f>
        <v>3490.0846323468286</v>
      </c>
      <c r="AK130" s="191">
        <f t="shared" si="58"/>
        <v>1.368421052631579</v>
      </c>
      <c r="AL130" s="692">
        <f>IF(AK130="","",AK130*SFAssumptions!$C$3)</f>
        <v>351.29188421052635</v>
      </c>
      <c r="AM130" s="193">
        <f t="shared" si="59"/>
        <v>13.26</v>
      </c>
      <c r="AN130" s="194">
        <f>IF(AM130="","",AM130*SFAssumptions!$C$3)</f>
        <v>3404.0183579999998</v>
      </c>
      <c r="AO130" s="693">
        <f t="shared" si="60"/>
        <v>3.4</v>
      </c>
      <c r="AP130" s="693">
        <f t="shared" si="61"/>
        <v>2.85</v>
      </c>
      <c r="AQ130" s="692">
        <f ca="1">IF(AL130="","",AL130*SFAssumptions!$C$8/'SavingsData&amp;Analysis'!AF130)</f>
        <v>340.21333611217818</v>
      </c>
      <c r="AR130" s="692">
        <f ca="1">IF(OR(AN130="",AF130=""),"",AN130*SFAssumptions!$C$8/AF130)</f>
        <v>3296.6672269270057</v>
      </c>
      <c r="AS130" s="190" t="str">
        <f>IF(OR(AG130="",AH130=""),"No",IF(AND(G130="Horizontal",AH130&gt;='Eff. Standards &amp; Certifications'!$B$21,AG130&lt;='Eff. Standards &amp; Certifications'!$C$21),"Consider",IF(AND(G130="Vertical",AH130&gt;='Eff. Standards &amp; Certifications'!$B$20,AG130&lt;='Eff. Standards &amp; Certifications'!$C$20),"Consider","No")))</f>
        <v>Consider</v>
      </c>
      <c r="AT130" s="190" t="str">
        <f t="shared" si="46"/>
        <v>Residential</v>
      </c>
      <c r="AU130" s="190"/>
      <c r="AV130" s="190" t="str">
        <f t="shared" si="69"/>
        <v>NO</v>
      </c>
      <c r="AW130" s="190" t="str">
        <f t="shared" si="69"/>
        <v>YES</v>
      </c>
      <c r="AX130" s="190" t="str">
        <f t="shared" si="62"/>
        <v>YES</v>
      </c>
      <c r="AY130" s="190" t="str">
        <f t="shared" si="47"/>
        <v>NO</v>
      </c>
      <c r="AZ130" s="190" t="str">
        <f t="shared" si="47"/>
        <v>NO</v>
      </c>
      <c r="BA130" s="190" t="str">
        <f t="shared" si="63"/>
        <v>NO</v>
      </c>
      <c r="BB130" s="190" t="str">
        <f t="shared" si="48"/>
        <v>NO</v>
      </c>
      <c r="BC130" s="190" t="str">
        <f t="shared" si="49"/>
        <v>YES</v>
      </c>
      <c r="BD130" s="190" t="str">
        <f t="shared" si="64"/>
        <v>YES</v>
      </c>
      <c r="BE130" s="190" t="str">
        <f t="shared" si="50"/>
        <v>YES</v>
      </c>
      <c r="BF130" s="190" t="str">
        <f t="shared" si="51"/>
        <v>NO</v>
      </c>
      <c r="BG130" s="190" t="str">
        <f t="shared" si="52"/>
        <v>NO</v>
      </c>
      <c r="BH130" s="88"/>
      <c r="BI130" s="9"/>
      <c r="BJ130" s="694" t="str">
        <f t="shared" si="70"/>
        <v/>
      </c>
      <c r="BK130" s="694">
        <f t="shared" si="70"/>
        <v>2.4330249999999998</v>
      </c>
      <c r="BL130" s="694" t="str">
        <f t="shared" si="71"/>
        <v/>
      </c>
      <c r="BM130" s="694">
        <f t="shared" si="71"/>
        <v>3.5994799999999998</v>
      </c>
      <c r="BN130" s="88"/>
      <c r="BO130" s="195"/>
      <c r="BP130" s="195"/>
      <c r="BQ130" s="195"/>
      <c r="BR130" s="195"/>
      <c r="BS130" s="195"/>
      <c r="BT130" s="195"/>
      <c r="BU130" s="195"/>
      <c r="BV130" s="195"/>
      <c r="BW130" s="195"/>
      <c r="BX130" s="195"/>
    </row>
    <row r="131" spans="1:76" s="124" customFormat="1" ht="15">
      <c r="A131" s="187">
        <v>607</v>
      </c>
      <c r="B131" s="187" t="s">
        <v>490</v>
      </c>
      <c r="C131" s="187" t="s">
        <v>491</v>
      </c>
      <c r="D131" s="187" t="s">
        <v>494</v>
      </c>
      <c r="E131" s="187" t="s">
        <v>385</v>
      </c>
      <c r="F131" s="187" t="s">
        <v>386</v>
      </c>
      <c r="G131" s="187" t="s">
        <v>387</v>
      </c>
      <c r="H131" s="187" t="b">
        <v>0</v>
      </c>
      <c r="I131" s="187" t="s">
        <v>388</v>
      </c>
      <c r="J131" s="187" t="s">
        <v>389</v>
      </c>
      <c r="K131" s="187" t="b">
        <v>1</v>
      </c>
      <c r="L131" s="187">
        <v>3.9</v>
      </c>
      <c r="M131" s="187">
        <v>0.28000000000000003</v>
      </c>
      <c r="N131" s="187">
        <v>13.27</v>
      </c>
      <c r="O131" s="187">
        <v>3.4</v>
      </c>
      <c r="P131" s="187">
        <v>13.77</v>
      </c>
      <c r="Q131" s="187"/>
      <c r="R131" s="187"/>
      <c r="S131" s="187"/>
      <c r="T131" s="187"/>
      <c r="U131" s="187">
        <v>35.299999999999997</v>
      </c>
      <c r="V131" s="187">
        <v>2.9</v>
      </c>
      <c r="W131" s="188">
        <v>40133</v>
      </c>
      <c r="X131" s="691">
        <f t="shared" si="68"/>
        <v>2.4787499999999998</v>
      </c>
      <c r="Y131" s="691">
        <f t="shared" si="45"/>
        <v>3.5994799999999998</v>
      </c>
      <c r="Z131" s="189"/>
      <c r="AA131" s="190">
        <f t="shared" si="53"/>
        <v>2009</v>
      </c>
      <c r="AB131" s="191">
        <f t="shared" si="54"/>
        <v>1.573373676248109</v>
      </c>
      <c r="AC131" s="192">
        <f>IF(AB131="","",AB131*SFAssumptions!$C$3)</f>
        <v>403.90594856278369</v>
      </c>
      <c r="AD131" s="193">
        <f t="shared" si="55"/>
        <v>14.037971999999998</v>
      </c>
      <c r="AE131" s="194">
        <f>IF(AD131="","",AD131*SFAssumptions!$C$3)</f>
        <v>3603.7341174275994</v>
      </c>
      <c r="AF131" s="192">
        <f t="shared" si="44"/>
        <v>3.9</v>
      </c>
      <c r="AG131" s="192">
        <f t="shared" si="56"/>
        <v>3.5994799999999998</v>
      </c>
      <c r="AH131" s="192">
        <f t="shared" si="57"/>
        <v>2.4787499999999998</v>
      </c>
      <c r="AI131" s="692">
        <f ca="1">IF(AC131="","",AC131*SFAssumptions!$C$8/'SavingsData&amp;Analysis'!AF131)</f>
        <v>391.16813229236823</v>
      </c>
      <c r="AJ131" s="692">
        <f ca="1">IF(OR(AE131="",AF131=""),"",AE131*SFAssumptions!$C$8/AF131)</f>
        <v>3490.0846323468286</v>
      </c>
      <c r="AK131" s="191">
        <f t="shared" si="58"/>
        <v>1.3448275862068966</v>
      </c>
      <c r="AL131" s="692">
        <f>IF(AK131="","",AK131*SFAssumptions!$C$3)</f>
        <v>345.23512758620689</v>
      </c>
      <c r="AM131" s="193">
        <f t="shared" si="59"/>
        <v>13.26</v>
      </c>
      <c r="AN131" s="194">
        <f>IF(AM131="","",AM131*SFAssumptions!$C$3)</f>
        <v>3404.0183579999998</v>
      </c>
      <c r="AO131" s="693">
        <f t="shared" si="60"/>
        <v>3.4</v>
      </c>
      <c r="AP131" s="693">
        <f t="shared" si="61"/>
        <v>2.9</v>
      </c>
      <c r="AQ131" s="692">
        <f ca="1">IF(AL131="","",AL131*SFAssumptions!$C$8/'SavingsData&amp;Analysis'!AF131)</f>
        <v>334.34758893783021</v>
      </c>
      <c r="AR131" s="692">
        <f ca="1">IF(OR(AN131="",AF131=""),"",AN131*SFAssumptions!$C$8/AF131)</f>
        <v>3296.6672269270057</v>
      </c>
      <c r="AS131" s="190" t="str">
        <f>IF(OR(AG131="",AH131=""),"No",IF(AND(G131="Horizontal",AH131&gt;='Eff. Standards &amp; Certifications'!$B$21,AG131&lt;='Eff. Standards &amp; Certifications'!$C$21),"Consider",IF(AND(G131="Vertical",AH131&gt;='Eff. Standards &amp; Certifications'!$B$20,AG131&lt;='Eff. Standards &amp; Certifications'!$C$20),"Consider","No")))</f>
        <v>Consider</v>
      </c>
      <c r="AT131" s="190" t="str">
        <f t="shared" si="46"/>
        <v>Residential</v>
      </c>
      <c r="AU131" s="190"/>
      <c r="AV131" s="190" t="str">
        <f t="shared" si="69"/>
        <v>NO</v>
      </c>
      <c r="AW131" s="190" t="str">
        <f t="shared" si="69"/>
        <v>YES</v>
      </c>
      <c r="AX131" s="190" t="str">
        <f t="shared" si="62"/>
        <v>YES</v>
      </c>
      <c r="AY131" s="190" t="str">
        <f t="shared" si="47"/>
        <v>NO</v>
      </c>
      <c r="AZ131" s="190" t="str">
        <f t="shared" si="47"/>
        <v>NO</v>
      </c>
      <c r="BA131" s="190" t="str">
        <f t="shared" si="63"/>
        <v>NO</v>
      </c>
      <c r="BB131" s="190" t="str">
        <f t="shared" si="48"/>
        <v>NO</v>
      </c>
      <c r="BC131" s="190" t="str">
        <f t="shared" si="49"/>
        <v>YES</v>
      </c>
      <c r="BD131" s="190" t="str">
        <f t="shared" si="64"/>
        <v>YES</v>
      </c>
      <c r="BE131" s="190" t="str">
        <f t="shared" si="50"/>
        <v>YES</v>
      </c>
      <c r="BF131" s="190" t="str">
        <f t="shared" si="51"/>
        <v>NO</v>
      </c>
      <c r="BG131" s="190" t="str">
        <f t="shared" si="52"/>
        <v>NO</v>
      </c>
      <c r="BH131" s="88"/>
      <c r="BI131" s="9"/>
      <c r="BJ131" s="694" t="str">
        <f t="shared" si="70"/>
        <v/>
      </c>
      <c r="BK131" s="694">
        <f t="shared" si="70"/>
        <v>2.4787499999999998</v>
      </c>
      <c r="BL131" s="694" t="str">
        <f t="shared" si="71"/>
        <v/>
      </c>
      <c r="BM131" s="694">
        <f t="shared" si="71"/>
        <v>3.5994799999999998</v>
      </c>
      <c r="BN131" s="88"/>
      <c r="BO131" s="195"/>
      <c r="BP131" s="195"/>
      <c r="BQ131" s="195"/>
      <c r="BR131" s="195"/>
      <c r="BS131" s="195"/>
      <c r="BT131" s="195"/>
      <c r="BU131" s="195"/>
      <c r="BV131" s="195"/>
      <c r="BW131" s="195"/>
      <c r="BX131" s="195"/>
    </row>
    <row r="132" spans="1:76" s="124" customFormat="1" ht="15">
      <c r="A132" s="187">
        <v>5094</v>
      </c>
      <c r="B132" s="187" t="s">
        <v>490</v>
      </c>
      <c r="C132" s="187" t="s">
        <v>479</v>
      </c>
      <c r="D132" s="187" t="s">
        <v>495</v>
      </c>
      <c r="E132" s="187" t="s">
        <v>392</v>
      </c>
      <c r="F132" s="187" t="s">
        <v>386</v>
      </c>
      <c r="G132" s="187" t="s">
        <v>393</v>
      </c>
      <c r="H132" s="187" t="b">
        <v>0</v>
      </c>
      <c r="I132" s="187" t="s">
        <v>388</v>
      </c>
      <c r="J132" s="187" t="s">
        <v>389</v>
      </c>
      <c r="K132" s="187" t="b">
        <v>1</v>
      </c>
      <c r="L132" s="187">
        <v>4.5</v>
      </c>
      <c r="M132" s="187">
        <v>0.67</v>
      </c>
      <c r="N132" s="187">
        <v>20.25</v>
      </c>
      <c r="O132" s="187">
        <v>4.5</v>
      </c>
      <c r="P132" s="187">
        <v>6.68</v>
      </c>
      <c r="Q132" s="187"/>
      <c r="R132" s="187"/>
      <c r="S132" s="187"/>
      <c r="T132" s="187"/>
      <c r="U132" s="187">
        <v>38.1</v>
      </c>
      <c r="V132" s="187">
        <v>2.21</v>
      </c>
      <c r="W132" s="188">
        <v>40669</v>
      </c>
      <c r="X132" s="691">
        <f t="shared" si="68"/>
        <v>1.7715999999999998</v>
      </c>
      <c r="Y132" s="691">
        <f t="shared" si="45"/>
        <v>4.9781500000000003</v>
      </c>
      <c r="Z132" s="189"/>
      <c r="AA132" s="190">
        <f t="shared" si="53"/>
        <v>2011</v>
      </c>
      <c r="AB132" s="191">
        <f t="shared" si="54"/>
        <v>2.540076766764507</v>
      </c>
      <c r="AC132" s="192">
        <f>IF(AB132="","",AB132*SFAssumptions!$C$3)</f>
        <v>652.07148904944688</v>
      </c>
      <c r="AD132" s="193">
        <f t="shared" si="55"/>
        <v>22.401675000000001</v>
      </c>
      <c r="AE132" s="194">
        <f>IF(AD132="","",AD132*SFAssumptions!$C$3)</f>
        <v>5750.8079147775006</v>
      </c>
      <c r="AF132" s="192">
        <f t="shared" si="44"/>
        <v>4.5</v>
      </c>
      <c r="AG132" s="192">
        <f t="shared" si="56"/>
        <v>4.9781500000000003</v>
      </c>
      <c r="AH132" s="192">
        <f t="shared" si="57"/>
        <v>1.7715999999999998</v>
      </c>
      <c r="AI132" s="692">
        <f ca="1">IF(AC132="","",AC132*SFAssumptions!$C$8/'SavingsData&amp;Analysis'!AF132)</f>
        <v>547.30639417459236</v>
      </c>
      <c r="AJ132" s="692">
        <f ca="1">IF(OR(AE132="",AF132=""),"",AE132*SFAssumptions!$C$8/AF132)</f>
        <v>4826.8541046254941</v>
      </c>
      <c r="AK132" s="191">
        <f t="shared" si="58"/>
        <v>2.0361990950226243</v>
      </c>
      <c r="AL132" s="692">
        <f>IF(AK132="","",AK132*SFAssumptions!$C$3)</f>
        <v>522.71938914027146</v>
      </c>
      <c r="AM132" s="193">
        <f t="shared" si="59"/>
        <v>20.25</v>
      </c>
      <c r="AN132" s="194">
        <f>IF(AM132="","",AM132*SFAssumptions!$C$3)</f>
        <v>5198.4443250000004</v>
      </c>
      <c r="AO132" s="693">
        <f t="shared" si="60"/>
        <v>4.5</v>
      </c>
      <c r="AP132" s="693">
        <f t="shared" si="61"/>
        <v>2.21</v>
      </c>
      <c r="AQ132" s="692">
        <f ca="1">IF(AL132="","",AL132*SFAssumptions!$C$8/'SavingsData&amp;Analysis'!AF132)</f>
        <v>438.73665516728852</v>
      </c>
      <c r="AR132" s="692">
        <f ca="1">IF(OR(AN132="",AF132=""),"",AN132*SFAssumptions!$C$8/AF132)</f>
        <v>4363.2360356386844</v>
      </c>
      <c r="AS132" s="190" t="str">
        <f>IF(OR(AG132="",AH132=""),"No",IF(AND(G132="Horizontal",AH132&gt;='Eff. Standards &amp; Certifications'!$B$21,AG132&lt;='Eff. Standards &amp; Certifications'!$C$21),"Consider",IF(AND(G132="Vertical",AH132&gt;='Eff. Standards &amp; Certifications'!$B$20,AG132&lt;='Eff. Standards &amp; Certifications'!$C$20),"Consider","No")))</f>
        <v>Consider</v>
      </c>
      <c r="AT132" s="190" t="str">
        <f t="shared" si="46"/>
        <v>Residential</v>
      </c>
      <c r="AU132" s="190"/>
      <c r="AV132" s="190" t="str">
        <f t="shared" si="69"/>
        <v>YES</v>
      </c>
      <c r="AW132" s="190" t="str">
        <f t="shared" si="69"/>
        <v>NO</v>
      </c>
      <c r="AX132" s="190" t="str">
        <f t="shared" si="62"/>
        <v>YES</v>
      </c>
      <c r="AY132" s="190" t="str">
        <f t="shared" si="47"/>
        <v>YES</v>
      </c>
      <c r="AZ132" s="190" t="str">
        <f t="shared" si="47"/>
        <v>NO</v>
      </c>
      <c r="BA132" s="190" t="str">
        <f t="shared" si="63"/>
        <v>YES</v>
      </c>
      <c r="BB132" s="190" t="str">
        <f t="shared" si="48"/>
        <v>NO</v>
      </c>
      <c r="BC132" s="190" t="str">
        <f t="shared" si="49"/>
        <v>NO</v>
      </c>
      <c r="BD132" s="190" t="str">
        <f t="shared" si="64"/>
        <v>NO</v>
      </c>
      <c r="BE132" s="190" t="str">
        <f t="shared" si="50"/>
        <v>NO</v>
      </c>
      <c r="BF132" s="190" t="str">
        <f t="shared" si="51"/>
        <v>NO</v>
      </c>
      <c r="BG132" s="190" t="str">
        <f t="shared" si="52"/>
        <v>NO</v>
      </c>
      <c r="BH132" s="88"/>
      <c r="BI132" s="9"/>
      <c r="BJ132" s="694">
        <f t="shared" si="70"/>
        <v>1.7715999999999998</v>
      </c>
      <c r="BK132" s="694" t="str">
        <f t="shared" si="70"/>
        <v/>
      </c>
      <c r="BL132" s="694">
        <f t="shared" si="71"/>
        <v>4.9781500000000003</v>
      </c>
      <c r="BM132" s="694" t="str">
        <f t="shared" si="71"/>
        <v/>
      </c>
      <c r="BN132" s="88"/>
      <c r="BO132" s="195"/>
      <c r="BP132" s="195"/>
      <c r="BQ132" s="195"/>
      <c r="BR132" s="195"/>
      <c r="BS132" s="195"/>
      <c r="BT132" s="195"/>
      <c r="BU132" s="195"/>
      <c r="BV132" s="195"/>
      <c r="BW132" s="195"/>
      <c r="BX132" s="195"/>
    </row>
    <row r="133" spans="1:76" s="124" customFormat="1" ht="15">
      <c r="A133" s="187">
        <v>3304</v>
      </c>
      <c r="B133" s="187" t="s">
        <v>490</v>
      </c>
      <c r="C133" s="187" t="s">
        <v>479</v>
      </c>
      <c r="D133" s="187" t="s">
        <v>496</v>
      </c>
      <c r="E133" s="187" t="s">
        <v>392</v>
      </c>
      <c r="F133" s="187" t="s">
        <v>386</v>
      </c>
      <c r="G133" s="187" t="s">
        <v>393</v>
      </c>
      <c r="H133" s="187" t="b">
        <v>0</v>
      </c>
      <c r="I133" s="187" t="s">
        <v>388</v>
      </c>
      <c r="J133" s="187" t="s">
        <v>389</v>
      </c>
      <c r="K133" s="187" t="b">
        <v>1</v>
      </c>
      <c r="L133" s="187">
        <v>3.5</v>
      </c>
      <c r="M133" s="187">
        <v>0.89</v>
      </c>
      <c r="N133" s="187">
        <v>25.2</v>
      </c>
      <c r="O133" s="187">
        <v>7.1</v>
      </c>
      <c r="P133" s="187">
        <v>3.96</v>
      </c>
      <c r="Q133" s="187"/>
      <c r="R133" s="187"/>
      <c r="S133" s="187"/>
      <c r="T133" s="187"/>
      <c r="U133" s="187">
        <v>36.4</v>
      </c>
      <c r="V133" s="187">
        <v>1.83</v>
      </c>
      <c r="W133" s="188">
        <v>39547</v>
      </c>
      <c r="X133" s="691">
        <f t="shared" si="68"/>
        <v>1.3954</v>
      </c>
      <c r="Y133" s="691">
        <f t="shared" si="45"/>
        <v>7.5492900000000001</v>
      </c>
      <c r="Z133" s="189"/>
      <c r="AA133" s="190">
        <f t="shared" si="53"/>
        <v>2008</v>
      </c>
      <c r="AB133" s="191">
        <f t="shared" si="54"/>
        <v>2.5082413644833021</v>
      </c>
      <c r="AC133" s="192">
        <f>IF(AB133="","",AB133*SFAssumptions!$C$3)</f>
        <v>643.89891787301133</v>
      </c>
      <c r="AD133" s="193">
        <f t="shared" si="55"/>
        <v>26.422515000000001</v>
      </c>
      <c r="AE133" s="194">
        <f>IF(AD133="","",AD133*SFAssumptions!$C$3)</f>
        <v>6783.0110199495002</v>
      </c>
      <c r="AF133" s="192">
        <f t="shared" si="44"/>
        <v>3.5</v>
      </c>
      <c r="AG133" s="192">
        <f t="shared" si="56"/>
        <v>7.5492900000000001</v>
      </c>
      <c r="AH133" s="192">
        <f t="shared" si="57"/>
        <v>1.3954</v>
      </c>
      <c r="AI133" s="692">
        <f ca="1">IF(AC133="","",AC133*SFAssumptions!$C$8/'SavingsData&amp;Analysis'!AF133)</f>
        <v>694.86026079956116</v>
      </c>
      <c r="AJ133" s="692">
        <f ca="1">IF(OR(AE133="",AF133=""),"",AE133*SFAssumptions!$C$8/AF133)</f>
        <v>7319.8520381081698</v>
      </c>
      <c r="AK133" s="191">
        <f t="shared" si="58"/>
        <v>1.9125683060109289</v>
      </c>
      <c r="AL133" s="692">
        <f>IF(AK133="","",AK133*SFAssumptions!$C$3)</f>
        <v>490.98172131147538</v>
      </c>
      <c r="AM133" s="193">
        <f t="shared" si="59"/>
        <v>24.849999999999998</v>
      </c>
      <c r="AN133" s="194">
        <f>IF(AM133="","",AM133*SFAssumptions!$C$3)</f>
        <v>6379.3255049999998</v>
      </c>
      <c r="AO133" s="693">
        <f t="shared" si="60"/>
        <v>7.1</v>
      </c>
      <c r="AP133" s="693">
        <f t="shared" si="61"/>
        <v>1.83</v>
      </c>
      <c r="AQ133" s="692">
        <f ca="1">IF(AL133="","",AL133*SFAssumptions!$C$8/'SavingsData&amp;Analysis'!AF133)</f>
        <v>529.84044148617909</v>
      </c>
      <c r="AR133" s="692">
        <f ca="1">IF(OR(AN133="",AF133=""),"",AN133*SFAssumptions!$C$8/AF133)</f>
        <v>6884.2168562299248</v>
      </c>
      <c r="AS133" s="190" t="str">
        <f>IF(OR(AG133="",AH133=""),"No",IF(AND(G133="Horizontal",AH133&gt;='Eff. Standards &amp; Certifications'!$B$21,AG133&lt;='Eff. Standards &amp; Certifications'!$C$21),"Consider",IF(AND(G133="Vertical",AH133&gt;='Eff. Standards &amp; Certifications'!$B$20,AG133&lt;='Eff. Standards &amp; Certifications'!$C$20),"Consider","No")))</f>
        <v>Consider</v>
      </c>
      <c r="AT133" s="190" t="str">
        <f t="shared" si="46"/>
        <v>Residential</v>
      </c>
      <c r="AU133" s="190"/>
      <c r="AV133" s="190" t="str">
        <f t="shared" si="69"/>
        <v>YES</v>
      </c>
      <c r="AW133" s="190" t="str">
        <f t="shared" si="69"/>
        <v>NO</v>
      </c>
      <c r="AX133" s="190" t="str">
        <f t="shared" si="62"/>
        <v>YES</v>
      </c>
      <c r="AY133" s="190" t="str">
        <f t="shared" si="47"/>
        <v>YES</v>
      </c>
      <c r="AZ133" s="190" t="str">
        <f t="shared" si="47"/>
        <v>NO</v>
      </c>
      <c r="BA133" s="190" t="str">
        <f t="shared" si="63"/>
        <v>YES</v>
      </c>
      <c r="BB133" s="190" t="str">
        <f t="shared" si="48"/>
        <v>NO</v>
      </c>
      <c r="BC133" s="190" t="str">
        <f t="shared" si="49"/>
        <v>NO</v>
      </c>
      <c r="BD133" s="190" t="str">
        <f t="shared" si="64"/>
        <v>NO</v>
      </c>
      <c r="BE133" s="190" t="str">
        <f t="shared" si="50"/>
        <v>NO</v>
      </c>
      <c r="BF133" s="190" t="str">
        <f t="shared" si="51"/>
        <v>NO</v>
      </c>
      <c r="BG133" s="190" t="str">
        <f t="shared" si="52"/>
        <v>NO</v>
      </c>
      <c r="BH133" s="88"/>
      <c r="BI133" s="9"/>
      <c r="BJ133" s="694">
        <f t="shared" si="70"/>
        <v>1.3954</v>
      </c>
      <c r="BK133" s="694" t="str">
        <f t="shared" si="70"/>
        <v/>
      </c>
      <c r="BL133" s="694">
        <f t="shared" si="71"/>
        <v>7.5492900000000001</v>
      </c>
      <c r="BM133" s="694" t="str">
        <f t="shared" si="71"/>
        <v/>
      </c>
      <c r="BN133" s="88"/>
      <c r="BO133" s="195"/>
      <c r="BP133" s="195"/>
      <c r="BQ133" s="195"/>
      <c r="BR133" s="195"/>
      <c r="BS133" s="195"/>
      <c r="BT133" s="195"/>
      <c r="BU133" s="195"/>
      <c r="BV133" s="195"/>
      <c r="BW133" s="195"/>
      <c r="BX133" s="195"/>
    </row>
    <row r="134" spans="1:76" s="124" customFormat="1" ht="15">
      <c r="A134" s="187">
        <v>1403</v>
      </c>
      <c r="B134" s="187" t="s">
        <v>490</v>
      </c>
      <c r="C134" s="187" t="s">
        <v>479</v>
      </c>
      <c r="D134" s="187" t="s">
        <v>497</v>
      </c>
      <c r="E134" s="187" t="s">
        <v>392</v>
      </c>
      <c r="F134" s="187" t="s">
        <v>386</v>
      </c>
      <c r="G134" s="187" t="s">
        <v>393</v>
      </c>
      <c r="H134" s="187" t="b">
        <v>0</v>
      </c>
      <c r="I134" s="187" t="s">
        <v>388</v>
      </c>
      <c r="J134" s="187" t="s">
        <v>389</v>
      </c>
      <c r="K134" s="187" t="b">
        <v>1</v>
      </c>
      <c r="L134" s="187">
        <v>3.5</v>
      </c>
      <c r="M134" s="187">
        <v>1.58</v>
      </c>
      <c r="N134" s="187">
        <v>24.63</v>
      </c>
      <c r="O134" s="187">
        <v>7</v>
      </c>
      <c r="P134" s="187">
        <v>3.29</v>
      </c>
      <c r="Q134" s="187"/>
      <c r="R134" s="187"/>
      <c r="S134" s="187"/>
      <c r="T134" s="187"/>
      <c r="U134" s="187">
        <v>35.9</v>
      </c>
      <c r="V134" s="187">
        <v>1.49</v>
      </c>
      <c r="W134" s="188">
        <v>38639</v>
      </c>
      <c r="X134" s="691">
        <f t="shared" si="68"/>
        <v>1.0588000000000002</v>
      </c>
      <c r="Y134" s="691">
        <f t="shared" si="45"/>
        <v>7.4504000000000001</v>
      </c>
      <c r="Z134" s="189"/>
      <c r="AA134" s="190">
        <f t="shared" si="53"/>
        <v>2005</v>
      </c>
      <c r="AB134" s="191">
        <f t="shared" si="54"/>
        <v>3.3056290139780877</v>
      </c>
      <c r="AC134" s="192">
        <f>IF(AB134="","",AB134*SFAssumptions!$C$3)</f>
        <v>848.59893275406102</v>
      </c>
      <c r="AD134" s="193">
        <f t="shared" si="55"/>
        <v>26.0764</v>
      </c>
      <c r="AE134" s="194">
        <f>IF(AD134="","",AD134*SFAssumptions!$C$3)</f>
        <v>6694.1586961200001</v>
      </c>
      <c r="AF134" s="192">
        <f t="shared" si="44"/>
        <v>3.5</v>
      </c>
      <c r="AG134" s="192">
        <f t="shared" si="56"/>
        <v>7.4504000000000001</v>
      </c>
      <c r="AH134" s="192">
        <f t="shared" si="57"/>
        <v>1.0588000000000002</v>
      </c>
      <c r="AI134" s="692">
        <f ca="1">IF(AC134="","",AC134*SFAssumptions!$C$8/'SavingsData&amp;Analysis'!AF134)</f>
        <v>915.76124661853748</v>
      </c>
      <c r="AJ134" s="692">
        <f ca="1">IF(OR(AE134="",AF134=""),"",AE134*SFAssumptions!$C$8/AF134)</f>
        <v>7223.9675022049905</v>
      </c>
      <c r="AK134" s="191">
        <f t="shared" si="58"/>
        <v>2.348993288590604</v>
      </c>
      <c r="AL134" s="692">
        <f>IF(AK134="","",AK134*SFAssumptions!$C$3)</f>
        <v>603.0178187919463</v>
      </c>
      <c r="AM134" s="193">
        <f t="shared" si="59"/>
        <v>24.5</v>
      </c>
      <c r="AN134" s="194">
        <f>IF(AM134="","",AM134*SFAssumptions!$C$3)</f>
        <v>6289.4758499999998</v>
      </c>
      <c r="AO134" s="693">
        <f t="shared" si="60"/>
        <v>7</v>
      </c>
      <c r="AP134" s="693">
        <f t="shared" si="61"/>
        <v>1.49</v>
      </c>
      <c r="AQ134" s="692">
        <f ca="1">IF(AL134="","",AL134*SFAssumptions!$C$8/'SavingsData&amp;Analysis'!AF134)</f>
        <v>650.7436294763138</v>
      </c>
      <c r="AR134" s="692">
        <f ca="1">IF(OR(AN134="",AF134=""),"",AN134*SFAssumptions!$C$8/AF134)</f>
        <v>6787.2560554379534</v>
      </c>
      <c r="AS134" s="190" t="str">
        <f>IF(OR(AG134="",AH134=""),"No",IF(AND(G134="Horizontal",AH134&gt;='Eff. Standards &amp; Certifications'!$B$21,AG134&lt;='Eff. Standards &amp; Certifications'!$C$21),"Consider",IF(AND(G134="Vertical",AH134&gt;='Eff. Standards &amp; Certifications'!$B$20,AG134&lt;='Eff. Standards &amp; Certifications'!$C$20),"Consider","No")))</f>
        <v>No</v>
      </c>
      <c r="AT134" s="190" t="str">
        <f t="shared" si="46"/>
        <v>Residential</v>
      </c>
      <c r="AU134" s="190"/>
      <c r="AV134" s="190" t="str">
        <f t="shared" si="69"/>
        <v>NO</v>
      </c>
      <c r="AW134" s="190" t="str">
        <f t="shared" si="69"/>
        <v>NO</v>
      </c>
      <c r="AX134" s="190" t="str">
        <f t="shared" si="62"/>
        <v>NO</v>
      </c>
      <c r="AY134" s="190" t="str">
        <f t="shared" si="47"/>
        <v>NO</v>
      </c>
      <c r="AZ134" s="190" t="str">
        <f t="shared" si="47"/>
        <v>NO</v>
      </c>
      <c r="BA134" s="190" t="str">
        <f t="shared" si="63"/>
        <v>NO</v>
      </c>
      <c r="BB134" s="190" t="str">
        <f t="shared" si="48"/>
        <v>NO</v>
      </c>
      <c r="BC134" s="190" t="str">
        <f t="shared" si="49"/>
        <v>NO</v>
      </c>
      <c r="BD134" s="190" t="str">
        <f t="shared" si="64"/>
        <v>NO</v>
      </c>
      <c r="BE134" s="190" t="str">
        <f t="shared" si="50"/>
        <v>NO</v>
      </c>
      <c r="BF134" s="190" t="str">
        <f t="shared" si="51"/>
        <v>NO</v>
      </c>
      <c r="BG134" s="190" t="str">
        <f t="shared" si="52"/>
        <v>NO</v>
      </c>
      <c r="BH134" s="88"/>
      <c r="BI134" s="9"/>
      <c r="BJ134" s="694" t="str">
        <f t="shared" si="70"/>
        <v/>
      </c>
      <c r="BK134" s="694" t="str">
        <f t="shared" si="70"/>
        <v/>
      </c>
      <c r="BL134" s="694" t="str">
        <f t="shared" si="71"/>
        <v/>
      </c>
      <c r="BM134" s="694" t="str">
        <f t="shared" si="71"/>
        <v/>
      </c>
      <c r="BN134" s="88"/>
      <c r="BO134" s="195"/>
      <c r="BP134" s="195"/>
      <c r="BQ134" s="195"/>
      <c r="BR134" s="195"/>
      <c r="BS134" s="195"/>
      <c r="BT134" s="195"/>
      <c r="BU134" s="195"/>
      <c r="BV134" s="195"/>
      <c r="BW134" s="195"/>
      <c r="BX134" s="195"/>
    </row>
    <row r="135" spans="1:76" s="124" customFormat="1" ht="15">
      <c r="A135" s="187">
        <v>1404</v>
      </c>
      <c r="B135" s="187" t="s">
        <v>490</v>
      </c>
      <c r="C135" s="187" t="s">
        <v>479</v>
      </c>
      <c r="D135" s="187" t="s">
        <v>498</v>
      </c>
      <c r="E135" s="187" t="s">
        <v>392</v>
      </c>
      <c r="F135" s="187" t="s">
        <v>386</v>
      </c>
      <c r="G135" s="187" t="s">
        <v>393</v>
      </c>
      <c r="H135" s="187" t="b">
        <v>0</v>
      </c>
      <c r="I135" s="187" t="s">
        <v>388</v>
      </c>
      <c r="J135" s="187" t="s">
        <v>389</v>
      </c>
      <c r="K135" s="187" t="b">
        <v>1</v>
      </c>
      <c r="L135" s="187">
        <v>3.5</v>
      </c>
      <c r="M135" s="187">
        <v>0.69</v>
      </c>
      <c r="N135" s="187">
        <v>25</v>
      </c>
      <c r="O135" s="187">
        <v>7.1</v>
      </c>
      <c r="P135" s="187">
        <v>5.15</v>
      </c>
      <c r="Q135" s="187"/>
      <c r="R135" s="187"/>
      <c r="S135" s="187"/>
      <c r="T135" s="187"/>
      <c r="U135" s="187">
        <v>38.5</v>
      </c>
      <c r="V135" s="187">
        <v>1.98</v>
      </c>
      <c r="W135" s="188">
        <v>38639</v>
      </c>
      <c r="X135" s="691">
        <f t="shared" si="68"/>
        <v>1.5438999999999998</v>
      </c>
      <c r="Y135" s="691">
        <f t="shared" si="45"/>
        <v>7.5492900000000001</v>
      </c>
      <c r="Z135" s="189"/>
      <c r="AA135" s="190">
        <f t="shared" si="53"/>
        <v>2005</v>
      </c>
      <c r="AB135" s="191">
        <f t="shared" si="54"/>
        <v>2.2669862037696746</v>
      </c>
      <c r="AC135" s="192">
        <f>IF(AB135="","",AB135*SFAssumptions!$C$3)</f>
        <v>581.9655094241856</v>
      </c>
      <c r="AD135" s="193">
        <f t="shared" si="55"/>
        <v>26.422515000000001</v>
      </c>
      <c r="AE135" s="194">
        <f>IF(AD135="","",AD135*SFAssumptions!$C$3)</f>
        <v>6783.0110199495002</v>
      </c>
      <c r="AF135" s="192">
        <f t="shared" si="44"/>
        <v>3.5</v>
      </c>
      <c r="AG135" s="192">
        <f t="shared" si="56"/>
        <v>7.5492900000000001</v>
      </c>
      <c r="AH135" s="192">
        <f t="shared" si="57"/>
        <v>1.5438999999999998</v>
      </c>
      <c r="AI135" s="692">
        <f ca="1">IF(AC135="","",AC135*SFAssumptions!$C$8/'SavingsData&amp;Analysis'!AF135)</f>
        <v>628.02513629102134</v>
      </c>
      <c r="AJ135" s="692">
        <f ca="1">IF(OR(AE135="",AF135=""),"",AE135*SFAssumptions!$C$8/AF135)</f>
        <v>7319.8520381081698</v>
      </c>
      <c r="AK135" s="191">
        <f t="shared" si="58"/>
        <v>1.7676767676767677</v>
      </c>
      <c r="AL135" s="692">
        <f>IF(AK135="","",AK135*SFAssumptions!$C$3)</f>
        <v>453.78613636363639</v>
      </c>
      <c r="AM135" s="193">
        <f t="shared" si="59"/>
        <v>24.849999999999998</v>
      </c>
      <c r="AN135" s="194">
        <f>IF(AM135="","",AM135*SFAssumptions!$C$3)</f>
        <v>6379.3255049999998</v>
      </c>
      <c r="AO135" s="693">
        <f t="shared" si="60"/>
        <v>7.1</v>
      </c>
      <c r="AP135" s="693">
        <f t="shared" si="61"/>
        <v>1.98</v>
      </c>
      <c r="AQ135" s="692">
        <f ca="1">IF(AL135="","",AL135*SFAssumptions!$C$8/'SavingsData&amp;Analysis'!AF135)</f>
        <v>489.70101410086244</v>
      </c>
      <c r="AR135" s="692">
        <f ca="1">IF(OR(AN135="",AF135=""),"",AN135*SFAssumptions!$C$8/AF135)</f>
        <v>6884.2168562299248</v>
      </c>
      <c r="AS135" s="190" t="str">
        <f>IF(OR(AG135="",AH135=""),"No",IF(AND(G135="Horizontal",AH135&gt;='Eff. Standards &amp; Certifications'!$B$21,AG135&lt;='Eff. Standards &amp; Certifications'!$C$21),"Consider",IF(AND(G135="Vertical",AH135&gt;='Eff. Standards &amp; Certifications'!$B$20,AG135&lt;='Eff. Standards &amp; Certifications'!$C$20),"Consider","No")))</f>
        <v>Consider</v>
      </c>
      <c r="AT135" s="190" t="str">
        <f t="shared" si="46"/>
        <v>Residential</v>
      </c>
      <c r="AU135" s="190"/>
      <c r="AV135" s="190" t="str">
        <f t="shared" si="69"/>
        <v>YES</v>
      </c>
      <c r="AW135" s="190" t="str">
        <f t="shared" si="69"/>
        <v>NO</v>
      </c>
      <c r="AX135" s="190" t="str">
        <f t="shared" si="62"/>
        <v>YES</v>
      </c>
      <c r="AY135" s="190" t="str">
        <f t="shared" si="47"/>
        <v>YES</v>
      </c>
      <c r="AZ135" s="190" t="str">
        <f t="shared" si="47"/>
        <v>NO</v>
      </c>
      <c r="BA135" s="190" t="str">
        <f t="shared" si="63"/>
        <v>YES</v>
      </c>
      <c r="BB135" s="190" t="str">
        <f t="shared" si="48"/>
        <v>NO</v>
      </c>
      <c r="BC135" s="190" t="str">
        <f t="shared" si="49"/>
        <v>NO</v>
      </c>
      <c r="BD135" s="190" t="str">
        <f t="shared" si="64"/>
        <v>NO</v>
      </c>
      <c r="BE135" s="190" t="str">
        <f t="shared" si="50"/>
        <v>NO</v>
      </c>
      <c r="BF135" s="190" t="str">
        <f t="shared" si="51"/>
        <v>NO</v>
      </c>
      <c r="BG135" s="190" t="str">
        <f t="shared" si="52"/>
        <v>NO</v>
      </c>
      <c r="BH135" s="88"/>
      <c r="BI135" s="9"/>
      <c r="BJ135" s="694">
        <f t="shared" si="70"/>
        <v>1.5438999999999998</v>
      </c>
      <c r="BK135" s="694" t="str">
        <f t="shared" si="70"/>
        <v/>
      </c>
      <c r="BL135" s="694">
        <f t="shared" si="71"/>
        <v>7.5492900000000001</v>
      </c>
      <c r="BM135" s="694" t="str">
        <f t="shared" si="71"/>
        <v/>
      </c>
      <c r="BN135" s="88"/>
      <c r="BO135" s="195"/>
      <c r="BP135" s="195"/>
      <c r="BQ135" s="195"/>
      <c r="BR135" s="195"/>
      <c r="BS135" s="195"/>
      <c r="BT135" s="195"/>
      <c r="BU135" s="195"/>
      <c r="BV135" s="195"/>
      <c r="BW135" s="195"/>
      <c r="BX135" s="195"/>
    </row>
    <row r="136" spans="1:76" s="124" customFormat="1" ht="15">
      <c r="A136" s="187">
        <v>4826</v>
      </c>
      <c r="B136" s="187" t="s">
        <v>490</v>
      </c>
      <c r="C136" s="187" t="s">
        <v>459</v>
      </c>
      <c r="D136" s="187" t="s">
        <v>499</v>
      </c>
      <c r="E136" s="187" t="s">
        <v>392</v>
      </c>
      <c r="F136" s="187" t="s">
        <v>386</v>
      </c>
      <c r="G136" s="187" t="s">
        <v>393</v>
      </c>
      <c r="H136" s="187" t="b">
        <v>0</v>
      </c>
      <c r="I136" s="187" t="s">
        <v>388</v>
      </c>
      <c r="J136" s="187" t="s">
        <v>389</v>
      </c>
      <c r="K136" s="187" t="b">
        <v>1</v>
      </c>
      <c r="L136" s="187">
        <v>4.3</v>
      </c>
      <c r="M136" s="187">
        <v>0.7</v>
      </c>
      <c r="N136" s="187">
        <v>17.28</v>
      </c>
      <c r="O136" s="187">
        <v>4</v>
      </c>
      <c r="P136" s="187">
        <v>6.36</v>
      </c>
      <c r="Q136" s="187"/>
      <c r="R136" s="187"/>
      <c r="S136" s="187"/>
      <c r="T136" s="187"/>
      <c r="U136" s="187">
        <v>33.4</v>
      </c>
      <c r="V136" s="187">
        <v>2.41</v>
      </c>
      <c r="W136" s="188">
        <v>40626</v>
      </c>
      <c r="X136" s="691">
        <f t="shared" si="68"/>
        <v>1.9695999999999998</v>
      </c>
      <c r="Y136" s="691">
        <f t="shared" si="45"/>
        <v>4.4836999999999998</v>
      </c>
      <c r="Z136" s="189"/>
      <c r="AA136" s="190">
        <f t="shared" si="53"/>
        <v>2011</v>
      </c>
      <c r="AB136" s="191">
        <f t="shared" si="54"/>
        <v>2.1831844029244518</v>
      </c>
      <c r="AC136" s="192">
        <f>IF(AB136="","",AB136*SFAssumptions!$C$3)</f>
        <v>560.45247258326572</v>
      </c>
      <c r="AD136" s="193">
        <f t="shared" si="55"/>
        <v>19.279909999999997</v>
      </c>
      <c r="AE136" s="194">
        <f>IF(AD136="","",AD136*SFAssumptions!$C$3)</f>
        <v>4949.4093198029996</v>
      </c>
      <c r="AF136" s="192">
        <f t="shared" si="44"/>
        <v>4.3</v>
      </c>
      <c r="AG136" s="192">
        <f t="shared" si="56"/>
        <v>4.4836999999999998</v>
      </c>
      <c r="AH136" s="192">
        <f t="shared" si="57"/>
        <v>1.9695999999999998</v>
      </c>
      <c r="AI136" s="692">
        <f ca="1">IF(AC136="","",AC136*SFAssumptions!$C$8/'SavingsData&amp;Analysis'!AF136)</f>
        <v>492.28676275371032</v>
      </c>
      <c r="AJ136" s="692">
        <f ca="1">IF(OR(AE136="",AF136=""),"",AE136*SFAssumptions!$C$8/AF136)</f>
        <v>4347.431425109593</v>
      </c>
      <c r="AK136" s="191">
        <f t="shared" si="58"/>
        <v>1.7842323651452281</v>
      </c>
      <c r="AL136" s="692">
        <f>IF(AK136="","",AK136*SFAssumptions!$C$3)</f>
        <v>458.03617842323649</v>
      </c>
      <c r="AM136" s="193">
        <f t="shared" si="59"/>
        <v>17.2</v>
      </c>
      <c r="AN136" s="194">
        <f>IF(AM136="","",AM136*SFAssumptions!$C$3)</f>
        <v>4415.4687599999997</v>
      </c>
      <c r="AO136" s="693">
        <f t="shared" si="60"/>
        <v>4</v>
      </c>
      <c r="AP136" s="693">
        <f t="shared" si="61"/>
        <v>2.41</v>
      </c>
      <c r="AQ136" s="692">
        <f ca="1">IF(AL136="","",AL136*SFAssumptions!$C$8/'SavingsData&amp;Analysis'!AF136)</f>
        <v>402.3269742405426</v>
      </c>
      <c r="AR136" s="692">
        <f ca="1">IF(OR(AN136="",AF136=""),"",AN136*SFAssumptions!$C$8/AF136)</f>
        <v>3878.4320316788303</v>
      </c>
      <c r="AS136" s="190" t="str">
        <f>IF(OR(AG136="",AH136=""),"No",IF(AND(G136="Horizontal",AH136&gt;='Eff. Standards &amp; Certifications'!$B$21,AG136&lt;='Eff. Standards &amp; Certifications'!$C$21),"Consider",IF(AND(G136="Vertical",AH136&gt;='Eff. Standards &amp; Certifications'!$B$20,AG136&lt;='Eff. Standards &amp; Certifications'!$C$20),"Consider","No")))</f>
        <v>Consider</v>
      </c>
      <c r="AT136" s="190" t="str">
        <f t="shared" si="46"/>
        <v>Residential</v>
      </c>
      <c r="AU136" s="190"/>
      <c r="AV136" s="190" t="str">
        <f t="shared" si="69"/>
        <v>YES</v>
      </c>
      <c r="AW136" s="190" t="str">
        <f t="shared" si="69"/>
        <v>NO</v>
      </c>
      <c r="AX136" s="190" t="str">
        <f t="shared" si="62"/>
        <v>YES</v>
      </c>
      <c r="AY136" s="190" t="str">
        <f t="shared" si="47"/>
        <v>YES</v>
      </c>
      <c r="AZ136" s="190" t="str">
        <f t="shared" si="47"/>
        <v>NO</v>
      </c>
      <c r="BA136" s="190" t="str">
        <f t="shared" si="63"/>
        <v>YES</v>
      </c>
      <c r="BB136" s="190" t="str">
        <f t="shared" si="48"/>
        <v>NO</v>
      </c>
      <c r="BC136" s="190" t="str">
        <f t="shared" si="49"/>
        <v>NO</v>
      </c>
      <c r="BD136" s="190" t="str">
        <f t="shared" si="64"/>
        <v>NO</v>
      </c>
      <c r="BE136" s="190" t="str">
        <f t="shared" si="50"/>
        <v>NO</v>
      </c>
      <c r="BF136" s="190" t="str">
        <f t="shared" si="51"/>
        <v>NO</v>
      </c>
      <c r="BG136" s="190" t="str">
        <f t="shared" si="52"/>
        <v>NO</v>
      </c>
      <c r="BH136" s="88"/>
      <c r="BI136" s="9"/>
      <c r="BJ136" s="694">
        <f t="shared" si="70"/>
        <v>1.9695999999999998</v>
      </c>
      <c r="BK136" s="694" t="str">
        <f t="shared" si="70"/>
        <v/>
      </c>
      <c r="BL136" s="694">
        <f t="shared" si="71"/>
        <v>4.4836999999999998</v>
      </c>
      <c r="BM136" s="694" t="str">
        <f t="shared" si="71"/>
        <v/>
      </c>
      <c r="BN136" s="88"/>
      <c r="BO136" s="195"/>
      <c r="BP136" s="195"/>
      <c r="BQ136" s="195"/>
      <c r="BR136" s="195"/>
      <c r="BS136" s="195"/>
      <c r="BT136" s="195"/>
      <c r="BU136" s="195"/>
      <c r="BV136" s="195"/>
      <c r="BW136" s="195"/>
      <c r="BX136" s="195"/>
    </row>
    <row r="137" spans="1:76" s="124" customFormat="1" ht="15">
      <c r="A137" s="187">
        <v>6431</v>
      </c>
      <c r="B137" s="187" t="s">
        <v>490</v>
      </c>
      <c r="C137" s="187" t="s">
        <v>459</v>
      </c>
      <c r="D137" s="187" t="s">
        <v>1318</v>
      </c>
      <c r="E137" s="187" t="s">
        <v>392</v>
      </c>
      <c r="F137" s="187" t="s">
        <v>386</v>
      </c>
      <c r="G137" s="187" t="s">
        <v>393</v>
      </c>
      <c r="H137" s="187" t="b">
        <v>0</v>
      </c>
      <c r="I137" s="187" t="s">
        <v>388</v>
      </c>
      <c r="J137" s="187" t="s">
        <v>389</v>
      </c>
      <c r="K137" s="187" t="b">
        <v>1</v>
      </c>
      <c r="L137" s="187">
        <v>5.2</v>
      </c>
      <c r="M137" s="187">
        <v>0.4</v>
      </c>
      <c r="N137" s="187">
        <v>17.920000000000002</v>
      </c>
      <c r="O137" s="187">
        <v>3.5</v>
      </c>
      <c r="P137" s="187">
        <v>13.03</v>
      </c>
      <c r="Q137" s="187"/>
      <c r="R137" s="187"/>
      <c r="S137" s="187"/>
      <c r="T137" s="187"/>
      <c r="U137" s="187">
        <v>32.5</v>
      </c>
      <c r="V137" s="187">
        <v>3.02</v>
      </c>
      <c r="W137" s="188">
        <v>41857</v>
      </c>
      <c r="X137" s="691">
        <f t="shared" si="68"/>
        <v>2.5734999999999997</v>
      </c>
      <c r="Y137" s="691">
        <f t="shared" si="45"/>
        <v>3.9892500000000002</v>
      </c>
      <c r="Z137" s="189"/>
      <c r="AA137" s="190">
        <f t="shared" si="53"/>
        <v>2014</v>
      </c>
      <c r="AB137" s="191">
        <f t="shared" si="54"/>
        <v>2.0205945210802412</v>
      </c>
      <c r="AC137" s="192">
        <f>IF(AB137="","",AB137*SFAssumptions!$C$3)</f>
        <v>518.7134874684283</v>
      </c>
      <c r="AD137" s="193">
        <f t="shared" si="55"/>
        <v>20.744100000000003</v>
      </c>
      <c r="AE137" s="194">
        <f>IF(AD137="","",AD137*SFAssumptions!$C$3)</f>
        <v>5325.286366530001</v>
      </c>
      <c r="AF137" s="192">
        <f t="shared" si="44"/>
        <v>5.2</v>
      </c>
      <c r="AG137" s="192">
        <f t="shared" si="56"/>
        <v>3.9892500000000002</v>
      </c>
      <c r="AH137" s="192">
        <f t="shared" si="57"/>
        <v>2.5734999999999997</v>
      </c>
      <c r="AI137" s="692">
        <f ca="1">IF(AC137="","",AC137*SFAssumptions!$C$8/'SavingsData&amp;Analysis'!AF137)</f>
        <v>376.76627469194011</v>
      </c>
      <c r="AJ137" s="692">
        <f ca="1">IF(OR(AE137="",AF137=""),"",AE137*SFAssumptions!$C$8/AF137)</f>
        <v>3868.0087455936946</v>
      </c>
      <c r="AK137" s="191">
        <f t="shared" si="58"/>
        <v>1.7218543046357617</v>
      </c>
      <c r="AL137" s="692">
        <f>IF(AK137="","",AK137*SFAssumptions!$C$3)</f>
        <v>442.02290066225169</v>
      </c>
      <c r="AM137" s="193">
        <f t="shared" si="59"/>
        <v>18.2</v>
      </c>
      <c r="AN137" s="194">
        <f>IF(AM137="","",AM137*SFAssumptions!$C$3)</f>
        <v>4672.1820600000001</v>
      </c>
      <c r="AO137" s="693">
        <f t="shared" si="60"/>
        <v>3.5</v>
      </c>
      <c r="AP137" s="693">
        <f t="shared" si="61"/>
        <v>3.02</v>
      </c>
      <c r="AQ137" s="692">
        <f ca="1">IF(AL137="","",AL137*SFAssumptions!$C$8/'SavingsData&amp;Analysis'!AF137)</f>
        <v>321.0622542780489</v>
      </c>
      <c r="AR137" s="692">
        <f ca="1">IF(OR(AN137="",AF137=""),"",AN137*SFAssumptions!$C$8/AF137)</f>
        <v>3393.6280277189767</v>
      </c>
      <c r="AS137" s="190" t="str">
        <f>IF(OR(AG137="",AH137=""),"No",IF(AND(G137="Horizontal",AH137&gt;='Eff. Standards &amp; Certifications'!$B$21,AG137&lt;='Eff. Standards &amp; Certifications'!$C$21),"Consider",IF(AND(G137="Vertical",AH137&gt;='Eff. Standards &amp; Certifications'!$B$20,AG137&lt;='Eff. Standards &amp; Certifications'!$C$20),"Consider","No")))</f>
        <v>Consider</v>
      </c>
      <c r="AT137" s="190" t="str">
        <f t="shared" si="46"/>
        <v>Residential</v>
      </c>
      <c r="AU137" s="190"/>
      <c r="AV137" s="190" t="str">
        <f t="shared" si="69"/>
        <v>YES</v>
      </c>
      <c r="AW137" s="190" t="str">
        <f t="shared" si="69"/>
        <v>NO</v>
      </c>
      <c r="AX137" s="190" t="str">
        <f t="shared" si="62"/>
        <v>YES</v>
      </c>
      <c r="AY137" s="190" t="str">
        <f t="shared" si="47"/>
        <v>NO</v>
      </c>
      <c r="AZ137" s="190" t="str">
        <f t="shared" si="47"/>
        <v>NO</v>
      </c>
      <c r="BA137" s="190" t="str">
        <f t="shared" si="63"/>
        <v>NO</v>
      </c>
      <c r="BB137" s="190" t="str">
        <f t="shared" si="48"/>
        <v>YES</v>
      </c>
      <c r="BC137" s="190" t="str">
        <f t="shared" si="49"/>
        <v>NO</v>
      </c>
      <c r="BD137" s="190" t="str">
        <f t="shared" si="64"/>
        <v>YES</v>
      </c>
      <c r="BE137" s="190" t="str">
        <f t="shared" si="50"/>
        <v>NO</v>
      </c>
      <c r="BF137" s="190" t="str">
        <f t="shared" si="51"/>
        <v>NO</v>
      </c>
      <c r="BG137" s="190" t="str">
        <f t="shared" si="52"/>
        <v>NO</v>
      </c>
      <c r="BH137" s="88"/>
      <c r="BI137" s="9"/>
      <c r="BJ137" s="694">
        <f t="shared" si="70"/>
        <v>2.5734999999999997</v>
      </c>
      <c r="BK137" s="694" t="str">
        <f t="shared" si="70"/>
        <v/>
      </c>
      <c r="BL137" s="694">
        <f t="shared" si="71"/>
        <v>3.9892500000000002</v>
      </c>
      <c r="BM137" s="694" t="str">
        <f t="shared" si="71"/>
        <v/>
      </c>
      <c r="BN137" s="88"/>
      <c r="BO137" s="195"/>
      <c r="BP137" s="195"/>
      <c r="BQ137" s="195"/>
      <c r="BR137" s="195"/>
      <c r="BS137" s="195"/>
      <c r="BT137" s="195"/>
      <c r="BU137" s="195"/>
      <c r="BV137" s="195"/>
      <c r="BW137" s="195"/>
      <c r="BX137" s="195"/>
    </row>
    <row r="138" spans="1:76" s="124" customFormat="1" ht="15">
      <c r="A138" s="187">
        <v>5921</v>
      </c>
      <c r="B138" s="187" t="s">
        <v>490</v>
      </c>
      <c r="C138" s="187" t="s">
        <v>459</v>
      </c>
      <c r="D138" s="187" t="s">
        <v>500</v>
      </c>
      <c r="E138" s="187" t="s">
        <v>392</v>
      </c>
      <c r="F138" s="187" t="s">
        <v>386</v>
      </c>
      <c r="G138" s="187" t="s">
        <v>393</v>
      </c>
      <c r="H138" s="187" t="b">
        <v>0</v>
      </c>
      <c r="I138" s="187" t="s">
        <v>388</v>
      </c>
      <c r="J138" s="187" t="s">
        <v>389</v>
      </c>
      <c r="K138" s="187" t="b">
        <v>1</v>
      </c>
      <c r="L138" s="187">
        <v>5</v>
      </c>
      <c r="M138" s="187">
        <v>0.4</v>
      </c>
      <c r="N138" s="187">
        <v>17.5</v>
      </c>
      <c r="O138" s="187">
        <v>3.5</v>
      </c>
      <c r="P138" s="187">
        <v>12.65</v>
      </c>
      <c r="Q138" s="187"/>
      <c r="R138" s="187"/>
      <c r="S138" s="187"/>
      <c r="T138" s="187"/>
      <c r="U138" s="187">
        <v>40</v>
      </c>
      <c r="V138" s="187">
        <v>3</v>
      </c>
      <c r="W138" s="188">
        <v>41499</v>
      </c>
      <c r="X138" s="691">
        <f t="shared" si="68"/>
        <v>2.5536999999999996</v>
      </c>
      <c r="Y138" s="691">
        <f t="shared" si="45"/>
        <v>3.9892500000000002</v>
      </c>
      <c r="Z138" s="189"/>
      <c r="AA138" s="190">
        <f t="shared" si="53"/>
        <v>2013</v>
      </c>
      <c r="AB138" s="191">
        <f t="shared" si="54"/>
        <v>1.9579433762775584</v>
      </c>
      <c r="AC138" s="192">
        <f>IF(AB138="","",AB138*SFAssumptions!$C$3)</f>
        <v>502.63010533735377</v>
      </c>
      <c r="AD138" s="193">
        <f t="shared" si="55"/>
        <v>19.946249999999999</v>
      </c>
      <c r="AE138" s="194">
        <f>IF(AD138="","",AD138*SFAssumptions!$C$3)</f>
        <v>5120.4676601250003</v>
      </c>
      <c r="AF138" s="192">
        <f t="shared" si="44"/>
        <v>5</v>
      </c>
      <c r="AG138" s="192">
        <f t="shared" si="56"/>
        <v>3.9892500000000002</v>
      </c>
      <c r="AH138" s="192">
        <f t="shared" si="57"/>
        <v>2.5536999999999996</v>
      </c>
      <c r="AI138" s="692">
        <f ca="1">IF(AC138="","",AC138*SFAssumptions!$C$8/'SavingsData&amp;Analysis'!AF138)</f>
        <v>379.68751533841407</v>
      </c>
      <c r="AJ138" s="692">
        <f ca="1">IF(OR(AE138="",AF138=""),"",AE138*SFAssumptions!$C$8/AF138)</f>
        <v>3868.0087455936941</v>
      </c>
      <c r="AK138" s="191">
        <f t="shared" si="58"/>
        <v>1.6666666666666667</v>
      </c>
      <c r="AL138" s="692">
        <f>IF(AK138="","",AK138*SFAssumptions!$C$3)</f>
        <v>427.85550000000001</v>
      </c>
      <c r="AM138" s="193">
        <f t="shared" si="59"/>
        <v>17.5</v>
      </c>
      <c r="AN138" s="194">
        <f>IF(AM138="","",AM138*SFAssumptions!$C$3)</f>
        <v>4492.4827500000001</v>
      </c>
      <c r="AO138" s="693">
        <f t="shared" si="60"/>
        <v>3.5</v>
      </c>
      <c r="AP138" s="693">
        <f t="shared" si="61"/>
        <v>3</v>
      </c>
      <c r="AQ138" s="692">
        <f ca="1">IF(AL138="","",AL138*SFAssumptions!$C$8/'SavingsData&amp;Analysis'!AF138)</f>
        <v>323.20266930656919</v>
      </c>
      <c r="AR138" s="692">
        <f ca="1">IF(OR(AN138="",AF138=""),"",AN138*SFAssumptions!$C$8/AF138)</f>
        <v>3393.6280277189771</v>
      </c>
      <c r="AS138" s="190" t="str">
        <f>IF(OR(AG138="",AH138=""),"No",IF(AND(G138="Horizontal",AH138&gt;='Eff. Standards &amp; Certifications'!$B$21,AG138&lt;='Eff. Standards &amp; Certifications'!$C$21),"Consider",IF(AND(G138="Vertical",AH138&gt;='Eff. Standards &amp; Certifications'!$B$20,AG138&lt;='Eff. Standards &amp; Certifications'!$C$20),"Consider","No")))</f>
        <v>Consider</v>
      </c>
      <c r="AT138" s="190" t="str">
        <f t="shared" si="46"/>
        <v>Residential</v>
      </c>
      <c r="AU138" s="190"/>
      <c r="AV138" s="190" t="str">
        <f t="shared" si="69"/>
        <v>YES</v>
      </c>
      <c r="AW138" s="190" t="str">
        <f t="shared" si="69"/>
        <v>NO</v>
      </c>
      <c r="AX138" s="190" t="str">
        <f t="shared" si="62"/>
        <v>YES</v>
      </c>
      <c r="AY138" s="190" t="str">
        <f t="shared" si="47"/>
        <v>NO</v>
      </c>
      <c r="AZ138" s="190" t="str">
        <f t="shared" si="47"/>
        <v>NO</v>
      </c>
      <c r="BA138" s="190" t="str">
        <f t="shared" si="63"/>
        <v>NO</v>
      </c>
      <c r="BB138" s="190" t="str">
        <f t="shared" si="48"/>
        <v>YES</v>
      </c>
      <c r="BC138" s="190" t="str">
        <f t="shared" si="49"/>
        <v>NO</v>
      </c>
      <c r="BD138" s="190" t="str">
        <f t="shared" si="64"/>
        <v>YES</v>
      </c>
      <c r="BE138" s="190" t="str">
        <f t="shared" si="50"/>
        <v>NO</v>
      </c>
      <c r="BF138" s="190" t="str">
        <f t="shared" si="51"/>
        <v>NO</v>
      </c>
      <c r="BG138" s="190" t="str">
        <f t="shared" si="52"/>
        <v>NO</v>
      </c>
      <c r="BH138" s="88"/>
      <c r="BI138" s="9"/>
      <c r="BJ138" s="694">
        <f t="shared" si="70"/>
        <v>2.5536999999999996</v>
      </c>
      <c r="BK138" s="694" t="str">
        <f t="shared" si="70"/>
        <v/>
      </c>
      <c r="BL138" s="694">
        <f t="shared" si="71"/>
        <v>3.9892500000000002</v>
      </c>
      <c r="BM138" s="694" t="str">
        <f t="shared" si="71"/>
        <v/>
      </c>
      <c r="BN138" s="88"/>
      <c r="BO138" s="195"/>
      <c r="BP138" s="195"/>
      <c r="BQ138" s="195"/>
      <c r="BR138" s="195"/>
      <c r="BS138" s="195"/>
      <c r="BT138" s="195"/>
      <c r="BU138" s="195"/>
      <c r="BV138" s="195"/>
      <c r="BW138" s="195"/>
      <c r="BX138" s="195"/>
    </row>
    <row r="139" spans="1:76" s="124" customFormat="1" ht="15">
      <c r="A139" s="187">
        <v>5368</v>
      </c>
      <c r="B139" s="187" t="s">
        <v>490</v>
      </c>
      <c r="C139" s="187" t="s">
        <v>459</v>
      </c>
      <c r="D139" s="187" t="s">
        <v>501</v>
      </c>
      <c r="E139" s="187" t="s">
        <v>392</v>
      </c>
      <c r="F139" s="187" t="s">
        <v>386</v>
      </c>
      <c r="G139" s="187" t="s">
        <v>393</v>
      </c>
      <c r="H139" s="187" t="b">
        <v>0</v>
      </c>
      <c r="I139" s="187" t="s">
        <v>388</v>
      </c>
      <c r="J139" s="187" t="s">
        <v>389</v>
      </c>
      <c r="K139" s="187" t="b">
        <v>1</v>
      </c>
      <c r="L139" s="187">
        <v>4.7</v>
      </c>
      <c r="M139" s="187">
        <v>0.43</v>
      </c>
      <c r="N139" s="187">
        <v>17.190000000000001</v>
      </c>
      <c r="O139" s="187">
        <v>3.7</v>
      </c>
      <c r="P139" s="187">
        <v>11.23</v>
      </c>
      <c r="Q139" s="187"/>
      <c r="R139" s="187"/>
      <c r="S139" s="187"/>
      <c r="T139" s="187"/>
      <c r="U139" s="187">
        <v>33.6</v>
      </c>
      <c r="V139" s="187">
        <v>2.75</v>
      </c>
      <c r="W139" s="188">
        <v>41010</v>
      </c>
      <c r="X139" s="691">
        <f t="shared" si="68"/>
        <v>2.3062</v>
      </c>
      <c r="Y139" s="691">
        <f t="shared" si="45"/>
        <v>4.18703</v>
      </c>
      <c r="Z139" s="189"/>
      <c r="AA139" s="190">
        <f t="shared" si="53"/>
        <v>2012</v>
      </c>
      <c r="AB139" s="191">
        <f t="shared" si="54"/>
        <v>2.037984563350967</v>
      </c>
      <c r="AC139" s="192">
        <f>IF(AB139="","",AB139*SFAssumptions!$C$3)</f>
        <v>523.17774260688577</v>
      </c>
      <c r="AD139" s="193">
        <f t="shared" si="55"/>
        <v>19.679041000000002</v>
      </c>
      <c r="AE139" s="194">
        <f>IF(AD139="","",AD139*SFAssumptions!$C$3)</f>
        <v>5051.8715559453003</v>
      </c>
      <c r="AF139" s="192">
        <f t="shared" si="44"/>
        <v>4.7</v>
      </c>
      <c r="AG139" s="192">
        <f t="shared" si="56"/>
        <v>4.18703</v>
      </c>
      <c r="AH139" s="192">
        <f t="shared" si="57"/>
        <v>2.3062</v>
      </c>
      <c r="AI139" s="692">
        <f ca="1">IF(AC139="","",AC139*SFAssumptions!$C$8/'SavingsData&amp;Analysis'!AF139)</f>
        <v>420.43535162592474</v>
      </c>
      <c r="AJ139" s="692">
        <f ca="1">IF(OR(AE139="",AF139=""),"",AE139*SFAssumptions!$C$8/AF139)</f>
        <v>4059.7778174000537</v>
      </c>
      <c r="AK139" s="191">
        <f t="shared" si="58"/>
        <v>1.7090909090909092</v>
      </c>
      <c r="AL139" s="692">
        <f>IF(AK139="","",AK139*SFAssumptions!$C$3)</f>
        <v>438.7463672727273</v>
      </c>
      <c r="AM139" s="193">
        <f t="shared" si="59"/>
        <v>17.39</v>
      </c>
      <c r="AN139" s="194">
        <f>IF(AM139="","",AM139*SFAssumptions!$C$3)</f>
        <v>4464.2442870000004</v>
      </c>
      <c r="AO139" s="693">
        <f t="shared" si="60"/>
        <v>3.7</v>
      </c>
      <c r="AP139" s="693">
        <f t="shared" si="61"/>
        <v>2.75</v>
      </c>
      <c r="AQ139" s="692">
        <f ca="1">IF(AL139="","",AL139*SFAssumptions!$C$8/'SavingsData&amp;Analysis'!AF139)</f>
        <v>352.58473015262098</v>
      </c>
      <c r="AR139" s="692">
        <f ca="1">IF(OR(AN139="",AF139=""),"",AN139*SFAssumptions!$C$8/AF139)</f>
        <v>3587.5496293029187</v>
      </c>
      <c r="AS139" s="190" t="str">
        <f>IF(OR(AG139="",AH139=""),"No",IF(AND(G139="Horizontal",AH139&gt;='Eff. Standards &amp; Certifications'!$B$21,AG139&lt;='Eff. Standards &amp; Certifications'!$C$21),"Consider",IF(AND(G139="Vertical",AH139&gt;='Eff. Standards &amp; Certifications'!$B$20,AG139&lt;='Eff. Standards &amp; Certifications'!$C$20),"Consider","No")))</f>
        <v>Consider</v>
      </c>
      <c r="AT139" s="190" t="str">
        <f t="shared" si="46"/>
        <v>Residential</v>
      </c>
      <c r="AU139" s="190"/>
      <c r="AV139" s="190" t="str">
        <f t="shared" si="69"/>
        <v>YES</v>
      </c>
      <c r="AW139" s="190" t="str">
        <f t="shared" si="69"/>
        <v>NO</v>
      </c>
      <c r="AX139" s="190" t="str">
        <f t="shared" si="62"/>
        <v>YES</v>
      </c>
      <c r="AY139" s="190" t="str">
        <f t="shared" si="47"/>
        <v>NO</v>
      </c>
      <c r="AZ139" s="190" t="str">
        <f t="shared" si="47"/>
        <v>NO</v>
      </c>
      <c r="BA139" s="190" t="str">
        <f t="shared" si="63"/>
        <v>NO</v>
      </c>
      <c r="BB139" s="190" t="str">
        <f t="shared" si="48"/>
        <v>YES</v>
      </c>
      <c r="BC139" s="190" t="str">
        <f t="shared" si="49"/>
        <v>NO</v>
      </c>
      <c r="BD139" s="190" t="str">
        <f t="shared" si="64"/>
        <v>YES</v>
      </c>
      <c r="BE139" s="190" t="str">
        <f t="shared" si="50"/>
        <v>NO</v>
      </c>
      <c r="BF139" s="190" t="str">
        <f t="shared" si="51"/>
        <v>NO</v>
      </c>
      <c r="BG139" s="190" t="str">
        <f t="shared" si="52"/>
        <v>NO</v>
      </c>
      <c r="BH139" s="88"/>
      <c r="BI139" s="9"/>
      <c r="BJ139" s="694">
        <f t="shared" si="70"/>
        <v>2.3062</v>
      </c>
      <c r="BK139" s="694" t="str">
        <f t="shared" si="70"/>
        <v/>
      </c>
      <c r="BL139" s="694">
        <f t="shared" si="71"/>
        <v>4.18703</v>
      </c>
      <c r="BM139" s="694" t="str">
        <f t="shared" si="71"/>
        <v/>
      </c>
      <c r="BN139" s="88"/>
      <c r="BO139" s="195"/>
      <c r="BP139" s="195"/>
      <c r="BQ139" s="195"/>
      <c r="BR139" s="195"/>
      <c r="BS139" s="195"/>
      <c r="BT139" s="195"/>
      <c r="BU139" s="195"/>
      <c r="BV139" s="195"/>
      <c r="BW139" s="195"/>
      <c r="BX139" s="195"/>
    </row>
    <row r="140" spans="1:76" s="124" customFormat="1" ht="15">
      <c r="A140" s="187">
        <v>4823</v>
      </c>
      <c r="B140" s="187" t="s">
        <v>490</v>
      </c>
      <c r="C140" s="187" t="s">
        <v>459</v>
      </c>
      <c r="D140" s="187" t="s">
        <v>502</v>
      </c>
      <c r="E140" s="187" t="s">
        <v>385</v>
      </c>
      <c r="F140" s="187" t="s">
        <v>386</v>
      </c>
      <c r="G140" s="187" t="s">
        <v>387</v>
      </c>
      <c r="H140" s="187" t="b">
        <v>0</v>
      </c>
      <c r="I140" s="187" t="s">
        <v>388</v>
      </c>
      <c r="J140" s="187" t="s">
        <v>389</v>
      </c>
      <c r="K140" s="187" t="b">
        <v>1</v>
      </c>
      <c r="L140" s="187">
        <v>3.5</v>
      </c>
      <c r="M140" s="187">
        <v>0.32</v>
      </c>
      <c r="N140" s="187">
        <v>12.67</v>
      </c>
      <c r="O140" s="187">
        <v>3.6</v>
      </c>
      <c r="P140" s="187">
        <v>10.95</v>
      </c>
      <c r="Q140" s="187"/>
      <c r="R140" s="187"/>
      <c r="S140" s="187"/>
      <c r="T140" s="187"/>
      <c r="U140" s="187">
        <v>34.1</v>
      </c>
      <c r="V140" s="187">
        <v>2.75</v>
      </c>
      <c r="W140" s="188">
        <v>40626</v>
      </c>
      <c r="X140" s="691">
        <f t="shared" si="68"/>
        <v>2.3415749999999997</v>
      </c>
      <c r="Y140" s="691">
        <f t="shared" si="45"/>
        <v>3.8043200000000001</v>
      </c>
      <c r="Z140" s="189"/>
      <c r="AA140" s="190">
        <f t="shared" si="53"/>
        <v>2011</v>
      </c>
      <c r="AB140" s="191">
        <f t="shared" si="54"/>
        <v>1.494720433895989</v>
      </c>
      <c r="AC140" s="192">
        <f>IF(AB140="","",AB140*SFAssumptions!$C$3)</f>
        <v>383.71461516287121</v>
      </c>
      <c r="AD140" s="193">
        <f t="shared" si="55"/>
        <v>13.31512</v>
      </c>
      <c r="AE140" s="194">
        <f>IF(AD140="","",AD140*SFAssumptions!$C$3)</f>
        <v>3418.168395096</v>
      </c>
      <c r="AF140" s="192">
        <f t="shared" si="44"/>
        <v>3.5</v>
      </c>
      <c r="AG140" s="192">
        <f t="shared" si="56"/>
        <v>3.8043200000000001</v>
      </c>
      <c r="AH140" s="192">
        <f t="shared" si="57"/>
        <v>2.3415749999999997</v>
      </c>
      <c r="AI140" s="692">
        <f ca="1">IF(AC140="","",AC140*SFAssumptions!$C$8/'SavingsData&amp;Analysis'!AF140)</f>
        <v>414.08368637336315</v>
      </c>
      <c r="AJ140" s="692">
        <f ca="1">IF(OR(AE140="",AF140=""),"",AE140*SFAssumptions!$C$8/AF140)</f>
        <v>3688.699136689102</v>
      </c>
      <c r="AK140" s="191">
        <f t="shared" si="58"/>
        <v>1.2727272727272727</v>
      </c>
      <c r="AL140" s="692">
        <f>IF(AK140="","",AK140*SFAssumptions!$C$3)</f>
        <v>326.72601818181818</v>
      </c>
      <c r="AM140" s="193">
        <f t="shared" si="59"/>
        <v>12.6</v>
      </c>
      <c r="AN140" s="194">
        <f>IF(AM140="","",AM140*SFAssumptions!$C$3)</f>
        <v>3234.5875799999999</v>
      </c>
      <c r="AO140" s="693">
        <f t="shared" si="60"/>
        <v>3.6</v>
      </c>
      <c r="AP140" s="693">
        <f t="shared" si="61"/>
        <v>2.75</v>
      </c>
      <c r="AQ140" s="692">
        <f ca="1">IF(AL140="","",AL140*SFAssumptions!$C$8/'SavingsData&amp;Analysis'!AF140)</f>
        <v>352.58473015262098</v>
      </c>
      <c r="AR140" s="692">
        <f ca="1">IF(OR(AN140="",AF140=""),"",AN140*SFAssumptions!$C$8/AF140)</f>
        <v>3490.5888285109472</v>
      </c>
      <c r="AS140" s="190" t="str">
        <f>IF(OR(AG140="",AH140=""),"No",IF(AND(G140="Horizontal",AH140&gt;='Eff. Standards &amp; Certifications'!$B$21,AG140&lt;='Eff. Standards &amp; Certifications'!$C$21),"Consider",IF(AND(G140="Vertical",AH140&gt;='Eff. Standards &amp; Certifications'!$B$20,AG140&lt;='Eff. Standards &amp; Certifications'!$C$20),"Consider","No")))</f>
        <v>Consider</v>
      </c>
      <c r="AT140" s="190" t="str">
        <f t="shared" si="46"/>
        <v>Residential</v>
      </c>
      <c r="AU140" s="190"/>
      <c r="AV140" s="190" t="str">
        <f t="shared" si="69"/>
        <v>NO</v>
      </c>
      <c r="AW140" s="190" t="str">
        <f t="shared" si="69"/>
        <v>YES</v>
      </c>
      <c r="AX140" s="190" t="str">
        <f t="shared" si="62"/>
        <v>YES</v>
      </c>
      <c r="AY140" s="190" t="str">
        <f t="shared" si="47"/>
        <v>NO</v>
      </c>
      <c r="AZ140" s="190" t="str">
        <f t="shared" si="47"/>
        <v>YES</v>
      </c>
      <c r="BA140" s="190" t="str">
        <f t="shared" si="63"/>
        <v>YES</v>
      </c>
      <c r="BB140" s="190" t="str">
        <f t="shared" si="48"/>
        <v>NO</v>
      </c>
      <c r="BC140" s="190" t="str">
        <f t="shared" si="49"/>
        <v>NO</v>
      </c>
      <c r="BD140" s="190" t="str">
        <f t="shared" si="64"/>
        <v>NO</v>
      </c>
      <c r="BE140" s="190" t="str">
        <f t="shared" si="50"/>
        <v>NO</v>
      </c>
      <c r="BF140" s="190" t="str">
        <f t="shared" si="51"/>
        <v>NO</v>
      </c>
      <c r="BG140" s="190" t="str">
        <f t="shared" si="52"/>
        <v>NO</v>
      </c>
      <c r="BH140" s="88"/>
      <c r="BI140" s="9"/>
      <c r="BJ140" s="694" t="str">
        <f t="shared" si="70"/>
        <v/>
      </c>
      <c r="BK140" s="694">
        <f t="shared" si="70"/>
        <v>2.3415749999999997</v>
      </c>
      <c r="BL140" s="694" t="str">
        <f t="shared" si="71"/>
        <v/>
      </c>
      <c r="BM140" s="694">
        <f t="shared" si="71"/>
        <v>3.8043200000000001</v>
      </c>
      <c r="BN140" s="88"/>
      <c r="BO140" s="195"/>
      <c r="BP140" s="195"/>
      <c r="BQ140" s="195"/>
      <c r="BR140" s="195"/>
      <c r="BS140" s="195"/>
      <c r="BT140" s="195"/>
      <c r="BU140" s="195"/>
      <c r="BV140" s="195"/>
      <c r="BW140" s="195"/>
      <c r="BX140" s="195"/>
    </row>
    <row r="141" spans="1:76" s="124" customFormat="1" ht="15">
      <c r="A141" s="187">
        <v>502</v>
      </c>
      <c r="B141" s="187" t="s">
        <v>490</v>
      </c>
      <c r="C141" s="187" t="s">
        <v>459</v>
      </c>
      <c r="D141" s="187" t="s">
        <v>503</v>
      </c>
      <c r="E141" s="187" t="s">
        <v>385</v>
      </c>
      <c r="F141" s="187" t="s">
        <v>386</v>
      </c>
      <c r="G141" s="187" t="s">
        <v>387</v>
      </c>
      <c r="H141" s="187" t="b">
        <v>0</v>
      </c>
      <c r="I141" s="187" t="s">
        <v>388</v>
      </c>
      <c r="J141" s="187" t="s">
        <v>389</v>
      </c>
      <c r="K141" s="187" t="b">
        <v>1</v>
      </c>
      <c r="L141" s="187">
        <v>3.5</v>
      </c>
      <c r="M141" s="187">
        <v>0.32</v>
      </c>
      <c r="N141" s="187">
        <v>12.11</v>
      </c>
      <c r="O141" s="187">
        <v>3.4</v>
      </c>
      <c r="P141" s="187">
        <v>11.01</v>
      </c>
      <c r="Q141" s="187"/>
      <c r="R141" s="187"/>
      <c r="S141" s="187"/>
      <c r="T141" s="187"/>
      <c r="U141" s="187">
        <v>33.9</v>
      </c>
      <c r="V141" s="187">
        <v>2.77</v>
      </c>
      <c r="W141" s="188">
        <v>40078</v>
      </c>
      <c r="X141" s="691">
        <f t="shared" si="68"/>
        <v>2.3598650000000001</v>
      </c>
      <c r="Y141" s="691">
        <f t="shared" si="45"/>
        <v>3.5994799999999998</v>
      </c>
      <c r="Z141" s="189"/>
      <c r="AA141" s="190">
        <f t="shared" si="53"/>
        <v>2009</v>
      </c>
      <c r="AB141" s="191">
        <f t="shared" si="54"/>
        <v>1.4831356878465505</v>
      </c>
      <c r="AC141" s="192">
        <f>IF(AB141="","",AB141*SFAssumptions!$C$3)</f>
        <v>380.74065677485788</v>
      </c>
      <c r="AD141" s="193">
        <f t="shared" si="55"/>
        <v>12.598179999999999</v>
      </c>
      <c r="AE141" s="194">
        <f>IF(AD141="","",AD141*SFAssumptions!$C$3)</f>
        <v>3234.120361794</v>
      </c>
      <c r="AF141" s="192">
        <f t="shared" si="44"/>
        <v>3.5</v>
      </c>
      <c r="AG141" s="192">
        <f t="shared" si="56"/>
        <v>3.5994799999999998</v>
      </c>
      <c r="AH141" s="192">
        <f t="shared" si="57"/>
        <v>2.3598650000000001</v>
      </c>
      <c r="AI141" s="692">
        <f ca="1">IF(AC141="","",AC141*SFAssumptions!$C$8/'SavingsData&amp;Analysis'!AF141)</f>
        <v>410.87435421929121</v>
      </c>
      <c r="AJ141" s="692">
        <f ca="1">IF(OR(AE141="",AF141=""),"",AE141*SFAssumptions!$C$8/AF141)</f>
        <v>3490.0846323468295</v>
      </c>
      <c r="AK141" s="191">
        <f t="shared" si="58"/>
        <v>1.2635379061371841</v>
      </c>
      <c r="AL141" s="692">
        <f>IF(AK141="","",AK141*SFAssumptions!$C$3)</f>
        <v>324.36698555956679</v>
      </c>
      <c r="AM141" s="193">
        <f t="shared" si="59"/>
        <v>11.9</v>
      </c>
      <c r="AN141" s="194">
        <f>IF(AM141="","",AM141*SFAssumptions!$C$3)</f>
        <v>3054.8882699999999</v>
      </c>
      <c r="AO141" s="693">
        <f t="shared" si="60"/>
        <v>3.4</v>
      </c>
      <c r="AP141" s="693">
        <f t="shared" si="61"/>
        <v>2.77</v>
      </c>
      <c r="AQ141" s="692">
        <f ca="1">IF(AL141="","",AL141*SFAssumptions!$C$8/'SavingsData&amp;Analysis'!AF141)</f>
        <v>350.03899202877534</v>
      </c>
      <c r="AR141" s="692">
        <f ca="1">IF(OR(AN141="",AF141=""),"",AN141*SFAssumptions!$C$8/AF141)</f>
        <v>3296.6672269270061</v>
      </c>
      <c r="AS141" s="190" t="str">
        <f>IF(OR(AG141="",AH141=""),"No",IF(AND(G141="Horizontal",AH141&gt;='Eff. Standards &amp; Certifications'!$B$21,AG141&lt;='Eff. Standards &amp; Certifications'!$C$21),"Consider",IF(AND(G141="Vertical",AH141&gt;='Eff. Standards &amp; Certifications'!$B$20,AG141&lt;='Eff. Standards &amp; Certifications'!$C$20),"Consider","No")))</f>
        <v>Consider</v>
      </c>
      <c r="AT141" s="190" t="str">
        <f t="shared" si="46"/>
        <v>Residential</v>
      </c>
      <c r="AU141" s="190"/>
      <c r="AV141" s="190" t="str">
        <f t="shared" si="69"/>
        <v>NO</v>
      </c>
      <c r="AW141" s="190" t="str">
        <f t="shared" si="69"/>
        <v>YES</v>
      </c>
      <c r="AX141" s="190" t="str">
        <f t="shared" si="62"/>
        <v>YES</v>
      </c>
      <c r="AY141" s="190" t="str">
        <f t="shared" si="47"/>
        <v>NO</v>
      </c>
      <c r="AZ141" s="190" t="str">
        <f t="shared" si="47"/>
        <v>YES</v>
      </c>
      <c r="BA141" s="190" t="str">
        <f t="shared" si="63"/>
        <v>YES</v>
      </c>
      <c r="BB141" s="190" t="str">
        <f t="shared" si="48"/>
        <v>NO</v>
      </c>
      <c r="BC141" s="190" t="str">
        <f t="shared" si="49"/>
        <v>NO</v>
      </c>
      <c r="BD141" s="190" t="str">
        <f t="shared" si="64"/>
        <v>NO</v>
      </c>
      <c r="BE141" s="190" t="str">
        <f t="shared" si="50"/>
        <v>NO</v>
      </c>
      <c r="BF141" s="190" t="str">
        <f t="shared" si="51"/>
        <v>NO</v>
      </c>
      <c r="BG141" s="190" t="str">
        <f t="shared" si="52"/>
        <v>NO</v>
      </c>
      <c r="BH141" s="88"/>
      <c r="BI141" s="9"/>
      <c r="BJ141" s="694" t="str">
        <f t="shared" si="70"/>
        <v/>
      </c>
      <c r="BK141" s="694">
        <f t="shared" si="70"/>
        <v>2.3598650000000001</v>
      </c>
      <c r="BL141" s="694" t="str">
        <f t="shared" si="71"/>
        <v/>
      </c>
      <c r="BM141" s="694">
        <f t="shared" si="71"/>
        <v>3.5994799999999998</v>
      </c>
      <c r="BN141" s="88"/>
      <c r="BO141" s="195"/>
      <c r="BP141" s="195"/>
      <c r="BQ141" s="195"/>
      <c r="BR141" s="195"/>
      <c r="BS141" s="195"/>
      <c r="BT141" s="195"/>
      <c r="BU141" s="195"/>
      <c r="BV141" s="195"/>
      <c r="BW141" s="195"/>
      <c r="BX141" s="195"/>
    </row>
    <row r="142" spans="1:76" s="124" customFormat="1" ht="15">
      <c r="A142" s="187">
        <v>503</v>
      </c>
      <c r="B142" s="187" t="s">
        <v>490</v>
      </c>
      <c r="C142" s="187" t="s">
        <v>459</v>
      </c>
      <c r="D142" s="187" t="s">
        <v>504</v>
      </c>
      <c r="E142" s="187" t="s">
        <v>385</v>
      </c>
      <c r="F142" s="187" t="s">
        <v>386</v>
      </c>
      <c r="G142" s="187" t="s">
        <v>387</v>
      </c>
      <c r="H142" s="187" t="b">
        <v>0</v>
      </c>
      <c r="I142" s="187" t="s">
        <v>388</v>
      </c>
      <c r="J142" s="187" t="s">
        <v>389</v>
      </c>
      <c r="K142" s="187" t="b">
        <v>1</v>
      </c>
      <c r="L142" s="187">
        <v>3.6</v>
      </c>
      <c r="M142" s="187">
        <v>0.3</v>
      </c>
      <c r="N142" s="187">
        <v>12.34</v>
      </c>
      <c r="O142" s="187">
        <v>3.4</v>
      </c>
      <c r="P142" s="187">
        <v>11.91</v>
      </c>
      <c r="Q142" s="187"/>
      <c r="R142" s="187"/>
      <c r="S142" s="187"/>
      <c r="T142" s="187"/>
      <c r="U142" s="187">
        <v>33.200000000000003</v>
      </c>
      <c r="V142" s="187">
        <v>2.88</v>
      </c>
      <c r="W142" s="188">
        <v>40078</v>
      </c>
      <c r="X142" s="691">
        <f t="shared" si="68"/>
        <v>2.4604599999999994</v>
      </c>
      <c r="Y142" s="691">
        <f t="shared" si="45"/>
        <v>3.5994799999999998</v>
      </c>
      <c r="Z142" s="189"/>
      <c r="AA142" s="190">
        <f t="shared" si="53"/>
        <v>2009</v>
      </c>
      <c r="AB142" s="191">
        <f t="shared" si="54"/>
        <v>1.4631410386675665</v>
      </c>
      <c r="AC142" s="192">
        <f>IF(AB142="","",AB142*SFAssumptions!$C$3)</f>
        <v>375.60776440177858</v>
      </c>
      <c r="AD142" s="193">
        <f t="shared" si="55"/>
        <v>12.958128</v>
      </c>
      <c r="AE142" s="194">
        <f>IF(AD142="","",AD142*SFAssumptions!$C$3)</f>
        <v>3326.5238007024</v>
      </c>
      <c r="AF142" s="192">
        <f t="shared" si="44"/>
        <v>3.6</v>
      </c>
      <c r="AG142" s="192">
        <f t="shared" si="56"/>
        <v>3.5994799999999998</v>
      </c>
      <c r="AH142" s="192">
        <f t="shared" si="57"/>
        <v>2.4604599999999994</v>
      </c>
      <c r="AI142" s="692">
        <f ca="1">IF(AC142="","",AC142*SFAssumptions!$C$8/'SavingsData&amp;Analysis'!AF142)</f>
        <v>394.07590772445309</v>
      </c>
      <c r="AJ142" s="692">
        <f ca="1">IF(OR(AE142="",AF142=""),"",AE142*SFAssumptions!$C$8/AF142)</f>
        <v>3490.0846323468295</v>
      </c>
      <c r="AK142" s="191">
        <f t="shared" si="58"/>
        <v>1.25</v>
      </c>
      <c r="AL142" s="692">
        <f>IF(AK142="","",AK142*SFAssumptions!$C$3)</f>
        <v>320.89162499999998</v>
      </c>
      <c r="AM142" s="193">
        <f t="shared" si="59"/>
        <v>12.24</v>
      </c>
      <c r="AN142" s="194">
        <f>IF(AM142="","",AM142*SFAssumptions!$C$3)</f>
        <v>3142.1707919999999</v>
      </c>
      <c r="AO142" s="693">
        <f t="shared" si="60"/>
        <v>3.4</v>
      </c>
      <c r="AP142" s="693">
        <f t="shared" si="61"/>
        <v>2.88</v>
      </c>
      <c r="AQ142" s="692">
        <f ca="1">IF(AL142="","",AL142*SFAssumptions!$C$8/'SavingsData&amp;Analysis'!AF142)</f>
        <v>336.66944719434292</v>
      </c>
      <c r="AR142" s="692">
        <f ca="1">IF(OR(AN142="",AF142=""),"",AN142*SFAssumptions!$C$8/AF142)</f>
        <v>3296.6672269270061</v>
      </c>
      <c r="AS142" s="190" t="str">
        <f>IF(OR(AG142="",AH142=""),"No",IF(AND(G142="Horizontal",AH142&gt;='Eff. Standards &amp; Certifications'!$B$21,AG142&lt;='Eff. Standards &amp; Certifications'!$C$21),"Consider",IF(AND(G142="Vertical",AH142&gt;='Eff. Standards &amp; Certifications'!$B$20,AG142&lt;='Eff. Standards &amp; Certifications'!$C$20),"Consider","No")))</f>
        <v>Consider</v>
      </c>
      <c r="AT142" s="190" t="str">
        <f t="shared" si="46"/>
        <v>Residential</v>
      </c>
      <c r="AU142" s="190"/>
      <c r="AV142" s="190" t="str">
        <f t="shared" si="69"/>
        <v>NO</v>
      </c>
      <c r="AW142" s="190" t="str">
        <f t="shared" si="69"/>
        <v>YES</v>
      </c>
      <c r="AX142" s="190" t="str">
        <f t="shared" si="62"/>
        <v>YES</v>
      </c>
      <c r="AY142" s="190" t="str">
        <f t="shared" si="47"/>
        <v>NO</v>
      </c>
      <c r="AZ142" s="190" t="str">
        <f t="shared" si="47"/>
        <v>NO</v>
      </c>
      <c r="BA142" s="190" t="str">
        <f t="shared" si="63"/>
        <v>NO</v>
      </c>
      <c r="BB142" s="190" t="str">
        <f t="shared" si="48"/>
        <v>NO</v>
      </c>
      <c r="BC142" s="190" t="str">
        <f t="shared" si="49"/>
        <v>YES</v>
      </c>
      <c r="BD142" s="190" t="str">
        <f t="shared" si="64"/>
        <v>YES</v>
      </c>
      <c r="BE142" s="190" t="str">
        <f t="shared" si="50"/>
        <v>YES</v>
      </c>
      <c r="BF142" s="190" t="str">
        <f t="shared" si="51"/>
        <v>NO</v>
      </c>
      <c r="BG142" s="190" t="str">
        <f t="shared" si="52"/>
        <v>NO</v>
      </c>
      <c r="BH142" s="88"/>
      <c r="BI142" s="9"/>
      <c r="BJ142" s="694" t="str">
        <f t="shared" si="70"/>
        <v/>
      </c>
      <c r="BK142" s="694">
        <f t="shared" si="70"/>
        <v>2.4604599999999994</v>
      </c>
      <c r="BL142" s="694" t="str">
        <f t="shared" si="71"/>
        <v/>
      </c>
      <c r="BM142" s="694">
        <f t="shared" si="71"/>
        <v>3.5994799999999998</v>
      </c>
      <c r="BN142" s="88"/>
      <c r="BO142" s="195"/>
      <c r="BP142" s="195"/>
      <c r="BQ142" s="195"/>
      <c r="BR142" s="195"/>
      <c r="BS142" s="195"/>
      <c r="BT142" s="195"/>
      <c r="BU142" s="195"/>
      <c r="BV142" s="195"/>
      <c r="BW142" s="195"/>
      <c r="BX142" s="195"/>
    </row>
    <row r="143" spans="1:76" s="124" customFormat="1" ht="15">
      <c r="A143" s="187">
        <v>5714</v>
      </c>
      <c r="B143" s="187" t="s">
        <v>490</v>
      </c>
      <c r="C143" s="187" t="s">
        <v>459</v>
      </c>
      <c r="D143" s="187" t="s">
        <v>505</v>
      </c>
      <c r="E143" s="187" t="s">
        <v>385</v>
      </c>
      <c r="F143" s="187" t="s">
        <v>386</v>
      </c>
      <c r="G143" s="187" t="s">
        <v>387</v>
      </c>
      <c r="H143" s="187" t="b">
        <v>0</v>
      </c>
      <c r="I143" s="187" t="s">
        <v>388</v>
      </c>
      <c r="J143" s="187" t="s">
        <v>389</v>
      </c>
      <c r="K143" s="187" t="b">
        <v>1</v>
      </c>
      <c r="L143" s="187">
        <v>5.2</v>
      </c>
      <c r="M143" s="187">
        <v>0.34</v>
      </c>
      <c r="N143" s="187">
        <v>15.22</v>
      </c>
      <c r="O143" s="187">
        <v>3</v>
      </c>
      <c r="P143" s="187">
        <v>14.98</v>
      </c>
      <c r="Q143" s="187"/>
      <c r="R143" s="187"/>
      <c r="S143" s="187"/>
      <c r="T143" s="187"/>
      <c r="U143" s="187">
        <v>27.1</v>
      </c>
      <c r="V143" s="187">
        <v>3.45</v>
      </c>
      <c r="W143" s="188">
        <v>41330</v>
      </c>
      <c r="X143" s="691">
        <f t="shared" si="68"/>
        <v>2.981725</v>
      </c>
      <c r="Y143" s="691">
        <f t="shared" si="45"/>
        <v>3.1898</v>
      </c>
      <c r="Z143" s="189"/>
      <c r="AA143" s="190">
        <f t="shared" si="53"/>
        <v>2013</v>
      </c>
      <c r="AB143" s="191">
        <f t="shared" si="54"/>
        <v>1.7439569376786928</v>
      </c>
      <c r="AC143" s="192">
        <f>IF(AB143="","",AB143*SFAssumptions!$C$3)</f>
        <v>447.69694052939155</v>
      </c>
      <c r="AD143" s="193">
        <f t="shared" si="55"/>
        <v>16.586960000000001</v>
      </c>
      <c r="AE143" s="194">
        <f>IF(AD143="","",AD143*SFAssumptions!$C$3)</f>
        <v>4258.0932385680007</v>
      </c>
      <c r="AF143" s="192">
        <f t="shared" si="44"/>
        <v>5.2</v>
      </c>
      <c r="AG143" s="192">
        <f t="shared" si="56"/>
        <v>3.1898</v>
      </c>
      <c r="AH143" s="192">
        <f t="shared" si="57"/>
        <v>2.981725</v>
      </c>
      <c r="AI143" s="692">
        <f ca="1">IF(AC143="","",AC143*SFAssumptions!$C$8/'SavingsData&amp;Analysis'!AF143)</f>
        <v>325.18357927699827</v>
      </c>
      <c r="AJ143" s="692">
        <f ca="1">IF(OR(AE143="",AF143=""),"",AE143*SFAssumptions!$C$8/AF143)</f>
        <v>3092.855623662284</v>
      </c>
      <c r="AK143" s="191">
        <f t="shared" si="58"/>
        <v>1.5072463768115942</v>
      </c>
      <c r="AL143" s="692">
        <f>IF(AK143="","",AK143*SFAssumptions!$C$3)</f>
        <v>386.93019130434783</v>
      </c>
      <c r="AM143" s="193">
        <f t="shared" si="59"/>
        <v>15.600000000000001</v>
      </c>
      <c r="AN143" s="194">
        <f>IF(AM143="","",AM143*SFAssumptions!$C$3)</f>
        <v>4004.7274800000005</v>
      </c>
      <c r="AO143" s="693">
        <f t="shared" si="60"/>
        <v>3</v>
      </c>
      <c r="AP143" s="693">
        <f t="shared" si="61"/>
        <v>3.45</v>
      </c>
      <c r="AQ143" s="692">
        <f ca="1">IF(AL143="","",AL143*SFAssumptions!$C$8/'SavingsData&amp;Analysis'!AF143)</f>
        <v>281.04579939701671</v>
      </c>
      <c r="AR143" s="692">
        <f ca="1">IF(OR(AN143="",AF143=""),"",AN143*SFAssumptions!$C$8/AF143)</f>
        <v>2908.8240237591231</v>
      </c>
      <c r="AS143" s="190" t="str">
        <f>IF(OR(AG143="",AH143=""),"No",IF(AND(G143="Horizontal",AH143&gt;='Eff. Standards &amp; Certifications'!$B$21,AG143&lt;='Eff. Standards &amp; Certifications'!$C$21),"Consider",IF(AND(G143="Vertical",AH143&gt;='Eff. Standards &amp; Certifications'!$B$20,AG143&lt;='Eff. Standards &amp; Certifications'!$C$20),"Consider","No")))</f>
        <v>Consider</v>
      </c>
      <c r="AT143" s="190" t="str">
        <f t="shared" si="46"/>
        <v>Residential</v>
      </c>
      <c r="AU143" s="190"/>
      <c r="AV143" s="190" t="str">
        <f t="shared" ref="AV143:AW162" si="72">IF(AND($G143=AV$18,$AS143="Consider",$AT143="Residential",$AH143&gt;=AV$3,$AH143&lt;=AV$4,$AG143&gt;=AV$5,$AG143&lt;=AV$6),"YES","NO")</f>
        <v>NO</v>
      </c>
      <c r="AW143" s="190" t="str">
        <f t="shared" si="72"/>
        <v>YES</v>
      </c>
      <c r="AX143" s="190" t="str">
        <f t="shared" si="62"/>
        <v>YES</v>
      </c>
      <c r="AY143" s="190" t="str">
        <f t="shared" si="47"/>
        <v>NO</v>
      </c>
      <c r="AZ143" s="190" t="str">
        <f t="shared" si="47"/>
        <v>NO</v>
      </c>
      <c r="BA143" s="190" t="str">
        <f t="shared" si="63"/>
        <v>NO</v>
      </c>
      <c r="BB143" s="190" t="str">
        <f t="shared" si="48"/>
        <v>NO</v>
      </c>
      <c r="BC143" s="190" t="str">
        <f t="shared" si="49"/>
        <v>YES</v>
      </c>
      <c r="BD143" s="190" t="str">
        <f t="shared" si="64"/>
        <v>YES</v>
      </c>
      <c r="BE143" s="190" t="str">
        <f t="shared" si="50"/>
        <v>NO</v>
      </c>
      <c r="BF143" s="190" t="str">
        <f t="shared" si="51"/>
        <v>NO</v>
      </c>
      <c r="BG143" s="190" t="str">
        <f t="shared" si="52"/>
        <v>YES</v>
      </c>
      <c r="BH143" s="88"/>
      <c r="BI143" s="9"/>
      <c r="BJ143" s="694" t="str">
        <f t="shared" ref="BJ143:BK162" si="73">IF(AND($G143=BJ$21,$AT143="Residential",$AS143="Consider"),$X143,"")</f>
        <v/>
      </c>
      <c r="BK143" s="694">
        <f t="shared" si="73"/>
        <v>2.981725</v>
      </c>
      <c r="BL143" s="694" t="str">
        <f t="shared" ref="BL143:BM162" si="74">IF(AND($G143=BL$21,$AT143="Residential",$AS143="Consider"),$Y143,"")</f>
        <v/>
      </c>
      <c r="BM143" s="694">
        <f t="shared" si="74"/>
        <v>3.1898</v>
      </c>
      <c r="BN143" s="88"/>
      <c r="BO143" s="195"/>
      <c r="BP143" s="195"/>
      <c r="BQ143" s="195"/>
      <c r="BR143" s="195"/>
      <c r="BS143" s="195"/>
      <c r="BT143" s="195"/>
      <c r="BU143" s="195"/>
      <c r="BV143" s="195"/>
      <c r="BW143" s="195"/>
      <c r="BX143" s="195"/>
    </row>
    <row r="144" spans="1:76" s="124" customFormat="1" ht="15">
      <c r="A144" s="187">
        <v>6534</v>
      </c>
      <c r="B144" s="187" t="s">
        <v>490</v>
      </c>
      <c r="C144" s="187" t="s">
        <v>459</v>
      </c>
      <c r="D144" s="187" t="s">
        <v>1319</v>
      </c>
      <c r="E144" s="187" t="s">
        <v>385</v>
      </c>
      <c r="F144" s="187" t="s">
        <v>386</v>
      </c>
      <c r="G144" s="187" t="s">
        <v>387</v>
      </c>
      <c r="H144" s="187" t="b">
        <v>0</v>
      </c>
      <c r="I144" s="187" t="s">
        <v>388</v>
      </c>
      <c r="J144" s="187" t="s">
        <v>389</v>
      </c>
      <c r="K144" s="187" t="b">
        <v>1</v>
      </c>
      <c r="L144" s="187">
        <v>4.3</v>
      </c>
      <c r="M144" s="187">
        <v>0.32</v>
      </c>
      <c r="N144" s="187">
        <v>12.41</v>
      </c>
      <c r="O144" s="187">
        <v>2.9</v>
      </c>
      <c r="P144" s="187">
        <v>13.46</v>
      </c>
      <c r="Q144" s="187"/>
      <c r="R144" s="187"/>
      <c r="S144" s="187"/>
      <c r="T144" s="187"/>
      <c r="U144" s="187">
        <v>29</v>
      </c>
      <c r="V144" s="187">
        <v>2.85</v>
      </c>
      <c r="W144" s="188">
        <v>41866</v>
      </c>
      <c r="X144" s="691">
        <f t="shared" si="68"/>
        <v>2.4330249999999998</v>
      </c>
      <c r="Y144" s="691">
        <f t="shared" si="45"/>
        <v>3.08738</v>
      </c>
      <c r="Z144" s="189"/>
      <c r="AA144" s="190">
        <f t="shared" si="53"/>
        <v>2014</v>
      </c>
      <c r="AB144" s="191">
        <f t="shared" si="54"/>
        <v>1.7673472323547847</v>
      </c>
      <c r="AC144" s="192">
        <f>IF(AB144="","",AB144*SFAssumptions!$C$3)</f>
        <v>453.70154026366356</v>
      </c>
      <c r="AD144" s="193">
        <f t="shared" si="55"/>
        <v>13.275734</v>
      </c>
      <c r="AE144" s="194">
        <f>IF(AD144="","",AD144*SFAssumptions!$C$3)</f>
        <v>3408.0574850622002</v>
      </c>
      <c r="AF144" s="192">
        <f t="shared" si="44"/>
        <v>4.3</v>
      </c>
      <c r="AG144" s="192">
        <f t="shared" si="56"/>
        <v>3.08738</v>
      </c>
      <c r="AH144" s="192">
        <f t="shared" si="57"/>
        <v>2.4330249999999998</v>
      </c>
      <c r="AI144" s="692">
        <f ca="1">IF(AC144="","",AC144*SFAssumptions!$C$8/'SavingsData&amp;Analysis'!AF144)</f>
        <v>398.51954168975152</v>
      </c>
      <c r="AJ144" s="692">
        <f ca="1">IF(OR(AE144="",AF144=""),"",AE144*SFAssumptions!$C$8/AF144)</f>
        <v>2993.5483714911475</v>
      </c>
      <c r="AK144" s="191">
        <f t="shared" si="58"/>
        <v>1.5087719298245612</v>
      </c>
      <c r="AL144" s="692">
        <f>IF(AK144="","",AK144*SFAssumptions!$C$3)</f>
        <v>387.32182105263155</v>
      </c>
      <c r="AM144" s="193">
        <f t="shared" si="59"/>
        <v>12.469999999999999</v>
      </c>
      <c r="AN144" s="194">
        <f>IF(AM144="","",AM144*SFAssumptions!$C$3)</f>
        <v>3201.2148509999997</v>
      </c>
      <c r="AO144" s="693">
        <f t="shared" si="60"/>
        <v>2.9</v>
      </c>
      <c r="AP144" s="693">
        <f t="shared" si="61"/>
        <v>2.85</v>
      </c>
      <c r="AQ144" s="692">
        <f ca="1">IF(AL144="","",AL144*SFAssumptions!$C$8/'SavingsData&amp;Analysis'!AF144)</f>
        <v>340.21333611217813</v>
      </c>
      <c r="AR144" s="692">
        <f ca="1">IF(OR(AN144="",AF144=""),"",AN144*SFAssumptions!$C$8/AF144)</f>
        <v>2811.8632229671521</v>
      </c>
      <c r="AS144" s="190" t="str">
        <f>IF(OR(AG144="",AH144=""),"No",IF(AND(G144="Horizontal",AH144&gt;='Eff. Standards &amp; Certifications'!$B$21,AG144&lt;='Eff. Standards &amp; Certifications'!$C$21),"Consider",IF(AND(G144="Vertical",AH144&gt;='Eff. Standards &amp; Certifications'!$B$20,AG144&lt;='Eff. Standards &amp; Certifications'!$C$20),"Consider","No")))</f>
        <v>Consider</v>
      </c>
      <c r="AT144" s="190" t="str">
        <f t="shared" si="46"/>
        <v>Residential</v>
      </c>
      <c r="AU144" s="190"/>
      <c r="AV144" s="190" t="str">
        <f t="shared" si="72"/>
        <v>NO</v>
      </c>
      <c r="AW144" s="190" t="str">
        <f t="shared" si="72"/>
        <v>YES</v>
      </c>
      <c r="AX144" s="190" t="str">
        <f t="shared" si="62"/>
        <v>YES</v>
      </c>
      <c r="AY144" s="190" t="str">
        <f t="shared" si="47"/>
        <v>NO</v>
      </c>
      <c r="AZ144" s="190" t="str">
        <f t="shared" si="47"/>
        <v>NO</v>
      </c>
      <c r="BA144" s="190" t="str">
        <f t="shared" si="63"/>
        <v>NO</v>
      </c>
      <c r="BB144" s="190" t="str">
        <f t="shared" si="48"/>
        <v>NO</v>
      </c>
      <c r="BC144" s="190" t="str">
        <f t="shared" si="49"/>
        <v>YES</v>
      </c>
      <c r="BD144" s="190" t="str">
        <f t="shared" si="64"/>
        <v>YES</v>
      </c>
      <c r="BE144" s="190" t="str">
        <f t="shared" si="50"/>
        <v>YES</v>
      </c>
      <c r="BF144" s="190" t="str">
        <f t="shared" si="51"/>
        <v>NO</v>
      </c>
      <c r="BG144" s="190" t="str">
        <f t="shared" si="52"/>
        <v>NO</v>
      </c>
      <c r="BH144" s="88"/>
      <c r="BI144" s="9"/>
      <c r="BJ144" s="694" t="str">
        <f t="shared" si="73"/>
        <v/>
      </c>
      <c r="BK144" s="694">
        <f t="shared" si="73"/>
        <v>2.4330249999999998</v>
      </c>
      <c r="BL144" s="694" t="str">
        <f t="shared" si="74"/>
        <v/>
      </c>
      <c r="BM144" s="694">
        <f t="shared" si="74"/>
        <v>3.08738</v>
      </c>
      <c r="BN144" s="88"/>
      <c r="BO144" s="195"/>
      <c r="BP144" s="195"/>
      <c r="BQ144" s="195"/>
      <c r="BR144" s="195"/>
      <c r="BS144" s="195"/>
      <c r="BT144" s="195"/>
      <c r="BU144" s="195"/>
      <c r="BV144" s="195"/>
      <c r="BW144" s="195"/>
      <c r="BX144" s="195"/>
    </row>
    <row r="145" spans="1:76" s="124" customFormat="1" ht="15">
      <c r="A145" s="187">
        <v>5408</v>
      </c>
      <c r="B145" s="187" t="s">
        <v>490</v>
      </c>
      <c r="C145" s="187" t="s">
        <v>459</v>
      </c>
      <c r="D145" s="187" t="s">
        <v>506</v>
      </c>
      <c r="E145" s="187" t="s">
        <v>385</v>
      </c>
      <c r="F145" s="187" t="s">
        <v>386</v>
      </c>
      <c r="G145" s="187" t="s">
        <v>387</v>
      </c>
      <c r="H145" s="187" t="b">
        <v>0</v>
      </c>
      <c r="I145" s="187" t="s">
        <v>388</v>
      </c>
      <c r="J145" s="187" t="s">
        <v>389</v>
      </c>
      <c r="K145" s="187" t="b">
        <v>1</v>
      </c>
      <c r="L145" s="187">
        <v>3.6</v>
      </c>
      <c r="M145" s="187">
        <v>0.25</v>
      </c>
      <c r="N145" s="187">
        <v>11.88</v>
      </c>
      <c r="O145" s="187">
        <v>3.3</v>
      </c>
      <c r="P145" s="187">
        <v>14.91</v>
      </c>
      <c r="Q145" s="187"/>
      <c r="R145" s="187"/>
      <c r="S145" s="187"/>
      <c r="T145" s="187"/>
      <c r="U145" s="187">
        <v>33</v>
      </c>
      <c r="V145" s="187">
        <v>3</v>
      </c>
      <c r="W145" s="188">
        <v>41054</v>
      </c>
      <c r="X145" s="691">
        <f t="shared" si="68"/>
        <v>2.5701999999999998</v>
      </c>
      <c r="Y145" s="691">
        <f t="shared" si="45"/>
        <v>3.4970599999999998</v>
      </c>
      <c r="Z145" s="189"/>
      <c r="AA145" s="190">
        <f t="shared" si="53"/>
        <v>2012</v>
      </c>
      <c r="AB145" s="191">
        <f t="shared" si="54"/>
        <v>1.4006692086218973</v>
      </c>
      <c r="AC145" s="192">
        <f>IF(AB145="","",AB145*SFAssumptions!$C$3)</f>
        <v>359.57041475371568</v>
      </c>
      <c r="AD145" s="193">
        <f t="shared" si="55"/>
        <v>12.589416</v>
      </c>
      <c r="AE145" s="194">
        <f>IF(AD145="","",AD145*SFAssumptions!$C$3)</f>
        <v>3231.8705264328</v>
      </c>
      <c r="AF145" s="192">
        <f t="shared" si="44"/>
        <v>3.6</v>
      </c>
      <c r="AG145" s="192">
        <f t="shared" si="56"/>
        <v>3.4970599999999998</v>
      </c>
      <c r="AH145" s="192">
        <f t="shared" si="57"/>
        <v>2.5701999999999998</v>
      </c>
      <c r="AI145" s="692">
        <f ca="1">IF(AC145="","",AC145*SFAssumptions!$C$8/'SavingsData&amp;Analysis'!AF145)</f>
        <v>377.25002253509751</v>
      </c>
      <c r="AJ145" s="692">
        <f ca="1">IF(OR(AE145="",AF145=""),"",AE145*SFAssumptions!$C$8/AF145)</f>
        <v>3390.777380175693</v>
      </c>
      <c r="AK145" s="191">
        <f t="shared" si="58"/>
        <v>1.2</v>
      </c>
      <c r="AL145" s="692">
        <f>IF(AK145="","",AK145*SFAssumptions!$C$3)</f>
        <v>308.05595999999997</v>
      </c>
      <c r="AM145" s="193">
        <f t="shared" si="59"/>
        <v>11.879999999999999</v>
      </c>
      <c r="AN145" s="194">
        <f>IF(AM145="","",AM145*SFAssumptions!$C$3)</f>
        <v>3049.7540039999999</v>
      </c>
      <c r="AO145" s="693">
        <f t="shared" si="60"/>
        <v>3.3</v>
      </c>
      <c r="AP145" s="693">
        <f t="shared" si="61"/>
        <v>3</v>
      </c>
      <c r="AQ145" s="692">
        <f ca="1">IF(AL145="","",AL145*SFAssumptions!$C$8/'SavingsData&amp;Analysis'!AF145)</f>
        <v>323.20266930656913</v>
      </c>
      <c r="AR145" s="692">
        <f ca="1">IF(OR(AN145="",AF145=""),"",AN145*SFAssumptions!$C$8/AF145)</f>
        <v>3199.7064261350351</v>
      </c>
      <c r="AS145" s="190" t="str">
        <f>IF(OR(AG145="",AH145=""),"No",IF(AND(G145="Horizontal",AH145&gt;='Eff. Standards &amp; Certifications'!$B$21,AG145&lt;='Eff. Standards &amp; Certifications'!$C$21),"Consider",IF(AND(G145="Vertical",AH145&gt;='Eff. Standards &amp; Certifications'!$B$20,AG145&lt;='Eff. Standards &amp; Certifications'!$C$20),"Consider","No")))</f>
        <v>Consider</v>
      </c>
      <c r="AT145" s="190" t="str">
        <f t="shared" si="46"/>
        <v>Residential</v>
      </c>
      <c r="AU145" s="190"/>
      <c r="AV145" s="190" t="str">
        <f t="shared" si="72"/>
        <v>NO</v>
      </c>
      <c r="AW145" s="190" t="str">
        <f t="shared" si="72"/>
        <v>YES</v>
      </c>
      <c r="AX145" s="190" t="str">
        <f t="shared" si="62"/>
        <v>YES</v>
      </c>
      <c r="AY145" s="190" t="str">
        <f t="shared" si="47"/>
        <v>NO</v>
      </c>
      <c r="AZ145" s="190" t="str">
        <f t="shared" si="47"/>
        <v>NO</v>
      </c>
      <c r="BA145" s="190" t="str">
        <f t="shared" si="63"/>
        <v>NO</v>
      </c>
      <c r="BB145" s="190" t="str">
        <f t="shared" si="48"/>
        <v>NO</v>
      </c>
      <c r="BC145" s="190" t="str">
        <f t="shared" si="49"/>
        <v>YES</v>
      </c>
      <c r="BD145" s="190" t="str">
        <f t="shared" si="64"/>
        <v>YES</v>
      </c>
      <c r="BE145" s="190" t="str">
        <f t="shared" si="50"/>
        <v>YES</v>
      </c>
      <c r="BF145" s="190" t="str">
        <f t="shared" si="51"/>
        <v>NO</v>
      </c>
      <c r="BG145" s="190" t="str">
        <f t="shared" si="52"/>
        <v>NO</v>
      </c>
      <c r="BH145" s="88"/>
      <c r="BI145" s="9"/>
      <c r="BJ145" s="694" t="str">
        <f t="shared" si="73"/>
        <v/>
      </c>
      <c r="BK145" s="694">
        <f t="shared" si="73"/>
        <v>2.5701999999999998</v>
      </c>
      <c r="BL145" s="694" t="str">
        <f t="shared" si="74"/>
        <v/>
      </c>
      <c r="BM145" s="694">
        <f t="shared" si="74"/>
        <v>3.4970599999999998</v>
      </c>
      <c r="BN145" s="88"/>
      <c r="BO145" s="195"/>
      <c r="BP145" s="195"/>
      <c r="BQ145" s="195"/>
      <c r="BR145" s="195"/>
      <c r="BS145" s="195"/>
      <c r="BT145" s="195"/>
      <c r="BU145" s="195"/>
      <c r="BV145" s="195"/>
      <c r="BW145" s="195"/>
      <c r="BX145" s="195"/>
    </row>
    <row r="146" spans="1:76" s="124" customFormat="1" ht="15">
      <c r="A146" s="187">
        <v>6071</v>
      </c>
      <c r="B146" s="187" t="s">
        <v>490</v>
      </c>
      <c r="C146" s="187" t="s">
        <v>459</v>
      </c>
      <c r="D146" s="187" t="s">
        <v>1320</v>
      </c>
      <c r="E146" s="187" t="s">
        <v>385</v>
      </c>
      <c r="F146" s="187" t="s">
        <v>386</v>
      </c>
      <c r="G146" s="187" t="s">
        <v>387</v>
      </c>
      <c r="H146" s="187" t="b">
        <v>0</v>
      </c>
      <c r="I146" s="187" t="s">
        <v>388</v>
      </c>
      <c r="J146" s="187" t="s">
        <v>389</v>
      </c>
      <c r="K146" s="187" t="b">
        <v>1</v>
      </c>
      <c r="L146" s="187">
        <v>4</v>
      </c>
      <c r="M146" s="187">
        <v>0.36</v>
      </c>
      <c r="N146" s="187">
        <v>11.85</v>
      </c>
      <c r="O146" s="187">
        <v>3</v>
      </c>
      <c r="P146" s="187">
        <v>11.06</v>
      </c>
      <c r="Q146" s="187"/>
      <c r="R146" s="187"/>
      <c r="S146" s="187"/>
      <c r="T146" s="187"/>
      <c r="U146" s="187">
        <v>28.9</v>
      </c>
      <c r="V146" s="187">
        <v>3.2</v>
      </c>
      <c r="W146" s="188">
        <v>41556</v>
      </c>
      <c r="X146" s="691">
        <f t="shared" si="68"/>
        <v>2.7530999999999999</v>
      </c>
      <c r="Y146" s="691">
        <f t="shared" si="45"/>
        <v>3.1898</v>
      </c>
      <c r="Z146" s="189"/>
      <c r="AA146" s="190">
        <f t="shared" si="53"/>
        <v>2013</v>
      </c>
      <c r="AB146" s="191">
        <f t="shared" si="54"/>
        <v>1.4529076313973339</v>
      </c>
      <c r="AC146" s="192">
        <f>IF(AB146="","",AB146*SFAssumptions!$C$3)</f>
        <v>372.98071265119319</v>
      </c>
      <c r="AD146" s="193">
        <f t="shared" si="55"/>
        <v>12.7592</v>
      </c>
      <c r="AE146" s="194">
        <f>IF(AD146="","",AD146*SFAssumptions!$C$3)</f>
        <v>3275.4563373599999</v>
      </c>
      <c r="AF146" s="192">
        <f t="shared" si="44"/>
        <v>4</v>
      </c>
      <c r="AG146" s="192">
        <f t="shared" si="56"/>
        <v>3.1898</v>
      </c>
      <c r="AH146" s="192">
        <f t="shared" si="57"/>
        <v>2.7530999999999999</v>
      </c>
      <c r="AI146" s="692">
        <f ca="1">IF(AC146="","",AC146*SFAssumptions!$C$8/'SavingsData&amp;Analysis'!AF146)</f>
        <v>352.18771854262747</v>
      </c>
      <c r="AJ146" s="692">
        <f ca="1">IF(OR(AE146="",AF146=""),"",AE146*SFAssumptions!$C$8/AF146)</f>
        <v>3092.8556236622835</v>
      </c>
      <c r="AK146" s="191">
        <f t="shared" si="58"/>
        <v>1.25</v>
      </c>
      <c r="AL146" s="692">
        <f>IF(AK146="","",AK146*SFAssumptions!$C$3)</f>
        <v>320.89162499999998</v>
      </c>
      <c r="AM146" s="193">
        <f t="shared" si="59"/>
        <v>12</v>
      </c>
      <c r="AN146" s="194">
        <f>IF(AM146="","",AM146*SFAssumptions!$C$3)</f>
        <v>3080.5596</v>
      </c>
      <c r="AO146" s="693">
        <f t="shared" si="60"/>
        <v>3</v>
      </c>
      <c r="AP146" s="693">
        <f t="shared" si="61"/>
        <v>3.2</v>
      </c>
      <c r="AQ146" s="692">
        <f ca="1">IF(AL146="","",AL146*SFAssumptions!$C$8/'SavingsData&amp;Analysis'!AF146)</f>
        <v>303.00250247490862</v>
      </c>
      <c r="AR146" s="692">
        <f ca="1">IF(OR(AN146="",AF146=""),"",AN146*SFAssumptions!$C$8/AF146)</f>
        <v>2908.8240237591231</v>
      </c>
      <c r="AS146" s="190" t="str">
        <f>IF(OR(AG146="",AH146=""),"No",IF(AND(G146="Horizontal",AH146&gt;='Eff. Standards &amp; Certifications'!$B$21,AG146&lt;='Eff. Standards &amp; Certifications'!$C$21),"Consider",IF(AND(G146="Vertical",AH146&gt;='Eff. Standards &amp; Certifications'!$B$20,AG146&lt;='Eff. Standards &amp; Certifications'!$C$20),"Consider","No")))</f>
        <v>Consider</v>
      </c>
      <c r="AT146" s="190" t="str">
        <f t="shared" si="46"/>
        <v>Residential</v>
      </c>
      <c r="AU146" s="190"/>
      <c r="AV146" s="190" t="str">
        <f t="shared" si="72"/>
        <v>NO</v>
      </c>
      <c r="AW146" s="190" t="str">
        <f t="shared" si="72"/>
        <v>YES</v>
      </c>
      <c r="AX146" s="190" t="str">
        <f t="shared" si="62"/>
        <v>YES</v>
      </c>
      <c r="AY146" s="190" t="str">
        <f t="shared" si="47"/>
        <v>NO</v>
      </c>
      <c r="AZ146" s="190" t="str">
        <f t="shared" si="47"/>
        <v>NO</v>
      </c>
      <c r="BA146" s="190" t="str">
        <f t="shared" si="63"/>
        <v>NO</v>
      </c>
      <c r="BB146" s="190" t="str">
        <f t="shared" si="48"/>
        <v>NO</v>
      </c>
      <c r="BC146" s="190" t="str">
        <f t="shared" si="49"/>
        <v>YES</v>
      </c>
      <c r="BD146" s="190" t="str">
        <f t="shared" si="64"/>
        <v>YES</v>
      </c>
      <c r="BE146" s="190" t="str">
        <f t="shared" si="50"/>
        <v>YES</v>
      </c>
      <c r="BF146" s="190" t="str">
        <f t="shared" si="51"/>
        <v>NO</v>
      </c>
      <c r="BG146" s="190" t="str">
        <f t="shared" si="52"/>
        <v>NO</v>
      </c>
      <c r="BH146" s="88"/>
      <c r="BI146" s="9"/>
      <c r="BJ146" s="694" t="str">
        <f t="shared" si="73"/>
        <v/>
      </c>
      <c r="BK146" s="694">
        <f t="shared" si="73"/>
        <v>2.7530999999999999</v>
      </c>
      <c r="BL146" s="694" t="str">
        <f t="shared" si="74"/>
        <v/>
      </c>
      <c r="BM146" s="694">
        <f t="shared" si="74"/>
        <v>3.1898</v>
      </c>
      <c r="BN146" s="88"/>
      <c r="BO146" s="195"/>
      <c r="BP146" s="195"/>
      <c r="BQ146" s="195"/>
      <c r="BR146" s="195"/>
      <c r="BS146" s="195"/>
      <c r="BT146" s="195"/>
      <c r="BU146" s="195"/>
      <c r="BV146" s="195"/>
      <c r="BW146" s="195"/>
      <c r="BX146" s="195"/>
    </row>
    <row r="147" spans="1:76" s="124" customFormat="1" ht="15">
      <c r="A147" s="187">
        <v>5353</v>
      </c>
      <c r="B147" s="187" t="s">
        <v>490</v>
      </c>
      <c r="C147" s="187" t="s">
        <v>459</v>
      </c>
      <c r="D147" s="187" t="s">
        <v>507</v>
      </c>
      <c r="E147" s="187" t="s">
        <v>385</v>
      </c>
      <c r="F147" s="187" t="s">
        <v>386</v>
      </c>
      <c r="G147" s="187" t="s">
        <v>387</v>
      </c>
      <c r="H147" s="187" t="b">
        <v>0</v>
      </c>
      <c r="I147" s="187" t="s">
        <v>388</v>
      </c>
      <c r="J147" s="187" t="s">
        <v>389</v>
      </c>
      <c r="K147" s="187" t="b">
        <v>1</v>
      </c>
      <c r="L147" s="187">
        <v>3.7</v>
      </c>
      <c r="M147" s="187">
        <v>0.28000000000000003</v>
      </c>
      <c r="N147" s="187">
        <v>12.31</v>
      </c>
      <c r="O147" s="187">
        <v>3.3</v>
      </c>
      <c r="P147" s="187">
        <v>13.17</v>
      </c>
      <c r="Q147" s="187"/>
      <c r="R147" s="187"/>
      <c r="S147" s="187"/>
      <c r="T147" s="187"/>
      <c r="U147" s="187">
        <v>30.8</v>
      </c>
      <c r="V147" s="187">
        <v>3.05</v>
      </c>
      <c r="W147" s="188">
        <v>40995</v>
      </c>
      <c r="X147" s="691">
        <f t="shared" si="68"/>
        <v>2.6159249999999998</v>
      </c>
      <c r="Y147" s="691">
        <f t="shared" si="45"/>
        <v>3.4970599999999998</v>
      </c>
      <c r="Z147" s="189"/>
      <c r="AA147" s="190">
        <f t="shared" si="53"/>
        <v>2012</v>
      </c>
      <c r="AB147" s="191">
        <f t="shared" si="54"/>
        <v>1.4144136395347728</v>
      </c>
      <c r="AC147" s="192">
        <f>IF(AB147="","",AB147*SFAssumptions!$C$3)</f>
        <v>363.09879296998201</v>
      </c>
      <c r="AD147" s="193">
        <f t="shared" si="55"/>
        <v>12.939121999999999</v>
      </c>
      <c r="AE147" s="194">
        <f>IF(AD147="","",AD147*SFAssumptions!$C$3)</f>
        <v>3321.6447077225998</v>
      </c>
      <c r="AF147" s="192">
        <f t="shared" si="44"/>
        <v>3.7</v>
      </c>
      <c r="AG147" s="192">
        <f t="shared" si="56"/>
        <v>3.4970599999999998</v>
      </c>
      <c r="AH147" s="192">
        <f t="shared" si="57"/>
        <v>2.6159249999999998</v>
      </c>
      <c r="AI147" s="692">
        <f ca="1">IF(AC147="","",AC147*SFAssumptions!$C$8/'SavingsData&amp;Analysis'!AF147)</f>
        <v>370.65588956858772</v>
      </c>
      <c r="AJ147" s="692">
        <f ca="1">IF(OR(AE147="",AF147=""),"",AE147*SFAssumptions!$C$8/AF147)</f>
        <v>3390.7773801756925</v>
      </c>
      <c r="AK147" s="191">
        <f t="shared" si="58"/>
        <v>1.2131147540983609</v>
      </c>
      <c r="AL147" s="692">
        <f>IF(AK147="","",AK147*SFAssumptions!$C$3)</f>
        <v>311.42269180327878</v>
      </c>
      <c r="AM147" s="193">
        <f t="shared" si="59"/>
        <v>12.209999999999999</v>
      </c>
      <c r="AN147" s="194">
        <f>IF(AM147="","",AM147*SFAssumptions!$C$3)</f>
        <v>3134.4693929999999</v>
      </c>
      <c r="AO147" s="693">
        <f t="shared" si="60"/>
        <v>3.3</v>
      </c>
      <c r="AP147" s="693">
        <f t="shared" si="61"/>
        <v>3.05</v>
      </c>
      <c r="AQ147" s="692">
        <f ca="1">IF(AL147="","",AL147*SFAssumptions!$C$8/'SavingsData&amp;Analysis'!AF147)</f>
        <v>317.90426489170756</v>
      </c>
      <c r="AR147" s="692">
        <f ca="1">IF(OR(AN147="",AF147=""),"",AN147*SFAssumptions!$C$8/AF147)</f>
        <v>3199.7064261350351</v>
      </c>
      <c r="AS147" s="190" t="str">
        <f>IF(OR(AG147="",AH147=""),"No",IF(AND(G147="Horizontal",AH147&gt;='Eff. Standards &amp; Certifications'!$B$21,AG147&lt;='Eff. Standards &amp; Certifications'!$C$21),"Consider",IF(AND(G147="Vertical",AH147&gt;='Eff. Standards &amp; Certifications'!$B$20,AG147&lt;='Eff. Standards &amp; Certifications'!$C$20),"Consider","No")))</f>
        <v>Consider</v>
      </c>
      <c r="AT147" s="190" t="str">
        <f t="shared" si="46"/>
        <v>Residential</v>
      </c>
      <c r="AU147" s="190"/>
      <c r="AV147" s="190" t="str">
        <f t="shared" si="72"/>
        <v>NO</v>
      </c>
      <c r="AW147" s="190" t="str">
        <f t="shared" si="72"/>
        <v>YES</v>
      </c>
      <c r="AX147" s="190" t="str">
        <f t="shared" si="62"/>
        <v>YES</v>
      </c>
      <c r="AY147" s="190" t="str">
        <f t="shared" si="47"/>
        <v>NO</v>
      </c>
      <c r="AZ147" s="190" t="str">
        <f t="shared" si="47"/>
        <v>NO</v>
      </c>
      <c r="BA147" s="190" t="str">
        <f t="shared" si="63"/>
        <v>NO</v>
      </c>
      <c r="BB147" s="190" t="str">
        <f t="shared" si="48"/>
        <v>NO</v>
      </c>
      <c r="BC147" s="190" t="str">
        <f t="shared" si="49"/>
        <v>YES</v>
      </c>
      <c r="BD147" s="190" t="str">
        <f t="shared" si="64"/>
        <v>YES</v>
      </c>
      <c r="BE147" s="190" t="str">
        <f t="shared" si="50"/>
        <v>YES</v>
      </c>
      <c r="BF147" s="190" t="str">
        <f t="shared" si="51"/>
        <v>NO</v>
      </c>
      <c r="BG147" s="190" t="str">
        <f t="shared" si="52"/>
        <v>NO</v>
      </c>
      <c r="BH147" s="88"/>
      <c r="BI147" s="9"/>
      <c r="BJ147" s="694" t="str">
        <f t="shared" si="73"/>
        <v/>
      </c>
      <c r="BK147" s="694">
        <f t="shared" si="73"/>
        <v>2.6159249999999998</v>
      </c>
      <c r="BL147" s="694" t="str">
        <f t="shared" si="74"/>
        <v/>
      </c>
      <c r="BM147" s="694">
        <f t="shared" si="74"/>
        <v>3.4970599999999998</v>
      </c>
      <c r="BN147" s="88"/>
      <c r="BO147" s="195"/>
      <c r="BP147" s="195"/>
      <c r="BQ147" s="195"/>
      <c r="BR147" s="195"/>
      <c r="BS147" s="195"/>
      <c r="BT147" s="195"/>
      <c r="BU147" s="195"/>
      <c r="BV147" s="195"/>
      <c r="BW147" s="195"/>
      <c r="BX147" s="195"/>
    </row>
    <row r="148" spans="1:76" s="124" customFormat="1" ht="15">
      <c r="A148" s="187">
        <v>6533</v>
      </c>
      <c r="B148" s="187" t="s">
        <v>490</v>
      </c>
      <c r="C148" s="187" t="s">
        <v>459</v>
      </c>
      <c r="D148" s="187" t="s">
        <v>1321</v>
      </c>
      <c r="E148" s="187" t="s">
        <v>385</v>
      </c>
      <c r="F148" s="187" t="s">
        <v>386</v>
      </c>
      <c r="G148" s="187" t="s">
        <v>387</v>
      </c>
      <c r="H148" s="187" t="b">
        <v>0</v>
      </c>
      <c r="I148" s="187" t="s">
        <v>388</v>
      </c>
      <c r="J148" s="187" t="s">
        <v>389</v>
      </c>
      <c r="K148" s="187" t="b">
        <v>1</v>
      </c>
      <c r="L148" s="187">
        <v>4.3</v>
      </c>
      <c r="M148" s="187">
        <v>0.35</v>
      </c>
      <c r="N148" s="187">
        <v>12.54</v>
      </c>
      <c r="O148" s="187">
        <v>2.9</v>
      </c>
      <c r="P148" s="187">
        <v>12.11</v>
      </c>
      <c r="Q148" s="187"/>
      <c r="R148" s="187"/>
      <c r="S148" s="187"/>
      <c r="T148" s="187"/>
      <c r="U148" s="187">
        <v>31.5</v>
      </c>
      <c r="V148" s="187">
        <v>2.7</v>
      </c>
      <c r="W148" s="188">
        <v>41866</v>
      </c>
      <c r="X148" s="691">
        <f t="shared" si="68"/>
        <v>2.2958499999999997</v>
      </c>
      <c r="Y148" s="691">
        <f t="shared" si="45"/>
        <v>3.08738</v>
      </c>
      <c r="Z148" s="189"/>
      <c r="AA148" s="190">
        <f t="shared" si="53"/>
        <v>2014</v>
      </c>
      <c r="AB148" s="191">
        <f t="shared" si="54"/>
        <v>1.872944661018795</v>
      </c>
      <c r="AC148" s="192">
        <f>IF(AB148="","",AB148*SFAssumptions!$C$3)</f>
        <v>480.80980464751622</v>
      </c>
      <c r="AD148" s="193">
        <f t="shared" si="55"/>
        <v>13.275734</v>
      </c>
      <c r="AE148" s="194">
        <f>IF(AD148="","",AD148*SFAssumptions!$C$3)</f>
        <v>3408.0574850622002</v>
      </c>
      <c r="AF148" s="192">
        <f t="shared" si="44"/>
        <v>4.3</v>
      </c>
      <c r="AG148" s="192">
        <f t="shared" si="56"/>
        <v>3.08738</v>
      </c>
      <c r="AH148" s="192">
        <f t="shared" si="57"/>
        <v>2.2958499999999997</v>
      </c>
      <c r="AI148" s="692">
        <f ca="1">IF(AC148="","",AC148*SFAssumptions!$C$8/'SavingsData&amp;Analysis'!AF148)</f>
        <v>422.3307306312293</v>
      </c>
      <c r="AJ148" s="692">
        <f ca="1">IF(OR(AE148="",AF148=""),"",AE148*SFAssumptions!$C$8/AF148)</f>
        <v>2993.5483714911475</v>
      </c>
      <c r="AK148" s="191">
        <f t="shared" si="58"/>
        <v>1.5925925925925923</v>
      </c>
      <c r="AL148" s="692">
        <f>IF(AK148="","",AK148*SFAssumptions!$C$3)</f>
        <v>408.83969999999994</v>
      </c>
      <c r="AM148" s="193">
        <f t="shared" si="59"/>
        <v>12.469999999999999</v>
      </c>
      <c r="AN148" s="194">
        <f>IF(AM148="","",AM148*SFAssumptions!$C$3)</f>
        <v>3201.2148509999997</v>
      </c>
      <c r="AO148" s="693">
        <f t="shared" si="60"/>
        <v>2.9</v>
      </c>
      <c r="AP148" s="693">
        <f t="shared" si="61"/>
        <v>2.7</v>
      </c>
      <c r="AQ148" s="692">
        <f ca="1">IF(AL148="","",AL148*SFAssumptions!$C$8/'SavingsData&amp;Analysis'!AF148)</f>
        <v>359.1140770072991</v>
      </c>
      <c r="AR148" s="692">
        <f ca="1">IF(OR(AN148="",AF148=""),"",AN148*SFAssumptions!$C$8/AF148)</f>
        <v>2811.8632229671521</v>
      </c>
      <c r="AS148" s="190" t="str">
        <f>IF(OR(AG148="",AH148=""),"No",IF(AND(G148="Horizontal",AH148&gt;='Eff. Standards &amp; Certifications'!$B$21,AG148&lt;='Eff. Standards &amp; Certifications'!$C$21),"Consider",IF(AND(G148="Vertical",AH148&gt;='Eff. Standards &amp; Certifications'!$B$20,AG148&lt;='Eff. Standards &amp; Certifications'!$C$20),"Consider","No")))</f>
        <v>Consider</v>
      </c>
      <c r="AT148" s="190" t="str">
        <f t="shared" si="46"/>
        <v>Residential</v>
      </c>
      <c r="AU148" s="190"/>
      <c r="AV148" s="190" t="str">
        <f t="shared" si="72"/>
        <v>NO</v>
      </c>
      <c r="AW148" s="190" t="str">
        <f t="shared" si="72"/>
        <v>YES</v>
      </c>
      <c r="AX148" s="190" t="str">
        <f t="shared" si="62"/>
        <v>YES</v>
      </c>
      <c r="AY148" s="190" t="str">
        <f t="shared" si="47"/>
        <v>NO</v>
      </c>
      <c r="AZ148" s="190" t="str">
        <f t="shared" si="47"/>
        <v>YES</v>
      </c>
      <c r="BA148" s="190" t="str">
        <f t="shared" si="63"/>
        <v>YES</v>
      </c>
      <c r="BB148" s="190" t="str">
        <f t="shared" si="48"/>
        <v>NO</v>
      </c>
      <c r="BC148" s="190" t="str">
        <f t="shared" si="49"/>
        <v>NO</v>
      </c>
      <c r="BD148" s="190" t="str">
        <f t="shared" si="64"/>
        <v>NO</v>
      </c>
      <c r="BE148" s="190" t="str">
        <f t="shared" si="50"/>
        <v>NO</v>
      </c>
      <c r="BF148" s="190" t="str">
        <f t="shared" si="51"/>
        <v>NO</v>
      </c>
      <c r="BG148" s="190" t="str">
        <f t="shared" si="52"/>
        <v>NO</v>
      </c>
      <c r="BH148" s="88"/>
      <c r="BI148" s="9"/>
      <c r="BJ148" s="694" t="str">
        <f t="shared" si="73"/>
        <v/>
      </c>
      <c r="BK148" s="694">
        <f t="shared" si="73"/>
        <v>2.2958499999999997</v>
      </c>
      <c r="BL148" s="694" t="str">
        <f t="shared" si="74"/>
        <v/>
      </c>
      <c r="BM148" s="694">
        <f t="shared" si="74"/>
        <v>3.08738</v>
      </c>
      <c r="BN148" s="88"/>
      <c r="BO148" s="195"/>
      <c r="BP148" s="195"/>
      <c r="BQ148" s="195"/>
      <c r="BR148" s="195"/>
      <c r="BS148" s="195"/>
      <c r="BT148" s="195"/>
      <c r="BU148" s="195"/>
      <c r="BV148" s="195"/>
      <c r="BW148" s="195"/>
      <c r="BX148" s="195"/>
    </row>
    <row r="149" spans="1:76" s="124" customFormat="1" ht="15">
      <c r="A149" s="187">
        <v>5280</v>
      </c>
      <c r="B149" s="187" t="s">
        <v>490</v>
      </c>
      <c r="C149" s="187" t="s">
        <v>459</v>
      </c>
      <c r="D149" s="187" t="s">
        <v>508</v>
      </c>
      <c r="E149" s="187" t="s">
        <v>385</v>
      </c>
      <c r="F149" s="187" t="s">
        <v>386</v>
      </c>
      <c r="G149" s="187" t="s">
        <v>387</v>
      </c>
      <c r="H149" s="187" t="b">
        <v>0</v>
      </c>
      <c r="I149" s="187" t="s">
        <v>388</v>
      </c>
      <c r="J149" s="187" t="s">
        <v>389</v>
      </c>
      <c r="K149" s="187" t="b">
        <v>1</v>
      </c>
      <c r="L149" s="187">
        <v>4</v>
      </c>
      <c r="M149" s="187">
        <v>0.3</v>
      </c>
      <c r="N149" s="187">
        <v>13.2</v>
      </c>
      <c r="O149" s="187">
        <v>3.3</v>
      </c>
      <c r="P149" s="187">
        <v>13.38</v>
      </c>
      <c r="Q149" s="187"/>
      <c r="R149" s="187"/>
      <c r="S149" s="187"/>
      <c r="T149" s="187"/>
      <c r="U149" s="187">
        <v>30.7</v>
      </c>
      <c r="V149" s="187">
        <v>3.2</v>
      </c>
      <c r="W149" s="188">
        <v>40927</v>
      </c>
      <c r="X149" s="691">
        <f t="shared" si="68"/>
        <v>2.7530999999999999</v>
      </c>
      <c r="Y149" s="691">
        <f t="shared" si="45"/>
        <v>3.4970599999999998</v>
      </c>
      <c r="Z149" s="189"/>
      <c r="AA149" s="190">
        <f t="shared" si="53"/>
        <v>2012</v>
      </c>
      <c r="AB149" s="191">
        <f t="shared" si="54"/>
        <v>1.4529076313973339</v>
      </c>
      <c r="AC149" s="192">
        <f>IF(AB149="","",AB149*SFAssumptions!$C$3)</f>
        <v>372.98071265119319</v>
      </c>
      <c r="AD149" s="193">
        <f t="shared" si="55"/>
        <v>13.988239999999999</v>
      </c>
      <c r="AE149" s="194">
        <f>IF(AD149="","",AD149*SFAssumptions!$C$3)</f>
        <v>3590.9672515919997</v>
      </c>
      <c r="AF149" s="192">
        <f t="shared" si="44"/>
        <v>4</v>
      </c>
      <c r="AG149" s="192">
        <f t="shared" si="56"/>
        <v>3.4970599999999998</v>
      </c>
      <c r="AH149" s="192">
        <f t="shared" si="57"/>
        <v>2.7530999999999999</v>
      </c>
      <c r="AI149" s="692">
        <f ca="1">IF(AC149="","",AC149*SFAssumptions!$C$8/'SavingsData&amp;Analysis'!AF149)</f>
        <v>352.18771854262747</v>
      </c>
      <c r="AJ149" s="692">
        <f ca="1">IF(OR(AE149="",AF149=""),"",AE149*SFAssumptions!$C$8/AF149)</f>
        <v>3390.7773801756925</v>
      </c>
      <c r="AK149" s="191">
        <f t="shared" si="58"/>
        <v>1.25</v>
      </c>
      <c r="AL149" s="692">
        <f>IF(AK149="","",AK149*SFAssumptions!$C$3)</f>
        <v>320.89162499999998</v>
      </c>
      <c r="AM149" s="193">
        <f t="shared" si="59"/>
        <v>13.2</v>
      </c>
      <c r="AN149" s="194">
        <f>IF(AM149="","",AM149*SFAssumptions!$C$3)</f>
        <v>3388.6155599999997</v>
      </c>
      <c r="AO149" s="693">
        <f t="shared" si="60"/>
        <v>3.3</v>
      </c>
      <c r="AP149" s="693">
        <f t="shared" si="61"/>
        <v>3.2</v>
      </c>
      <c r="AQ149" s="692">
        <f ca="1">IF(AL149="","",AL149*SFAssumptions!$C$8/'SavingsData&amp;Analysis'!AF149)</f>
        <v>303.00250247490862</v>
      </c>
      <c r="AR149" s="692">
        <f ca="1">IF(OR(AN149="",AF149=""),"",AN149*SFAssumptions!$C$8/AF149)</f>
        <v>3199.7064261350351</v>
      </c>
      <c r="AS149" s="190" t="str">
        <f>IF(OR(AG149="",AH149=""),"No",IF(AND(G149="Horizontal",AH149&gt;='Eff. Standards &amp; Certifications'!$B$21,AG149&lt;='Eff. Standards &amp; Certifications'!$C$21),"Consider",IF(AND(G149="Vertical",AH149&gt;='Eff. Standards &amp; Certifications'!$B$20,AG149&lt;='Eff. Standards &amp; Certifications'!$C$20),"Consider","No")))</f>
        <v>Consider</v>
      </c>
      <c r="AT149" s="190" t="str">
        <f t="shared" si="46"/>
        <v>Residential</v>
      </c>
      <c r="AU149" s="190"/>
      <c r="AV149" s="190" t="str">
        <f t="shared" si="72"/>
        <v>NO</v>
      </c>
      <c r="AW149" s="190" t="str">
        <f t="shared" si="72"/>
        <v>YES</v>
      </c>
      <c r="AX149" s="190" t="str">
        <f t="shared" si="62"/>
        <v>YES</v>
      </c>
      <c r="AY149" s="190" t="str">
        <f t="shared" si="47"/>
        <v>NO</v>
      </c>
      <c r="AZ149" s="190" t="str">
        <f t="shared" si="47"/>
        <v>NO</v>
      </c>
      <c r="BA149" s="190" t="str">
        <f t="shared" si="63"/>
        <v>NO</v>
      </c>
      <c r="BB149" s="190" t="str">
        <f t="shared" si="48"/>
        <v>NO</v>
      </c>
      <c r="BC149" s="190" t="str">
        <f t="shared" si="49"/>
        <v>YES</v>
      </c>
      <c r="BD149" s="190" t="str">
        <f t="shared" si="64"/>
        <v>YES</v>
      </c>
      <c r="BE149" s="190" t="str">
        <f t="shared" si="50"/>
        <v>YES</v>
      </c>
      <c r="BF149" s="190" t="str">
        <f t="shared" si="51"/>
        <v>NO</v>
      </c>
      <c r="BG149" s="190" t="str">
        <f t="shared" si="52"/>
        <v>NO</v>
      </c>
      <c r="BH149" s="88"/>
      <c r="BI149" s="9"/>
      <c r="BJ149" s="694" t="str">
        <f t="shared" si="73"/>
        <v/>
      </c>
      <c r="BK149" s="694">
        <f t="shared" si="73"/>
        <v>2.7530999999999999</v>
      </c>
      <c r="BL149" s="694" t="str">
        <f t="shared" si="74"/>
        <v/>
      </c>
      <c r="BM149" s="694">
        <f t="shared" si="74"/>
        <v>3.4970599999999998</v>
      </c>
      <c r="BN149" s="88"/>
      <c r="BO149" s="195"/>
      <c r="BP149" s="195"/>
      <c r="BQ149" s="195"/>
      <c r="BR149" s="195"/>
      <c r="BS149" s="195"/>
      <c r="BT149" s="195"/>
      <c r="BU149" s="195"/>
      <c r="BV149" s="195"/>
      <c r="BW149" s="195"/>
      <c r="BX149" s="195"/>
    </row>
    <row r="150" spans="1:76" s="124" customFormat="1" ht="15">
      <c r="A150" s="187">
        <v>6537</v>
      </c>
      <c r="B150" s="187" t="s">
        <v>490</v>
      </c>
      <c r="C150" s="187" t="s">
        <v>459</v>
      </c>
      <c r="D150" s="187" t="s">
        <v>1322</v>
      </c>
      <c r="E150" s="187" t="s">
        <v>385</v>
      </c>
      <c r="F150" s="187" t="s">
        <v>386</v>
      </c>
      <c r="G150" s="187" t="s">
        <v>387</v>
      </c>
      <c r="H150" s="187" t="b">
        <v>0</v>
      </c>
      <c r="I150" s="187" t="s">
        <v>388</v>
      </c>
      <c r="J150" s="187" t="s">
        <v>389</v>
      </c>
      <c r="K150" s="187" t="b">
        <v>1</v>
      </c>
      <c r="L150" s="187">
        <v>4.5</v>
      </c>
      <c r="M150" s="187">
        <v>0.32</v>
      </c>
      <c r="N150" s="187">
        <v>12.77</v>
      </c>
      <c r="O150" s="187">
        <v>2.9</v>
      </c>
      <c r="P150" s="187">
        <v>14.09</v>
      </c>
      <c r="Q150" s="187"/>
      <c r="R150" s="187"/>
      <c r="S150" s="187"/>
      <c r="T150" s="187"/>
      <c r="U150" s="187">
        <v>34</v>
      </c>
      <c r="V150" s="187">
        <v>2.5</v>
      </c>
      <c r="W150" s="188">
        <v>41866</v>
      </c>
      <c r="X150" s="691">
        <f t="shared" si="68"/>
        <v>2.1129499999999997</v>
      </c>
      <c r="Y150" s="691">
        <f t="shared" si="45"/>
        <v>3.08738</v>
      </c>
      <c r="Z150" s="189"/>
      <c r="AA150" s="190">
        <f t="shared" si="53"/>
        <v>2014</v>
      </c>
      <c r="AB150" s="191">
        <f t="shared" si="54"/>
        <v>2.1297238458079941</v>
      </c>
      <c r="AC150" s="192">
        <f>IF(AB150="","",AB150*SFAssumptions!$C$3)</f>
        <v>546.72843654606129</v>
      </c>
      <c r="AD150" s="193">
        <f t="shared" si="55"/>
        <v>13.89321</v>
      </c>
      <c r="AE150" s="194">
        <f>IF(AD150="","",AD150*SFAssumptions!$C$3)</f>
        <v>3566.5717866929999</v>
      </c>
      <c r="AF150" s="192">
        <f t="shared" ref="AF150:AF213" si="75">L150</f>
        <v>4.5</v>
      </c>
      <c r="AG150" s="192">
        <f t="shared" si="56"/>
        <v>3.08738</v>
      </c>
      <c r="AH150" s="192">
        <f t="shared" si="57"/>
        <v>2.1129499999999997</v>
      </c>
      <c r="AI150" s="692">
        <f ca="1">IF(AC150="","",AC150*SFAssumptions!$C$8/'SavingsData&amp;Analysis'!AF150)</f>
        <v>458.8882879006639</v>
      </c>
      <c r="AJ150" s="692">
        <f ca="1">IF(OR(AE150="",AF150=""),"",AE150*SFAssumptions!$C$8/AF150)</f>
        <v>2993.548371491147</v>
      </c>
      <c r="AK150" s="191">
        <f t="shared" si="58"/>
        <v>1.8</v>
      </c>
      <c r="AL150" s="692">
        <f>IF(AK150="","",AK150*SFAssumptions!$C$3)</f>
        <v>462.08394000000004</v>
      </c>
      <c r="AM150" s="193">
        <f t="shared" si="59"/>
        <v>13.049999999999999</v>
      </c>
      <c r="AN150" s="194">
        <f>IF(AM150="","",AM150*SFAssumptions!$C$3)</f>
        <v>3350.108565</v>
      </c>
      <c r="AO150" s="693">
        <f t="shared" si="60"/>
        <v>2.9</v>
      </c>
      <c r="AP150" s="693">
        <f t="shared" si="61"/>
        <v>2.5</v>
      </c>
      <c r="AQ150" s="692">
        <f ca="1">IF(AL150="","",AL150*SFAssumptions!$C$8/'SavingsData&amp;Analysis'!AF150)</f>
        <v>387.84320316788313</v>
      </c>
      <c r="AR150" s="692">
        <f ca="1">IF(OR(AN150="",AF150=""),"",AN150*SFAssumptions!$C$8/AF150)</f>
        <v>2811.8632229671521</v>
      </c>
      <c r="AS150" s="190" t="str">
        <f>IF(OR(AG150="",AH150=""),"No",IF(AND(G150="Horizontal",AH150&gt;='Eff. Standards &amp; Certifications'!$B$21,AG150&lt;='Eff. Standards &amp; Certifications'!$C$21),"Consider",IF(AND(G150="Vertical",AH150&gt;='Eff. Standards &amp; Certifications'!$B$20,AG150&lt;='Eff. Standards &amp; Certifications'!$C$20),"Consider","No")))</f>
        <v>Consider</v>
      </c>
      <c r="AT150" s="190" t="str">
        <f t="shared" si="46"/>
        <v>Residential</v>
      </c>
      <c r="AU150" s="190"/>
      <c r="AV150" s="190" t="str">
        <f t="shared" si="72"/>
        <v>NO</v>
      </c>
      <c r="AW150" s="190" t="str">
        <f t="shared" si="72"/>
        <v>YES</v>
      </c>
      <c r="AX150" s="190" t="str">
        <f t="shared" si="62"/>
        <v>YES</v>
      </c>
      <c r="AY150" s="190" t="str">
        <f t="shared" si="47"/>
        <v>NO</v>
      </c>
      <c r="AZ150" s="190" t="str">
        <f t="shared" si="47"/>
        <v>YES</v>
      </c>
      <c r="BA150" s="190" t="str">
        <f t="shared" si="63"/>
        <v>YES</v>
      </c>
      <c r="BB150" s="190" t="str">
        <f t="shared" si="48"/>
        <v>NO</v>
      </c>
      <c r="BC150" s="190" t="str">
        <f t="shared" si="49"/>
        <v>NO</v>
      </c>
      <c r="BD150" s="190" t="str">
        <f t="shared" si="64"/>
        <v>NO</v>
      </c>
      <c r="BE150" s="190" t="str">
        <f t="shared" si="50"/>
        <v>NO</v>
      </c>
      <c r="BF150" s="190" t="str">
        <f t="shared" si="51"/>
        <v>NO</v>
      </c>
      <c r="BG150" s="190" t="str">
        <f t="shared" si="52"/>
        <v>NO</v>
      </c>
      <c r="BH150" s="88"/>
      <c r="BI150" s="9"/>
      <c r="BJ150" s="694" t="str">
        <f t="shared" si="73"/>
        <v/>
      </c>
      <c r="BK150" s="694">
        <f t="shared" si="73"/>
        <v>2.1129499999999997</v>
      </c>
      <c r="BL150" s="694" t="str">
        <f t="shared" si="74"/>
        <v/>
      </c>
      <c r="BM150" s="694">
        <f t="shared" si="74"/>
        <v>3.08738</v>
      </c>
      <c r="BN150" s="88"/>
      <c r="BO150" s="195"/>
      <c r="BP150" s="195"/>
      <c r="BQ150" s="195"/>
      <c r="BR150" s="195"/>
      <c r="BS150" s="195"/>
      <c r="BT150" s="195"/>
      <c r="BU150" s="195"/>
      <c r="BV150" s="195"/>
      <c r="BW150" s="195"/>
      <c r="BX150" s="195"/>
    </row>
    <row r="151" spans="1:76" s="124" customFormat="1" ht="15">
      <c r="A151" s="187">
        <v>5093</v>
      </c>
      <c r="B151" s="187" t="s">
        <v>490</v>
      </c>
      <c r="C151" s="187" t="s">
        <v>459</v>
      </c>
      <c r="D151" s="187" t="s">
        <v>509</v>
      </c>
      <c r="E151" s="187" t="s">
        <v>385</v>
      </c>
      <c r="F151" s="187" t="s">
        <v>386</v>
      </c>
      <c r="G151" s="187" t="s">
        <v>387</v>
      </c>
      <c r="H151" s="187" t="b">
        <v>0</v>
      </c>
      <c r="I151" s="187" t="s">
        <v>388</v>
      </c>
      <c r="J151" s="187" t="s">
        <v>389</v>
      </c>
      <c r="K151" s="187" t="b">
        <v>1</v>
      </c>
      <c r="L151" s="187">
        <v>4.3</v>
      </c>
      <c r="M151" s="187">
        <v>0.24</v>
      </c>
      <c r="N151" s="187">
        <v>12.47</v>
      </c>
      <c r="O151" s="187">
        <v>2.9</v>
      </c>
      <c r="P151" s="187">
        <v>17.579999999999998</v>
      </c>
      <c r="Q151" s="187"/>
      <c r="R151" s="187"/>
      <c r="S151" s="187"/>
      <c r="T151" s="187"/>
      <c r="U151" s="187">
        <v>30.6</v>
      </c>
      <c r="V151" s="187">
        <v>3.4</v>
      </c>
      <c r="W151" s="188">
        <v>40669</v>
      </c>
      <c r="X151" s="691">
        <f t="shared" si="68"/>
        <v>2.9359999999999999</v>
      </c>
      <c r="Y151" s="691">
        <f t="shared" ref="Y151:Y214" si="76">IF($O151="","",IF($G151="Horizontal",O151*slope_FrontLoad_WF+int_FrontLoad_WF,IF($G151="Vertical",O151*slope_TopLoad_WF+int_TopLoad_WF,"")))</f>
        <v>3.08738</v>
      </c>
      <c r="Z151" s="189"/>
      <c r="AA151" s="190">
        <f t="shared" si="53"/>
        <v>2011</v>
      </c>
      <c r="AB151" s="191">
        <f t="shared" si="54"/>
        <v>1.4645776566757494</v>
      </c>
      <c r="AC151" s="192">
        <f>IF(AB151="","",AB151*SFAssumptions!$C$3)</f>
        <v>375.97656335149867</v>
      </c>
      <c r="AD151" s="193">
        <f t="shared" si="55"/>
        <v>13.275734</v>
      </c>
      <c r="AE151" s="194">
        <f>IF(AD151="","",AD151*SFAssumptions!$C$3)</f>
        <v>3408.0574850622002</v>
      </c>
      <c r="AF151" s="192">
        <f t="shared" si="75"/>
        <v>4.3</v>
      </c>
      <c r="AG151" s="192">
        <f t="shared" si="56"/>
        <v>3.08738</v>
      </c>
      <c r="AH151" s="192">
        <f t="shared" si="57"/>
        <v>2.9359999999999999</v>
      </c>
      <c r="AI151" s="692">
        <f ca="1">IF(AC151="","",AC151*SFAssumptions!$C$8/'SavingsData&amp;Analysis'!AF151)</f>
        <v>330.24795910071794</v>
      </c>
      <c r="AJ151" s="692">
        <f ca="1">IF(OR(AE151="",AF151=""),"",AE151*SFAssumptions!$C$8/AF151)</f>
        <v>2993.5483714911475</v>
      </c>
      <c r="AK151" s="191">
        <f t="shared" si="58"/>
        <v>1.2647058823529411</v>
      </c>
      <c r="AL151" s="692">
        <f>IF(AK151="","",AK151*SFAssumptions!$C$3)</f>
        <v>324.66682058823528</v>
      </c>
      <c r="AM151" s="193">
        <f t="shared" si="59"/>
        <v>12.469999999999999</v>
      </c>
      <c r="AN151" s="194">
        <f>IF(AM151="","",AM151*SFAssumptions!$C$3)</f>
        <v>3201.2148509999997</v>
      </c>
      <c r="AO151" s="693">
        <f t="shared" si="60"/>
        <v>2.9</v>
      </c>
      <c r="AP151" s="693">
        <f t="shared" si="61"/>
        <v>3.4</v>
      </c>
      <c r="AQ151" s="692">
        <f ca="1">IF(AL151="","",AL151*SFAssumptions!$C$8/'SavingsData&amp;Analysis'!AF151)</f>
        <v>285.17882585873753</v>
      </c>
      <c r="AR151" s="692">
        <f ca="1">IF(OR(AN151="",AF151=""),"",AN151*SFAssumptions!$C$8/AF151)</f>
        <v>2811.8632229671521</v>
      </c>
      <c r="AS151" s="190" t="str">
        <f>IF(OR(AG151="",AH151=""),"No",IF(AND(G151="Horizontal",AH151&gt;='Eff. Standards &amp; Certifications'!$B$21,AG151&lt;='Eff. Standards &amp; Certifications'!$C$21),"Consider",IF(AND(G151="Vertical",AH151&gt;='Eff. Standards &amp; Certifications'!$B$20,AG151&lt;='Eff. Standards &amp; Certifications'!$C$20),"Consider","No")))</f>
        <v>Consider</v>
      </c>
      <c r="AT151" s="190" t="str">
        <f t="shared" ref="AT151:AT214" si="77">J151</f>
        <v>Residential</v>
      </c>
      <c r="AU151" s="190"/>
      <c r="AV151" s="190" t="str">
        <f t="shared" si="72"/>
        <v>NO</v>
      </c>
      <c r="AW151" s="190" t="str">
        <f t="shared" si="72"/>
        <v>YES</v>
      </c>
      <c r="AX151" s="190" t="str">
        <f t="shared" si="62"/>
        <v>YES</v>
      </c>
      <c r="AY151" s="190" t="str">
        <f t="shared" ref="AY151:AZ214" si="78">IF(AND($AS151="Consider",$AT151="Residential",$G151=AY$18,$AH151&gt;=BB$3,$AG151&lt;=BB$6),"NO",IF(AND($AS151="Consider",$AT151="Residential",$G151=AY$18,$AH151&gt;=AY$3,$AG151&lt;=AY$6),"YES","NO"))</f>
        <v>NO</v>
      </c>
      <c r="AZ151" s="190" t="str">
        <f t="shared" si="78"/>
        <v>NO</v>
      </c>
      <c r="BA151" s="190" t="str">
        <f t="shared" si="63"/>
        <v>NO</v>
      </c>
      <c r="BB151" s="190" t="str">
        <f t="shared" ref="BB151:BB214" si="79">IF(AND($AS151="Consider",$AT151="Residential",$G151=BB$18,$AH151&gt;=BB$3,$AG151&lt;=BB$6),"YES","NO")</f>
        <v>NO</v>
      </c>
      <c r="BC151" s="190" t="str">
        <f t="shared" ref="BC151:BC214" si="80">IF(AND($G151=BC$18,$AS151="Consider",$AT151="Residential",$AH151&gt;=BC$3,$AH151&lt;=BC$4,$AG151&gt;=BC$5,$AG151&lt;=BC$6),"YES","NO")</f>
        <v>YES</v>
      </c>
      <c r="BD151" s="190" t="str">
        <f t="shared" si="64"/>
        <v>YES</v>
      </c>
      <c r="BE151" s="190" t="str">
        <f t="shared" ref="BE151:BE214" si="81">IF(AND($AS151="Consider",$AT151="Residential",$AH151&gt;=BG$3,$AG151&lt;=BG$6),"NO",IF(AND($AS151="Consider",$AT151="Residential",$AH151&gt;=BF$3,$AG151&lt;=BF$6),"NO",IF(AND($AS151="Consider",$AT151="Residential",$AH151&gt;=BE$3,$AG151&lt;=BE$6),"YES","NO")))</f>
        <v>NO</v>
      </c>
      <c r="BF151" s="190" t="str">
        <f t="shared" ref="BF151:BF214" si="82">IF(AND($AS151="Consider",$AT151="Residential",$AH151&gt;=BG$3,$AG151&lt;=BG$6),"NO",IF(AND($AS151="Consider",$AT151="Residential",$AH151&gt;=BF$3,$AG151&lt;=BF$6),"YES","NO"))</f>
        <v>NO</v>
      </c>
      <c r="BG151" s="190" t="str">
        <f t="shared" ref="BG151:BG214" si="83">IF(AND($AS151="Consider",$AT151="Residential",$AH151&gt;=BG$3,$AG151&lt;=BG$6),"YES","NO")</f>
        <v>YES</v>
      </c>
      <c r="BH151" s="88"/>
      <c r="BI151" s="9"/>
      <c r="BJ151" s="694" t="str">
        <f t="shared" si="73"/>
        <v/>
      </c>
      <c r="BK151" s="694">
        <f t="shared" si="73"/>
        <v>2.9359999999999999</v>
      </c>
      <c r="BL151" s="694" t="str">
        <f t="shared" si="74"/>
        <v/>
      </c>
      <c r="BM151" s="694">
        <f t="shared" si="74"/>
        <v>3.08738</v>
      </c>
      <c r="BN151" s="88"/>
      <c r="BO151" s="195"/>
      <c r="BP151" s="195"/>
      <c r="BQ151" s="195"/>
      <c r="BR151" s="195"/>
      <c r="BS151" s="195"/>
      <c r="BT151" s="195"/>
      <c r="BU151" s="195"/>
      <c r="BV151" s="195"/>
      <c r="BW151" s="195"/>
      <c r="BX151" s="195"/>
    </row>
    <row r="152" spans="1:76" s="124" customFormat="1" ht="15">
      <c r="A152" s="187">
        <v>5092</v>
      </c>
      <c r="B152" s="187" t="s">
        <v>490</v>
      </c>
      <c r="C152" s="187" t="s">
        <v>459</v>
      </c>
      <c r="D152" s="187" t="s">
        <v>510</v>
      </c>
      <c r="E152" s="187" t="s">
        <v>385</v>
      </c>
      <c r="F152" s="187" t="s">
        <v>386</v>
      </c>
      <c r="G152" s="187" t="s">
        <v>387</v>
      </c>
      <c r="H152" s="187" t="b">
        <v>0</v>
      </c>
      <c r="I152" s="187" t="s">
        <v>388</v>
      </c>
      <c r="J152" s="187" t="s">
        <v>389</v>
      </c>
      <c r="K152" s="187" t="b">
        <v>1</v>
      </c>
      <c r="L152" s="187">
        <v>4.3</v>
      </c>
      <c r="M152" s="187">
        <v>0.24</v>
      </c>
      <c r="N152" s="187">
        <v>12.04</v>
      </c>
      <c r="O152" s="187">
        <v>2.8</v>
      </c>
      <c r="P152" s="187">
        <v>17.579999999999998</v>
      </c>
      <c r="Q152" s="187"/>
      <c r="R152" s="187"/>
      <c r="S152" s="187"/>
      <c r="T152" s="187"/>
      <c r="U152" s="187">
        <v>30.6</v>
      </c>
      <c r="V152" s="187">
        <v>3.4</v>
      </c>
      <c r="W152" s="188">
        <v>40669</v>
      </c>
      <c r="X152" s="691">
        <f t="shared" si="68"/>
        <v>2.9359999999999999</v>
      </c>
      <c r="Y152" s="691">
        <f t="shared" si="76"/>
        <v>2.9849599999999996</v>
      </c>
      <c r="Z152" s="189"/>
      <c r="AA152" s="190">
        <f t="shared" ref="AA152:AA215" si="84">YEAR(W152)</f>
        <v>2011</v>
      </c>
      <c r="AB152" s="191">
        <f t="shared" ref="AB152:AB215" si="85">IF(OR(L152="",X152=""),"",L152/X152)</f>
        <v>1.4645776566757494</v>
      </c>
      <c r="AC152" s="192">
        <f>IF(AB152="","",AB152*SFAssumptions!$C$3)</f>
        <v>375.97656335149867</v>
      </c>
      <c r="AD152" s="193">
        <f t="shared" ref="AD152:AD215" si="86">IF(OR(Y152="",L152=""),"",Y152*L152)</f>
        <v>12.835327999999997</v>
      </c>
      <c r="AE152" s="194">
        <f>IF(AD152="","",AD152*SFAssumptions!$C$3)</f>
        <v>3294.9994074623992</v>
      </c>
      <c r="AF152" s="192">
        <f t="shared" si="75"/>
        <v>4.3</v>
      </c>
      <c r="AG152" s="192">
        <f t="shared" ref="AG152:AG215" si="87">IF(Y152="","",Y152)</f>
        <v>2.9849599999999996</v>
      </c>
      <c r="AH152" s="192">
        <f t="shared" ref="AH152:AH215" si="88">IF(X152="","",X152)</f>
        <v>2.9359999999999999</v>
      </c>
      <c r="AI152" s="692">
        <f ca="1">IF(AC152="","",AC152*SFAssumptions!$C$8/'SavingsData&amp;Analysis'!AF152)</f>
        <v>330.24795910071794</v>
      </c>
      <c r="AJ152" s="692">
        <f ca="1">IF(OR(AE152="",AF152=""),"",AE152*SFAssumptions!$C$8/AF152)</f>
        <v>2894.2411193200101</v>
      </c>
      <c r="AK152" s="191">
        <f t="shared" ref="AK152:AK215" si="89">IF(OR(L152="",V152=""),"",L152/V152)</f>
        <v>1.2647058823529411</v>
      </c>
      <c r="AL152" s="692">
        <f>IF(AK152="","",AK152*SFAssumptions!$C$3)</f>
        <v>324.66682058823528</v>
      </c>
      <c r="AM152" s="193">
        <f t="shared" ref="AM152:AM215" si="90">IF(OR(L152="",O152=""),"",O152*L152)</f>
        <v>12.04</v>
      </c>
      <c r="AN152" s="194">
        <f>IF(AM152="","",AM152*SFAssumptions!$C$3)</f>
        <v>3090.8281319999996</v>
      </c>
      <c r="AO152" s="693">
        <f t="shared" ref="AO152:AO215" si="91">IF(O152="","",O152)</f>
        <v>2.8</v>
      </c>
      <c r="AP152" s="693">
        <f t="shared" ref="AP152:AP215" si="92">IF(V152="","",V152)</f>
        <v>3.4</v>
      </c>
      <c r="AQ152" s="692">
        <f ca="1">IF(AL152="","",AL152*SFAssumptions!$C$8/'SavingsData&amp;Analysis'!AF152)</f>
        <v>285.17882585873753</v>
      </c>
      <c r="AR152" s="692">
        <f ca="1">IF(OR(AN152="",AF152=""),"",AN152*SFAssumptions!$C$8/AF152)</f>
        <v>2714.9024221751811</v>
      </c>
      <c r="AS152" s="190" t="str">
        <f>IF(OR(AG152="",AH152=""),"No",IF(AND(G152="Horizontal",AH152&gt;='Eff. Standards &amp; Certifications'!$B$21,AG152&lt;='Eff. Standards &amp; Certifications'!$C$21),"Consider",IF(AND(G152="Vertical",AH152&gt;='Eff. Standards &amp; Certifications'!$B$20,AG152&lt;='Eff. Standards &amp; Certifications'!$C$20),"Consider","No")))</f>
        <v>Consider</v>
      </c>
      <c r="AT152" s="190" t="str">
        <f t="shared" si="77"/>
        <v>Residential</v>
      </c>
      <c r="AU152" s="190"/>
      <c r="AV152" s="190" t="str">
        <f t="shared" si="72"/>
        <v>NO</v>
      </c>
      <c r="AW152" s="190" t="str">
        <f t="shared" si="72"/>
        <v>YES</v>
      </c>
      <c r="AX152" s="190" t="str">
        <f t="shared" ref="AX152:AX215" si="93">IF(OR(AV152="YES",AW152="YES"),"YES","NO")</f>
        <v>YES</v>
      </c>
      <c r="AY152" s="190" t="str">
        <f t="shared" si="78"/>
        <v>NO</v>
      </c>
      <c r="AZ152" s="190" t="str">
        <f t="shared" si="78"/>
        <v>NO</v>
      </c>
      <c r="BA152" s="190" t="str">
        <f t="shared" ref="BA152:BA215" si="94">IF(OR(AY152="YES",AZ152="YES"),"YES","NO")</f>
        <v>NO</v>
      </c>
      <c r="BB152" s="190" t="str">
        <f t="shared" si="79"/>
        <v>NO</v>
      </c>
      <c r="BC152" s="190" t="str">
        <f t="shared" si="80"/>
        <v>YES</v>
      </c>
      <c r="BD152" s="190" t="str">
        <f t="shared" ref="BD152:BD215" si="95">IF(OR(BB152="YES",BC152="YES"),"YES","NO")</f>
        <v>YES</v>
      </c>
      <c r="BE152" s="190" t="str">
        <f t="shared" si="81"/>
        <v>NO</v>
      </c>
      <c r="BF152" s="190" t="str">
        <f t="shared" si="82"/>
        <v>NO</v>
      </c>
      <c r="BG152" s="190" t="str">
        <f t="shared" si="83"/>
        <v>YES</v>
      </c>
      <c r="BH152" s="88"/>
      <c r="BI152" s="9"/>
      <c r="BJ152" s="694" t="str">
        <f t="shared" si="73"/>
        <v/>
      </c>
      <c r="BK152" s="694">
        <f t="shared" si="73"/>
        <v>2.9359999999999999</v>
      </c>
      <c r="BL152" s="694" t="str">
        <f t="shared" si="74"/>
        <v/>
      </c>
      <c r="BM152" s="694">
        <f t="shared" si="74"/>
        <v>2.9849599999999996</v>
      </c>
      <c r="BN152" s="88"/>
      <c r="BO152" s="195"/>
      <c r="BP152" s="195"/>
      <c r="BQ152" s="195"/>
      <c r="BR152" s="195"/>
      <c r="BS152" s="195"/>
      <c r="BT152" s="195"/>
      <c r="BU152" s="195"/>
      <c r="BV152" s="195"/>
      <c r="BW152" s="195"/>
      <c r="BX152" s="195"/>
    </row>
    <row r="153" spans="1:76" s="124" customFormat="1" ht="15">
      <c r="A153" s="187">
        <v>5723</v>
      </c>
      <c r="B153" s="187" t="s">
        <v>490</v>
      </c>
      <c r="C153" s="187" t="s">
        <v>459</v>
      </c>
      <c r="D153" s="187" t="s">
        <v>511</v>
      </c>
      <c r="E153" s="187" t="s">
        <v>385</v>
      </c>
      <c r="F153" s="187" t="s">
        <v>386</v>
      </c>
      <c r="G153" s="187" t="s">
        <v>387</v>
      </c>
      <c r="H153" s="187" t="b">
        <v>0</v>
      </c>
      <c r="I153" s="187" t="s">
        <v>388</v>
      </c>
      <c r="J153" s="187" t="s">
        <v>389</v>
      </c>
      <c r="K153" s="187" t="b">
        <v>1</v>
      </c>
      <c r="L153" s="187">
        <v>4.3</v>
      </c>
      <c r="M153" s="187">
        <v>0.28999999999999998</v>
      </c>
      <c r="N153" s="187">
        <v>12.9</v>
      </c>
      <c r="O153" s="187">
        <v>3</v>
      </c>
      <c r="P153" s="187">
        <v>14.52</v>
      </c>
      <c r="Q153" s="187"/>
      <c r="R153" s="187"/>
      <c r="S153" s="187"/>
      <c r="T153" s="187"/>
      <c r="U153" s="187">
        <v>31.3</v>
      </c>
      <c r="V153" s="187">
        <v>3.3</v>
      </c>
      <c r="W153" s="188">
        <v>41330</v>
      </c>
      <c r="X153" s="691">
        <f t="shared" si="68"/>
        <v>2.8445499999999999</v>
      </c>
      <c r="Y153" s="691">
        <f t="shared" si="76"/>
        <v>3.1898</v>
      </c>
      <c r="Z153" s="189"/>
      <c r="AA153" s="190">
        <f t="shared" si="84"/>
        <v>2013</v>
      </c>
      <c r="AB153" s="191">
        <f t="shared" si="85"/>
        <v>1.5116626531437309</v>
      </c>
      <c r="AC153" s="192">
        <f>IF(AB153="","",AB153*SFAssumptions!$C$3)</f>
        <v>388.06390817528256</v>
      </c>
      <c r="AD153" s="193">
        <f t="shared" si="86"/>
        <v>13.716139999999999</v>
      </c>
      <c r="AE153" s="194">
        <f>IF(AD153="","",AD153*SFAssumptions!$C$3)</f>
        <v>3521.1155626619998</v>
      </c>
      <c r="AF153" s="192">
        <f t="shared" si="75"/>
        <v>4.3</v>
      </c>
      <c r="AG153" s="192">
        <f t="shared" si="87"/>
        <v>3.1898</v>
      </c>
      <c r="AH153" s="192">
        <f t="shared" si="88"/>
        <v>2.8445499999999999</v>
      </c>
      <c r="AI153" s="692">
        <f ca="1">IF(AC153="","",AC153*SFAssumptions!$C$8/'SavingsData&amp;Analysis'!AF153)</f>
        <v>340.86516599100304</v>
      </c>
      <c r="AJ153" s="692">
        <f ca="1">IF(OR(AE153="",AF153=""),"",AE153*SFAssumptions!$C$8/AF153)</f>
        <v>3092.8556236622835</v>
      </c>
      <c r="AK153" s="191">
        <f t="shared" si="89"/>
        <v>1.303030303030303</v>
      </c>
      <c r="AL153" s="692">
        <f>IF(AK153="","",AK153*SFAssumptions!$C$3)</f>
        <v>334.50520909090909</v>
      </c>
      <c r="AM153" s="193">
        <f t="shared" si="90"/>
        <v>12.899999999999999</v>
      </c>
      <c r="AN153" s="194">
        <f>IF(AM153="","",AM153*SFAssumptions!$C$3)</f>
        <v>3311.6015699999998</v>
      </c>
      <c r="AO153" s="693">
        <f t="shared" si="91"/>
        <v>3</v>
      </c>
      <c r="AP153" s="693">
        <f t="shared" si="92"/>
        <v>3.3</v>
      </c>
      <c r="AQ153" s="692">
        <f ca="1">IF(AL153="","",AL153*SFAssumptions!$C$8/'SavingsData&amp;Analysis'!AF153)</f>
        <v>293.82060846051746</v>
      </c>
      <c r="AR153" s="692">
        <f ca="1">IF(OR(AN153="",AF153=""),"",AN153*SFAssumptions!$C$8/AF153)</f>
        <v>2908.8240237591231</v>
      </c>
      <c r="AS153" s="190" t="str">
        <f>IF(OR(AG153="",AH153=""),"No",IF(AND(G153="Horizontal",AH153&gt;='Eff. Standards &amp; Certifications'!$B$21,AG153&lt;='Eff. Standards &amp; Certifications'!$C$21),"Consider",IF(AND(G153="Vertical",AH153&gt;='Eff. Standards &amp; Certifications'!$B$20,AG153&lt;='Eff. Standards &amp; Certifications'!$C$20),"Consider","No")))</f>
        <v>Consider</v>
      </c>
      <c r="AT153" s="190" t="str">
        <f t="shared" si="77"/>
        <v>Residential</v>
      </c>
      <c r="AU153" s="190"/>
      <c r="AV153" s="190" t="str">
        <f t="shared" si="72"/>
        <v>NO</v>
      </c>
      <c r="AW153" s="190" t="str">
        <f t="shared" si="72"/>
        <v>YES</v>
      </c>
      <c r="AX153" s="190" t="str">
        <f t="shared" si="93"/>
        <v>YES</v>
      </c>
      <c r="AY153" s="190" t="str">
        <f t="shared" si="78"/>
        <v>NO</v>
      </c>
      <c r="AZ153" s="190" t="str">
        <f t="shared" si="78"/>
        <v>NO</v>
      </c>
      <c r="BA153" s="190" t="str">
        <f t="shared" si="94"/>
        <v>NO</v>
      </c>
      <c r="BB153" s="190" t="str">
        <f t="shared" si="79"/>
        <v>NO</v>
      </c>
      <c r="BC153" s="190" t="str">
        <f t="shared" si="80"/>
        <v>YES</v>
      </c>
      <c r="BD153" s="190" t="str">
        <f t="shared" si="95"/>
        <v>YES</v>
      </c>
      <c r="BE153" s="190" t="str">
        <f t="shared" si="81"/>
        <v>NO</v>
      </c>
      <c r="BF153" s="190" t="str">
        <f t="shared" si="82"/>
        <v>YES</v>
      </c>
      <c r="BG153" s="190" t="str">
        <f t="shared" si="83"/>
        <v>NO</v>
      </c>
      <c r="BH153" s="88"/>
      <c r="BI153" s="9"/>
      <c r="BJ153" s="694" t="str">
        <f t="shared" si="73"/>
        <v/>
      </c>
      <c r="BK153" s="694">
        <f t="shared" si="73"/>
        <v>2.8445499999999999</v>
      </c>
      <c r="BL153" s="694" t="str">
        <f t="shared" si="74"/>
        <v/>
      </c>
      <c r="BM153" s="694">
        <f t="shared" si="74"/>
        <v>3.1898</v>
      </c>
      <c r="BN153" s="88"/>
      <c r="BO153" s="195"/>
      <c r="BP153" s="195"/>
      <c r="BQ153" s="195"/>
      <c r="BR153" s="195"/>
      <c r="BS153" s="195"/>
      <c r="BT153" s="195"/>
      <c r="BU153" s="195"/>
      <c r="BV153" s="195"/>
      <c r="BW153" s="195"/>
      <c r="BX153" s="195"/>
    </row>
    <row r="154" spans="1:76" s="124" customFormat="1" ht="15">
      <c r="A154" s="187">
        <v>6531</v>
      </c>
      <c r="B154" s="187" t="s">
        <v>490</v>
      </c>
      <c r="C154" s="187" t="s">
        <v>459</v>
      </c>
      <c r="D154" s="187" t="s">
        <v>1323</v>
      </c>
      <c r="E154" s="187" t="s">
        <v>385</v>
      </c>
      <c r="F154" s="187" t="s">
        <v>386</v>
      </c>
      <c r="G154" s="187" t="s">
        <v>387</v>
      </c>
      <c r="H154" s="187" t="b">
        <v>0</v>
      </c>
      <c r="I154" s="187" t="s">
        <v>388</v>
      </c>
      <c r="J154" s="187" t="s">
        <v>389</v>
      </c>
      <c r="K154" s="187" t="b">
        <v>1</v>
      </c>
      <c r="L154" s="187">
        <v>4.5</v>
      </c>
      <c r="M154" s="187">
        <v>0.37</v>
      </c>
      <c r="N154" s="187">
        <v>13.13</v>
      </c>
      <c r="O154" s="187">
        <v>2.9</v>
      </c>
      <c r="P154" s="187">
        <v>12.08</v>
      </c>
      <c r="Q154" s="187"/>
      <c r="R154" s="187"/>
      <c r="S154" s="187"/>
      <c r="T154" s="187"/>
      <c r="U154" s="187">
        <v>29</v>
      </c>
      <c r="V154" s="187">
        <v>2.83</v>
      </c>
      <c r="W154" s="188">
        <v>41866</v>
      </c>
      <c r="X154" s="691">
        <f t="shared" si="68"/>
        <v>2.4147350000000003</v>
      </c>
      <c r="Y154" s="691">
        <f t="shared" si="76"/>
        <v>3.08738</v>
      </c>
      <c r="Z154" s="189"/>
      <c r="AA154" s="190">
        <f t="shared" si="84"/>
        <v>2014</v>
      </c>
      <c r="AB154" s="191">
        <f t="shared" si="85"/>
        <v>1.8635585271261648</v>
      </c>
      <c r="AC154" s="192">
        <f>IF(AB154="","",AB154*SFAssumptions!$C$3)</f>
        <v>478.40025924169726</v>
      </c>
      <c r="AD154" s="193">
        <f t="shared" si="86"/>
        <v>13.89321</v>
      </c>
      <c r="AE154" s="194">
        <f>IF(AD154="","",AD154*SFAssumptions!$C$3)</f>
        <v>3566.5717866929999</v>
      </c>
      <c r="AF154" s="192">
        <f t="shared" si="75"/>
        <v>4.5</v>
      </c>
      <c r="AG154" s="192">
        <f t="shared" si="87"/>
        <v>3.08738</v>
      </c>
      <c r="AH154" s="192">
        <f t="shared" si="88"/>
        <v>2.4147350000000003</v>
      </c>
      <c r="AI154" s="692">
        <f ca="1">IF(AC154="","",AC154*SFAssumptions!$C$8/'SavingsData&amp;Analysis'!AF154)</f>
        <v>401.53806025079666</v>
      </c>
      <c r="AJ154" s="692">
        <f ca="1">IF(OR(AE154="",AF154=""),"",AE154*SFAssumptions!$C$8/AF154)</f>
        <v>2993.548371491147</v>
      </c>
      <c r="AK154" s="191">
        <f t="shared" si="89"/>
        <v>1.5901060070671378</v>
      </c>
      <c r="AL154" s="692">
        <f>IF(AK154="","",AK154*SFAssumptions!$C$3)</f>
        <v>408.20136042402828</v>
      </c>
      <c r="AM154" s="193">
        <f t="shared" si="90"/>
        <v>13.049999999999999</v>
      </c>
      <c r="AN154" s="194">
        <f>IF(AM154="","",AM154*SFAssumptions!$C$3)</f>
        <v>3350.108565</v>
      </c>
      <c r="AO154" s="693">
        <f t="shared" si="91"/>
        <v>2.9</v>
      </c>
      <c r="AP154" s="693">
        <f t="shared" si="92"/>
        <v>2.83</v>
      </c>
      <c r="AQ154" s="692">
        <f ca="1">IF(AL154="","",AL154*SFAssumptions!$C$8/'SavingsData&amp;Analysis'!AF154)</f>
        <v>342.61767064300625</v>
      </c>
      <c r="AR154" s="692">
        <f ca="1">IF(OR(AN154="",AF154=""),"",AN154*SFAssumptions!$C$8/AF154)</f>
        <v>2811.8632229671521</v>
      </c>
      <c r="AS154" s="190" t="str">
        <f>IF(OR(AG154="",AH154=""),"No",IF(AND(G154="Horizontal",AH154&gt;='Eff. Standards &amp; Certifications'!$B$21,AG154&lt;='Eff. Standards &amp; Certifications'!$C$21),"Consider",IF(AND(G154="Vertical",AH154&gt;='Eff. Standards &amp; Certifications'!$B$20,AG154&lt;='Eff. Standards &amp; Certifications'!$C$20),"Consider","No")))</f>
        <v>Consider</v>
      </c>
      <c r="AT154" s="190" t="str">
        <f t="shared" si="77"/>
        <v>Residential</v>
      </c>
      <c r="AU154" s="190"/>
      <c r="AV154" s="190" t="str">
        <f t="shared" si="72"/>
        <v>NO</v>
      </c>
      <c r="AW154" s="190" t="str">
        <f t="shared" si="72"/>
        <v>YES</v>
      </c>
      <c r="AX154" s="190" t="str">
        <f t="shared" si="93"/>
        <v>YES</v>
      </c>
      <c r="AY154" s="190" t="str">
        <f t="shared" si="78"/>
        <v>NO</v>
      </c>
      <c r="AZ154" s="190" t="str">
        <f t="shared" si="78"/>
        <v>NO</v>
      </c>
      <c r="BA154" s="190" t="str">
        <f t="shared" si="94"/>
        <v>NO</v>
      </c>
      <c r="BB154" s="190" t="str">
        <f t="shared" si="79"/>
        <v>NO</v>
      </c>
      <c r="BC154" s="190" t="str">
        <f t="shared" si="80"/>
        <v>YES</v>
      </c>
      <c r="BD154" s="190" t="str">
        <f t="shared" si="95"/>
        <v>YES</v>
      </c>
      <c r="BE154" s="190" t="str">
        <f t="shared" si="81"/>
        <v>YES</v>
      </c>
      <c r="BF154" s="190" t="str">
        <f t="shared" si="82"/>
        <v>NO</v>
      </c>
      <c r="BG154" s="190" t="str">
        <f t="shared" si="83"/>
        <v>NO</v>
      </c>
      <c r="BH154" s="88"/>
      <c r="BI154" s="9"/>
      <c r="BJ154" s="694" t="str">
        <f t="shared" si="73"/>
        <v/>
      </c>
      <c r="BK154" s="694">
        <f t="shared" si="73"/>
        <v>2.4147350000000003</v>
      </c>
      <c r="BL154" s="694" t="str">
        <f t="shared" si="74"/>
        <v/>
      </c>
      <c r="BM154" s="694">
        <f t="shared" si="74"/>
        <v>3.08738</v>
      </c>
      <c r="BN154" s="88"/>
      <c r="BO154" s="195"/>
      <c r="BP154" s="195"/>
      <c r="BQ154" s="195"/>
      <c r="BR154" s="195"/>
      <c r="BS154" s="195"/>
      <c r="BT154" s="195"/>
      <c r="BU154" s="195"/>
      <c r="BV154" s="195"/>
      <c r="BW154" s="195"/>
      <c r="BX154" s="195"/>
    </row>
    <row r="155" spans="1:76" s="124" customFormat="1" ht="15">
      <c r="A155" s="187">
        <v>4824</v>
      </c>
      <c r="B155" s="187" t="s">
        <v>490</v>
      </c>
      <c r="C155" s="187" t="s">
        <v>459</v>
      </c>
      <c r="D155" s="187" t="s">
        <v>512</v>
      </c>
      <c r="E155" s="187" t="s">
        <v>385</v>
      </c>
      <c r="F155" s="187" t="s">
        <v>386</v>
      </c>
      <c r="G155" s="187" t="s">
        <v>387</v>
      </c>
      <c r="H155" s="187" t="b">
        <v>0</v>
      </c>
      <c r="I155" s="187" t="s">
        <v>388</v>
      </c>
      <c r="J155" s="187" t="s">
        <v>389</v>
      </c>
      <c r="K155" s="187" t="b">
        <v>1</v>
      </c>
      <c r="L155" s="187">
        <v>4.2</v>
      </c>
      <c r="M155" s="187">
        <v>0.28000000000000003</v>
      </c>
      <c r="N155" s="187">
        <v>14.34</v>
      </c>
      <c r="O155" s="187">
        <v>3.4</v>
      </c>
      <c r="P155" s="187">
        <v>15.14</v>
      </c>
      <c r="Q155" s="187"/>
      <c r="R155" s="187"/>
      <c r="S155" s="187"/>
      <c r="T155" s="187"/>
      <c r="U155" s="187">
        <v>34.200000000000003</v>
      </c>
      <c r="V155" s="187">
        <v>2.99</v>
      </c>
      <c r="W155" s="188">
        <v>40626</v>
      </c>
      <c r="X155" s="691">
        <f t="shared" si="68"/>
        <v>2.5610550000000005</v>
      </c>
      <c r="Y155" s="691">
        <f t="shared" si="76"/>
        <v>3.5994799999999998</v>
      </c>
      <c r="Z155" s="189"/>
      <c r="AA155" s="190">
        <f t="shared" si="84"/>
        <v>2011</v>
      </c>
      <c r="AB155" s="191">
        <f t="shared" si="85"/>
        <v>1.6399491615759909</v>
      </c>
      <c r="AC155" s="192">
        <f>IF(AB155="","",AB155*SFAssumptions!$C$3)</f>
        <v>420.99676110040582</v>
      </c>
      <c r="AD155" s="193">
        <f t="shared" si="86"/>
        <v>15.117815999999999</v>
      </c>
      <c r="AE155" s="194">
        <f>IF(AD155="","",AD155*SFAssumptions!$C$3)</f>
        <v>3880.9444341528001</v>
      </c>
      <c r="AF155" s="192">
        <f t="shared" si="75"/>
        <v>4.2</v>
      </c>
      <c r="AG155" s="192">
        <f t="shared" si="87"/>
        <v>3.5994799999999998</v>
      </c>
      <c r="AH155" s="192">
        <f t="shared" si="88"/>
        <v>2.5610550000000005</v>
      </c>
      <c r="AI155" s="692">
        <f ca="1">IF(AC155="","",AC155*SFAssumptions!$C$8/'SavingsData&amp;Analysis'!AF155)</f>
        <v>378.59710467745026</v>
      </c>
      <c r="AJ155" s="692">
        <f ca="1">IF(OR(AE155="",AF155=""),"",AE155*SFAssumptions!$C$8/AF155)</f>
        <v>3490.084632346829</v>
      </c>
      <c r="AK155" s="191">
        <f t="shared" si="89"/>
        <v>1.4046822742474916</v>
      </c>
      <c r="AL155" s="692">
        <f>IF(AK155="","",AK155*SFAssumptions!$C$3)</f>
        <v>360.60062207357856</v>
      </c>
      <c r="AM155" s="193">
        <f t="shared" si="90"/>
        <v>14.28</v>
      </c>
      <c r="AN155" s="194">
        <f>IF(AM155="","",AM155*SFAssumptions!$C$3)</f>
        <v>3665.8659239999997</v>
      </c>
      <c r="AO155" s="693">
        <f t="shared" si="91"/>
        <v>3.4</v>
      </c>
      <c r="AP155" s="693">
        <f t="shared" si="92"/>
        <v>2.99</v>
      </c>
      <c r="AQ155" s="692">
        <f ca="1">IF(AL155="","",AL155*SFAssumptions!$C$8/'SavingsData&amp;Analysis'!AF155)</f>
        <v>324.28361468886538</v>
      </c>
      <c r="AR155" s="692">
        <f ca="1">IF(OR(AN155="",AF155=""),"",AN155*SFAssumptions!$C$8/AF155)</f>
        <v>3296.6672269270057</v>
      </c>
      <c r="AS155" s="190" t="str">
        <f>IF(OR(AG155="",AH155=""),"No",IF(AND(G155="Horizontal",AH155&gt;='Eff. Standards &amp; Certifications'!$B$21,AG155&lt;='Eff. Standards &amp; Certifications'!$C$21),"Consider",IF(AND(G155="Vertical",AH155&gt;='Eff. Standards &amp; Certifications'!$B$20,AG155&lt;='Eff. Standards &amp; Certifications'!$C$20),"Consider","No")))</f>
        <v>Consider</v>
      </c>
      <c r="AT155" s="190" t="str">
        <f t="shared" si="77"/>
        <v>Residential</v>
      </c>
      <c r="AU155" s="190"/>
      <c r="AV155" s="190" t="str">
        <f t="shared" si="72"/>
        <v>NO</v>
      </c>
      <c r="AW155" s="190" t="str">
        <f t="shared" si="72"/>
        <v>YES</v>
      </c>
      <c r="AX155" s="190" t="str">
        <f t="shared" si="93"/>
        <v>YES</v>
      </c>
      <c r="AY155" s="190" t="str">
        <f t="shared" si="78"/>
        <v>NO</v>
      </c>
      <c r="AZ155" s="190" t="str">
        <f t="shared" si="78"/>
        <v>NO</v>
      </c>
      <c r="BA155" s="190" t="str">
        <f t="shared" si="94"/>
        <v>NO</v>
      </c>
      <c r="BB155" s="190" t="str">
        <f t="shared" si="79"/>
        <v>NO</v>
      </c>
      <c r="BC155" s="190" t="str">
        <f t="shared" si="80"/>
        <v>YES</v>
      </c>
      <c r="BD155" s="190" t="str">
        <f t="shared" si="95"/>
        <v>YES</v>
      </c>
      <c r="BE155" s="190" t="str">
        <f t="shared" si="81"/>
        <v>YES</v>
      </c>
      <c r="BF155" s="190" t="str">
        <f t="shared" si="82"/>
        <v>NO</v>
      </c>
      <c r="BG155" s="190" t="str">
        <f t="shared" si="83"/>
        <v>NO</v>
      </c>
      <c r="BH155" s="88"/>
      <c r="BI155" s="9"/>
      <c r="BJ155" s="694" t="str">
        <f t="shared" si="73"/>
        <v/>
      </c>
      <c r="BK155" s="694">
        <f t="shared" si="73"/>
        <v>2.5610550000000005</v>
      </c>
      <c r="BL155" s="694" t="str">
        <f t="shared" si="74"/>
        <v/>
      </c>
      <c r="BM155" s="694">
        <f t="shared" si="74"/>
        <v>3.5994799999999998</v>
      </c>
      <c r="BN155" s="88"/>
      <c r="BO155" s="195"/>
      <c r="BP155" s="195"/>
      <c r="BQ155" s="195"/>
      <c r="BR155" s="195"/>
      <c r="BS155" s="195"/>
      <c r="BT155" s="195"/>
      <c r="BU155" s="195"/>
      <c r="BV155" s="195"/>
      <c r="BW155" s="195"/>
      <c r="BX155" s="195"/>
    </row>
    <row r="156" spans="1:76" s="124" customFormat="1" ht="15">
      <c r="A156" s="187">
        <v>661</v>
      </c>
      <c r="B156" s="187" t="s">
        <v>490</v>
      </c>
      <c r="C156" s="187" t="s">
        <v>459</v>
      </c>
      <c r="D156" s="187" t="s">
        <v>513</v>
      </c>
      <c r="E156" s="187" t="s">
        <v>385</v>
      </c>
      <c r="F156" s="187" t="s">
        <v>386</v>
      </c>
      <c r="G156" s="187" t="s">
        <v>387</v>
      </c>
      <c r="H156" s="187" t="b">
        <v>0</v>
      </c>
      <c r="I156" s="187" t="s">
        <v>388</v>
      </c>
      <c r="J156" s="187" t="s">
        <v>389</v>
      </c>
      <c r="K156" s="187" t="b">
        <v>1</v>
      </c>
      <c r="L156" s="187">
        <v>3.2</v>
      </c>
      <c r="M156" s="187">
        <v>0.39</v>
      </c>
      <c r="N156" s="187">
        <v>10.78</v>
      </c>
      <c r="O156" s="187">
        <v>3.4</v>
      </c>
      <c r="P156" s="187">
        <v>8.14</v>
      </c>
      <c r="Q156" s="187"/>
      <c r="R156" s="187"/>
      <c r="S156" s="187"/>
      <c r="T156" s="187"/>
      <c r="U156" s="187">
        <v>40.4</v>
      </c>
      <c r="V156" s="187">
        <v>2.2400000000000002</v>
      </c>
      <c r="W156" s="188">
        <v>40081</v>
      </c>
      <c r="X156" s="691">
        <f t="shared" si="68"/>
        <v>1.8751800000000001</v>
      </c>
      <c r="Y156" s="691">
        <f t="shared" si="76"/>
        <v>3.5994799999999998</v>
      </c>
      <c r="Z156" s="189"/>
      <c r="AA156" s="190">
        <f t="shared" si="84"/>
        <v>2009</v>
      </c>
      <c r="AB156" s="191">
        <f t="shared" si="85"/>
        <v>1.7065028423937969</v>
      </c>
      <c r="AC156" s="192">
        <f>IF(AB156="","",AB156*SFAssumptions!$C$3)</f>
        <v>438.08197613029154</v>
      </c>
      <c r="AD156" s="193">
        <f t="shared" si="86"/>
        <v>11.518336</v>
      </c>
      <c r="AE156" s="194">
        <f>IF(AD156="","",AD156*SFAssumptions!$C$3)</f>
        <v>2956.9100450688002</v>
      </c>
      <c r="AF156" s="192">
        <f t="shared" si="75"/>
        <v>3.2</v>
      </c>
      <c r="AG156" s="192">
        <f t="shared" si="87"/>
        <v>3.5994799999999998</v>
      </c>
      <c r="AH156" s="192">
        <f t="shared" si="88"/>
        <v>1.8751800000000001</v>
      </c>
      <c r="AI156" s="692">
        <f ca="1">IF(AC156="","",AC156*SFAssumptions!$C$8/'SavingsData&amp;Analysis'!AF156)</f>
        <v>517.07463172586506</v>
      </c>
      <c r="AJ156" s="692">
        <f ca="1">IF(OR(AE156="",AF156=""),"",AE156*SFAssumptions!$C$8/AF156)</f>
        <v>3490.0846323468295</v>
      </c>
      <c r="AK156" s="191">
        <f t="shared" si="89"/>
        <v>1.4285714285714286</v>
      </c>
      <c r="AL156" s="692">
        <f>IF(AK156="","",AK156*SFAssumptions!$C$3)</f>
        <v>366.73328571428573</v>
      </c>
      <c r="AM156" s="193">
        <f t="shared" si="90"/>
        <v>10.88</v>
      </c>
      <c r="AN156" s="194">
        <f>IF(AM156="","",AM156*SFAssumptions!$C$3)</f>
        <v>2793.0407040000005</v>
      </c>
      <c r="AO156" s="693">
        <f t="shared" si="91"/>
        <v>3.4</v>
      </c>
      <c r="AP156" s="693">
        <f t="shared" si="92"/>
        <v>2.2400000000000002</v>
      </c>
      <c r="AQ156" s="692">
        <f ca="1">IF(AL156="","",AL156*SFAssumptions!$C$8/'SavingsData&amp;Analysis'!AF156)</f>
        <v>432.86071782129807</v>
      </c>
      <c r="AR156" s="692">
        <f ca="1">IF(OR(AN156="",AF156=""),"",AN156*SFAssumptions!$C$8/AF156)</f>
        <v>3296.6672269270066</v>
      </c>
      <c r="AS156" s="190" t="str">
        <f>IF(OR(AG156="",AH156=""),"No",IF(AND(G156="Horizontal",AH156&gt;='Eff. Standards &amp; Certifications'!$B$21,AG156&lt;='Eff. Standards &amp; Certifications'!$C$21),"Consider",IF(AND(G156="Vertical",AH156&gt;='Eff. Standards &amp; Certifications'!$B$20,AG156&lt;='Eff. Standards &amp; Certifications'!$C$20),"Consider","No")))</f>
        <v>Consider</v>
      </c>
      <c r="AT156" s="190" t="str">
        <f t="shared" si="77"/>
        <v>Residential</v>
      </c>
      <c r="AU156" s="190"/>
      <c r="AV156" s="190" t="str">
        <f t="shared" si="72"/>
        <v>NO</v>
      </c>
      <c r="AW156" s="190" t="str">
        <f t="shared" si="72"/>
        <v>YES</v>
      </c>
      <c r="AX156" s="190" t="str">
        <f t="shared" si="93"/>
        <v>YES</v>
      </c>
      <c r="AY156" s="190" t="str">
        <f t="shared" si="78"/>
        <v>NO</v>
      </c>
      <c r="AZ156" s="190" t="str">
        <f t="shared" si="78"/>
        <v>YES</v>
      </c>
      <c r="BA156" s="190" t="str">
        <f t="shared" si="94"/>
        <v>YES</v>
      </c>
      <c r="BB156" s="190" t="str">
        <f t="shared" si="79"/>
        <v>NO</v>
      </c>
      <c r="BC156" s="190" t="str">
        <f t="shared" si="80"/>
        <v>NO</v>
      </c>
      <c r="BD156" s="190" t="str">
        <f t="shared" si="95"/>
        <v>NO</v>
      </c>
      <c r="BE156" s="190" t="str">
        <f t="shared" si="81"/>
        <v>NO</v>
      </c>
      <c r="BF156" s="190" t="str">
        <f t="shared" si="82"/>
        <v>NO</v>
      </c>
      <c r="BG156" s="190" t="str">
        <f t="shared" si="83"/>
        <v>NO</v>
      </c>
      <c r="BH156" s="88"/>
      <c r="BI156" s="9"/>
      <c r="BJ156" s="694" t="str">
        <f t="shared" si="73"/>
        <v/>
      </c>
      <c r="BK156" s="694">
        <f t="shared" si="73"/>
        <v>1.8751800000000001</v>
      </c>
      <c r="BL156" s="694" t="str">
        <f t="shared" si="74"/>
        <v/>
      </c>
      <c r="BM156" s="694">
        <f t="shared" si="74"/>
        <v>3.5994799999999998</v>
      </c>
      <c r="BN156" s="88"/>
      <c r="BO156" s="195"/>
      <c r="BP156" s="195"/>
      <c r="BQ156" s="195"/>
      <c r="BR156" s="195"/>
      <c r="BS156" s="195"/>
      <c r="BT156" s="195"/>
      <c r="BU156" s="195"/>
      <c r="BV156" s="195"/>
      <c r="BW156" s="195"/>
      <c r="BX156" s="195"/>
    </row>
    <row r="157" spans="1:76" s="124" customFormat="1" ht="15">
      <c r="A157" s="187">
        <v>514</v>
      </c>
      <c r="B157" s="187" t="s">
        <v>490</v>
      </c>
      <c r="C157" s="187" t="s">
        <v>1324</v>
      </c>
      <c r="D157" s="187" t="s">
        <v>514</v>
      </c>
      <c r="E157" s="187" t="s">
        <v>385</v>
      </c>
      <c r="F157" s="187" t="s">
        <v>386</v>
      </c>
      <c r="G157" s="187" t="s">
        <v>387</v>
      </c>
      <c r="H157" s="187" t="b">
        <v>0</v>
      </c>
      <c r="I157" s="187" t="s">
        <v>388</v>
      </c>
      <c r="J157" s="187" t="s">
        <v>389</v>
      </c>
      <c r="K157" s="187" t="b">
        <v>1</v>
      </c>
      <c r="L157" s="187">
        <v>3.6</v>
      </c>
      <c r="M157" s="187">
        <v>0.36</v>
      </c>
      <c r="N157" s="187">
        <v>13.25</v>
      </c>
      <c r="O157" s="187">
        <v>3.7</v>
      </c>
      <c r="P157" s="187">
        <v>11</v>
      </c>
      <c r="Q157" s="187"/>
      <c r="R157" s="187"/>
      <c r="S157" s="187"/>
      <c r="T157" s="187"/>
      <c r="U157" s="187">
        <v>33.4</v>
      </c>
      <c r="V157" s="187">
        <v>2.6</v>
      </c>
      <c r="W157" s="188">
        <v>40309</v>
      </c>
      <c r="X157" s="691">
        <f t="shared" si="68"/>
        <v>2.2043999999999997</v>
      </c>
      <c r="Y157" s="691">
        <f t="shared" si="76"/>
        <v>3.9067400000000001</v>
      </c>
      <c r="Z157" s="189"/>
      <c r="AA157" s="190">
        <f t="shared" si="84"/>
        <v>2010</v>
      </c>
      <c r="AB157" s="191">
        <f t="shared" si="85"/>
        <v>1.6330974414806754</v>
      </c>
      <c r="AC157" s="192">
        <f>IF(AB157="","",AB157*SFAssumptions!$C$3)</f>
        <v>419.23783342406108</v>
      </c>
      <c r="AD157" s="193">
        <f t="shared" si="86"/>
        <v>14.064264000000001</v>
      </c>
      <c r="AE157" s="194">
        <f>IF(AD157="","",AD157*SFAssumptions!$C$3)</f>
        <v>3610.4836235112002</v>
      </c>
      <c r="AF157" s="192">
        <f t="shared" si="75"/>
        <v>3.6</v>
      </c>
      <c r="AG157" s="192">
        <f t="shared" si="87"/>
        <v>3.9067400000000001</v>
      </c>
      <c r="AH157" s="192">
        <f t="shared" si="88"/>
        <v>2.2043999999999997</v>
      </c>
      <c r="AI157" s="692">
        <f ca="1">IF(AC157="","",AC157*SFAssumptions!$C$8/'SavingsData&amp;Analysis'!AF157)</f>
        <v>439.85121027023587</v>
      </c>
      <c r="AJ157" s="692">
        <f ca="1">IF(OR(AE157="",AF157=""),"",AE157*SFAssumptions!$C$8/AF157)</f>
        <v>3788.006388860239</v>
      </c>
      <c r="AK157" s="191">
        <f t="shared" si="89"/>
        <v>1.3846153846153846</v>
      </c>
      <c r="AL157" s="692">
        <f>IF(AK157="","",AK157*SFAssumptions!$C$3)</f>
        <v>355.44918461538464</v>
      </c>
      <c r="AM157" s="193">
        <f t="shared" si="90"/>
        <v>13.32</v>
      </c>
      <c r="AN157" s="194">
        <f>IF(AM157="","",AM157*SFAssumptions!$C$3)</f>
        <v>3419.4211560000003</v>
      </c>
      <c r="AO157" s="693">
        <f t="shared" si="91"/>
        <v>3.7</v>
      </c>
      <c r="AP157" s="693">
        <f t="shared" si="92"/>
        <v>2.6</v>
      </c>
      <c r="AQ157" s="692">
        <f ca="1">IF(AL157="","",AL157*SFAssumptions!$C$8/'SavingsData&amp;Analysis'!AF157)</f>
        <v>372.92615689219531</v>
      </c>
      <c r="AR157" s="692">
        <f ca="1">IF(OR(AN157="",AF157=""),"",AN157*SFAssumptions!$C$8/AF157)</f>
        <v>3587.5496293029187</v>
      </c>
      <c r="AS157" s="190" t="str">
        <f>IF(OR(AG157="",AH157=""),"No",IF(AND(G157="Horizontal",AH157&gt;='Eff. Standards &amp; Certifications'!$B$21,AG157&lt;='Eff. Standards &amp; Certifications'!$C$21),"Consider",IF(AND(G157="Vertical",AH157&gt;='Eff. Standards &amp; Certifications'!$B$20,AG157&lt;='Eff. Standards &amp; Certifications'!$C$20),"Consider","No")))</f>
        <v>Consider</v>
      </c>
      <c r="AT157" s="190" t="str">
        <f t="shared" si="77"/>
        <v>Residential</v>
      </c>
      <c r="AU157" s="190"/>
      <c r="AV157" s="190" t="str">
        <f t="shared" si="72"/>
        <v>NO</v>
      </c>
      <c r="AW157" s="190" t="str">
        <f t="shared" si="72"/>
        <v>YES</v>
      </c>
      <c r="AX157" s="190" t="str">
        <f t="shared" si="93"/>
        <v>YES</v>
      </c>
      <c r="AY157" s="190" t="str">
        <f t="shared" si="78"/>
        <v>NO</v>
      </c>
      <c r="AZ157" s="190" t="str">
        <f t="shared" si="78"/>
        <v>YES</v>
      </c>
      <c r="BA157" s="190" t="str">
        <f t="shared" si="94"/>
        <v>YES</v>
      </c>
      <c r="BB157" s="190" t="str">
        <f t="shared" si="79"/>
        <v>NO</v>
      </c>
      <c r="BC157" s="190" t="str">
        <f t="shared" si="80"/>
        <v>NO</v>
      </c>
      <c r="BD157" s="190" t="str">
        <f t="shared" si="95"/>
        <v>NO</v>
      </c>
      <c r="BE157" s="190" t="str">
        <f t="shared" si="81"/>
        <v>NO</v>
      </c>
      <c r="BF157" s="190" t="str">
        <f t="shared" si="82"/>
        <v>NO</v>
      </c>
      <c r="BG157" s="190" t="str">
        <f t="shared" si="83"/>
        <v>NO</v>
      </c>
      <c r="BH157" s="88"/>
      <c r="BI157" s="9"/>
      <c r="BJ157" s="694" t="str">
        <f t="shared" si="73"/>
        <v/>
      </c>
      <c r="BK157" s="694">
        <f t="shared" si="73"/>
        <v>2.2043999999999997</v>
      </c>
      <c r="BL157" s="694" t="str">
        <f t="shared" si="74"/>
        <v/>
      </c>
      <c r="BM157" s="694">
        <f t="shared" si="74"/>
        <v>3.9067400000000001</v>
      </c>
      <c r="BN157" s="88"/>
      <c r="BO157" s="195"/>
      <c r="BP157" s="195"/>
      <c r="BQ157" s="195"/>
      <c r="BR157" s="195"/>
      <c r="BS157" s="195"/>
      <c r="BT157" s="195"/>
      <c r="BU157" s="195"/>
      <c r="BV157" s="195"/>
      <c r="BW157" s="195"/>
      <c r="BX157" s="195"/>
    </row>
    <row r="158" spans="1:76" s="124" customFormat="1" ht="15">
      <c r="A158" s="187">
        <v>6152</v>
      </c>
      <c r="B158" s="187" t="s">
        <v>490</v>
      </c>
      <c r="C158" s="187" t="s">
        <v>1324</v>
      </c>
      <c r="D158" s="187" t="s">
        <v>1325</v>
      </c>
      <c r="E158" s="187" t="s">
        <v>385</v>
      </c>
      <c r="F158" s="187" t="s">
        <v>386</v>
      </c>
      <c r="G158" s="187" t="s">
        <v>387</v>
      </c>
      <c r="H158" s="187" t="b">
        <v>0</v>
      </c>
      <c r="I158" s="187" t="s">
        <v>388</v>
      </c>
      <c r="J158" s="187" t="s">
        <v>389</v>
      </c>
      <c r="K158" s="187" t="b">
        <v>1</v>
      </c>
      <c r="L158" s="187">
        <v>5.2</v>
      </c>
      <c r="M158" s="187">
        <v>0.5</v>
      </c>
      <c r="N158" s="187">
        <v>24</v>
      </c>
      <c r="O158" s="187">
        <v>4</v>
      </c>
      <c r="P158" s="187">
        <v>67.95</v>
      </c>
      <c r="Q158" s="187"/>
      <c r="R158" s="187"/>
      <c r="S158" s="187"/>
      <c r="T158" s="187"/>
      <c r="U158" s="187">
        <v>37</v>
      </c>
      <c r="V158" s="187">
        <v>2.4</v>
      </c>
      <c r="W158" s="188">
        <v>41666</v>
      </c>
      <c r="X158" s="691">
        <f t="shared" si="68"/>
        <v>2.0214999999999996</v>
      </c>
      <c r="Y158" s="691">
        <f t="shared" si="76"/>
        <v>4.2140000000000004</v>
      </c>
      <c r="Z158" s="189"/>
      <c r="AA158" s="190">
        <f t="shared" si="84"/>
        <v>2014</v>
      </c>
      <c r="AB158" s="191">
        <f t="shared" si="85"/>
        <v>2.5723472668810294</v>
      </c>
      <c r="AC158" s="192">
        <f>IF(AB158="","",AB158*SFAssumptions!$C$3)</f>
        <v>660.35575562700978</v>
      </c>
      <c r="AD158" s="193">
        <f t="shared" si="86"/>
        <v>21.912800000000004</v>
      </c>
      <c r="AE158" s="194">
        <f>IF(AD158="","",AD158*SFAssumptions!$C$3)</f>
        <v>5625.3072002400013</v>
      </c>
      <c r="AF158" s="192">
        <f t="shared" si="75"/>
        <v>5.2</v>
      </c>
      <c r="AG158" s="192">
        <f t="shared" si="87"/>
        <v>4.2140000000000004</v>
      </c>
      <c r="AH158" s="192">
        <f t="shared" si="88"/>
        <v>2.0214999999999996</v>
      </c>
      <c r="AI158" s="692">
        <f ca="1">IF(AC158="","",AC158*SFAssumptions!$C$8/'SavingsData&amp;Analysis'!AF158)</f>
        <v>479.64779021504228</v>
      </c>
      <c r="AJ158" s="692">
        <f ca="1">IF(OR(AE158="",AF158=""),"",AE158*SFAssumptions!$C$8/AF158)</f>
        <v>4085.9281453736489</v>
      </c>
      <c r="AK158" s="191">
        <f t="shared" si="89"/>
        <v>2.166666666666667</v>
      </c>
      <c r="AL158" s="692">
        <f>IF(AK158="","",AK158*SFAssumptions!$C$3)</f>
        <v>556.21215000000007</v>
      </c>
      <c r="AM158" s="193">
        <f t="shared" si="90"/>
        <v>20.8</v>
      </c>
      <c r="AN158" s="194">
        <f>IF(AM158="","",AM158*SFAssumptions!$C$3)</f>
        <v>5339.6366400000006</v>
      </c>
      <c r="AO158" s="693">
        <f t="shared" si="91"/>
        <v>4</v>
      </c>
      <c r="AP158" s="693">
        <f t="shared" si="92"/>
        <v>2.4</v>
      </c>
      <c r="AQ158" s="692">
        <f ca="1">IF(AL158="","",AL158*SFAssumptions!$C$8/'SavingsData&amp;Analysis'!AF158)</f>
        <v>404.00333663321157</v>
      </c>
      <c r="AR158" s="692">
        <f ca="1">IF(OR(AN158="",AF158=""),"",AN158*SFAssumptions!$C$8/AF158)</f>
        <v>3878.4320316788312</v>
      </c>
      <c r="AS158" s="190" t="str">
        <f>IF(OR(AG158="",AH158=""),"No",IF(AND(G158="Horizontal",AH158&gt;='Eff. Standards &amp; Certifications'!$B$21,AG158&lt;='Eff. Standards &amp; Certifications'!$C$21),"Consider",IF(AND(G158="Vertical",AH158&gt;='Eff. Standards &amp; Certifications'!$B$20,AG158&lt;='Eff. Standards &amp; Certifications'!$C$20),"Consider","No")))</f>
        <v>Consider</v>
      </c>
      <c r="AT158" s="190" t="str">
        <f t="shared" si="77"/>
        <v>Residential</v>
      </c>
      <c r="AU158" s="190"/>
      <c r="AV158" s="190" t="str">
        <f t="shared" si="72"/>
        <v>NO</v>
      </c>
      <c r="AW158" s="190" t="str">
        <f t="shared" si="72"/>
        <v>YES</v>
      </c>
      <c r="AX158" s="190" t="str">
        <f t="shared" si="93"/>
        <v>YES</v>
      </c>
      <c r="AY158" s="190" t="str">
        <f t="shared" si="78"/>
        <v>NO</v>
      </c>
      <c r="AZ158" s="190" t="str">
        <f t="shared" si="78"/>
        <v>YES</v>
      </c>
      <c r="BA158" s="190" t="str">
        <f t="shared" si="94"/>
        <v>YES</v>
      </c>
      <c r="BB158" s="190" t="str">
        <f t="shared" si="79"/>
        <v>NO</v>
      </c>
      <c r="BC158" s="190" t="str">
        <f t="shared" si="80"/>
        <v>NO</v>
      </c>
      <c r="BD158" s="190" t="str">
        <f t="shared" si="95"/>
        <v>NO</v>
      </c>
      <c r="BE158" s="190" t="str">
        <f t="shared" si="81"/>
        <v>NO</v>
      </c>
      <c r="BF158" s="190" t="str">
        <f t="shared" si="82"/>
        <v>NO</v>
      </c>
      <c r="BG158" s="190" t="str">
        <f t="shared" si="83"/>
        <v>NO</v>
      </c>
      <c r="BH158" s="88"/>
      <c r="BI158" s="9"/>
      <c r="BJ158" s="694" t="str">
        <f t="shared" si="73"/>
        <v/>
      </c>
      <c r="BK158" s="694">
        <f t="shared" si="73"/>
        <v>2.0214999999999996</v>
      </c>
      <c r="BL158" s="694" t="str">
        <f t="shared" si="74"/>
        <v/>
      </c>
      <c r="BM158" s="694">
        <f t="shared" si="74"/>
        <v>4.2140000000000004</v>
      </c>
      <c r="BN158" s="88"/>
      <c r="BO158" s="195"/>
      <c r="BP158" s="195"/>
      <c r="BQ158" s="195"/>
      <c r="BR158" s="195"/>
      <c r="BS158" s="195"/>
      <c r="BT158" s="195"/>
      <c r="BU158" s="195"/>
      <c r="BV158" s="195"/>
      <c r="BW158" s="195"/>
      <c r="BX158" s="195"/>
    </row>
    <row r="159" spans="1:76" s="124" customFormat="1" ht="15">
      <c r="A159" s="187">
        <v>3303</v>
      </c>
      <c r="B159" s="187" t="s">
        <v>490</v>
      </c>
      <c r="C159" s="187" t="s">
        <v>1324</v>
      </c>
      <c r="D159" s="187" t="s">
        <v>515</v>
      </c>
      <c r="E159" s="187" t="s">
        <v>385</v>
      </c>
      <c r="F159" s="187" t="s">
        <v>386</v>
      </c>
      <c r="G159" s="187" t="s">
        <v>387</v>
      </c>
      <c r="H159" s="187" t="b">
        <v>0</v>
      </c>
      <c r="I159" s="187" t="s">
        <v>388</v>
      </c>
      <c r="J159" s="187" t="s">
        <v>389</v>
      </c>
      <c r="K159" s="187" t="b">
        <v>1</v>
      </c>
      <c r="L159" s="187">
        <v>3.6</v>
      </c>
      <c r="M159" s="187">
        <v>0.36</v>
      </c>
      <c r="N159" s="187">
        <v>12.31</v>
      </c>
      <c r="O159" s="187">
        <v>3.4</v>
      </c>
      <c r="P159" s="187">
        <v>9.98</v>
      </c>
      <c r="Q159" s="187"/>
      <c r="R159" s="187"/>
      <c r="S159" s="187"/>
      <c r="T159" s="187"/>
      <c r="U159" s="187">
        <v>34.700000000000003</v>
      </c>
      <c r="V159" s="187">
        <v>2.65</v>
      </c>
      <c r="W159" s="188">
        <v>39547</v>
      </c>
      <c r="X159" s="691">
        <f t="shared" si="68"/>
        <v>2.2501249999999997</v>
      </c>
      <c r="Y159" s="691">
        <f t="shared" si="76"/>
        <v>3.5994799999999998</v>
      </c>
      <c r="Z159" s="189"/>
      <c r="AA159" s="190">
        <f t="shared" si="84"/>
        <v>2008</v>
      </c>
      <c r="AB159" s="191">
        <f t="shared" si="85"/>
        <v>1.5999111160491086</v>
      </c>
      <c r="AC159" s="192">
        <f>IF(AB159="","",AB159*SFAssumptions!$C$3)</f>
        <v>410.71846230764965</v>
      </c>
      <c r="AD159" s="193">
        <f t="shared" si="86"/>
        <v>12.958128</v>
      </c>
      <c r="AE159" s="194">
        <f>IF(AD159="","",AD159*SFAssumptions!$C$3)</f>
        <v>3326.5238007024</v>
      </c>
      <c r="AF159" s="192">
        <f t="shared" si="75"/>
        <v>3.6</v>
      </c>
      <c r="AG159" s="192">
        <f t="shared" si="87"/>
        <v>3.5994799999999998</v>
      </c>
      <c r="AH159" s="192">
        <f t="shared" si="88"/>
        <v>2.2501249999999997</v>
      </c>
      <c r="AI159" s="692">
        <f ca="1">IF(AC159="","",AC159*SFAssumptions!$C$8/'SavingsData&amp;Analysis'!AF159)</f>
        <v>430.91295280027015</v>
      </c>
      <c r="AJ159" s="692">
        <f ca="1">IF(OR(AE159="",AF159=""),"",AE159*SFAssumptions!$C$8/AF159)</f>
        <v>3490.0846323468295</v>
      </c>
      <c r="AK159" s="191">
        <f t="shared" si="89"/>
        <v>1.358490566037736</v>
      </c>
      <c r="AL159" s="692">
        <f>IF(AK159="","",AK159*SFAssumptions!$C$3)</f>
        <v>348.74259622641512</v>
      </c>
      <c r="AM159" s="193">
        <f t="shared" si="90"/>
        <v>12.24</v>
      </c>
      <c r="AN159" s="194">
        <f>IF(AM159="","",AM159*SFAssumptions!$C$3)</f>
        <v>3142.1707919999999</v>
      </c>
      <c r="AO159" s="693">
        <f t="shared" si="91"/>
        <v>3.4</v>
      </c>
      <c r="AP159" s="693">
        <f t="shared" si="92"/>
        <v>2.65</v>
      </c>
      <c r="AQ159" s="692">
        <f ca="1">IF(AL159="","",AL159*SFAssumptions!$C$8/'SavingsData&amp;Analysis'!AF159)</f>
        <v>365.88981430932364</v>
      </c>
      <c r="AR159" s="692">
        <f ca="1">IF(OR(AN159="",AF159=""),"",AN159*SFAssumptions!$C$8/AF159)</f>
        <v>3296.6672269270061</v>
      </c>
      <c r="AS159" s="190" t="str">
        <f>IF(OR(AG159="",AH159=""),"No",IF(AND(G159="Horizontal",AH159&gt;='Eff. Standards &amp; Certifications'!$B$21,AG159&lt;='Eff. Standards &amp; Certifications'!$C$21),"Consider",IF(AND(G159="Vertical",AH159&gt;='Eff. Standards &amp; Certifications'!$B$20,AG159&lt;='Eff. Standards &amp; Certifications'!$C$20),"Consider","No")))</f>
        <v>Consider</v>
      </c>
      <c r="AT159" s="190" t="str">
        <f t="shared" si="77"/>
        <v>Residential</v>
      </c>
      <c r="AU159" s="190"/>
      <c r="AV159" s="190" t="str">
        <f t="shared" si="72"/>
        <v>NO</v>
      </c>
      <c r="AW159" s="190" t="str">
        <f t="shared" si="72"/>
        <v>YES</v>
      </c>
      <c r="AX159" s="190" t="str">
        <f t="shared" si="93"/>
        <v>YES</v>
      </c>
      <c r="AY159" s="190" t="str">
        <f t="shared" si="78"/>
        <v>NO</v>
      </c>
      <c r="AZ159" s="190" t="str">
        <f t="shared" si="78"/>
        <v>YES</v>
      </c>
      <c r="BA159" s="190" t="str">
        <f t="shared" si="94"/>
        <v>YES</v>
      </c>
      <c r="BB159" s="190" t="str">
        <f t="shared" si="79"/>
        <v>NO</v>
      </c>
      <c r="BC159" s="190" t="str">
        <f t="shared" si="80"/>
        <v>NO</v>
      </c>
      <c r="BD159" s="190" t="str">
        <f t="shared" si="95"/>
        <v>NO</v>
      </c>
      <c r="BE159" s="190" t="str">
        <f t="shared" si="81"/>
        <v>NO</v>
      </c>
      <c r="BF159" s="190" t="str">
        <f t="shared" si="82"/>
        <v>NO</v>
      </c>
      <c r="BG159" s="190" t="str">
        <f t="shared" si="83"/>
        <v>NO</v>
      </c>
      <c r="BH159" s="88"/>
      <c r="BI159" s="9"/>
      <c r="BJ159" s="694" t="str">
        <f t="shared" si="73"/>
        <v/>
      </c>
      <c r="BK159" s="694">
        <f t="shared" si="73"/>
        <v>2.2501249999999997</v>
      </c>
      <c r="BL159" s="694" t="str">
        <f t="shared" si="74"/>
        <v/>
      </c>
      <c r="BM159" s="694">
        <f t="shared" si="74"/>
        <v>3.5994799999999998</v>
      </c>
      <c r="BN159" s="88"/>
      <c r="BO159" s="195"/>
      <c r="BP159" s="195"/>
      <c r="BQ159" s="195"/>
      <c r="BR159" s="195"/>
      <c r="BS159" s="195"/>
      <c r="BT159" s="195"/>
      <c r="BU159" s="195"/>
      <c r="BV159" s="195"/>
      <c r="BW159" s="195"/>
      <c r="BX159" s="195"/>
    </row>
    <row r="160" spans="1:76" s="124" customFormat="1" ht="15">
      <c r="A160" s="187">
        <v>1391</v>
      </c>
      <c r="B160" s="187" t="s">
        <v>490</v>
      </c>
      <c r="C160" s="187" t="s">
        <v>1324</v>
      </c>
      <c r="D160" s="187" t="s">
        <v>516</v>
      </c>
      <c r="E160" s="187" t="s">
        <v>385</v>
      </c>
      <c r="F160" s="187" t="s">
        <v>386</v>
      </c>
      <c r="G160" s="187" t="s">
        <v>387</v>
      </c>
      <c r="H160" s="187" t="b">
        <v>0</v>
      </c>
      <c r="I160" s="187" t="s">
        <v>388</v>
      </c>
      <c r="J160" s="187" t="s">
        <v>389</v>
      </c>
      <c r="K160" s="187" t="b">
        <v>1</v>
      </c>
      <c r="L160" s="187">
        <v>3.2</v>
      </c>
      <c r="M160" s="187">
        <v>0.49</v>
      </c>
      <c r="N160" s="187">
        <v>14.29</v>
      </c>
      <c r="O160" s="187">
        <v>4.5</v>
      </c>
      <c r="P160" s="187">
        <v>6.74</v>
      </c>
      <c r="Q160" s="187"/>
      <c r="R160" s="187"/>
      <c r="S160" s="187"/>
      <c r="T160" s="187"/>
      <c r="U160" s="187">
        <v>48.7</v>
      </c>
      <c r="V160" s="187">
        <v>1.81</v>
      </c>
      <c r="W160" s="188">
        <v>38639</v>
      </c>
      <c r="X160" s="691">
        <f t="shared" si="68"/>
        <v>1.4819450000000001</v>
      </c>
      <c r="Y160" s="691">
        <f t="shared" si="76"/>
        <v>4.7261000000000006</v>
      </c>
      <c r="Z160" s="189"/>
      <c r="AA160" s="190">
        <f t="shared" si="84"/>
        <v>2005</v>
      </c>
      <c r="AB160" s="191">
        <f t="shared" si="85"/>
        <v>2.1593244013779187</v>
      </c>
      <c r="AC160" s="192">
        <f>IF(AB160="","",AB160*SFAssumptions!$C$3)</f>
        <v>554.32729284825007</v>
      </c>
      <c r="AD160" s="193">
        <f t="shared" si="86"/>
        <v>15.123520000000003</v>
      </c>
      <c r="AE160" s="194">
        <f>IF(AD160="","",AD160*SFAssumptions!$C$3)</f>
        <v>3882.4087268160006</v>
      </c>
      <c r="AF160" s="192">
        <f t="shared" si="75"/>
        <v>3.2</v>
      </c>
      <c r="AG160" s="192">
        <f t="shared" si="87"/>
        <v>4.7261000000000006</v>
      </c>
      <c r="AH160" s="192">
        <f t="shared" si="88"/>
        <v>1.4819450000000001</v>
      </c>
      <c r="AI160" s="692">
        <f ca="1">IF(AC160="","",AC160*SFAssumptions!$C$8/'SavingsData&amp;Analysis'!AF160)</f>
        <v>654.28069727264335</v>
      </c>
      <c r="AJ160" s="692">
        <f ca="1">IF(OR(AE160="",AF160=""),"",AE160*SFAssumptions!$C$8/AF160)</f>
        <v>4582.464406229331</v>
      </c>
      <c r="AK160" s="191">
        <f t="shared" si="89"/>
        <v>1.7679558011049725</v>
      </c>
      <c r="AL160" s="692">
        <f>IF(AK160="","",AK160*SFAssumptions!$C$3)</f>
        <v>453.85776795580114</v>
      </c>
      <c r="AM160" s="193">
        <f t="shared" si="90"/>
        <v>14.4</v>
      </c>
      <c r="AN160" s="194">
        <f>IF(AM160="","",AM160*SFAssumptions!$C$3)</f>
        <v>3696.6715200000003</v>
      </c>
      <c r="AO160" s="693">
        <f t="shared" si="91"/>
        <v>4.5</v>
      </c>
      <c r="AP160" s="693">
        <f t="shared" si="92"/>
        <v>1.81</v>
      </c>
      <c r="AQ160" s="692">
        <f ca="1">IF(AL160="","",AL160*SFAssumptions!$C$8/'SavingsData&amp;Analysis'!AF160)</f>
        <v>535.69503199983853</v>
      </c>
      <c r="AR160" s="692">
        <f ca="1">IF(OR(AN160="",AF160=""),"",AN160*SFAssumptions!$C$8/AF160)</f>
        <v>4363.2360356386853</v>
      </c>
      <c r="AS160" s="190" t="str">
        <f>IF(OR(AG160="",AH160=""),"No",IF(AND(G160="Horizontal",AH160&gt;='Eff. Standards &amp; Certifications'!$B$21,AG160&lt;='Eff. Standards &amp; Certifications'!$C$21),"Consider",IF(AND(G160="Vertical",AH160&gt;='Eff. Standards &amp; Certifications'!$B$20,AG160&lt;='Eff. Standards &amp; Certifications'!$C$20),"Consider","No")))</f>
        <v>No</v>
      </c>
      <c r="AT160" s="190" t="str">
        <f t="shared" si="77"/>
        <v>Residential</v>
      </c>
      <c r="AU160" s="190"/>
      <c r="AV160" s="190" t="str">
        <f t="shared" si="72"/>
        <v>NO</v>
      </c>
      <c r="AW160" s="190" t="str">
        <f t="shared" si="72"/>
        <v>NO</v>
      </c>
      <c r="AX160" s="190" t="str">
        <f t="shared" si="93"/>
        <v>NO</v>
      </c>
      <c r="AY160" s="190" t="str">
        <f t="shared" si="78"/>
        <v>NO</v>
      </c>
      <c r="AZ160" s="190" t="str">
        <f t="shared" si="78"/>
        <v>NO</v>
      </c>
      <c r="BA160" s="190" t="str">
        <f t="shared" si="94"/>
        <v>NO</v>
      </c>
      <c r="BB160" s="190" t="str">
        <f t="shared" si="79"/>
        <v>NO</v>
      </c>
      <c r="BC160" s="190" t="str">
        <f t="shared" si="80"/>
        <v>NO</v>
      </c>
      <c r="BD160" s="190" t="str">
        <f t="shared" si="95"/>
        <v>NO</v>
      </c>
      <c r="BE160" s="190" t="str">
        <f t="shared" si="81"/>
        <v>NO</v>
      </c>
      <c r="BF160" s="190" t="str">
        <f t="shared" si="82"/>
        <v>NO</v>
      </c>
      <c r="BG160" s="190" t="str">
        <f t="shared" si="83"/>
        <v>NO</v>
      </c>
      <c r="BH160" s="88"/>
      <c r="BI160" s="9"/>
      <c r="BJ160" s="694" t="str">
        <f t="shared" si="73"/>
        <v/>
      </c>
      <c r="BK160" s="694" t="str">
        <f t="shared" si="73"/>
        <v/>
      </c>
      <c r="BL160" s="694" t="str">
        <f t="shared" si="74"/>
        <v/>
      </c>
      <c r="BM160" s="694" t="str">
        <f t="shared" si="74"/>
        <v/>
      </c>
      <c r="BN160" s="88"/>
      <c r="BO160" s="195"/>
      <c r="BP160" s="195"/>
      <c r="BQ160" s="195"/>
      <c r="BR160" s="195"/>
      <c r="BS160" s="195"/>
      <c r="BT160" s="195"/>
      <c r="BU160" s="195"/>
      <c r="BV160" s="195"/>
      <c r="BW160" s="195"/>
      <c r="BX160" s="195"/>
    </row>
    <row r="161" spans="1:76" s="124" customFormat="1" ht="15">
      <c r="A161" s="187">
        <v>3291</v>
      </c>
      <c r="B161" s="187" t="s">
        <v>490</v>
      </c>
      <c r="C161" s="187" t="s">
        <v>1324</v>
      </c>
      <c r="D161" s="187" t="s">
        <v>517</v>
      </c>
      <c r="E161" s="187" t="s">
        <v>385</v>
      </c>
      <c r="F161" s="187" t="s">
        <v>386</v>
      </c>
      <c r="G161" s="187" t="s">
        <v>387</v>
      </c>
      <c r="H161" s="187" t="b">
        <v>0</v>
      </c>
      <c r="I161" s="187" t="s">
        <v>388</v>
      </c>
      <c r="J161" s="187" t="s">
        <v>389</v>
      </c>
      <c r="K161" s="187" t="b">
        <v>1</v>
      </c>
      <c r="L161" s="187">
        <v>3.5</v>
      </c>
      <c r="M161" s="187">
        <v>0.34</v>
      </c>
      <c r="N161" s="187">
        <v>12.32</v>
      </c>
      <c r="O161" s="187">
        <v>3.5</v>
      </c>
      <c r="P161" s="187">
        <v>10.210000000000001</v>
      </c>
      <c r="Q161" s="187"/>
      <c r="R161" s="187"/>
      <c r="S161" s="187"/>
      <c r="T161" s="187"/>
      <c r="U161" s="187">
        <v>38.799999999999997</v>
      </c>
      <c r="V161" s="187">
        <v>2.42</v>
      </c>
      <c r="W161" s="188">
        <v>39547</v>
      </c>
      <c r="X161" s="691">
        <f t="shared" si="68"/>
        <v>2.03979</v>
      </c>
      <c r="Y161" s="691">
        <f t="shared" si="76"/>
        <v>3.7018999999999997</v>
      </c>
      <c r="Z161" s="189"/>
      <c r="AA161" s="190">
        <f t="shared" si="84"/>
        <v>2008</v>
      </c>
      <c r="AB161" s="191">
        <f t="shared" si="85"/>
        <v>1.7158629074561598</v>
      </c>
      <c r="AC161" s="192">
        <f>IF(AB161="","",AB161*SFAssumptions!$C$3)</f>
        <v>440.48482932066537</v>
      </c>
      <c r="AD161" s="193">
        <f t="shared" si="86"/>
        <v>12.95665</v>
      </c>
      <c r="AE161" s="194">
        <f>IF(AD161="","",AD161*SFAssumptions!$C$3)</f>
        <v>3326.1443784449998</v>
      </c>
      <c r="AF161" s="192">
        <f t="shared" si="75"/>
        <v>3.5</v>
      </c>
      <c r="AG161" s="192">
        <f t="shared" si="87"/>
        <v>3.7018999999999997</v>
      </c>
      <c r="AH161" s="192">
        <f t="shared" si="88"/>
        <v>2.03979</v>
      </c>
      <c r="AI161" s="692">
        <f ca="1">IF(AC161="","",AC161*SFAssumptions!$C$8/'SavingsData&amp;Analysis'!AF161)</f>
        <v>475.34697587482424</v>
      </c>
      <c r="AJ161" s="692">
        <f ca="1">IF(OR(AE161="",AF161=""),"",AE161*SFAssumptions!$C$8/AF161)</f>
        <v>3589.3918845179655</v>
      </c>
      <c r="AK161" s="191">
        <f t="shared" si="89"/>
        <v>1.4462809917355373</v>
      </c>
      <c r="AL161" s="692">
        <f>IF(AK161="","",AK161*SFAssumptions!$C$3)</f>
        <v>371.27956611570249</v>
      </c>
      <c r="AM161" s="193">
        <f t="shared" si="90"/>
        <v>12.25</v>
      </c>
      <c r="AN161" s="194">
        <f>IF(AM161="","",AM161*SFAssumptions!$C$3)</f>
        <v>3144.7379249999999</v>
      </c>
      <c r="AO161" s="693">
        <f t="shared" si="91"/>
        <v>3.5</v>
      </c>
      <c r="AP161" s="693">
        <f t="shared" si="92"/>
        <v>2.42</v>
      </c>
      <c r="AQ161" s="692">
        <f ca="1">IF(AL161="","",AL161*SFAssumptions!$C$8/'SavingsData&amp;Analysis'!AF161)</f>
        <v>400.6644660825238</v>
      </c>
      <c r="AR161" s="692">
        <f ca="1">IF(OR(AN161="",AF161=""),"",AN161*SFAssumptions!$C$8/AF161)</f>
        <v>3393.6280277189767</v>
      </c>
      <c r="AS161" s="190" t="str">
        <f>IF(OR(AG161="",AH161=""),"No",IF(AND(G161="Horizontal",AH161&gt;='Eff. Standards &amp; Certifications'!$B$21,AG161&lt;='Eff. Standards &amp; Certifications'!$C$21),"Consider",IF(AND(G161="Vertical",AH161&gt;='Eff. Standards &amp; Certifications'!$B$20,AG161&lt;='Eff. Standards &amp; Certifications'!$C$20),"Consider","No")))</f>
        <v>Consider</v>
      </c>
      <c r="AT161" s="190" t="str">
        <f t="shared" si="77"/>
        <v>Residential</v>
      </c>
      <c r="AU161" s="190"/>
      <c r="AV161" s="190" t="str">
        <f t="shared" si="72"/>
        <v>NO</v>
      </c>
      <c r="AW161" s="190" t="str">
        <f t="shared" si="72"/>
        <v>YES</v>
      </c>
      <c r="AX161" s="190" t="str">
        <f t="shared" si="93"/>
        <v>YES</v>
      </c>
      <c r="AY161" s="190" t="str">
        <f t="shared" si="78"/>
        <v>NO</v>
      </c>
      <c r="AZ161" s="190" t="str">
        <f t="shared" si="78"/>
        <v>YES</v>
      </c>
      <c r="BA161" s="190" t="str">
        <f t="shared" si="94"/>
        <v>YES</v>
      </c>
      <c r="BB161" s="190" t="str">
        <f t="shared" si="79"/>
        <v>NO</v>
      </c>
      <c r="BC161" s="190" t="str">
        <f t="shared" si="80"/>
        <v>NO</v>
      </c>
      <c r="BD161" s="190" t="str">
        <f t="shared" si="95"/>
        <v>NO</v>
      </c>
      <c r="BE161" s="190" t="str">
        <f t="shared" si="81"/>
        <v>NO</v>
      </c>
      <c r="BF161" s="190" t="str">
        <f t="shared" si="82"/>
        <v>NO</v>
      </c>
      <c r="BG161" s="190" t="str">
        <f t="shared" si="83"/>
        <v>NO</v>
      </c>
      <c r="BH161" s="88"/>
      <c r="BI161" s="9"/>
      <c r="BJ161" s="694" t="str">
        <f t="shared" si="73"/>
        <v/>
      </c>
      <c r="BK161" s="694">
        <f t="shared" si="73"/>
        <v>2.03979</v>
      </c>
      <c r="BL161" s="694" t="str">
        <f t="shared" si="74"/>
        <v/>
      </c>
      <c r="BM161" s="694">
        <f t="shared" si="74"/>
        <v>3.7018999999999997</v>
      </c>
      <c r="BN161" s="88"/>
      <c r="BO161" s="195"/>
      <c r="BP161" s="195"/>
      <c r="BQ161" s="195"/>
      <c r="BR161" s="195"/>
      <c r="BS161" s="195"/>
      <c r="BT161" s="195"/>
      <c r="BU161" s="195"/>
      <c r="BV161" s="195"/>
      <c r="BW161" s="195"/>
      <c r="BX161" s="195"/>
    </row>
    <row r="162" spans="1:76" s="124" customFormat="1" ht="15">
      <c r="A162" s="187">
        <v>3309</v>
      </c>
      <c r="B162" s="187" t="s">
        <v>490</v>
      </c>
      <c r="C162" s="187" t="s">
        <v>1324</v>
      </c>
      <c r="D162" s="187" t="s">
        <v>518</v>
      </c>
      <c r="E162" s="187" t="s">
        <v>385</v>
      </c>
      <c r="F162" s="187" t="s">
        <v>386</v>
      </c>
      <c r="G162" s="187" t="s">
        <v>387</v>
      </c>
      <c r="H162" s="187" t="b">
        <v>0</v>
      </c>
      <c r="I162" s="187" t="s">
        <v>388</v>
      </c>
      <c r="J162" s="187" t="s">
        <v>389</v>
      </c>
      <c r="K162" s="187" t="b">
        <v>1</v>
      </c>
      <c r="L162" s="187">
        <v>3.6</v>
      </c>
      <c r="M162" s="187">
        <v>0.33</v>
      </c>
      <c r="N162" s="187">
        <v>12.27</v>
      </c>
      <c r="O162" s="187">
        <v>3.4</v>
      </c>
      <c r="P162" s="187">
        <v>10.91</v>
      </c>
      <c r="Q162" s="187"/>
      <c r="R162" s="187"/>
      <c r="S162" s="187"/>
      <c r="T162" s="187"/>
      <c r="U162" s="187">
        <v>36.4</v>
      </c>
      <c r="V162" s="187">
        <v>2.61</v>
      </c>
      <c r="W162" s="188">
        <v>39555</v>
      </c>
      <c r="X162" s="691">
        <f t="shared" si="68"/>
        <v>2.2135449999999999</v>
      </c>
      <c r="Y162" s="691">
        <f t="shared" si="76"/>
        <v>3.5994799999999998</v>
      </c>
      <c r="Z162" s="189"/>
      <c r="AA162" s="190">
        <f t="shared" si="84"/>
        <v>2008</v>
      </c>
      <c r="AB162" s="191">
        <f t="shared" si="85"/>
        <v>1.6263504920839651</v>
      </c>
      <c r="AC162" s="192">
        <f>IF(AB162="","",AB162*SFAssumptions!$C$3)</f>
        <v>417.50580177949854</v>
      </c>
      <c r="AD162" s="193">
        <f t="shared" si="86"/>
        <v>12.958128</v>
      </c>
      <c r="AE162" s="194">
        <f>IF(AD162="","",AD162*SFAssumptions!$C$3)</f>
        <v>3326.5238007024</v>
      </c>
      <c r="AF162" s="192">
        <f t="shared" si="75"/>
        <v>3.6</v>
      </c>
      <c r="AG162" s="192">
        <f t="shared" si="87"/>
        <v>3.5994799999999998</v>
      </c>
      <c r="AH162" s="192">
        <f t="shared" si="88"/>
        <v>2.2135449999999999</v>
      </c>
      <c r="AI162" s="692">
        <f ca="1">IF(AC162="","",AC162*SFAssumptions!$C$8/'SavingsData&amp;Analysis'!AF162)</f>
        <v>438.03401689132488</v>
      </c>
      <c r="AJ162" s="692">
        <f ca="1">IF(OR(AE162="",AF162=""),"",AE162*SFAssumptions!$C$8/AF162)</f>
        <v>3490.0846323468295</v>
      </c>
      <c r="AK162" s="191">
        <f t="shared" si="89"/>
        <v>1.3793103448275863</v>
      </c>
      <c r="AL162" s="692">
        <f>IF(AK162="","",AK162*SFAssumptions!$C$3)</f>
        <v>354.08731034482764</v>
      </c>
      <c r="AM162" s="193">
        <f t="shared" si="90"/>
        <v>12.24</v>
      </c>
      <c r="AN162" s="194">
        <f>IF(AM162="","",AM162*SFAssumptions!$C$3)</f>
        <v>3142.1707919999999</v>
      </c>
      <c r="AO162" s="693">
        <f t="shared" si="91"/>
        <v>3.4</v>
      </c>
      <c r="AP162" s="693">
        <f t="shared" si="92"/>
        <v>2.61</v>
      </c>
      <c r="AQ162" s="692">
        <f ca="1">IF(AL162="","",AL162*SFAssumptions!$C$8/'SavingsData&amp;Analysis'!AF162)</f>
        <v>371.4973210420336</v>
      </c>
      <c r="AR162" s="692">
        <f ca="1">IF(OR(AN162="",AF162=""),"",AN162*SFAssumptions!$C$8/AF162)</f>
        <v>3296.6672269270061</v>
      </c>
      <c r="AS162" s="190" t="str">
        <f>IF(OR(AG162="",AH162=""),"No",IF(AND(G162="Horizontal",AH162&gt;='Eff. Standards &amp; Certifications'!$B$21,AG162&lt;='Eff. Standards &amp; Certifications'!$C$21),"Consider",IF(AND(G162="Vertical",AH162&gt;='Eff. Standards &amp; Certifications'!$B$20,AG162&lt;='Eff. Standards &amp; Certifications'!$C$20),"Consider","No")))</f>
        <v>Consider</v>
      </c>
      <c r="AT162" s="190" t="str">
        <f t="shared" si="77"/>
        <v>Residential</v>
      </c>
      <c r="AU162" s="190"/>
      <c r="AV162" s="190" t="str">
        <f t="shared" si="72"/>
        <v>NO</v>
      </c>
      <c r="AW162" s="190" t="str">
        <f t="shared" si="72"/>
        <v>YES</v>
      </c>
      <c r="AX162" s="190" t="str">
        <f t="shared" si="93"/>
        <v>YES</v>
      </c>
      <c r="AY162" s="190" t="str">
        <f t="shared" si="78"/>
        <v>NO</v>
      </c>
      <c r="AZ162" s="190" t="str">
        <f t="shared" si="78"/>
        <v>YES</v>
      </c>
      <c r="BA162" s="190" t="str">
        <f t="shared" si="94"/>
        <v>YES</v>
      </c>
      <c r="BB162" s="190" t="str">
        <f t="shared" si="79"/>
        <v>NO</v>
      </c>
      <c r="BC162" s="190" t="str">
        <f t="shared" si="80"/>
        <v>NO</v>
      </c>
      <c r="BD162" s="190" t="str">
        <f t="shared" si="95"/>
        <v>NO</v>
      </c>
      <c r="BE162" s="190" t="str">
        <f t="shared" si="81"/>
        <v>NO</v>
      </c>
      <c r="BF162" s="190" t="str">
        <f t="shared" si="82"/>
        <v>NO</v>
      </c>
      <c r="BG162" s="190" t="str">
        <f t="shared" si="83"/>
        <v>NO</v>
      </c>
      <c r="BH162" s="88"/>
      <c r="BI162" s="9"/>
      <c r="BJ162" s="694" t="str">
        <f t="shared" si="73"/>
        <v/>
      </c>
      <c r="BK162" s="694">
        <f t="shared" si="73"/>
        <v>2.2135449999999999</v>
      </c>
      <c r="BL162" s="694" t="str">
        <f t="shared" si="74"/>
        <v/>
      </c>
      <c r="BM162" s="694">
        <f t="shared" si="74"/>
        <v>3.5994799999999998</v>
      </c>
      <c r="BN162" s="88"/>
      <c r="BO162" s="195"/>
      <c r="BP162" s="195"/>
      <c r="BQ162" s="195"/>
      <c r="BR162" s="195"/>
      <c r="BS162" s="195"/>
      <c r="BT162" s="195"/>
      <c r="BU162" s="195"/>
      <c r="BV162" s="195"/>
      <c r="BW162" s="195"/>
      <c r="BX162" s="195"/>
    </row>
    <row r="163" spans="1:76" s="124" customFormat="1" ht="15">
      <c r="A163" s="187">
        <v>62</v>
      </c>
      <c r="B163" s="187" t="s">
        <v>490</v>
      </c>
      <c r="C163" s="187" t="s">
        <v>1324</v>
      </c>
      <c r="D163" s="187" t="s">
        <v>519</v>
      </c>
      <c r="E163" s="187" t="s">
        <v>385</v>
      </c>
      <c r="F163" s="187" t="s">
        <v>386</v>
      </c>
      <c r="G163" s="187" t="s">
        <v>387</v>
      </c>
      <c r="H163" s="187" t="b">
        <v>0</v>
      </c>
      <c r="I163" s="187" t="s">
        <v>388</v>
      </c>
      <c r="J163" s="187" t="s">
        <v>389</v>
      </c>
      <c r="K163" s="187" t="b">
        <v>1</v>
      </c>
      <c r="L163" s="187">
        <v>2</v>
      </c>
      <c r="M163" s="187">
        <v>0.48</v>
      </c>
      <c r="N163" s="187">
        <v>11.09</v>
      </c>
      <c r="O163" s="187">
        <v>5.5</v>
      </c>
      <c r="P163" s="187">
        <v>4.2300000000000004</v>
      </c>
      <c r="Q163" s="187"/>
      <c r="R163" s="187"/>
      <c r="S163" s="187"/>
      <c r="T163" s="187"/>
      <c r="U163" s="187">
        <v>34.200000000000003</v>
      </c>
      <c r="V163" s="187">
        <v>1.96</v>
      </c>
      <c r="W163" s="188">
        <v>39063</v>
      </c>
      <c r="X163" s="691">
        <f t="shared" si="68"/>
        <v>1.6191199999999999</v>
      </c>
      <c r="Y163" s="691">
        <f t="shared" si="76"/>
        <v>5.7503000000000002</v>
      </c>
      <c r="Z163" s="189"/>
      <c r="AA163" s="190">
        <f t="shared" si="84"/>
        <v>2006</v>
      </c>
      <c r="AB163" s="191">
        <f t="shared" si="85"/>
        <v>1.2352388952023323</v>
      </c>
      <c r="AC163" s="192">
        <f>IF(AB163="","",AB163*SFAssumptions!$C$3)</f>
        <v>317.1022530757449</v>
      </c>
      <c r="AD163" s="193">
        <f t="shared" si="86"/>
        <v>11.5006</v>
      </c>
      <c r="AE163" s="194">
        <f>IF(AD163="","",AD163*SFAssumptions!$C$3)</f>
        <v>2952.35697798</v>
      </c>
      <c r="AF163" s="192">
        <f t="shared" si="75"/>
        <v>2</v>
      </c>
      <c r="AG163" s="192">
        <f t="shared" si="87"/>
        <v>5.7503000000000002</v>
      </c>
      <c r="AH163" s="192">
        <f t="shared" si="88"/>
        <v>1.6191199999999999</v>
      </c>
      <c r="AI163" s="692">
        <f ca="1">IF(AC163="","",AC163*SFAssumptions!$C$8/'SavingsData&amp;Analysis'!AF163)</f>
        <v>598.84876224103698</v>
      </c>
      <c r="AJ163" s="692">
        <f ca="1">IF(OR(AE163="",AF163=""),"",AE163*SFAssumptions!$C$8/AF163)</f>
        <v>5575.536927940695</v>
      </c>
      <c r="AK163" s="191">
        <f t="shared" si="89"/>
        <v>1.0204081632653061</v>
      </c>
      <c r="AL163" s="692">
        <f>IF(AK163="","",AK163*SFAssumptions!$C$3)</f>
        <v>261.95234693877552</v>
      </c>
      <c r="AM163" s="193">
        <f t="shared" si="90"/>
        <v>11</v>
      </c>
      <c r="AN163" s="194">
        <f>IF(AM163="","",AM163*SFAssumptions!$C$3)</f>
        <v>2823.8463000000002</v>
      </c>
      <c r="AO163" s="693">
        <f t="shared" si="91"/>
        <v>5.5</v>
      </c>
      <c r="AP163" s="693">
        <f t="shared" si="92"/>
        <v>1.96</v>
      </c>
      <c r="AQ163" s="692">
        <f ca="1">IF(AL163="","",AL163*SFAssumptions!$C$8/'SavingsData&amp;Analysis'!AF163)</f>
        <v>494.6979632243407</v>
      </c>
      <c r="AR163" s="692">
        <f ca="1">IF(OR(AN163="",AF163=""),"",AN163*SFAssumptions!$C$8/AF163)</f>
        <v>5332.8440435583925</v>
      </c>
      <c r="AS163" s="190" t="str">
        <f>IF(OR(AG163="",AH163=""),"No",IF(AND(G163="Horizontal",AH163&gt;='Eff. Standards &amp; Certifications'!$B$21,AG163&lt;='Eff. Standards &amp; Certifications'!$C$21),"Consider",IF(AND(G163="Vertical",AH163&gt;='Eff. Standards &amp; Certifications'!$B$20,AG163&lt;='Eff. Standards &amp; Certifications'!$C$20),"Consider","No")))</f>
        <v>No</v>
      </c>
      <c r="AT163" s="190" t="str">
        <f t="shared" si="77"/>
        <v>Residential</v>
      </c>
      <c r="AU163" s="190"/>
      <c r="AV163" s="190" t="str">
        <f t="shared" ref="AV163:AW182" si="96">IF(AND($G163=AV$18,$AS163="Consider",$AT163="Residential",$AH163&gt;=AV$3,$AH163&lt;=AV$4,$AG163&gt;=AV$5,$AG163&lt;=AV$6),"YES","NO")</f>
        <v>NO</v>
      </c>
      <c r="AW163" s="190" t="str">
        <f t="shared" si="96"/>
        <v>NO</v>
      </c>
      <c r="AX163" s="190" t="str">
        <f t="shared" si="93"/>
        <v>NO</v>
      </c>
      <c r="AY163" s="190" t="str">
        <f t="shared" si="78"/>
        <v>NO</v>
      </c>
      <c r="AZ163" s="190" t="str">
        <f t="shared" si="78"/>
        <v>NO</v>
      </c>
      <c r="BA163" s="190" t="str">
        <f t="shared" si="94"/>
        <v>NO</v>
      </c>
      <c r="BB163" s="190" t="str">
        <f t="shared" si="79"/>
        <v>NO</v>
      </c>
      <c r="BC163" s="190" t="str">
        <f t="shared" si="80"/>
        <v>NO</v>
      </c>
      <c r="BD163" s="190" t="str">
        <f t="shared" si="95"/>
        <v>NO</v>
      </c>
      <c r="BE163" s="190" t="str">
        <f t="shared" si="81"/>
        <v>NO</v>
      </c>
      <c r="BF163" s="190" t="str">
        <f t="shared" si="82"/>
        <v>NO</v>
      </c>
      <c r="BG163" s="190" t="str">
        <f t="shared" si="83"/>
        <v>NO</v>
      </c>
      <c r="BH163" s="88"/>
      <c r="BI163" s="9"/>
      <c r="BJ163" s="694" t="str">
        <f t="shared" ref="BJ163:BK182" si="97">IF(AND($G163=BJ$21,$AT163="Residential",$AS163="Consider"),$X163,"")</f>
        <v/>
      </c>
      <c r="BK163" s="694" t="str">
        <f t="shared" si="97"/>
        <v/>
      </c>
      <c r="BL163" s="694" t="str">
        <f t="shared" ref="BL163:BM182" si="98">IF(AND($G163=BL$21,$AT163="Residential",$AS163="Consider"),$Y163,"")</f>
        <v/>
      </c>
      <c r="BM163" s="694" t="str">
        <f t="shared" si="98"/>
        <v/>
      </c>
      <c r="BN163" s="88"/>
      <c r="BO163" s="195"/>
      <c r="BP163" s="195"/>
      <c r="BQ163" s="195"/>
      <c r="BR163" s="195"/>
      <c r="BS163" s="195"/>
      <c r="BT163" s="195"/>
      <c r="BU163" s="195"/>
      <c r="BV163" s="195"/>
      <c r="BW163" s="195"/>
      <c r="BX163" s="195"/>
    </row>
    <row r="164" spans="1:76" s="124" customFormat="1" ht="15">
      <c r="A164" s="187">
        <v>4383</v>
      </c>
      <c r="B164" s="187" t="s">
        <v>490</v>
      </c>
      <c r="C164" s="187" t="s">
        <v>1324</v>
      </c>
      <c r="D164" s="187" t="s">
        <v>520</v>
      </c>
      <c r="E164" s="187" t="s">
        <v>385</v>
      </c>
      <c r="F164" s="187" t="s">
        <v>386</v>
      </c>
      <c r="G164" s="187" t="s">
        <v>387</v>
      </c>
      <c r="H164" s="187" t="b">
        <v>0</v>
      </c>
      <c r="I164" s="187" t="s">
        <v>388</v>
      </c>
      <c r="J164" s="187" t="s">
        <v>389</v>
      </c>
      <c r="K164" s="187" t="b">
        <v>1</v>
      </c>
      <c r="L164" s="187">
        <v>2.2999999999999998</v>
      </c>
      <c r="M164" s="187">
        <v>0.28000000000000003</v>
      </c>
      <c r="N164" s="187">
        <v>10.3</v>
      </c>
      <c r="O164" s="187">
        <v>4.4000000000000004</v>
      </c>
      <c r="P164" s="187">
        <v>8.49</v>
      </c>
      <c r="Q164" s="187"/>
      <c r="R164" s="187"/>
      <c r="S164" s="187"/>
      <c r="T164" s="187"/>
      <c r="U164" s="187">
        <v>37.6</v>
      </c>
      <c r="V164" s="187">
        <v>2.4</v>
      </c>
      <c r="W164" s="188">
        <v>40345</v>
      </c>
      <c r="X164" s="691">
        <f t="shared" si="68"/>
        <v>2.0214999999999996</v>
      </c>
      <c r="Y164" s="691">
        <f t="shared" si="76"/>
        <v>4.6236800000000011</v>
      </c>
      <c r="Z164" s="189"/>
      <c r="AA164" s="190">
        <f t="shared" si="84"/>
        <v>2010</v>
      </c>
      <c r="AB164" s="191">
        <f t="shared" si="85"/>
        <v>1.1377689834281475</v>
      </c>
      <c r="AC164" s="192">
        <f>IF(AB164="","",AB164*SFAssumptions!$C$3)</f>
        <v>292.08043037348506</v>
      </c>
      <c r="AD164" s="193">
        <f t="shared" si="86"/>
        <v>10.634464000000001</v>
      </c>
      <c r="AE164" s="194">
        <f>IF(AD164="","",AD164*SFAssumptions!$C$3)</f>
        <v>2730.0083471712005</v>
      </c>
      <c r="AF164" s="192">
        <f t="shared" si="75"/>
        <v>2.2999999999999998</v>
      </c>
      <c r="AG164" s="192">
        <f t="shared" si="87"/>
        <v>4.6236800000000011</v>
      </c>
      <c r="AH164" s="192">
        <f t="shared" si="88"/>
        <v>2.0214999999999996</v>
      </c>
      <c r="AI164" s="692">
        <f ca="1">IF(AC164="","",AC164*SFAssumptions!$C$8/'SavingsData&amp;Analysis'!AF164)</f>
        <v>479.64779021504222</v>
      </c>
      <c r="AJ164" s="692">
        <f ca="1">IF(OR(AE164="",AF164=""),"",AE164*SFAssumptions!$C$8/AF164)</f>
        <v>4483.1571540581954</v>
      </c>
      <c r="AK164" s="191">
        <f t="shared" si="89"/>
        <v>0.95833333333333326</v>
      </c>
      <c r="AL164" s="692">
        <f>IF(AK164="","",AK164*SFAssumptions!$C$3)</f>
        <v>246.01691249999999</v>
      </c>
      <c r="AM164" s="193">
        <f t="shared" si="90"/>
        <v>10.119999999999999</v>
      </c>
      <c r="AN164" s="194">
        <f>IF(AM164="","",AM164*SFAssumptions!$C$3)</f>
        <v>2597.938596</v>
      </c>
      <c r="AO164" s="693">
        <f t="shared" si="91"/>
        <v>4.4000000000000004</v>
      </c>
      <c r="AP164" s="693">
        <f t="shared" si="92"/>
        <v>2.4</v>
      </c>
      <c r="AQ164" s="692">
        <f ca="1">IF(AL164="","",AL164*SFAssumptions!$C$8/'SavingsData&amp;Analysis'!AF164)</f>
        <v>404.00333663321152</v>
      </c>
      <c r="AR164" s="692">
        <f ca="1">IF(OR(AN164="",AF164=""),"",AN164*SFAssumptions!$C$8/AF164)</f>
        <v>4266.2752348467138</v>
      </c>
      <c r="AS164" s="190" t="str">
        <f>IF(OR(AG164="",AH164=""),"No",IF(AND(G164="Horizontal",AH164&gt;='Eff. Standards &amp; Certifications'!$B$21,AG164&lt;='Eff. Standards &amp; Certifications'!$C$21),"Consider",IF(AND(G164="Vertical",AH164&gt;='Eff. Standards &amp; Certifications'!$B$20,AG164&lt;='Eff. Standards &amp; Certifications'!$C$20),"Consider","No")))</f>
        <v>Consider</v>
      </c>
      <c r="AT164" s="190" t="str">
        <f t="shared" si="77"/>
        <v>Residential</v>
      </c>
      <c r="AU164" s="190"/>
      <c r="AV164" s="190" t="str">
        <f t="shared" si="96"/>
        <v>NO</v>
      </c>
      <c r="AW164" s="190" t="str">
        <f t="shared" si="96"/>
        <v>YES</v>
      </c>
      <c r="AX164" s="190" t="str">
        <f t="shared" si="93"/>
        <v>YES</v>
      </c>
      <c r="AY164" s="190" t="str">
        <f t="shared" si="78"/>
        <v>NO</v>
      </c>
      <c r="AZ164" s="190" t="str">
        <f t="shared" si="78"/>
        <v>YES</v>
      </c>
      <c r="BA164" s="190" t="str">
        <f t="shared" si="94"/>
        <v>YES</v>
      </c>
      <c r="BB164" s="190" t="str">
        <f t="shared" si="79"/>
        <v>NO</v>
      </c>
      <c r="BC164" s="190" t="str">
        <f t="shared" si="80"/>
        <v>NO</v>
      </c>
      <c r="BD164" s="190" t="str">
        <f t="shared" si="95"/>
        <v>NO</v>
      </c>
      <c r="BE164" s="190" t="str">
        <f t="shared" si="81"/>
        <v>NO</v>
      </c>
      <c r="BF164" s="190" t="str">
        <f t="shared" si="82"/>
        <v>NO</v>
      </c>
      <c r="BG164" s="190" t="str">
        <f t="shared" si="83"/>
        <v>NO</v>
      </c>
      <c r="BH164" s="88"/>
      <c r="BI164" s="9"/>
      <c r="BJ164" s="694" t="str">
        <f t="shared" si="97"/>
        <v/>
      </c>
      <c r="BK164" s="694">
        <f t="shared" si="97"/>
        <v>2.0214999999999996</v>
      </c>
      <c r="BL164" s="694" t="str">
        <f t="shared" si="98"/>
        <v/>
      </c>
      <c r="BM164" s="694">
        <f t="shared" si="98"/>
        <v>4.6236800000000011</v>
      </c>
      <c r="BN164" s="88"/>
      <c r="BO164" s="195"/>
      <c r="BP164" s="195"/>
      <c r="BQ164" s="195"/>
      <c r="BR164" s="195"/>
      <c r="BS164" s="195"/>
      <c r="BT164" s="195"/>
      <c r="BU164" s="195"/>
      <c r="BV164" s="195"/>
      <c r="BW164" s="195"/>
      <c r="BX164" s="195"/>
    </row>
    <row r="165" spans="1:76" s="124" customFormat="1" ht="15">
      <c r="A165" s="187">
        <v>6202</v>
      </c>
      <c r="B165" s="187" t="s">
        <v>490</v>
      </c>
      <c r="C165" s="187" t="s">
        <v>1324</v>
      </c>
      <c r="D165" s="187" t="s">
        <v>1326</v>
      </c>
      <c r="E165" s="187" t="s">
        <v>385</v>
      </c>
      <c r="F165" s="187" t="s">
        <v>386</v>
      </c>
      <c r="G165" s="187" t="s">
        <v>387</v>
      </c>
      <c r="H165" s="187" t="b">
        <v>0</v>
      </c>
      <c r="I165" s="187" t="s">
        <v>388</v>
      </c>
      <c r="J165" s="187" t="s">
        <v>389</v>
      </c>
      <c r="K165" s="187" t="b">
        <v>1</v>
      </c>
      <c r="L165" s="187">
        <v>2.2999999999999998</v>
      </c>
      <c r="M165" s="187">
        <v>0.26</v>
      </c>
      <c r="N165" s="187">
        <v>10.220000000000001</v>
      </c>
      <c r="O165" s="187">
        <v>4.5</v>
      </c>
      <c r="P165" s="187">
        <v>8.81</v>
      </c>
      <c r="Q165" s="187"/>
      <c r="R165" s="187"/>
      <c r="S165" s="187"/>
      <c r="T165" s="187"/>
      <c r="U165" s="187">
        <v>38.299999999999997</v>
      </c>
      <c r="V165" s="187">
        <v>2.4</v>
      </c>
      <c r="W165" s="188">
        <v>41717</v>
      </c>
      <c r="X165" s="691">
        <f t="shared" si="68"/>
        <v>2.0214999999999996</v>
      </c>
      <c r="Y165" s="691">
        <f t="shared" si="76"/>
        <v>4.7261000000000006</v>
      </c>
      <c r="Z165" s="189"/>
      <c r="AA165" s="190">
        <f t="shared" si="84"/>
        <v>2014</v>
      </c>
      <c r="AB165" s="191">
        <f t="shared" si="85"/>
        <v>1.1377689834281475</v>
      </c>
      <c r="AC165" s="192">
        <f>IF(AB165="","",AB165*SFAssumptions!$C$3)</f>
        <v>292.08043037348506</v>
      </c>
      <c r="AD165" s="193">
        <f t="shared" si="86"/>
        <v>10.87003</v>
      </c>
      <c r="AE165" s="194">
        <f>IF(AD165="","",AD165*SFAssumptions!$C$3)</f>
        <v>2790.4812723989999</v>
      </c>
      <c r="AF165" s="192">
        <f t="shared" si="75"/>
        <v>2.2999999999999998</v>
      </c>
      <c r="AG165" s="192">
        <f t="shared" si="87"/>
        <v>4.7261000000000006</v>
      </c>
      <c r="AH165" s="192">
        <f t="shared" si="88"/>
        <v>2.0214999999999996</v>
      </c>
      <c r="AI165" s="692">
        <f ca="1">IF(AC165="","",AC165*SFAssumptions!$C$8/'SavingsData&amp;Analysis'!AF165)</f>
        <v>479.64779021504222</v>
      </c>
      <c r="AJ165" s="692">
        <f ca="1">IF(OR(AE165="",AF165=""),"",AE165*SFAssumptions!$C$8/AF165)</f>
        <v>4582.464406229331</v>
      </c>
      <c r="AK165" s="191">
        <f t="shared" si="89"/>
        <v>0.95833333333333326</v>
      </c>
      <c r="AL165" s="692">
        <f>IF(AK165="","",AK165*SFAssumptions!$C$3)</f>
        <v>246.01691249999999</v>
      </c>
      <c r="AM165" s="193">
        <f t="shared" si="90"/>
        <v>10.35</v>
      </c>
      <c r="AN165" s="194">
        <f>IF(AM165="","",AM165*SFAssumptions!$C$3)</f>
        <v>2656.9826549999998</v>
      </c>
      <c r="AO165" s="693">
        <f t="shared" si="91"/>
        <v>4.5</v>
      </c>
      <c r="AP165" s="693">
        <f t="shared" si="92"/>
        <v>2.4</v>
      </c>
      <c r="AQ165" s="692">
        <f ca="1">IF(AL165="","",AL165*SFAssumptions!$C$8/'SavingsData&amp;Analysis'!AF165)</f>
        <v>404.00333663321152</v>
      </c>
      <c r="AR165" s="692">
        <f ca="1">IF(OR(AN165="",AF165=""),"",AN165*SFAssumptions!$C$8/AF165)</f>
        <v>4363.2360356386844</v>
      </c>
      <c r="AS165" s="190" t="str">
        <f>IF(OR(AG165="",AH165=""),"No",IF(AND(G165="Horizontal",AH165&gt;='Eff. Standards &amp; Certifications'!$B$21,AG165&lt;='Eff. Standards &amp; Certifications'!$C$21),"Consider",IF(AND(G165="Vertical",AH165&gt;='Eff. Standards &amp; Certifications'!$B$20,AG165&lt;='Eff. Standards &amp; Certifications'!$C$20),"Consider","No")))</f>
        <v>No</v>
      </c>
      <c r="AT165" s="190" t="str">
        <f t="shared" si="77"/>
        <v>Residential</v>
      </c>
      <c r="AU165" s="190"/>
      <c r="AV165" s="190" t="str">
        <f t="shared" si="96"/>
        <v>NO</v>
      </c>
      <c r="AW165" s="190" t="str">
        <f t="shared" si="96"/>
        <v>NO</v>
      </c>
      <c r="AX165" s="190" t="str">
        <f t="shared" si="93"/>
        <v>NO</v>
      </c>
      <c r="AY165" s="190" t="str">
        <f t="shared" si="78"/>
        <v>NO</v>
      </c>
      <c r="AZ165" s="190" t="str">
        <f t="shared" si="78"/>
        <v>NO</v>
      </c>
      <c r="BA165" s="190" t="str">
        <f t="shared" si="94"/>
        <v>NO</v>
      </c>
      <c r="BB165" s="190" t="str">
        <f t="shared" si="79"/>
        <v>NO</v>
      </c>
      <c r="BC165" s="190" t="str">
        <f t="shared" si="80"/>
        <v>NO</v>
      </c>
      <c r="BD165" s="190" t="str">
        <f t="shared" si="95"/>
        <v>NO</v>
      </c>
      <c r="BE165" s="190" t="str">
        <f t="shared" si="81"/>
        <v>NO</v>
      </c>
      <c r="BF165" s="190" t="str">
        <f t="shared" si="82"/>
        <v>NO</v>
      </c>
      <c r="BG165" s="190" t="str">
        <f t="shared" si="83"/>
        <v>NO</v>
      </c>
      <c r="BH165" s="88"/>
      <c r="BI165" s="9"/>
      <c r="BJ165" s="694" t="str">
        <f t="shared" si="97"/>
        <v/>
      </c>
      <c r="BK165" s="694" t="str">
        <f t="shared" si="97"/>
        <v/>
      </c>
      <c r="BL165" s="694" t="str">
        <f t="shared" si="98"/>
        <v/>
      </c>
      <c r="BM165" s="694" t="str">
        <f t="shared" si="98"/>
        <v/>
      </c>
      <c r="BN165" s="88"/>
      <c r="BO165" s="195"/>
      <c r="BP165" s="195"/>
      <c r="BQ165" s="195"/>
      <c r="BR165" s="195"/>
      <c r="BS165" s="195"/>
      <c r="BT165" s="195"/>
      <c r="BU165" s="195"/>
      <c r="BV165" s="195"/>
      <c r="BW165" s="195"/>
      <c r="BX165" s="195"/>
    </row>
    <row r="166" spans="1:76" s="124" customFormat="1" ht="15">
      <c r="A166" s="187">
        <v>1392</v>
      </c>
      <c r="B166" s="187" t="s">
        <v>490</v>
      </c>
      <c r="C166" s="187" t="s">
        <v>1324</v>
      </c>
      <c r="D166" s="187" t="s">
        <v>521</v>
      </c>
      <c r="E166" s="187" t="s">
        <v>385</v>
      </c>
      <c r="F166" s="187" t="s">
        <v>386</v>
      </c>
      <c r="G166" s="187" t="s">
        <v>387</v>
      </c>
      <c r="H166" s="187" t="b">
        <v>0</v>
      </c>
      <c r="I166" s="187" t="s">
        <v>388</v>
      </c>
      <c r="J166" s="187" t="s">
        <v>389</v>
      </c>
      <c r="K166" s="187" t="b">
        <v>1</v>
      </c>
      <c r="L166" s="187">
        <v>3.2</v>
      </c>
      <c r="M166" s="187">
        <v>0.47</v>
      </c>
      <c r="N166" s="187">
        <v>12.9</v>
      </c>
      <c r="O166" s="187">
        <v>4</v>
      </c>
      <c r="P166" s="187">
        <v>6.12</v>
      </c>
      <c r="Q166" s="187"/>
      <c r="R166" s="187"/>
      <c r="S166" s="187"/>
      <c r="T166" s="187"/>
      <c r="U166" s="187">
        <v>39.799999999999997</v>
      </c>
      <c r="V166" s="187">
        <v>2.0499999999999998</v>
      </c>
      <c r="W166" s="188">
        <v>38639</v>
      </c>
      <c r="X166" s="691">
        <f t="shared" si="68"/>
        <v>1.7014249999999997</v>
      </c>
      <c r="Y166" s="691">
        <f t="shared" si="76"/>
        <v>4.2140000000000004</v>
      </c>
      <c r="Z166" s="189"/>
      <c r="AA166" s="190">
        <f t="shared" si="84"/>
        <v>2005</v>
      </c>
      <c r="AB166" s="191">
        <f t="shared" si="85"/>
        <v>1.8807764080109324</v>
      </c>
      <c r="AC166" s="192">
        <f>IF(AB166="","",AB166*SFAssumptions!$C$3)</f>
        <v>482.8203182626329</v>
      </c>
      <c r="AD166" s="193">
        <f t="shared" si="86"/>
        <v>13.484800000000002</v>
      </c>
      <c r="AE166" s="194">
        <f>IF(AD166="","",AD166*SFAssumptions!$C$3)</f>
        <v>3461.7275078400003</v>
      </c>
      <c r="AF166" s="192">
        <f t="shared" si="75"/>
        <v>3.2</v>
      </c>
      <c r="AG166" s="192">
        <f t="shared" si="87"/>
        <v>4.2140000000000004</v>
      </c>
      <c r="AH166" s="192">
        <f t="shared" si="88"/>
        <v>1.7014249999999997</v>
      </c>
      <c r="AI166" s="692">
        <f ca="1">IF(AC166="","",AC166*SFAssumptions!$C$8/'SavingsData&amp;Analysis'!AF166)</f>
        <v>569.87995822308233</v>
      </c>
      <c r="AJ166" s="692">
        <f ca="1">IF(OR(AE166="",AF166=""),"",AE166*SFAssumptions!$C$8/AF166)</f>
        <v>4085.9281453736485</v>
      </c>
      <c r="AK166" s="191">
        <f t="shared" si="89"/>
        <v>1.5609756097560978</v>
      </c>
      <c r="AL166" s="692">
        <f>IF(AK166="","",AK166*SFAssumptions!$C$3)</f>
        <v>400.72320000000008</v>
      </c>
      <c r="AM166" s="193">
        <f t="shared" si="90"/>
        <v>12.8</v>
      </c>
      <c r="AN166" s="194">
        <f>IF(AM166="","",AM166*SFAssumptions!$C$3)</f>
        <v>3285.9302400000001</v>
      </c>
      <c r="AO166" s="693">
        <f t="shared" si="91"/>
        <v>4</v>
      </c>
      <c r="AP166" s="693">
        <f t="shared" si="92"/>
        <v>2.0499999999999998</v>
      </c>
      <c r="AQ166" s="692">
        <f ca="1">IF(AL166="","",AL166*SFAssumptions!$C$8/'SavingsData&amp;Analysis'!AF166)</f>
        <v>472.97951605839404</v>
      </c>
      <c r="AR166" s="692">
        <f ca="1">IF(OR(AN166="",AF166=""),"",AN166*SFAssumptions!$C$8/AF166)</f>
        <v>3878.4320316788308</v>
      </c>
      <c r="AS166" s="190" t="str">
        <f>IF(OR(AG166="",AH166=""),"No",IF(AND(G166="Horizontal",AH166&gt;='Eff. Standards &amp; Certifications'!$B$21,AG166&lt;='Eff. Standards &amp; Certifications'!$C$21),"Consider",IF(AND(G166="Vertical",AH166&gt;='Eff. Standards &amp; Certifications'!$B$20,AG166&lt;='Eff. Standards &amp; Certifications'!$C$20),"Consider","No")))</f>
        <v>No</v>
      </c>
      <c r="AT166" s="190" t="str">
        <f t="shared" si="77"/>
        <v>Residential</v>
      </c>
      <c r="AU166" s="190"/>
      <c r="AV166" s="190" t="str">
        <f t="shared" si="96"/>
        <v>NO</v>
      </c>
      <c r="AW166" s="190" t="str">
        <f t="shared" si="96"/>
        <v>NO</v>
      </c>
      <c r="AX166" s="190" t="str">
        <f t="shared" si="93"/>
        <v>NO</v>
      </c>
      <c r="AY166" s="190" t="str">
        <f t="shared" si="78"/>
        <v>NO</v>
      </c>
      <c r="AZ166" s="190" t="str">
        <f t="shared" si="78"/>
        <v>NO</v>
      </c>
      <c r="BA166" s="190" t="str">
        <f t="shared" si="94"/>
        <v>NO</v>
      </c>
      <c r="BB166" s="190" t="str">
        <f t="shared" si="79"/>
        <v>NO</v>
      </c>
      <c r="BC166" s="190" t="str">
        <f t="shared" si="80"/>
        <v>NO</v>
      </c>
      <c r="BD166" s="190" t="str">
        <f t="shared" si="95"/>
        <v>NO</v>
      </c>
      <c r="BE166" s="190" t="str">
        <f t="shared" si="81"/>
        <v>NO</v>
      </c>
      <c r="BF166" s="190" t="str">
        <f t="shared" si="82"/>
        <v>NO</v>
      </c>
      <c r="BG166" s="190" t="str">
        <f t="shared" si="83"/>
        <v>NO</v>
      </c>
      <c r="BH166" s="88"/>
      <c r="BI166" s="9"/>
      <c r="BJ166" s="694" t="str">
        <f t="shared" si="97"/>
        <v/>
      </c>
      <c r="BK166" s="694" t="str">
        <f t="shared" si="97"/>
        <v/>
      </c>
      <c r="BL166" s="694" t="str">
        <f t="shared" si="98"/>
        <v/>
      </c>
      <c r="BM166" s="694" t="str">
        <f t="shared" si="98"/>
        <v/>
      </c>
      <c r="BN166" s="88"/>
      <c r="BO166" s="195"/>
      <c r="BP166" s="195"/>
      <c r="BQ166" s="195"/>
      <c r="BR166" s="195"/>
      <c r="BS166" s="195"/>
      <c r="BT166" s="195"/>
      <c r="BU166" s="195"/>
      <c r="BV166" s="195"/>
      <c r="BW166" s="195"/>
      <c r="BX166" s="195"/>
    </row>
    <row r="167" spans="1:76" s="124" customFormat="1" ht="15">
      <c r="A167" s="187">
        <v>3317</v>
      </c>
      <c r="B167" s="187" t="s">
        <v>490</v>
      </c>
      <c r="C167" s="187" t="s">
        <v>1324</v>
      </c>
      <c r="D167" s="187" t="s">
        <v>522</v>
      </c>
      <c r="E167" s="187" t="s">
        <v>385</v>
      </c>
      <c r="F167" s="187" t="s">
        <v>386</v>
      </c>
      <c r="G167" s="187" t="s">
        <v>387</v>
      </c>
      <c r="H167" s="187" t="b">
        <v>0</v>
      </c>
      <c r="I167" s="187" t="s">
        <v>388</v>
      </c>
      <c r="J167" s="187" t="s">
        <v>389</v>
      </c>
      <c r="K167" s="187" t="b">
        <v>1</v>
      </c>
      <c r="L167" s="187">
        <v>3.1</v>
      </c>
      <c r="M167" s="187">
        <v>0.38</v>
      </c>
      <c r="N167" s="187">
        <v>9.92</v>
      </c>
      <c r="O167" s="187">
        <v>3.2</v>
      </c>
      <c r="P167" s="187">
        <v>8.4</v>
      </c>
      <c r="Q167" s="187"/>
      <c r="R167" s="187"/>
      <c r="S167" s="187"/>
      <c r="T167" s="187"/>
      <c r="U167" s="187">
        <v>41.1</v>
      </c>
      <c r="V167" s="187">
        <v>2.21</v>
      </c>
      <c r="W167" s="188">
        <v>39602</v>
      </c>
      <c r="X167" s="691">
        <f t="shared" si="68"/>
        <v>1.847745</v>
      </c>
      <c r="Y167" s="691">
        <f t="shared" si="76"/>
        <v>3.3946400000000003</v>
      </c>
      <c r="Z167" s="189"/>
      <c r="AA167" s="190">
        <f t="shared" si="84"/>
        <v>2008</v>
      </c>
      <c r="AB167" s="191">
        <f t="shared" si="85"/>
        <v>1.6777206811545966</v>
      </c>
      <c r="AC167" s="192">
        <f>IF(AB167="","",AB167*SFAssumptions!$C$3)</f>
        <v>430.69321253744431</v>
      </c>
      <c r="AD167" s="193">
        <f t="shared" si="86"/>
        <v>10.523384000000002</v>
      </c>
      <c r="AE167" s="194">
        <f>IF(AD167="","",AD167*SFAssumptions!$C$3)</f>
        <v>2701.4926338072005</v>
      </c>
      <c r="AF167" s="192">
        <f t="shared" si="75"/>
        <v>3.1</v>
      </c>
      <c r="AG167" s="192">
        <f t="shared" si="87"/>
        <v>3.3946400000000003</v>
      </c>
      <c r="AH167" s="192">
        <f t="shared" si="88"/>
        <v>1.847745</v>
      </c>
      <c r="AI167" s="692">
        <f ca="1">IF(AC167="","",AC167*SFAssumptions!$C$8/'SavingsData&amp;Analysis'!AF167)</f>
        <v>524.752066935485</v>
      </c>
      <c r="AJ167" s="692">
        <f ca="1">IF(OR(AE167="",AF167=""),"",AE167*SFAssumptions!$C$8/AF167)</f>
        <v>3291.470128004557</v>
      </c>
      <c r="AK167" s="191">
        <f t="shared" si="89"/>
        <v>1.402714932126697</v>
      </c>
      <c r="AL167" s="692">
        <f>IF(AK167="","",AK167*SFAssumptions!$C$3)</f>
        <v>360.09557918552042</v>
      </c>
      <c r="AM167" s="193">
        <f t="shared" si="90"/>
        <v>9.9200000000000017</v>
      </c>
      <c r="AN167" s="194">
        <f>IF(AM167="","",AM167*SFAssumptions!$C$3)</f>
        <v>2546.5959360000006</v>
      </c>
      <c r="AO167" s="693">
        <f t="shared" si="91"/>
        <v>3.2</v>
      </c>
      <c r="AP167" s="693">
        <f t="shared" si="92"/>
        <v>2.21</v>
      </c>
      <c r="AQ167" s="692">
        <f ca="1">IF(AL167="","",AL167*SFAssumptions!$C$8/'SavingsData&amp;Analysis'!AF167)</f>
        <v>438.73665516728857</v>
      </c>
      <c r="AR167" s="692">
        <f ca="1">IF(OR(AN167="",AF167=""),"",AN167*SFAssumptions!$C$8/AF167)</f>
        <v>3102.7456253430651</v>
      </c>
      <c r="AS167" s="190" t="str">
        <f>IF(OR(AG167="",AH167=""),"No",IF(AND(G167="Horizontal",AH167&gt;='Eff. Standards &amp; Certifications'!$B$21,AG167&lt;='Eff. Standards &amp; Certifications'!$C$21),"Consider",IF(AND(G167="Vertical",AH167&gt;='Eff. Standards &amp; Certifications'!$B$20,AG167&lt;='Eff. Standards &amp; Certifications'!$C$20),"Consider","No")))</f>
        <v>Consider</v>
      </c>
      <c r="AT167" s="190" t="str">
        <f t="shared" si="77"/>
        <v>Residential</v>
      </c>
      <c r="AU167" s="190"/>
      <c r="AV167" s="190" t="str">
        <f t="shared" si="96"/>
        <v>NO</v>
      </c>
      <c r="AW167" s="190" t="str">
        <f t="shared" si="96"/>
        <v>YES</v>
      </c>
      <c r="AX167" s="190" t="str">
        <f t="shared" si="93"/>
        <v>YES</v>
      </c>
      <c r="AY167" s="190" t="str">
        <f t="shared" si="78"/>
        <v>NO</v>
      </c>
      <c r="AZ167" s="190" t="str">
        <f t="shared" si="78"/>
        <v>YES</v>
      </c>
      <c r="BA167" s="190" t="str">
        <f t="shared" si="94"/>
        <v>YES</v>
      </c>
      <c r="BB167" s="190" t="str">
        <f t="shared" si="79"/>
        <v>NO</v>
      </c>
      <c r="BC167" s="190" t="str">
        <f t="shared" si="80"/>
        <v>NO</v>
      </c>
      <c r="BD167" s="190" t="str">
        <f t="shared" si="95"/>
        <v>NO</v>
      </c>
      <c r="BE167" s="190" t="str">
        <f t="shared" si="81"/>
        <v>NO</v>
      </c>
      <c r="BF167" s="190" t="str">
        <f t="shared" si="82"/>
        <v>NO</v>
      </c>
      <c r="BG167" s="190" t="str">
        <f t="shared" si="83"/>
        <v>NO</v>
      </c>
      <c r="BH167" s="88"/>
      <c r="BI167" s="9"/>
      <c r="BJ167" s="694" t="str">
        <f t="shared" si="97"/>
        <v/>
      </c>
      <c r="BK167" s="694">
        <f t="shared" si="97"/>
        <v>1.847745</v>
      </c>
      <c r="BL167" s="694" t="str">
        <f t="shared" si="98"/>
        <v/>
      </c>
      <c r="BM167" s="694">
        <f t="shared" si="98"/>
        <v>3.3946400000000003</v>
      </c>
      <c r="BN167" s="88"/>
      <c r="BO167" s="195"/>
      <c r="BP167" s="195"/>
      <c r="BQ167" s="195"/>
      <c r="BR167" s="195"/>
      <c r="BS167" s="195"/>
      <c r="BT167" s="195"/>
      <c r="BU167" s="195"/>
      <c r="BV167" s="195"/>
      <c r="BW167" s="195"/>
      <c r="BX167" s="195"/>
    </row>
    <row r="168" spans="1:76" s="124" customFormat="1" ht="15">
      <c r="A168" s="187">
        <v>3445</v>
      </c>
      <c r="B168" s="187" t="s">
        <v>490</v>
      </c>
      <c r="C168" s="187" t="s">
        <v>1324</v>
      </c>
      <c r="D168" s="187" t="s">
        <v>523</v>
      </c>
      <c r="E168" s="187" t="s">
        <v>385</v>
      </c>
      <c r="F168" s="187" t="s">
        <v>386</v>
      </c>
      <c r="G168" s="187" t="s">
        <v>387</v>
      </c>
      <c r="H168" s="187" t="b">
        <v>0</v>
      </c>
      <c r="I168" s="187" t="s">
        <v>388</v>
      </c>
      <c r="J168" s="187" t="s">
        <v>389</v>
      </c>
      <c r="K168" s="187" t="b">
        <v>1</v>
      </c>
      <c r="L168" s="187">
        <v>3.1</v>
      </c>
      <c r="M168" s="187">
        <v>0.38</v>
      </c>
      <c r="N168" s="187">
        <v>9.92</v>
      </c>
      <c r="O168" s="187">
        <v>3.1</v>
      </c>
      <c r="P168" s="187">
        <v>8.4</v>
      </c>
      <c r="Q168" s="187"/>
      <c r="R168" s="187"/>
      <c r="S168" s="187"/>
      <c r="T168" s="187"/>
      <c r="U168" s="187">
        <v>41.1</v>
      </c>
      <c r="V168" s="187">
        <v>2.21</v>
      </c>
      <c r="W168" s="188">
        <v>39696</v>
      </c>
      <c r="X168" s="691">
        <f t="shared" si="68"/>
        <v>1.847745</v>
      </c>
      <c r="Y168" s="691">
        <f t="shared" si="76"/>
        <v>3.2922199999999999</v>
      </c>
      <c r="Z168" s="189"/>
      <c r="AA168" s="190">
        <f t="shared" si="84"/>
        <v>2008</v>
      </c>
      <c r="AB168" s="191">
        <f t="shared" si="85"/>
        <v>1.6777206811545966</v>
      </c>
      <c r="AC168" s="192">
        <f>IF(AB168="","",AB168*SFAssumptions!$C$3)</f>
        <v>430.69321253744431</v>
      </c>
      <c r="AD168" s="193">
        <f t="shared" si="86"/>
        <v>10.205882000000001</v>
      </c>
      <c r="AE168" s="194">
        <f>IF(AD168="","",AD168*SFAssumptions!$C$3)</f>
        <v>2619.9856476306004</v>
      </c>
      <c r="AF168" s="192">
        <f t="shared" si="75"/>
        <v>3.1</v>
      </c>
      <c r="AG168" s="192">
        <f t="shared" si="87"/>
        <v>3.2922199999999999</v>
      </c>
      <c r="AH168" s="192">
        <f t="shared" si="88"/>
        <v>1.847745</v>
      </c>
      <c r="AI168" s="692">
        <f ca="1">IF(AC168="","",AC168*SFAssumptions!$C$8/'SavingsData&amp;Analysis'!AF168)</f>
        <v>524.752066935485</v>
      </c>
      <c r="AJ168" s="692">
        <f ca="1">IF(OR(AE168="",AF168=""),"",AE168*SFAssumptions!$C$8/AF168)</f>
        <v>3192.16287583342</v>
      </c>
      <c r="AK168" s="191">
        <f t="shared" si="89"/>
        <v>1.402714932126697</v>
      </c>
      <c r="AL168" s="692">
        <f>IF(AK168="","",AK168*SFAssumptions!$C$3)</f>
        <v>360.09557918552042</v>
      </c>
      <c r="AM168" s="193">
        <f t="shared" si="90"/>
        <v>9.6100000000000012</v>
      </c>
      <c r="AN168" s="194">
        <f>IF(AM168="","",AM168*SFAssumptions!$C$3)</f>
        <v>2467.0148130000002</v>
      </c>
      <c r="AO168" s="693">
        <f t="shared" si="91"/>
        <v>3.1</v>
      </c>
      <c r="AP168" s="693">
        <f t="shared" si="92"/>
        <v>2.21</v>
      </c>
      <c r="AQ168" s="692">
        <f ca="1">IF(AL168="","",AL168*SFAssumptions!$C$8/'SavingsData&amp;Analysis'!AF168)</f>
        <v>438.73665516728857</v>
      </c>
      <c r="AR168" s="692">
        <f ca="1">IF(OR(AN168="",AF168=""),"",AN168*SFAssumptions!$C$8/AF168)</f>
        <v>3005.7848245510941</v>
      </c>
      <c r="AS168" s="190" t="str">
        <f>IF(OR(AG168="",AH168=""),"No",IF(AND(G168="Horizontal",AH168&gt;='Eff. Standards &amp; Certifications'!$B$21,AG168&lt;='Eff. Standards &amp; Certifications'!$C$21),"Consider",IF(AND(G168="Vertical",AH168&gt;='Eff. Standards &amp; Certifications'!$B$20,AG168&lt;='Eff. Standards &amp; Certifications'!$C$20),"Consider","No")))</f>
        <v>Consider</v>
      </c>
      <c r="AT168" s="190" t="str">
        <f t="shared" si="77"/>
        <v>Residential</v>
      </c>
      <c r="AU168" s="190"/>
      <c r="AV168" s="190" t="str">
        <f t="shared" si="96"/>
        <v>NO</v>
      </c>
      <c r="AW168" s="190" t="str">
        <f t="shared" si="96"/>
        <v>YES</v>
      </c>
      <c r="AX168" s="190" t="str">
        <f t="shared" si="93"/>
        <v>YES</v>
      </c>
      <c r="AY168" s="190" t="str">
        <f t="shared" si="78"/>
        <v>NO</v>
      </c>
      <c r="AZ168" s="190" t="str">
        <f t="shared" si="78"/>
        <v>YES</v>
      </c>
      <c r="BA168" s="190" t="str">
        <f t="shared" si="94"/>
        <v>YES</v>
      </c>
      <c r="BB168" s="190" t="str">
        <f t="shared" si="79"/>
        <v>NO</v>
      </c>
      <c r="BC168" s="190" t="str">
        <f t="shared" si="80"/>
        <v>NO</v>
      </c>
      <c r="BD168" s="190" t="str">
        <f t="shared" si="95"/>
        <v>NO</v>
      </c>
      <c r="BE168" s="190" t="str">
        <f t="shared" si="81"/>
        <v>NO</v>
      </c>
      <c r="BF168" s="190" t="str">
        <f t="shared" si="82"/>
        <v>NO</v>
      </c>
      <c r="BG168" s="190" t="str">
        <f t="shared" si="83"/>
        <v>NO</v>
      </c>
      <c r="BH168" s="88"/>
      <c r="BI168" s="9"/>
      <c r="BJ168" s="694" t="str">
        <f t="shared" si="97"/>
        <v/>
      </c>
      <c r="BK168" s="694">
        <f t="shared" si="97"/>
        <v>1.847745</v>
      </c>
      <c r="BL168" s="694" t="str">
        <f t="shared" si="98"/>
        <v/>
      </c>
      <c r="BM168" s="694">
        <f t="shared" si="98"/>
        <v>3.2922199999999999</v>
      </c>
      <c r="BN168" s="88"/>
      <c r="BO168" s="195"/>
      <c r="BP168" s="195"/>
      <c r="BQ168" s="195"/>
      <c r="BR168" s="195"/>
      <c r="BS168" s="195"/>
      <c r="BT168" s="195"/>
      <c r="BU168" s="195"/>
      <c r="BV168" s="195"/>
      <c r="BW168" s="195"/>
      <c r="BX168" s="195"/>
    </row>
    <row r="169" spans="1:76" s="124" customFormat="1" ht="15">
      <c r="A169" s="187">
        <v>3292</v>
      </c>
      <c r="B169" s="187" t="s">
        <v>490</v>
      </c>
      <c r="C169" s="187" t="s">
        <v>1324</v>
      </c>
      <c r="D169" s="187" t="s">
        <v>524</v>
      </c>
      <c r="E169" s="187" t="s">
        <v>385</v>
      </c>
      <c r="F169" s="187" t="s">
        <v>386</v>
      </c>
      <c r="G169" s="187" t="s">
        <v>387</v>
      </c>
      <c r="H169" s="187" t="b">
        <v>0</v>
      </c>
      <c r="I169" s="187" t="s">
        <v>388</v>
      </c>
      <c r="J169" s="187" t="s">
        <v>389</v>
      </c>
      <c r="K169" s="187" t="b">
        <v>1</v>
      </c>
      <c r="L169" s="187">
        <v>3.2</v>
      </c>
      <c r="M169" s="187">
        <v>0.41</v>
      </c>
      <c r="N169" s="187">
        <v>12.26</v>
      </c>
      <c r="O169" s="187">
        <v>3.9</v>
      </c>
      <c r="P169" s="187">
        <v>7.74</v>
      </c>
      <c r="Q169" s="187"/>
      <c r="R169" s="187"/>
      <c r="S169" s="187"/>
      <c r="T169" s="187"/>
      <c r="U169" s="187">
        <v>40.4</v>
      </c>
      <c r="V169" s="187">
        <v>2.2000000000000002</v>
      </c>
      <c r="W169" s="188">
        <v>39547</v>
      </c>
      <c r="X169" s="691">
        <f t="shared" si="68"/>
        <v>1.8386000000000002</v>
      </c>
      <c r="Y169" s="691">
        <f t="shared" si="76"/>
        <v>4.11158</v>
      </c>
      <c r="Z169" s="189"/>
      <c r="AA169" s="190">
        <f t="shared" si="84"/>
        <v>2008</v>
      </c>
      <c r="AB169" s="191">
        <f t="shared" si="85"/>
        <v>1.7404546937887522</v>
      </c>
      <c r="AC169" s="192">
        <f>IF(AB169="","",AB169*SFAssumptions!$C$3)</f>
        <v>446.79786794300009</v>
      </c>
      <c r="AD169" s="193">
        <f t="shared" si="86"/>
        <v>13.157056000000001</v>
      </c>
      <c r="AE169" s="194">
        <f>IF(AD169="","",AD169*SFAssumptions!$C$3)</f>
        <v>3377.5912640448</v>
      </c>
      <c r="AF169" s="192">
        <f t="shared" si="75"/>
        <v>3.2</v>
      </c>
      <c r="AG169" s="192">
        <f t="shared" si="87"/>
        <v>4.11158</v>
      </c>
      <c r="AH169" s="192">
        <f t="shared" si="88"/>
        <v>1.8386000000000002</v>
      </c>
      <c r="AI169" s="692">
        <f ca="1">IF(AC169="","",AC169*SFAssumptions!$C$8/'SavingsData&amp;Analysis'!AF169)</f>
        <v>527.36212766219273</v>
      </c>
      <c r="AJ169" s="692">
        <f ca="1">IF(OR(AE169="",AF169=""),"",AE169*SFAssumptions!$C$8/AF169)</f>
        <v>3986.620893202512</v>
      </c>
      <c r="AK169" s="191">
        <f t="shared" si="89"/>
        <v>1.4545454545454546</v>
      </c>
      <c r="AL169" s="692">
        <f>IF(AK169="","",AK169*SFAssumptions!$C$3)</f>
        <v>373.40116363636366</v>
      </c>
      <c r="AM169" s="193">
        <f t="shared" si="90"/>
        <v>12.48</v>
      </c>
      <c r="AN169" s="194">
        <f>IF(AM169="","",AM169*SFAssumptions!$C$3)</f>
        <v>3203.7819840000002</v>
      </c>
      <c r="AO169" s="693">
        <f t="shared" si="91"/>
        <v>3.9</v>
      </c>
      <c r="AP169" s="693">
        <f t="shared" si="92"/>
        <v>2.2000000000000002</v>
      </c>
      <c r="AQ169" s="692">
        <f ca="1">IF(AL169="","",AL169*SFAssumptions!$C$8/'SavingsData&amp;Analysis'!AF169)</f>
        <v>440.73091269077622</v>
      </c>
      <c r="AR169" s="692">
        <f ca="1">IF(OR(AN169="",AF169=""),"",AN169*SFAssumptions!$C$8/AF169)</f>
        <v>3781.4712308868602</v>
      </c>
      <c r="AS169" s="190" t="str">
        <f>IF(OR(AG169="",AH169=""),"No",IF(AND(G169="Horizontal",AH169&gt;='Eff. Standards &amp; Certifications'!$B$21,AG169&lt;='Eff. Standards &amp; Certifications'!$C$21),"Consider",IF(AND(G169="Vertical",AH169&gt;='Eff. Standards &amp; Certifications'!$B$20,AG169&lt;='Eff. Standards &amp; Certifications'!$C$20),"Consider","No")))</f>
        <v>No</v>
      </c>
      <c r="AT169" s="190" t="str">
        <f t="shared" si="77"/>
        <v>Residential</v>
      </c>
      <c r="AU169" s="190"/>
      <c r="AV169" s="190" t="str">
        <f t="shared" si="96"/>
        <v>NO</v>
      </c>
      <c r="AW169" s="190" t="str">
        <f t="shared" si="96"/>
        <v>NO</v>
      </c>
      <c r="AX169" s="190" t="str">
        <f t="shared" si="93"/>
        <v>NO</v>
      </c>
      <c r="AY169" s="190" t="str">
        <f t="shared" si="78"/>
        <v>NO</v>
      </c>
      <c r="AZ169" s="190" t="str">
        <f t="shared" si="78"/>
        <v>NO</v>
      </c>
      <c r="BA169" s="190" t="str">
        <f t="shared" si="94"/>
        <v>NO</v>
      </c>
      <c r="BB169" s="190" t="str">
        <f t="shared" si="79"/>
        <v>NO</v>
      </c>
      <c r="BC169" s="190" t="str">
        <f t="shared" si="80"/>
        <v>NO</v>
      </c>
      <c r="BD169" s="190" t="str">
        <f t="shared" si="95"/>
        <v>NO</v>
      </c>
      <c r="BE169" s="190" t="str">
        <f t="shared" si="81"/>
        <v>NO</v>
      </c>
      <c r="BF169" s="190" t="str">
        <f t="shared" si="82"/>
        <v>NO</v>
      </c>
      <c r="BG169" s="190" t="str">
        <f t="shared" si="83"/>
        <v>NO</v>
      </c>
      <c r="BH169" s="88"/>
      <c r="BI169" s="9"/>
      <c r="BJ169" s="694" t="str">
        <f t="shared" si="97"/>
        <v/>
      </c>
      <c r="BK169" s="694" t="str">
        <f t="shared" si="97"/>
        <v/>
      </c>
      <c r="BL169" s="694" t="str">
        <f t="shared" si="98"/>
        <v/>
      </c>
      <c r="BM169" s="694" t="str">
        <f t="shared" si="98"/>
        <v/>
      </c>
      <c r="BN169" s="88"/>
      <c r="BO169" s="195"/>
      <c r="BP169" s="195"/>
      <c r="BQ169" s="195"/>
      <c r="BR169" s="195"/>
      <c r="BS169" s="195"/>
      <c r="BT169" s="195"/>
      <c r="BU169" s="195"/>
      <c r="BV169" s="195"/>
      <c r="BW169" s="195"/>
      <c r="BX169" s="195"/>
    </row>
    <row r="170" spans="1:76" s="124" customFormat="1" ht="15">
      <c r="A170" s="187">
        <v>568</v>
      </c>
      <c r="B170" s="187" t="s">
        <v>490</v>
      </c>
      <c r="C170" s="187" t="s">
        <v>1324</v>
      </c>
      <c r="D170" s="187" t="s">
        <v>525</v>
      </c>
      <c r="E170" s="187" t="s">
        <v>385</v>
      </c>
      <c r="F170" s="187" t="s">
        <v>386</v>
      </c>
      <c r="G170" s="187" t="s">
        <v>387</v>
      </c>
      <c r="H170" s="187" t="b">
        <v>0</v>
      </c>
      <c r="I170" s="187" t="s">
        <v>388</v>
      </c>
      <c r="J170" s="187" t="s">
        <v>389</v>
      </c>
      <c r="K170" s="187" t="b">
        <v>1</v>
      </c>
      <c r="L170" s="187">
        <v>3.2</v>
      </c>
      <c r="M170" s="187">
        <v>0.33</v>
      </c>
      <c r="N170" s="187">
        <v>11.76</v>
      </c>
      <c r="O170" s="187">
        <v>3.7</v>
      </c>
      <c r="P170" s="187">
        <v>9.5</v>
      </c>
      <c r="Q170" s="187"/>
      <c r="R170" s="187"/>
      <c r="S170" s="187"/>
      <c r="T170" s="187"/>
      <c r="U170" s="187">
        <v>36.799999999999997</v>
      </c>
      <c r="V170" s="187">
        <v>2.52</v>
      </c>
      <c r="W170" s="188">
        <v>40255</v>
      </c>
      <c r="X170" s="691">
        <f t="shared" si="68"/>
        <v>2.13124</v>
      </c>
      <c r="Y170" s="691">
        <f t="shared" si="76"/>
        <v>3.9067400000000001</v>
      </c>
      <c r="Z170" s="189"/>
      <c r="AA170" s="190">
        <f t="shared" si="84"/>
        <v>2010</v>
      </c>
      <c r="AB170" s="191">
        <f t="shared" si="85"/>
        <v>1.501473320695933</v>
      </c>
      <c r="AC170" s="192">
        <f>IF(AB170="","",AB170*SFAssumptions!$C$3)</f>
        <v>385.44817101781126</v>
      </c>
      <c r="AD170" s="193">
        <f t="shared" si="86"/>
        <v>12.501568000000001</v>
      </c>
      <c r="AE170" s="194">
        <f>IF(AD170="","",AD170*SFAssumptions!$C$3)</f>
        <v>3209.3187764544004</v>
      </c>
      <c r="AF170" s="192">
        <f t="shared" si="75"/>
        <v>3.2</v>
      </c>
      <c r="AG170" s="192">
        <f t="shared" si="87"/>
        <v>3.9067400000000001</v>
      </c>
      <c r="AH170" s="192">
        <f t="shared" si="88"/>
        <v>2.13124</v>
      </c>
      <c r="AI170" s="692">
        <f ca="1">IF(AC170="","",AC170*SFAssumptions!$C$8/'SavingsData&amp;Analysis'!AF170)</f>
        <v>454.95017357017872</v>
      </c>
      <c r="AJ170" s="692">
        <f ca="1">IF(OR(AE170="",AF170=""),"",AE170*SFAssumptions!$C$8/AF170)</f>
        <v>3788.006388860239</v>
      </c>
      <c r="AK170" s="191">
        <f t="shared" si="89"/>
        <v>1.26984126984127</v>
      </c>
      <c r="AL170" s="692">
        <f>IF(AK170="","",AK170*SFAssumptions!$C$3)</f>
        <v>325.98514285714288</v>
      </c>
      <c r="AM170" s="193">
        <f t="shared" si="90"/>
        <v>11.840000000000002</v>
      </c>
      <c r="AN170" s="194">
        <f>IF(AM170="","",AM170*SFAssumptions!$C$3)</f>
        <v>3039.4854720000003</v>
      </c>
      <c r="AO170" s="693">
        <f t="shared" si="91"/>
        <v>3.7</v>
      </c>
      <c r="AP170" s="693">
        <f t="shared" si="92"/>
        <v>2.52</v>
      </c>
      <c r="AQ170" s="692">
        <f ca="1">IF(AL170="","",AL170*SFAssumptions!$C$8/'SavingsData&amp;Analysis'!AF170)</f>
        <v>384.76508250782052</v>
      </c>
      <c r="AR170" s="692">
        <f ca="1">IF(OR(AN170="",AF170=""),"",AN170*SFAssumptions!$C$8/AF170)</f>
        <v>3587.5496293029187</v>
      </c>
      <c r="AS170" s="190" t="str">
        <f>IF(OR(AG170="",AH170=""),"No",IF(AND(G170="Horizontal",AH170&gt;='Eff. Standards &amp; Certifications'!$B$21,AG170&lt;='Eff. Standards &amp; Certifications'!$C$21),"Consider",IF(AND(G170="Vertical",AH170&gt;='Eff. Standards &amp; Certifications'!$B$20,AG170&lt;='Eff. Standards &amp; Certifications'!$C$20),"Consider","No")))</f>
        <v>Consider</v>
      </c>
      <c r="AT170" s="190" t="str">
        <f t="shared" si="77"/>
        <v>Residential</v>
      </c>
      <c r="AU170" s="190"/>
      <c r="AV170" s="190" t="str">
        <f t="shared" si="96"/>
        <v>NO</v>
      </c>
      <c r="AW170" s="190" t="str">
        <f t="shared" si="96"/>
        <v>YES</v>
      </c>
      <c r="AX170" s="190" t="str">
        <f t="shared" si="93"/>
        <v>YES</v>
      </c>
      <c r="AY170" s="190" t="str">
        <f t="shared" si="78"/>
        <v>NO</v>
      </c>
      <c r="AZ170" s="190" t="str">
        <f t="shared" si="78"/>
        <v>YES</v>
      </c>
      <c r="BA170" s="190" t="str">
        <f t="shared" si="94"/>
        <v>YES</v>
      </c>
      <c r="BB170" s="190" t="str">
        <f t="shared" si="79"/>
        <v>NO</v>
      </c>
      <c r="BC170" s="190" t="str">
        <f t="shared" si="80"/>
        <v>NO</v>
      </c>
      <c r="BD170" s="190" t="str">
        <f t="shared" si="95"/>
        <v>NO</v>
      </c>
      <c r="BE170" s="190" t="str">
        <f t="shared" si="81"/>
        <v>NO</v>
      </c>
      <c r="BF170" s="190" t="str">
        <f t="shared" si="82"/>
        <v>NO</v>
      </c>
      <c r="BG170" s="190" t="str">
        <f t="shared" si="83"/>
        <v>NO</v>
      </c>
      <c r="BH170" s="88"/>
      <c r="BI170" s="9"/>
      <c r="BJ170" s="694" t="str">
        <f t="shared" si="97"/>
        <v/>
      </c>
      <c r="BK170" s="694">
        <f t="shared" si="97"/>
        <v>2.13124</v>
      </c>
      <c r="BL170" s="694" t="str">
        <f t="shared" si="98"/>
        <v/>
      </c>
      <c r="BM170" s="694">
        <f t="shared" si="98"/>
        <v>3.9067400000000001</v>
      </c>
      <c r="BN170" s="88"/>
      <c r="BO170" s="195"/>
      <c r="BP170" s="195"/>
      <c r="BQ170" s="195"/>
      <c r="BR170" s="195"/>
      <c r="BS170" s="195"/>
      <c r="BT170" s="195"/>
      <c r="BU170" s="195"/>
      <c r="BV170" s="195"/>
      <c r="BW170" s="195"/>
      <c r="BX170" s="195"/>
    </row>
    <row r="171" spans="1:76" s="124" customFormat="1" ht="15">
      <c r="A171" s="187">
        <v>3295</v>
      </c>
      <c r="B171" s="187" t="s">
        <v>490</v>
      </c>
      <c r="C171" s="187" t="s">
        <v>1324</v>
      </c>
      <c r="D171" s="187" t="s">
        <v>526</v>
      </c>
      <c r="E171" s="187" t="s">
        <v>385</v>
      </c>
      <c r="F171" s="187" t="s">
        <v>386</v>
      </c>
      <c r="G171" s="187" t="s">
        <v>387</v>
      </c>
      <c r="H171" s="187" t="b">
        <v>0</v>
      </c>
      <c r="I171" s="187" t="s">
        <v>388</v>
      </c>
      <c r="J171" s="187" t="s">
        <v>389</v>
      </c>
      <c r="K171" s="187" t="b">
        <v>1</v>
      </c>
      <c r="L171" s="187">
        <v>3.5</v>
      </c>
      <c r="M171" s="187">
        <v>0.36</v>
      </c>
      <c r="N171" s="187">
        <v>12.99</v>
      </c>
      <c r="O171" s="187">
        <v>3.7</v>
      </c>
      <c r="P171" s="187">
        <v>9.65</v>
      </c>
      <c r="Q171" s="187"/>
      <c r="R171" s="187"/>
      <c r="S171" s="187"/>
      <c r="T171" s="187"/>
      <c r="U171" s="187">
        <v>37.200000000000003</v>
      </c>
      <c r="V171" s="187">
        <v>2.4700000000000002</v>
      </c>
      <c r="W171" s="188">
        <v>39547</v>
      </c>
      <c r="X171" s="691">
        <f t="shared" si="68"/>
        <v>2.085515</v>
      </c>
      <c r="Y171" s="691">
        <f t="shared" si="76"/>
        <v>3.9067400000000001</v>
      </c>
      <c r="Z171" s="189"/>
      <c r="AA171" s="190">
        <f t="shared" si="84"/>
        <v>2008</v>
      </c>
      <c r="AB171" s="191">
        <f t="shared" si="85"/>
        <v>1.6782425444074964</v>
      </c>
      <c r="AC171" s="192">
        <f>IF(AB171="","",AB171*SFAssumptions!$C$3)</f>
        <v>430.82718177524498</v>
      </c>
      <c r="AD171" s="193">
        <f t="shared" si="86"/>
        <v>13.673590000000001</v>
      </c>
      <c r="AE171" s="194">
        <f>IF(AD171="","",AD171*SFAssumptions!$C$3)</f>
        <v>3510.1924117470003</v>
      </c>
      <c r="AF171" s="192">
        <f t="shared" si="75"/>
        <v>3.5</v>
      </c>
      <c r="AG171" s="192">
        <f t="shared" si="87"/>
        <v>3.9067400000000001</v>
      </c>
      <c r="AH171" s="192">
        <f t="shared" si="88"/>
        <v>2.085515</v>
      </c>
      <c r="AI171" s="692">
        <f ca="1">IF(AC171="","",AC171*SFAssumptions!$C$8/'SavingsData&amp;Analysis'!AF171)</f>
        <v>464.92497436830121</v>
      </c>
      <c r="AJ171" s="692">
        <f ca="1">IF(OR(AE171="",AF171=""),"",AE171*SFAssumptions!$C$8/AF171)</f>
        <v>3788.006388860239</v>
      </c>
      <c r="AK171" s="191">
        <f t="shared" si="89"/>
        <v>1.4170040485829958</v>
      </c>
      <c r="AL171" s="692">
        <f>IF(AK171="","",AK171*SFAssumptions!$C$3)</f>
        <v>363.76378542510116</v>
      </c>
      <c r="AM171" s="193">
        <f t="shared" si="90"/>
        <v>12.950000000000001</v>
      </c>
      <c r="AN171" s="194">
        <f>IF(AM171="","",AM171*SFAssumptions!$C$3)</f>
        <v>3324.4372350000003</v>
      </c>
      <c r="AO171" s="693">
        <f t="shared" si="91"/>
        <v>3.7</v>
      </c>
      <c r="AP171" s="693">
        <f t="shared" si="92"/>
        <v>2.4700000000000002</v>
      </c>
      <c r="AQ171" s="692">
        <f ca="1">IF(AL171="","",AL171*SFAssumptions!$C$8/'SavingsData&amp;Analysis'!AF171)</f>
        <v>392.55384936020545</v>
      </c>
      <c r="AR171" s="692">
        <f ca="1">IF(OR(AN171="",AF171=""),"",AN171*SFAssumptions!$C$8/AF171)</f>
        <v>3587.5496293029187</v>
      </c>
      <c r="AS171" s="190" t="str">
        <f>IF(OR(AG171="",AH171=""),"No",IF(AND(G171="Horizontal",AH171&gt;='Eff. Standards &amp; Certifications'!$B$21,AG171&lt;='Eff. Standards &amp; Certifications'!$C$21),"Consider",IF(AND(G171="Vertical",AH171&gt;='Eff. Standards &amp; Certifications'!$B$20,AG171&lt;='Eff. Standards &amp; Certifications'!$C$20),"Consider","No")))</f>
        <v>Consider</v>
      </c>
      <c r="AT171" s="190" t="str">
        <f t="shared" si="77"/>
        <v>Residential</v>
      </c>
      <c r="AU171" s="190"/>
      <c r="AV171" s="190" t="str">
        <f t="shared" si="96"/>
        <v>NO</v>
      </c>
      <c r="AW171" s="190" t="str">
        <f t="shared" si="96"/>
        <v>YES</v>
      </c>
      <c r="AX171" s="190" t="str">
        <f t="shared" si="93"/>
        <v>YES</v>
      </c>
      <c r="AY171" s="190" t="str">
        <f t="shared" si="78"/>
        <v>NO</v>
      </c>
      <c r="AZ171" s="190" t="str">
        <f t="shared" si="78"/>
        <v>YES</v>
      </c>
      <c r="BA171" s="190" t="str">
        <f t="shared" si="94"/>
        <v>YES</v>
      </c>
      <c r="BB171" s="190" t="str">
        <f t="shared" si="79"/>
        <v>NO</v>
      </c>
      <c r="BC171" s="190" t="str">
        <f t="shared" si="80"/>
        <v>NO</v>
      </c>
      <c r="BD171" s="190" t="str">
        <f t="shared" si="95"/>
        <v>NO</v>
      </c>
      <c r="BE171" s="190" t="str">
        <f t="shared" si="81"/>
        <v>NO</v>
      </c>
      <c r="BF171" s="190" t="str">
        <f t="shared" si="82"/>
        <v>NO</v>
      </c>
      <c r="BG171" s="190" t="str">
        <f t="shared" si="83"/>
        <v>NO</v>
      </c>
      <c r="BH171" s="88"/>
      <c r="BI171" s="9"/>
      <c r="BJ171" s="694" t="str">
        <f t="shared" si="97"/>
        <v/>
      </c>
      <c r="BK171" s="694">
        <f t="shared" si="97"/>
        <v>2.085515</v>
      </c>
      <c r="BL171" s="694" t="str">
        <f t="shared" si="98"/>
        <v/>
      </c>
      <c r="BM171" s="694">
        <f t="shared" si="98"/>
        <v>3.9067400000000001</v>
      </c>
      <c r="BN171" s="88"/>
      <c r="BO171" s="195"/>
      <c r="BP171" s="195"/>
      <c r="BQ171" s="195"/>
      <c r="BR171" s="195"/>
      <c r="BS171" s="195"/>
      <c r="BT171" s="195"/>
      <c r="BU171" s="195"/>
      <c r="BV171" s="195"/>
      <c r="BW171" s="195"/>
      <c r="BX171" s="195"/>
    </row>
    <row r="172" spans="1:76" s="124" customFormat="1" ht="15">
      <c r="A172" s="187">
        <v>4618</v>
      </c>
      <c r="B172" s="187" t="s">
        <v>490</v>
      </c>
      <c r="C172" s="187" t="s">
        <v>1324</v>
      </c>
      <c r="D172" s="187" t="s">
        <v>527</v>
      </c>
      <c r="E172" s="187" t="s">
        <v>385</v>
      </c>
      <c r="F172" s="187" t="s">
        <v>386</v>
      </c>
      <c r="G172" s="187" t="s">
        <v>387</v>
      </c>
      <c r="H172" s="187" t="b">
        <v>0</v>
      </c>
      <c r="I172" s="187" t="s">
        <v>388</v>
      </c>
      <c r="J172" s="187" t="s">
        <v>389</v>
      </c>
      <c r="K172" s="187" t="b">
        <v>1</v>
      </c>
      <c r="L172" s="187">
        <v>3.5</v>
      </c>
      <c r="M172" s="187">
        <v>0.32</v>
      </c>
      <c r="N172" s="187">
        <v>15.49</v>
      </c>
      <c r="O172" s="187">
        <v>4.4000000000000004</v>
      </c>
      <c r="P172" s="187">
        <v>11.01</v>
      </c>
      <c r="Q172" s="187"/>
      <c r="R172" s="187"/>
      <c r="S172" s="187"/>
      <c r="T172" s="187"/>
      <c r="U172" s="187">
        <v>33.9</v>
      </c>
      <c r="V172" s="187">
        <v>2.77</v>
      </c>
      <c r="W172" s="188">
        <v>40429</v>
      </c>
      <c r="X172" s="691">
        <f t="shared" si="68"/>
        <v>2.3598650000000001</v>
      </c>
      <c r="Y172" s="691">
        <f t="shared" si="76"/>
        <v>4.6236800000000011</v>
      </c>
      <c r="Z172" s="189"/>
      <c r="AA172" s="190">
        <f t="shared" si="84"/>
        <v>2010</v>
      </c>
      <c r="AB172" s="191">
        <f t="shared" si="85"/>
        <v>1.4831356878465505</v>
      </c>
      <c r="AC172" s="192">
        <f>IF(AB172="","",AB172*SFAssumptions!$C$3)</f>
        <v>380.74065677485788</v>
      </c>
      <c r="AD172" s="193">
        <f t="shared" si="86"/>
        <v>16.182880000000004</v>
      </c>
      <c r="AE172" s="194">
        <f>IF(AD172="","",AD172*SFAssumptions!$C$3)</f>
        <v>4154.3605283040015</v>
      </c>
      <c r="AF172" s="192">
        <f t="shared" si="75"/>
        <v>3.5</v>
      </c>
      <c r="AG172" s="192">
        <f t="shared" si="87"/>
        <v>4.6236800000000011</v>
      </c>
      <c r="AH172" s="192">
        <f t="shared" si="88"/>
        <v>2.3598650000000001</v>
      </c>
      <c r="AI172" s="692">
        <f ca="1">IF(AC172="","",AC172*SFAssumptions!$C$8/'SavingsData&amp;Analysis'!AF172)</f>
        <v>410.87435421929121</v>
      </c>
      <c r="AJ172" s="692">
        <f ca="1">IF(OR(AE172="",AF172=""),"",AE172*SFAssumptions!$C$8/AF172)</f>
        <v>4483.1571540581954</v>
      </c>
      <c r="AK172" s="191">
        <f t="shared" si="89"/>
        <v>1.2635379061371841</v>
      </c>
      <c r="AL172" s="692">
        <f>IF(AK172="","",AK172*SFAssumptions!$C$3)</f>
        <v>324.36698555956679</v>
      </c>
      <c r="AM172" s="193">
        <f t="shared" si="90"/>
        <v>15.400000000000002</v>
      </c>
      <c r="AN172" s="194">
        <f>IF(AM172="","",AM172*SFAssumptions!$C$3)</f>
        <v>3953.3848200000007</v>
      </c>
      <c r="AO172" s="693">
        <f t="shared" si="91"/>
        <v>4.4000000000000004</v>
      </c>
      <c r="AP172" s="693">
        <f t="shared" si="92"/>
        <v>2.77</v>
      </c>
      <c r="AQ172" s="692">
        <f ca="1">IF(AL172="","",AL172*SFAssumptions!$C$8/'SavingsData&amp;Analysis'!AF172)</f>
        <v>350.03899202877534</v>
      </c>
      <c r="AR172" s="692">
        <f ca="1">IF(OR(AN172="",AF172=""),"",AN172*SFAssumptions!$C$8/AF172)</f>
        <v>4266.2752348467147</v>
      </c>
      <c r="AS172" s="190" t="str">
        <f>IF(OR(AG172="",AH172=""),"No",IF(AND(G172="Horizontal",AH172&gt;='Eff. Standards &amp; Certifications'!$B$21,AG172&lt;='Eff. Standards &amp; Certifications'!$C$21),"Consider",IF(AND(G172="Vertical",AH172&gt;='Eff. Standards &amp; Certifications'!$B$20,AG172&lt;='Eff. Standards &amp; Certifications'!$C$20),"Consider","No")))</f>
        <v>Consider</v>
      </c>
      <c r="AT172" s="190" t="str">
        <f t="shared" si="77"/>
        <v>Residential</v>
      </c>
      <c r="AU172" s="190"/>
      <c r="AV172" s="190" t="str">
        <f t="shared" si="96"/>
        <v>NO</v>
      </c>
      <c r="AW172" s="190" t="str">
        <f t="shared" si="96"/>
        <v>YES</v>
      </c>
      <c r="AX172" s="190" t="str">
        <f t="shared" si="93"/>
        <v>YES</v>
      </c>
      <c r="AY172" s="190" t="str">
        <f t="shared" si="78"/>
        <v>NO</v>
      </c>
      <c r="AZ172" s="190" t="str">
        <f t="shared" si="78"/>
        <v>YES</v>
      </c>
      <c r="BA172" s="190" t="str">
        <f t="shared" si="94"/>
        <v>YES</v>
      </c>
      <c r="BB172" s="190" t="str">
        <f t="shared" si="79"/>
        <v>NO</v>
      </c>
      <c r="BC172" s="190" t="str">
        <f t="shared" si="80"/>
        <v>NO</v>
      </c>
      <c r="BD172" s="190" t="str">
        <f t="shared" si="95"/>
        <v>NO</v>
      </c>
      <c r="BE172" s="190" t="str">
        <f t="shared" si="81"/>
        <v>NO</v>
      </c>
      <c r="BF172" s="190" t="str">
        <f t="shared" si="82"/>
        <v>NO</v>
      </c>
      <c r="BG172" s="190" t="str">
        <f t="shared" si="83"/>
        <v>NO</v>
      </c>
      <c r="BH172" s="88"/>
      <c r="BI172" s="9"/>
      <c r="BJ172" s="694" t="str">
        <f t="shared" si="97"/>
        <v/>
      </c>
      <c r="BK172" s="694">
        <f t="shared" si="97"/>
        <v>2.3598650000000001</v>
      </c>
      <c r="BL172" s="694" t="str">
        <f t="shared" si="98"/>
        <v/>
      </c>
      <c r="BM172" s="694">
        <f t="shared" si="98"/>
        <v>4.6236800000000011</v>
      </c>
      <c r="BN172" s="88"/>
      <c r="BO172" s="195"/>
      <c r="BP172" s="195"/>
      <c r="BQ172" s="195"/>
      <c r="BR172" s="195"/>
      <c r="BS172" s="195"/>
      <c r="BT172" s="195"/>
      <c r="BU172" s="195"/>
      <c r="BV172" s="195"/>
      <c r="BW172" s="195"/>
      <c r="BX172" s="195"/>
    </row>
    <row r="173" spans="1:76" s="124" customFormat="1" ht="15">
      <c r="A173" s="187">
        <v>1416</v>
      </c>
      <c r="B173" s="187" t="s">
        <v>490</v>
      </c>
      <c r="C173" s="187" t="s">
        <v>1324</v>
      </c>
      <c r="D173" s="187" t="s">
        <v>528</v>
      </c>
      <c r="E173" s="187" t="s">
        <v>385</v>
      </c>
      <c r="F173" s="187" t="s">
        <v>386</v>
      </c>
      <c r="G173" s="187" t="s">
        <v>387</v>
      </c>
      <c r="H173" s="187" t="b">
        <v>0</v>
      </c>
      <c r="I173" s="187" t="s">
        <v>388</v>
      </c>
      <c r="J173" s="187" t="s">
        <v>389</v>
      </c>
      <c r="K173" s="187" t="b">
        <v>1</v>
      </c>
      <c r="L173" s="187">
        <v>3.3</v>
      </c>
      <c r="M173" s="187">
        <v>0.4</v>
      </c>
      <c r="N173" s="187">
        <v>12.56</v>
      </c>
      <c r="O173" s="187">
        <v>3.8</v>
      </c>
      <c r="P173" s="187">
        <v>8.1999999999999993</v>
      </c>
      <c r="Q173" s="187"/>
      <c r="R173" s="187"/>
      <c r="S173" s="187"/>
      <c r="T173" s="187"/>
      <c r="U173" s="187">
        <v>37.9</v>
      </c>
      <c r="V173" s="187">
        <v>2.35</v>
      </c>
      <c r="W173" s="188">
        <v>39063</v>
      </c>
      <c r="X173" s="691">
        <f t="shared" si="68"/>
        <v>1.9757749999999998</v>
      </c>
      <c r="Y173" s="691">
        <f t="shared" si="76"/>
        <v>4.0091599999999996</v>
      </c>
      <c r="Z173" s="189"/>
      <c r="AA173" s="190">
        <f t="shared" si="84"/>
        <v>2006</v>
      </c>
      <c r="AB173" s="191">
        <f t="shared" si="85"/>
        <v>1.670230668977996</v>
      </c>
      <c r="AC173" s="192">
        <f>IF(AB173="","",AB173*SFAssumptions!$C$3)</f>
        <v>428.770426794549</v>
      </c>
      <c r="AD173" s="193">
        <f t="shared" si="86"/>
        <v>13.230227999999999</v>
      </c>
      <c r="AE173" s="194">
        <f>IF(AD173="","",AD173*SFAssumptions!$C$3)</f>
        <v>3396.3754896323999</v>
      </c>
      <c r="AF173" s="192">
        <f t="shared" si="75"/>
        <v>3.3</v>
      </c>
      <c r="AG173" s="192">
        <f t="shared" si="87"/>
        <v>4.0091599999999996</v>
      </c>
      <c r="AH173" s="192">
        <f t="shared" si="88"/>
        <v>1.9757749999999998</v>
      </c>
      <c r="AI173" s="692">
        <f ca="1">IF(AC173="","",AC173*SFAssumptions!$C$8/'SavingsData&amp;Analysis'!AF173)</f>
        <v>490.74819142853204</v>
      </c>
      <c r="AJ173" s="692">
        <f ca="1">IF(OR(AE173="",AF173=""),"",AE173*SFAssumptions!$C$8/AF173)</f>
        <v>3887.313641031375</v>
      </c>
      <c r="AK173" s="191">
        <f t="shared" si="89"/>
        <v>1.404255319148936</v>
      </c>
      <c r="AL173" s="692">
        <f>IF(AK173="","",AK173*SFAssumptions!$C$3)</f>
        <v>360.49101702127655</v>
      </c>
      <c r="AM173" s="193">
        <f t="shared" si="90"/>
        <v>12.54</v>
      </c>
      <c r="AN173" s="194">
        <f>IF(AM173="","",AM173*SFAssumptions!$C$3)</f>
        <v>3219.1847819999998</v>
      </c>
      <c r="AO173" s="693">
        <f t="shared" si="91"/>
        <v>3.8</v>
      </c>
      <c r="AP173" s="693">
        <f t="shared" si="92"/>
        <v>2.35</v>
      </c>
      <c r="AQ173" s="692">
        <f ca="1">IF(AL173="","",AL173*SFAssumptions!$C$8/'SavingsData&amp;Analysis'!AF173)</f>
        <v>412.59915230625853</v>
      </c>
      <c r="AR173" s="692">
        <f ca="1">IF(OR(AN173="",AF173=""),"",AN173*SFAssumptions!$C$8/AF173)</f>
        <v>3684.5104300948892</v>
      </c>
      <c r="AS173" s="190" t="str">
        <f>IF(OR(AG173="",AH173=""),"No",IF(AND(G173="Horizontal",AH173&gt;='Eff. Standards &amp; Certifications'!$B$21,AG173&lt;='Eff. Standards &amp; Certifications'!$C$21),"Consider",IF(AND(G173="Vertical",AH173&gt;='Eff. Standards &amp; Certifications'!$B$20,AG173&lt;='Eff. Standards &amp; Certifications'!$C$20),"Consider","No")))</f>
        <v>Consider</v>
      </c>
      <c r="AT173" s="190" t="str">
        <f t="shared" si="77"/>
        <v>Residential</v>
      </c>
      <c r="AU173" s="190"/>
      <c r="AV173" s="190" t="str">
        <f t="shared" si="96"/>
        <v>NO</v>
      </c>
      <c r="AW173" s="190" t="str">
        <f t="shared" si="96"/>
        <v>YES</v>
      </c>
      <c r="AX173" s="190" t="str">
        <f t="shared" si="93"/>
        <v>YES</v>
      </c>
      <c r="AY173" s="190" t="str">
        <f t="shared" si="78"/>
        <v>NO</v>
      </c>
      <c r="AZ173" s="190" t="str">
        <f t="shared" si="78"/>
        <v>YES</v>
      </c>
      <c r="BA173" s="190" t="str">
        <f t="shared" si="94"/>
        <v>YES</v>
      </c>
      <c r="BB173" s="190" t="str">
        <f t="shared" si="79"/>
        <v>NO</v>
      </c>
      <c r="BC173" s="190" t="str">
        <f t="shared" si="80"/>
        <v>NO</v>
      </c>
      <c r="BD173" s="190" t="str">
        <f t="shared" si="95"/>
        <v>NO</v>
      </c>
      <c r="BE173" s="190" t="str">
        <f t="shared" si="81"/>
        <v>NO</v>
      </c>
      <c r="BF173" s="190" t="str">
        <f t="shared" si="82"/>
        <v>NO</v>
      </c>
      <c r="BG173" s="190" t="str">
        <f t="shared" si="83"/>
        <v>NO</v>
      </c>
      <c r="BH173" s="88"/>
      <c r="BI173" s="9"/>
      <c r="BJ173" s="694" t="str">
        <f t="shared" si="97"/>
        <v/>
      </c>
      <c r="BK173" s="694">
        <f t="shared" si="97"/>
        <v>1.9757749999999998</v>
      </c>
      <c r="BL173" s="694" t="str">
        <f t="shared" si="98"/>
        <v/>
      </c>
      <c r="BM173" s="694">
        <f t="shared" si="98"/>
        <v>4.0091599999999996</v>
      </c>
      <c r="BN173" s="88"/>
      <c r="BO173" s="195"/>
      <c r="BP173" s="195"/>
      <c r="BQ173" s="195"/>
      <c r="BR173" s="195"/>
      <c r="BS173" s="195"/>
      <c r="BT173" s="195"/>
      <c r="BU173" s="195"/>
      <c r="BV173" s="195"/>
      <c r="BW173" s="195"/>
      <c r="BX173" s="195"/>
    </row>
    <row r="174" spans="1:76" s="124" customFormat="1" ht="15">
      <c r="A174" s="187">
        <v>4997</v>
      </c>
      <c r="B174" s="187" t="s">
        <v>490</v>
      </c>
      <c r="C174" s="187" t="s">
        <v>1324</v>
      </c>
      <c r="D174" s="187" t="s">
        <v>529</v>
      </c>
      <c r="E174" s="187" t="s">
        <v>385</v>
      </c>
      <c r="F174" s="187" t="s">
        <v>386</v>
      </c>
      <c r="G174" s="187" t="s">
        <v>387</v>
      </c>
      <c r="H174" s="187" t="b">
        <v>0</v>
      </c>
      <c r="I174" s="187" t="s">
        <v>388</v>
      </c>
      <c r="J174" s="187" t="s">
        <v>389</v>
      </c>
      <c r="K174" s="187" t="b">
        <v>1</v>
      </c>
      <c r="L174" s="187">
        <v>3.5</v>
      </c>
      <c r="M174" s="187">
        <v>0.41</v>
      </c>
      <c r="N174" s="187">
        <v>13.13</v>
      </c>
      <c r="O174" s="187">
        <v>3.8</v>
      </c>
      <c r="P174" s="187">
        <v>8.6199999999999992</v>
      </c>
      <c r="Q174" s="187"/>
      <c r="R174" s="187"/>
      <c r="S174" s="187"/>
      <c r="T174" s="187"/>
      <c r="U174" s="187">
        <v>39.5</v>
      </c>
      <c r="V174" s="187">
        <v>2.21</v>
      </c>
      <c r="W174" s="188">
        <v>40653</v>
      </c>
      <c r="X174" s="691">
        <f t="shared" si="68"/>
        <v>1.847745</v>
      </c>
      <c r="Y174" s="691">
        <f t="shared" si="76"/>
        <v>4.0091599999999996</v>
      </c>
      <c r="Z174" s="189"/>
      <c r="AA174" s="190">
        <f t="shared" si="84"/>
        <v>2011</v>
      </c>
      <c r="AB174" s="191">
        <f t="shared" si="85"/>
        <v>1.8942007690455123</v>
      </c>
      <c r="AC174" s="192">
        <f>IF(AB174="","",AB174*SFAssumptions!$C$3)</f>
        <v>486.26653028421129</v>
      </c>
      <c r="AD174" s="193">
        <f t="shared" si="86"/>
        <v>14.032059999999998</v>
      </c>
      <c r="AE174" s="194">
        <f>IF(AD174="","",AD174*SFAssumptions!$C$3)</f>
        <v>3602.2164283979996</v>
      </c>
      <c r="AF174" s="192">
        <f t="shared" si="75"/>
        <v>3.5</v>
      </c>
      <c r="AG174" s="192">
        <f t="shared" si="87"/>
        <v>4.0091599999999996</v>
      </c>
      <c r="AH174" s="192">
        <f t="shared" si="88"/>
        <v>1.847745</v>
      </c>
      <c r="AI174" s="692">
        <f ca="1">IF(AC174="","",AC174*SFAssumptions!$C$8/'SavingsData&amp;Analysis'!AF174)</f>
        <v>524.752066935485</v>
      </c>
      <c r="AJ174" s="692">
        <f ca="1">IF(OR(AE174="",AF174=""),"",AE174*SFAssumptions!$C$8/AF174)</f>
        <v>3887.3136410313746</v>
      </c>
      <c r="AK174" s="191">
        <f t="shared" si="89"/>
        <v>1.5837104072398189</v>
      </c>
      <c r="AL174" s="692">
        <f>IF(AK174="","",AK174*SFAssumptions!$C$3)</f>
        <v>406.5595248868778</v>
      </c>
      <c r="AM174" s="193">
        <f t="shared" si="90"/>
        <v>13.299999999999999</v>
      </c>
      <c r="AN174" s="194">
        <f>IF(AM174="","",AM174*SFAssumptions!$C$3)</f>
        <v>3414.2868899999999</v>
      </c>
      <c r="AO174" s="693">
        <f t="shared" si="91"/>
        <v>3.8</v>
      </c>
      <c r="AP174" s="693">
        <f t="shared" si="92"/>
        <v>2.21</v>
      </c>
      <c r="AQ174" s="692">
        <f ca="1">IF(AL174="","",AL174*SFAssumptions!$C$8/'SavingsData&amp;Analysis'!AF174)</f>
        <v>438.73665516728852</v>
      </c>
      <c r="AR174" s="692">
        <f ca="1">IF(OR(AN174="",AF174=""),"",AN174*SFAssumptions!$C$8/AF174)</f>
        <v>3684.5104300948888</v>
      </c>
      <c r="AS174" s="190" t="str">
        <f>IF(OR(AG174="",AH174=""),"No",IF(AND(G174="Horizontal",AH174&gt;='Eff. Standards &amp; Certifications'!$B$21,AG174&lt;='Eff. Standards &amp; Certifications'!$C$21),"Consider",IF(AND(G174="Vertical",AH174&gt;='Eff. Standards &amp; Certifications'!$B$20,AG174&lt;='Eff. Standards &amp; Certifications'!$C$20),"Consider","No")))</f>
        <v>Consider</v>
      </c>
      <c r="AT174" s="190" t="str">
        <f t="shared" si="77"/>
        <v>Residential</v>
      </c>
      <c r="AU174" s="190"/>
      <c r="AV174" s="190" t="str">
        <f t="shared" si="96"/>
        <v>NO</v>
      </c>
      <c r="AW174" s="190" t="str">
        <f t="shared" si="96"/>
        <v>YES</v>
      </c>
      <c r="AX174" s="190" t="str">
        <f t="shared" si="93"/>
        <v>YES</v>
      </c>
      <c r="AY174" s="190" t="str">
        <f t="shared" si="78"/>
        <v>NO</v>
      </c>
      <c r="AZ174" s="190" t="str">
        <f t="shared" si="78"/>
        <v>YES</v>
      </c>
      <c r="BA174" s="190" t="str">
        <f t="shared" si="94"/>
        <v>YES</v>
      </c>
      <c r="BB174" s="190" t="str">
        <f t="shared" si="79"/>
        <v>NO</v>
      </c>
      <c r="BC174" s="190" t="str">
        <f t="shared" si="80"/>
        <v>NO</v>
      </c>
      <c r="BD174" s="190" t="str">
        <f t="shared" si="95"/>
        <v>NO</v>
      </c>
      <c r="BE174" s="190" t="str">
        <f t="shared" si="81"/>
        <v>NO</v>
      </c>
      <c r="BF174" s="190" t="str">
        <f t="shared" si="82"/>
        <v>NO</v>
      </c>
      <c r="BG174" s="190" t="str">
        <f t="shared" si="83"/>
        <v>NO</v>
      </c>
      <c r="BH174" s="88"/>
      <c r="BI174" s="9"/>
      <c r="BJ174" s="694" t="str">
        <f t="shared" si="97"/>
        <v/>
      </c>
      <c r="BK174" s="694">
        <f t="shared" si="97"/>
        <v>1.847745</v>
      </c>
      <c r="BL174" s="694" t="str">
        <f t="shared" si="98"/>
        <v/>
      </c>
      <c r="BM174" s="694">
        <f t="shared" si="98"/>
        <v>4.0091599999999996</v>
      </c>
      <c r="BN174" s="88"/>
      <c r="BO174" s="195"/>
      <c r="BP174" s="195"/>
      <c r="BQ174" s="195"/>
      <c r="BR174" s="195"/>
      <c r="BS174" s="195"/>
      <c r="BT174" s="195"/>
      <c r="BU174" s="195"/>
      <c r="BV174" s="195"/>
      <c r="BW174" s="195"/>
      <c r="BX174" s="195"/>
    </row>
    <row r="175" spans="1:76" s="124" customFormat="1" ht="15">
      <c r="A175" s="187">
        <v>4632</v>
      </c>
      <c r="B175" s="187" t="s">
        <v>490</v>
      </c>
      <c r="C175" s="187" t="s">
        <v>1324</v>
      </c>
      <c r="D175" s="187" t="s">
        <v>530</v>
      </c>
      <c r="E175" s="187" t="s">
        <v>385</v>
      </c>
      <c r="F175" s="187" t="s">
        <v>386</v>
      </c>
      <c r="G175" s="187" t="s">
        <v>387</v>
      </c>
      <c r="H175" s="187" t="b">
        <v>0</v>
      </c>
      <c r="I175" s="187" t="s">
        <v>388</v>
      </c>
      <c r="J175" s="187" t="s">
        <v>389</v>
      </c>
      <c r="K175" s="187" t="b">
        <v>1</v>
      </c>
      <c r="L175" s="187">
        <v>3.5</v>
      </c>
      <c r="M175" s="187">
        <v>0.25</v>
      </c>
      <c r="N175" s="187">
        <v>11.97</v>
      </c>
      <c r="O175" s="187">
        <v>3.5</v>
      </c>
      <c r="P175" s="187">
        <v>15.54</v>
      </c>
      <c r="Q175" s="187"/>
      <c r="R175" s="187"/>
      <c r="S175" s="187"/>
      <c r="T175" s="187"/>
      <c r="U175" s="187">
        <v>33.9</v>
      </c>
      <c r="V175" s="187">
        <v>2.99</v>
      </c>
      <c r="W175" s="188">
        <v>40456</v>
      </c>
      <c r="X175" s="691">
        <f t="shared" si="68"/>
        <v>2.5610550000000005</v>
      </c>
      <c r="Y175" s="691">
        <f t="shared" si="76"/>
        <v>3.7018999999999997</v>
      </c>
      <c r="Z175" s="189"/>
      <c r="AA175" s="190">
        <f t="shared" si="84"/>
        <v>2010</v>
      </c>
      <c r="AB175" s="191">
        <f t="shared" si="85"/>
        <v>1.3666243013133257</v>
      </c>
      <c r="AC175" s="192">
        <f>IF(AB175="","",AB175*SFAssumptions!$C$3)</f>
        <v>350.83063425033816</v>
      </c>
      <c r="AD175" s="193">
        <f t="shared" si="86"/>
        <v>12.95665</v>
      </c>
      <c r="AE175" s="194">
        <f>IF(AD175="","",AD175*SFAssumptions!$C$3)</f>
        <v>3326.1443784449998</v>
      </c>
      <c r="AF175" s="192">
        <f t="shared" si="75"/>
        <v>3.5</v>
      </c>
      <c r="AG175" s="192">
        <f t="shared" si="87"/>
        <v>3.7018999999999997</v>
      </c>
      <c r="AH175" s="192">
        <f t="shared" si="88"/>
        <v>2.5610550000000005</v>
      </c>
      <c r="AI175" s="692">
        <f ca="1">IF(AC175="","",AC175*SFAssumptions!$C$8/'SavingsData&amp;Analysis'!AF175)</f>
        <v>378.59710467745032</v>
      </c>
      <c r="AJ175" s="692">
        <f ca="1">IF(OR(AE175="",AF175=""),"",AE175*SFAssumptions!$C$8/AF175)</f>
        <v>3589.3918845179655</v>
      </c>
      <c r="AK175" s="191">
        <f t="shared" si="89"/>
        <v>1.1705685618729096</v>
      </c>
      <c r="AL175" s="692">
        <f>IF(AK175="","",AK175*SFAssumptions!$C$3)</f>
        <v>300.50051839464879</v>
      </c>
      <c r="AM175" s="193">
        <f t="shared" si="90"/>
        <v>12.25</v>
      </c>
      <c r="AN175" s="194">
        <f>IF(AM175="","",AM175*SFAssumptions!$C$3)</f>
        <v>3144.7379249999999</v>
      </c>
      <c r="AO175" s="693">
        <f t="shared" si="91"/>
        <v>3.5</v>
      </c>
      <c r="AP175" s="693">
        <f t="shared" si="92"/>
        <v>2.99</v>
      </c>
      <c r="AQ175" s="692">
        <f ca="1">IF(AL175="","",AL175*SFAssumptions!$C$8/'SavingsData&amp;Analysis'!AF175)</f>
        <v>324.28361468886538</v>
      </c>
      <c r="AR175" s="692">
        <f ca="1">IF(OR(AN175="",AF175=""),"",AN175*SFAssumptions!$C$8/AF175)</f>
        <v>3393.6280277189767</v>
      </c>
      <c r="AS175" s="190" t="str">
        <f>IF(OR(AG175="",AH175=""),"No",IF(AND(G175="Horizontal",AH175&gt;='Eff. Standards &amp; Certifications'!$B$21,AG175&lt;='Eff. Standards &amp; Certifications'!$C$21),"Consider",IF(AND(G175="Vertical",AH175&gt;='Eff. Standards &amp; Certifications'!$B$20,AG175&lt;='Eff. Standards &amp; Certifications'!$C$20),"Consider","No")))</f>
        <v>Consider</v>
      </c>
      <c r="AT175" s="190" t="str">
        <f t="shared" si="77"/>
        <v>Residential</v>
      </c>
      <c r="AU175" s="190"/>
      <c r="AV175" s="190" t="str">
        <f t="shared" si="96"/>
        <v>NO</v>
      </c>
      <c r="AW175" s="190" t="str">
        <f t="shared" si="96"/>
        <v>YES</v>
      </c>
      <c r="AX175" s="190" t="str">
        <f t="shared" si="93"/>
        <v>YES</v>
      </c>
      <c r="AY175" s="190" t="str">
        <f t="shared" si="78"/>
        <v>NO</v>
      </c>
      <c r="AZ175" s="190" t="str">
        <f t="shared" si="78"/>
        <v>YES</v>
      </c>
      <c r="BA175" s="190" t="str">
        <f t="shared" si="94"/>
        <v>YES</v>
      </c>
      <c r="BB175" s="190" t="str">
        <f t="shared" si="79"/>
        <v>NO</v>
      </c>
      <c r="BC175" s="190" t="str">
        <f t="shared" si="80"/>
        <v>NO</v>
      </c>
      <c r="BD175" s="190" t="str">
        <f t="shared" si="95"/>
        <v>NO</v>
      </c>
      <c r="BE175" s="190" t="str">
        <f t="shared" si="81"/>
        <v>NO</v>
      </c>
      <c r="BF175" s="190" t="str">
        <f t="shared" si="82"/>
        <v>NO</v>
      </c>
      <c r="BG175" s="190" t="str">
        <f t="shared" si="83"/>
        <v>NO</v>
      </c>
      <c r="BH175" s="88"/>
      <c r="BI175" s="9"/>
      <c r="BJ175" s="694" t="str">
        <f t="shared" si="97"/>
        <v/>
      </c>
      <c r="BK175" s="694">
        <f t="shared" si="97"/>
        <v>2.5610550000000005</v>
      </c>
      <c r="BL175" s="694" t="str">
        <f t="shared" si="98"/>
        <v/>
      </c>
      <c r="BM175" s="694">
        <f t="shared" si="98"/>
        <v>3.7018999999999997</v>
      </c>
      <c r="BN175" s="88"/>
      <c r="BO175" s="195"/>
      <c r="BP175" s="195"/>
      <c r="BQ175" s="195"/>
      <c r="BR175" s="195"/>
      <c r="BS175" s="195"/>
      <c r="BT175" s="195"/>
      <c r="BU175" s="195"/>
      <c r="BV175" s="195"/>
      <c r="BW175" s="195"/>
      <c r="BX175" s="195"/>
    </row>
    <row r="176" spans="1:76" s="124" customFormat="1" ht="15">
      <c r="A176" s="187">
        <v>3296</v>
      </c>
      <c r="B176" s="187" t="s">
        <v>490</v>
      </c>
      <c r="C176" s="187" t="s">
        <v>1324</v>
      </c>
      <c r="D176" s="187" t="s">
        <v>531</v>
      </c>
      <c r="E176" s="187" t="s">
        <v>385</v>
      </c>
      <c r="F176" s="187" t="s">
        <v>386</v>
      </c>
      <c r="G176" s="187" t="s">
        <v>387</v>
      </c>
      <c r="H176" s="187" t="b">
        <v>0</v>
      </c>
      <c r="I176" s="187" t="s">
        <v>388</v>
      </c>
      <c r="J176" s="187" t="s">
        <v>389</v>
      </c>
      <c r="K176" s="187" t="b">
        <v>1</v>
      </c>
      <c r="L176" s="187">
        <v>3.5</v>
      </c>
      <c r="M176" s="187">
        <v>0.34</v>
      </c>
      <c r="N176" s="187">
        <v>11.55</v>
      </c>
      <c r="O176" s="187">
        <v>3.3</v>
      </c>
      <c r="P176" s="187">
        <v>10.4</v>
      </c>
      <c r="Q176" s="187"/>
      <c r="R176" s="187"/>
      <c r="S176" s="187"/>
      <c r="T176" s="187"/>
      <c r="U176" s="187">
        <v>40.9</v>
      </c>
      <c r="V176" s="187">
        <v>2.33</v>
      </c>
      <c r="W176" s="188">
        <v>39547</v>
      </c>
      <c r="X176" s="691">
        <f t="shared" si="68"/>
        <v>1.9574849999999999</v>
      </c>
      <c r="Y176" s="691">
        <f t="shared" si="76"/>
        <v>3.4970599999999998</v>
      </c>
      <c r="Z176" s="189"/>
      <c r="AA176" s="190">
        <f t="shared" si="84"/>
        <v>2008</v>
      </c>
      <c r="AB176" s="191">
        <f t="shared" si="85"/>
        <v>1.7880085926584368</v>
      </c>
      <c r="AC176" s="192">
        <f>IF(AB176="","",AB176*SFAssumptions!$C$3)</f>
        <v>459.00558624970307</v>
      </c>
      <c r="AD176" s="193">
        <f t="shared" si="86"/>
        <v>12.239709999999999</v>
      </c>
      <c r="AE176" s="194">
        <f>IF(AD176="","",AD176*SFAssumptions!$C$3)</f>
        <v>3142.0963451429998</v>
      </c>
      <c r="AF176" s="192">
        <f t="shared" si="75"/>
        <v>3.5</v>
      </c>
      <c r="AG176" s="192">
        <f t="shared" si="87"/>
        <v>3.4970599999999998</v>
      </c>
      <c r="AH176" s="192">
        <f t="shared" si="88"/>
        <v>1.9574849999999999</v>
      </c>
      <c r="AI176" s="692">
        <f ca="1">IF(AC176="","",AC176*SFAssumptions!$C$8/'SavingsData&amp;Analysis'!AF176)</f>
        <v>495.33355704881916</v>
      </c>
      <c r="AJ176" s="692">
        <f ca="1">IF(OR(AE176="",AF176=""),"",AE176*SFAssumptions!$C$8/AF176)</f>
        <v>3390.7773801756925</v>
      </c>
      <c r="AK176" s="191">
        <f t="shared" si="89"/>
        <v>1.502145922746781</v>
      </c>
      <c r="AL176" s="692">
        <f>IF(AK176="","",AK176*SFAssumptions!$C$3)</f>
        <v>385.62083690987123</v>
      </c>
      <c r="AM176" s="193">
        <f t="shared" si="90"/>
        <v>11.549999999999999</v>
      </c>
      <c r="AN176" s="194">
        <f>IF(AM176="","",AM176*SFAssumptions!$C$3)</f>
        <v>2965.0386149999999</v>
      </c>
      <c r="AO176" s="693">
        <f t="shared" si="91"/>
        <v>3.3</v>
      </c>
      <c r="AP176" s="693">
        <f t="shared" si="92"/>
        <v>2.33</v>
      </c>
      <c r="AQ176" s="692">
        <f ca="1">IF(AL176="","",AL176*SFAssumptions!$C$8/'SavingsData&amp;Analysis'!AF176)</f>
        <v>416.14077593120498</v>
      </c>
      <c r="AR176" s="692">
        <f ca="1">IF(OR(AN176="",AF176=""),"",AN176*SFAssumptions!$C$8/AF176)</f>
        <v>3199.7064261350351</v>
      </c>
      <c r="AS176" s="190" t="str">
        <f>IF(OR(AG176="",AH176=""),"No",IF(AND(G176="Horizontal",AH176&gt;='Eff. Standards &amp; Certifications'!$B$21,AG176&lt;='Eff. Standards &amp; Certifications'!$C$21),"Consider",IF(AND(G176="Vertical",AH176&gt;='Eff. Standards &amp; Certifications'!$B$20,AG176&lt;='Eff. Standards &amp; Certifications'!$C$20),"Consider","No")))</f>
        <v>Consider</v>
      </c>
      <c r="AT176" s="190" t="str">
        <f t="shared" si="77"/>
        <v>Residential</v>
      </c>
      <c r="AU176" s="190"/>
      <c r="AV176" s="190" t="str">
        <f t="shared" si="96"/>
        <v>NO</v>
      </c>
      <c r="AW176" s="190" t="str">
        <f t="shared" si="96"/>
        <v>YES</v>
      </c>
      <c r="AX176" s="190" t="str">
        <f t="shared" si="93"/>
        <v>YES</v>
      </c>
      <c r="AY176" s="190" t="str">
        <f t="shared" si="78"/>
        <v>NO</v>
      </c>
      <c r="AZ176" s="190" t="str">
        <f t="shared" si="78"/>
        <v>YES</v>
      </c>
      <c r="BA176" s="190" t="str">
        <f t="shared" si="94"/>
        <v>YES</v>
      </c>
      <c r="BB176" s="190" t="str">
        <f t="shared" si="79"/>
        <v>NO</v>
      </c>
      <c r="BC176" s="190" t="str">
        <f t="shared" si="80"/>
        <v>NO</v>
      </c>
      <c r="BD176" s="190" t="str">
        <f t="shared" si="95"/>
        <v>NO</v>
      </c>
      <c r="BE176" s="190" t="str">
        <f t="shared" si="81"/>
        <v>NO</v>
      </c>
      <c r="BF176" s="190" t="str">
        <f t="shared" si="82"/>
        <v>NO</v>
      </c>
      <c r="BG176" s="190" t="str">
        <f t="shared" si="83"/>
        <v>NO</v>
      </c>
      <c r="BH176" s="88"/>
      <c r="BI176" s="9"/>
      <c r="BJ176" s="694" t="str">
        <f t="shared" si="97"/>
        <v/>
      </c>
      <c r="BK176" s="694">
        <f t="shared" si="97"/>
        <v>1.9574849999999999</v>
      </c>
      <c r="BL176" s="694" t="str">
        <f t="shared" si="98"/>
        <v/>
      </c>
      <c r="BM176" s="694">
        <f t="shared" si="98"/>
        <v>3.4970599999999998</v>
      </c>
      <c r="BN176" s="88"/>
      <c r="BO176" s="195"/>
      <c r="BP176" s="195"/>
      <c r="BQ176" s="195"/>
      <c r="BR176" s="195"/>
      <c r="BS176" s="195"/>
      <c r="BT176" s="195"/>
      <c r="BU176" s="195"/>
      <c r="BV176" s="195"/>
      <c r="BW176" s="195"/>
      <c r="BX176" s="195"/>
    </row>
    <row r="177" spans="1:76" s="124" customFormat="1" ht="15">
      <c r="A177" s="187">
        <v>4748</v>
      </c>
      <c r="B177" s="187" t="s">
        <v>490</v>
      </c>
      <c r="C177" s="187" t="s">
        <v>1324</v>
      </c>
      <c r="D177" s="187" t="s">
        <v>532</v>
      </c>
      <c r="E177" s="187" t="s">
        <v>385</v>
      </c>
      <c r="F177" s="187" t="s">
        <v>386</v>
      </c>
      <c r="G177" s="187" t="s">
        <v>387</v>
      </c>
      <c r="H177" s="187" t="b">
        <v>0</v>
      </c>
      <c r="I177" s="187" t="s">
        <v>388</v>
      </c>
      <c r="J177" s="187" t="s">
        <v>389</v>
      </c>
      <c r="K177" s="187" t="b">
        <v>1</v>
      </c>
      <c r="L177" s="187">
        <v>3.7</v>
      </c>
      <c r="M177" s="187">
        <v>0.28000000000000003</v>
      </c>
      <c r="N177" s="187">
        <v>13.65</v>
      </c>
      <c r="O177" s="187">
        <v>3.7</v>
      </c>
      <c r="P177" s="187">
        <v>13.15</v>
      </c>
      <c r="Q177" s="187"/>
      <c r="R177" s="187"/>
      <c r="S177" s="187"/>
      <c r="T177" s="187"/>
      <c r="U177" s="187">
        <v>36.6</v>
      </c>
      <c r="V177" s="187">
        <v>2.74</v>
      </c>
      <c r="W177" s="188">
        <v>40574</v>
      </c>
      <c r="X177" s="691">
        <f t="shared" si="68"/>
        <v>2.3324300000000004</v>
      </c>
      <c r="Y177" s="691">
        <f t="shared" si="76"/>
        <v>3.9067400000000001</v>
      </c>
      <c r="Z177" s="189"/>
      <c r="AA177" s="190">
        <f t="shared" si="84"/>
        <v>2011</v>
      </c>
      <c r="AB177" s="191">
        <f t="shared" si="85"/>
        <v>1.5863284214317255</v>
      </c>
      <c r="AC177" s="192">
        <f>IF(AB177="","",AB177*SFAssumptions!$C$3)</f>
        <v>407.23160394952896</v>
      </c>
      <c r="AD177" s="193">
        <f t="shared" si="86"/>
        <v>14.454938</v>
      </c>
      <c r="AE177" s="194">
        <f>IF(AD177="","",AD177*SFAssumptions!$C$3)</f>
        <v>3710.7748352754002</v>
      </c>
      <c r="AF177" s="192">
        <f t="shared" si="75"/>
        <v>3.7</v>
      </c>
      <c r="AG177" s="192">
        <f t="shared" si="87"/>
        <v>3.9067400000000001</v>
      </c>
      <c r="AH177" s="192">
        <f t="shared" si="88"/>
        <v>2.3324300000000004</v>
      </c>
      <c r="AI177" s="692">
        <f ca="1">IF(AC177="","",AC177*SFAssumptions!$C$8/'SavingsData&amp;Analysis'!AF177)</f>
        <v>415.70722719211614</v>
      </c>
      <c r="AJ177" s="692">
        <f ca="1">IF(OR(AE177="",AF177=""),"",AE177*SFAssumptions!$C$8/AF177)</f>
        <v>3788.006388860239</v>
      </c>
      <c r="AK177" s="191">
        <f t="shared" si="89"/>
        <v>1.3503649635036497</v>
      </c>
      <c r="AL177" s="692">
        <f>IF(AK177="","",AK177*SFAssumptions!$C$3)</f>
        <v>346.6566459854015</v>
      </c>
      <c r="AM177" s="193">
        <f t="shared" si="90"/>
        <v>13.690000000000001</v>
      </c>
      <c r="AN177" s="194">
        <f>IF(AM177="","",AM177*SFAssumptions!$C$3)</f>
        <v>3514.4050770000003</v>
      </c>
      <c r="AO177" s="693">
        <f t="shared" si="91"/>
        <v>3.7</v>
      </c>
      <c r="AP177" s="693">
        <f t="shared" si="92"/>
        <v>2.74</v>
      </c>
      <c r="AQ177" s="692">
        <f ca="1">IF(AL177="","",AL177*SFAssumptions!$C$8/'SavingsData&amp;Analysis'!AF177)</f>
        <v>353.87153573711964</v>
      </c>
      <c r="AR177" s="692">
        <f ca="1">IF(OR(AN177="",AF177=""),"",AN177*SFAssumptions!$C$8/AF177)</f>
        <v>3587.5496293029187</v>
      </c>
      <c r="AS177" s="190" t="str">
        <f>IF(OR(AG177="",AH177=""),"No",IF(AND(G177="Horizontal",AH177&gt;='Eff. Standards &amp; Certifications'!$B$21,AG177&lt;='Eff. Standards &amp; Certifications'!$C$21),"Consider",IF(AND(G177="Vertical",AH177&gt;='Eff. Standards &amp; Certifications'!$B$20,AG177&lt;='Eff. Standards &amp; Certifications'!$C$20),"Consider","No")))</f>
        <v>Consider</v>
      </c>
      <c r="AT177" s="190" t="str">
        <f t="shared" si="77"/>
        <v>Residential</v>
      </c>
      <c r="AU177" s="190"/>
      <c r="AV177" s="190" t="str">
        <f t="shared" si="96"/>
        <v>NO</v>
      </c>
      <c r="AW177" s="190" t="str">
        <f t="shared" si="96"/>
        <v>YES</v>
      </c>
      <c r="AX177" s="190" t="str">
        <f t="shared" si="93"/>
        <v>YES</v>
      </c>
      <c r="AY177" s="190" t="str">
        <f t="shared" si="78"/>
        <v>NO</v>
      </c>
      <c r="AZ177" s="190" t="str">
        <f t="shared" si="78"/>
        <v>YES</v>
      </c>
      <c r="BA177" s="190" t="str">
        <f t="shared" si="94"/>
        <v>YES</v>
      </c>
      <c r="BB177" s="190" t="str">
        <f t="shared" si="79"/>
        <v>NO</v>
      </c>
      <c r="BC177" s="190" t="str">
        <f t="shared" si="80"/>
        <v>NO</v>
      </c>
      <c r="BD177" s="190" t="str">
        <f t="shared" si="95"/>
        <v>NO</v>
      </c>
      <c r="BE177" s="190" t="str">
        <f t="shared" si="81"/>
        <v>NO</v>
      </c>
      <c r="BF177" s="190" t="str">
        <f t="shared" si="82"/>
        <v>NO</v>
      </c>
      <c r="BG177" s="190" t="str">
        <f t="shared" si="83"/>
        <v>NO</v>
      </c>
      <c r="BH177" s="88"/>
      <c r="BI177" s="9"/>
      <c r="BJ177" s="694" t="str">
        <f t="shared" si="97"/>
        <v/>
      </c>
      <c r="BK177" s="694">
        <f t="shared" si="97"/>
        <v>2.3324300000000004</v>
      </c>
      <c r="BL177" s="694" t="str">
        <f t="shared" si="98"/>
        <v/>
      </c>
      <c r="BM177" s="694">
        <f t="shared" si="98"/>
        <v>3.9067400000000001</v>
      </c>
      <c r="BN177" s="88"/>
      <c r="BO177" s="195"/>
      <c r="BP177" s="195"/>
      <c r="BQ177" s="195"/>
      <c r="BR177" s="195"/>
      <c r="BS177" s="195"/>
      <c r="BT177" s="195"/>
      <c r="BU177" s="195"/>
      <c r="BV177" s="195"/>
      <c r="BW177" s="195"/>
      <c r="BX177" s="195"/>
    </row>
    <row r="178" spans="1:76" s="124" customFormat="1" ht="15">
      <c r="A178" s="187">
        <v>61</v>
      </c>
      <c r="B178" s="187" t="s">
        <v>490</v>
      </c>
      <c r="C178" s="187" t="s">
        <v>1324</v>
      </c>
      <c r="D178" s="187" t="s">
        <v>533</v>
      </c>
      <c r="E178" s="187" t="s">
        <v>385</v>
      </c>
      <c r="F178" s="187" t="s">
        <v>386</v>
      </c>
      <c r="G178" s="187" t="s">
        <v>387</v>
      </c>
      <c r="H178" s="187" t="b">
        <v>0</v>
      </c>
      <c r="I178" s="187" t="s">
        <v>388</v>
      </c>
      <c r="J178" s="187" t="s">
        <v>389</v>
      </c>
      <c r="K178" s="187" t="b">
        <v>1</v>
      </c>
      <c r="L178" s="187">
        <v>3.3</v>
      </c>
      <c r="M178" s="187">
        <v>0.44</v>
      </c>
      <c r="N178" s="187">
        <v>12.05</v>
      </c>
      <c r="O178" s="187">
        <v>3.6</v>
      </c>
      <c r="P178" s="187">
        <v>7.61</v>
      </c>
      <c r="Q178" s="187"/>
      <c r="R178" s="187"/>
      <c r="S178" s="187"/>
      <c r="T178" s="187"/>
      <c r="U178" s="187">
        <v>35.4</v>
      </c>
      <c r="V178" s="187">
        <v>2.42</v>
      </c>
      <c r="W178" s="188">
        <v>39063</v>
      </c>
      <c r="X178" s="691">
        <f t="shared" si="68"/>
        <v>2.03979</v>
      </c>
      <c r="Y178" s="691">
        <f t="shared" si="76"/>
        <v>3.8043200000000001</v>
      </c>
      <c r="Z178" s="189"/>
      <c r="AA178" s="190">
        <f t="shared" si="84"/>
        <v>2006</v>
      </c>
      <c r="AB178" s="191">
        <f t="shared" si="85"/>
        <v>1.6178135984586648</v>
      </c>
      <c r="AC178" s="192">
        <f>IF(AB178="","",AB178*SFAssumptions!$C$3)</f>
        <v>415.31426764519875</v>
      </c>
      <c r="AD178" s="193">
        <f t="shared" si="86"/>
        <v>12.554256000000001</v>
      </c>
      <c r="AE178" s="194">
        <f>IF(AD178="","",AD178*SFAssumptions!$C$3)</f>
        <v>3222.8444868048</v>
      </c>
      <c r="AF178" s="192">
        <f t="shared" si="75"/>
        <v>3.3</v>
      </c>
      <c r="AG178" s="192">
        <f t="shared" si="87"/>
        <v>3.8043200000000001</v>
      </c>
      <c r="AH178" s="192">
        <f t="shared" si="88"/>
        <v>2.03979</v>
      </c>
      <c r="AI178" s="692">
        <f ca="1">IF(AC178="","",AC178*SFAssumptions!$C$8/'SavingsData&amp;Analysis'!AF178)</f>
        <v>475.34697587482424</v>
      </c>
      <c r="AJ178" s="692">
        <f ca="1">IF(OR(AE178="",AF178=""),"",AE178*SFAssumptions!$C$8/AF178)</f>
        <v>3688.6991366891025</v>
      </c>
      <c r="AK178" s="191">
        <f t="shared" si="89"/>
        <v>1.3636363636363635</v>
      </c>
      <c r="AL178" s="692">
        <f>IF(AK178="","",AK178*SFAssumptions!$C$3)</f>
        <v>350.06359090909086</v>
      </c>
      <c r="AM178" s="193">
        <f t="shared" si="90"/>
        <v>11.879999999999999</v>
      </c>
      <c r="AN178" s="194">
        <f>IF(AM178="","",AM178*SFAssumptions!$C$3)</f>
        <v>3049.7540039999999</v>
      </c>
      <c r="AO178" s="693">
        <f t="shared" si="91"/>
        <v>3.6</v>
      </c>
      <c r="AP178" s="693">
        <f t="shared" si="92"/>
        <v>2.42</v>
      </c>
      <c r="AQ178" s="692">
        <f ca="1">IF(AL178="","",AL178*SFAssumptions!$C$8/'SavingsData&amp;Analysis'!AF178)</f>
        <v>400.6644660825238</v>
      </c>
      <c r="AR178" s="692">
        <f ca="1">IF(OR(AN178="",AF178=""),"",AN178*SFAssumptions!$C$8/AF178)</f>
        <v>3490.5888285109477</v>
      </c>
      <c r="AS178" s="190" t="str">
        <f>IF(OR(AG178="",AH178=""),"No",IF(AND(G178="Horizontal",AH178&gt;='Eff. Standards &amp; Certifications'!$B$21,AG178&lt;='Eff. Standards &amp; Certifications'!$C$21),"Consider",IF(AND(G178="Vertical",AH178&gt;='Eff. Standards &amp; Certifications'!$B$20,AG178&lt;='Eff. Standards &amp; Certifications'!$C$20),"Consider","No")))</f>
        <v>Consider</v>
      </c>
      <c r="AT178" s="190" t="str">
        <f t="shared" si="77"/>
        <v>Residential</v>
      </c>
      <c r="AU178" s="190"/>
      <c r="AV178" s="190" t="str">
        <f t="shared" si="96"/>
        <v>NO</v>
      </c>
      <c r="AW178" s="190" t="str">
        <f t="shared" si="96"/>
        <v>YES</v>
      </c>
      <c r="AX178" s="190" t="str">
        <f t="shared" si="93"/>
        <v>YES</v>
      </c>
      <c r="AY178" s="190" t="str">
        <f t="shared" si="78"/>
        <v>NO</v>
      </c>
      <c r="AZ178" s="190" t="str">
        <f t="shared" si="78"/>
        <v>YES</v>
      </c>
      <c r="BA178" s="190" t="str">
        <f t="shared" si="94"/>
        <v>YES</v>
      </c>
      <c r="BB178" s="190" t="str">
        <f t="shared" si="79"/>
        <v>NO</v>
      </c>
      <c r="BC178" s="190" t="str">
        <f t="shared" si="80"/>
        <v>NO</v>
      </c>
      <c r="BD178" s="190" t="str">
        <f t="shared" si="95"/>
        <v>NO</v>
      </c>
      <c r="BE178" s="190" t="str">
        <f t="shared" si="81"/>
        <v>NO</v>
      </c>
      <c r="BF178" s="190" t="str">
        <f t="shared" si="82"/>
        <v>NO</v>
      </c>
      <c r="BG178" s="190" t="str">
        <f t="shared" si="83"/>
        <v>NO</v>
      </c>
      <c r="BH178" s="88"/>
      <c r="BI178" s="9"/>
      <c r="BJ178" s="694" t="str">
        <f t="shared" si="97"/>
        <v/>
      </c>
      <c r="BK178" s="694">
        <f t="shared" si="97"/>
        <v>2.03979</v>
      </c>
      <c r="BL178" s="694" t="str">
        <f t="shared" si="98"/>
        <v/>
      </c>
      <c r="BM178" s="694">
        <f t="shared" si="98"/>
        <v>3.8043200000000001</v>
      </c>
      <c r="BN178" s="88"/>
      <c r="BO178" s="195"/>
      <c r="BP178" s="195"/>
      <c r="BQ178" s="195"/>
      <c r="BR178" s="195"/>
      <c r="BS178" s="195"/>
      <c r="BT178" s="195"/>
      <c r="BU178" s="195"/>
      <c r="BV178" s="195"/>
      <c r="BW178" s="195"/>
      <c r="BX178" s="195"/>
    </row>
    <row r="179" spans="1:76" s="124" customFormat="1" ht="15">
      <c r="A179" s="187">
        <v>3398</v>
      </c>
      <c r="B179" s="187" t="s">
        <v>490</v>
      </c>
      <c r="C179" s="187" t="s">
        <v>1324</v>
      </c>
      <c r="D179" s="187" t="s">
        <v>534</v>
      </c>
      <c r="E179" s="187" t="s">
        <v>385</v>
      </c>
      <c r="F179" s="187" t="s">
        <v>386</v>
      </c>
      <c r="G179" s="187" t="s">
        <v>387</v>
      </c>
      <c r="H179" s="187" t="b">
        <v>0</v>
      </c>
      <c r="I179" s="187" t="s">
        <v>388</v>
      </c>
      <c r="J179" s="187" t="s">
        <v>389</v>
      </c>
      <c r="K179" s="187" t="b">
        <v>1</v>
      </c>
      <c r="L179" s="187">
        <v>3.6</v>
      </c>
      <c r="M179" s="187">
        <v>0.31</v>
      </c>
      <c r="N179" s="187">
        <v>12.21</v>
      </c>
      <c r="O179" s="187">
        <v>3.4</v>
      </c>
      <c r="P179" s="187">
        <v>11.92</v>
      </c>
      <c r="Q179" s="187"/>
      <c r="R179" s="187"/>
      <c r="S179" s="187"/>
      <c r="T179" s="187"/>
      <c r="U179" s="187">
        <v>33.1</v>
      </c>
      <c r="V179" s="187">
        <v>2.89</v>
      </c>
      <c r="W179" s="188">
        <v>39911</v>
      </c>
      <c r="X179" s="691">
        <f t="shared" si="68"/>
        <v>2.4696049999999996</v>
      </c>
      <c r="Y179" s="691">
        <f t="shared" si="76"/>
        <v>3.5994799999999998</v>
      </c>
      <c r="Z179" s="189"/>
      <c r="AA179" s="190">
        <f t="shared" si="84"/>
        <v>2009</v>
      </c>
      <c r="AB179" s="191">
        <f t="shared" si="85"/>
        <v>1.4577229961876497</v>
      </c>
      <c r="AC179" s="192">
        <f>IF(AB179="","",AB179*SFAssumptions!$C$3)</f>
        <v>374.21688083721898</v>
      </c>
      <c r="AD179" s="193">
        <f t="shared" si="86"/>
        <v>12.958128</v>
      </c>
      <c r="AE179" s="194">
        <f>IF(AD179="","",AD179*SFAssumptions!$C$3)</f>
        <v>3326.5238007024</v>
      </c>
      <c r="AF179" s="192">
        <f t="shared" si="75"/>
        <v>3.6</v>
      </c>
      <c r="AG179" s="192">
        <f t="shared" si="87"/>
        <v>3.5994799999999998</v>
      </c>
      <c r="AH179" s="192">
        <f t="shared" si="88"/>
        <v>2.4696049999999996</v>
      </c>
      <c r="AI179" s="692">
        <f ca="1">IF(AC179="","",AC179*SFAssumptions!$C$8/'SavingsData&amp;Analysis'!AF179)</f>
        <v>392.61663623118187</v>
      </c>
      <c r="AJ179" s="692">
        <f ca="1">IF(OR(AE179="",AF179=""),"",AE179*SFAssumptions!$C$8/AF179)</f>
        <v>3490.0846323468295</v>
      </c>
      <c r="AK179" s="191">
        <f t="shared" si="89"/>
        <v>1.2456747404844291</v>
      </c>
      <c r="AL179" s="692">
        <f>IF(AK179="","",AK179*SFAssumptions!$C$3)</f>
        <v>319.78127335640141</v>
      </c>
      <c r="AM179" s="193">
        <f t="shared" si="90"/>
        <v>12.24</v>
      </c>
      <c r="AN179" s="194">
        <f>IF(AM179="","",AM179*SFAssumptions!$C$3)</f>
        <v>3142.1707919999999</v>
      </c>
      <c r="AO179" s="693">
        <f t="shared" si="91"/>
        <v>3.4</v>
      </c>
      <c r="AP179" s="693">
        <f t="shared" si="92"/>
        <v>2.89</v>
      </c>
      <c r="AQ179" s="692">
        <f ca="1">IF(AL179="","",AL179*SFAssumptions!$C$8/'SavingsData&amp;Analysis'!AF179)</f>
        <v>335.50450101027951</v>
      </c>
      <c r="AR179" s="692">
        <f ca="1">IF(OR(AN179="",AF179=""),"",AN179*SFAssumptions!$C$8/AF179)</f>
        <v>3296.6672269270061</v>
      </c>
      <c r="AS179" s="190" t="str">
        <f>IF(OR(AG179="",AH179=""),"No",IF(AND(G179="Horizontal",AH179&gt;='Eff. Standards &amp; Certifications'!$B$21,AG179&lt;='Eff. Standards &amp; Certifications'!$C$21),"Consider",IF(AND(G179="Vertical",AH179&gt;='Eff. Standards &amp; Certifications'!$B$20,AG179&lt;='Eff. Standards &amp; Certifications'!$C$20),"Consider","No")))</f>
        <v>Consider</v>
      </c>
      <c r="AT179" s="190" t="str">
        <f t="shared" si="77"/>
        <v>Residential</v>
      </c>
      <c r="AU179" s="190"/>
      <c r="AV179" s="190" t="str">
        <f t="shared" si="96"/>
        <v>NO</v>
      </c>
      <c r="AW179" s="190" t="str">
        <f t="shared" si="96"/>
        <v>YES</v>
      </c>
      <c r="AX179" s="190" t="str">
        <f t="shared" si="93"/>
        <v>YES</v>
      </c>
      <c r="AY179" s="190" t="str">
        <f t="shared" si="78"/>
        <v>NO</v>
      </c>
      <c r="AZ179" s="190" t="str">
        <f t="shared" si="78"/>
        <v>NO</v>
      </c>
      <c r="BA179" s="190" t="str">
        <f t="shared" si="94"/>
        <v>NO</v>
      </c>
      <c r="BB179" s="190" t="str">
        <f t="shared" si="79"/>
        <v>NO</v>
      </c>
      <c r="BC179" s="190" t="str">
        <f t="shared" si="80"/>
        <v>YES</v>
      </c>
      <c r="BD179" s="190" t="str">
        <f t="shared" si="95"/>
        <v>YES</v>
      </c>
      <c r="BE179" s="190" t="str">
        <f t="shared" si="81"/>
        <v>YES</v>
      </c>
      <c r="BF179" s="190" t="str">
        <f t="shared" si="82"/>
        <v>NO</v>
      </c>
      <c r="BG179" s="190" t="str">
        <f t="shared" si="83"/>
        <v>NO</v>
      </c>
      <c r="BH179" s="88"/>
      <c r="BI179" s="9"/>
      <c r="BJ179" s="694" t="str">
        <f t="shared" si="97"/>
        <v/>
      </c>
      <c r="BK179" s="694">
        <f t="shared" si="97"/>
        <v>2.4696049999999996</v>
      </c>
      <c r="BL179" s="694" t="str">
        <f t="shared" si="98"/>
        <v/>
      </c>
      <c r="BM179" s="694">
        <f t="shared" si="98"/>
        <v>3.5994799999999998</v>
      </c>
      <c r="BN179" s="88"/>
      <c r="BO179" s="195"/>
      <c r="BP179" s="195"/>
      <c r="BQ179" s="195"/>
      <c r="BR179" s="195"/>
      <c r="BS179" s="195"/>
      <c r="BT179" s="195"/>
      <c r="BU179" s="195"/>
      <c r="BV179" s="195"/>
      <c r="BW179" s="195"/>
      <c r="BX179" s="195"/>
    </row>
    <row r="180" spans="1:76" s="124" customFormat="1" ht="15">
      <c r="A180" s="187">
        <v>4747</v>
      </c>
      <c r="B180" s="187" t="s">
        <v>490</v>
      </c>
      <c r="C180" s="187" t="s">
        <v>1324</v>
      </c>
      <c r="D180" s="187" t="s">
        <v>535</v>
      </c>
      <c r="E180" s="187" t="s">
        <v>385</v>
      </c>
      <c r="F180" s="187" t="s">
        <v>386</v>
      </c>
      <c r="G180" s="187" t="s">
        <v>387</v>
      </c>
      <c r="H180" s="187" t="b">
        <v>0</v>
      </c>
      <c r="I180" s="187" t="s">
        <v>388</v>
      </c>
      <c r="J180" s="187" t="s">
        <v>389</v>
      </c>
      <c r="K180" s="187" t="b">
        <v>1</v>
      </c>
      <c r="L180" s="187">
        <v>3.7</v>
      </c>
      <c r="M180" s="187">
        <v>0.26</v>
      </c>
      <c r="N180" s="187">
        <v>12.62</v>
      </c>
      <c r="O180" s="187">
        <v>3.4</v>
      </c>
      <c r="P180" s="187">
        <v>14.19</v>
      </c>
      <c r="Q180" s="187"/>
      <c r="R180" s="187"/>
      <c r="S180" s="187"/>
      <c r="T180" s="187"/>
      <c r="U180" s="187">
        <v>37.299999999999997</v>
      </c>
      <c r="V180" s="187">
        <v>2.8</v>
      </c>
      <c r="W180" s="188">
        <v>40574</v>
      </c>
      <c r="X180" s="691">
        <f t="shared" ref="X180:X243" si="99">IF($V180="","",IF($G180="Horizontal",V180*slope_FrontLoad_MEF+int_FrontLoad_MEF,IF($G180="Vertical",V180*slope_TopLoad_MEF+int_TopLoad_MEF,"")))</f>
        <v>2.3872999999999998</v>
      </c>
      <c r="Y180" s="691">
        <f t="shared" si="76"/>
        <v>3.5994799999999998</v>
      </c>
      <c r="Z180" s="189"/>
      <c r="AA180" s="190">
        <f t="shared" si="84"/>
        <v>2011</v>
      </c>
      <c r="AB180" s="191">
        <f t="shared" si="85"/>
        <v>1.5498680517739709</v>
      </c>
      <c r="AC180" s="192">
        <f>IF(AB180="","",AB180*SFAssumptions!$C$3)</f>
        <v>397.87174213546695</v>
      </c>
      <c r="AD180" s="193">
        <f t="shared" si="86"/>
        <v>13.318076</v>
      </c>
      <c r="AE180" s="194">
        <f>IF(AD180="","",AD180*SFAssumptions!$C$3)</f>
        <v>3418.9272396107999</v>
      </c>
      <c r="AF180" s="192">
        <f t="shared" si="75"/>
        <v>3.7</v>
      </c>
      <c r="AG180" s="192">
        <f t="shared" si="87"/>
        <v>3.5994799999999998</v>
      </c>
      <c r="AH180" s="192">
        <f t="shared" si="88"/>
        <v>2.3872999999999998</v>
      </c>
      <c r="AI180" s="692">
        <f ca="1">IF(AC180="","",AC180*SFAssumptions!$C$8/'SavingsData&amp;Analysis'!AF180)</f>
        <v>406.15256059971847</v>
      </c>
      <c r="AJ180" s="692">
        <f ca="1">IF(OR(AE180="",AF180=""),"",AE180*SFAssumptions!$C$8/AF180)</f>
        <v>3490.084632346829</v>
      </c>
      <c r="AK180" s="191">
        <f t="shared" si="89"/>
        <v>1.3214285714285716</v>
      </c>
      <c r="AL180" s="692">
        <f>IF(AK180="","",AK180*SFAssumptions!$C$3)</f>
        <v>339.22828928571437</v>
      </c>
      <c r="AM180" s="193">
        <f t="shared" si="90"/>
        <v>12.58</v>
      </c>
      <c r="AN180" s="194">
        <f>IF(AM180="","",AM180*SFAssumptions!$C$3)</f>
        <v>3229.4533139999999</v>
      </c>
      <c r="AO180" s="693">
        <f t="shared" si="91"/>
        <v>3.4</v>
      </c>
      <c r="AP180" s="693">
        <f t="shared" si="92"/>
        <v>2.8</v>
      </c>
      <c r="AQ180" s="692">
        <f ca="1">IF(AL180="","",AL180*SFAssumptions!$C$8/'SavingsData&amp;Analysis'!AF180)</f>
        <v>346.28857425703853</v>
      </c>
      <c r="AR180" s="692">
        <f ca="1">IF(OR(AN180="",AF180=""),"",AN180*SFAssumptions!$C$8/AF180)</f>
        <v>3296.6672269270057</v>
      </c>
      <c r="AS180" s="190" t="str">
        <f>IF(OR(AG180="",AH180=""),"No",IF(AND(G180="Horizontal",AH180&gt;='Eff. Standards &amp; Certifications'!$B$21,AG180&lt;='Eff. Standards &amp; Certifications'!$C$21),"Consider",IF(AND(G180="Vertical",AH180&gt;='Eff. Standards &amp; Certifications'!$B$20,AG180&lt;='Eff. Standards &amp; Certifications'!$C$20),"Consider","No")))</f>
        <v>Consider</v>
      </c>
      <c r="AT180" s="190" t="str">
        <f t="shared" si="77"/>
        <v>Residential</v>
      </c>
      <c r="AU180" s="190"/>
      <c r="AV180" s="190" t="str">
        <f t="shared" si="96"/>
        <v>NO</v>
      </c>
      <c r="AW180" s="190" t="str">
        <f t="shared" si="96"/>
        <v>YES</v>
      </c>
      <c r="AX180" s="190" t="str">
        <f t="shared" si="93"/>
        <v>YES</v>
      </c>
      <c r="AY180" s="190" t="str">
        <f t="shared" si="78"/>
        <v>NO</v>
      </c>
      <c r="AZ180" s="190" t="str">
        <f t="shared" si="78"/>
        <v>NO</v>
      </c>
      <c r="BA180" s="190" t="str">
        <f t="shared" si="94"/>
        <v>NO</v>
      </c>
      <c r="BB180" s="190" t="str">
        <f t="shared" si="79"/>
        <v>NO</v>
      </c>
      <c r="BC180" s="190" t="str">
        <f t="shared" si="80"/>
        <v>YES</v>
      </c>
      <c r="BD180" s="190" t="str">
        <f t="shared" si="95"/>
        <v>YES</v>
      </c>
      <c r="BE180" s="190" t="str">
        <f t="shared" si="81"/>
        <v>YES</v>
      </c>
      <c r="BF180" s="190" t="str">
        <f t="shared" si="82"/>
        <v>NO</v>
      </c>
      <c r="BG180" s="190" t="str">
        <f t="shared" si="83"/>
        <v>NO</v>
      </c>
      <c r="BH180" s="88"/>
      <c r="BI180" s="9"/>
      <c r="BJ180" s="694" t="str">
        <f t="shared" si="97"/>
        <v/>
      </c>
      <c r="BK180" s="694">
        <f t="shared" si="97"/>
        <v>2.3872999999999998</v>
      </c>
      <c r="BL180" s="694" t="str">
        <f t="shared" si="98"/>
        <v/>
      </c>
      <c r="BM180" s="694">
        <f t="shared" si="98"/>
        <v>3.5994799999999998</v>
      </c>
      <c r="BN180" s="88"/>
      <c r="BO180" s="195"/>
      <c r="BP180" s="195"/>
      <c r="BQ180" s="195"/>
      <c r="BR180" s="195"/>
      <c r="BS180" s="195"/>
      <c r="BT180" s="195"/>
      <c r="BU180" s="195"/>
      <c r="BV180" s="195"/>
      <c r="BW180" s="195"/>
      <c r="BX180" s="195"/>
    </row>
    <row r="181" spans="1:76" s="124" customFormat="1" ht="15">
      <c r="A181" s="187">
        <v>3300</v>
      </c>
      <c r="B181" s="187" t="s">
        <v>490</v>
      </c>
      <c r="C181" s="187" t="s">
        <v>1324</v>
      </c>
      <c r="D181" s="187" t="s">
        <v>536</v>
      </c>
      <c r="E181" s="187" t="s">
        <v>385</v>
      </c>
      <c r="F181" s="187" t="s">
        <v>386</v>
      </c>
      <c r="G181" s="187" t="s">
        <v>387</v>
      </c>
      <c r="H181" s="187" t="b">
        <v>0</v>
      </c>
      <c r="I181" s="187" t="s">
        <v>388</v>
      </c>
      <c r="J181" s="187" t="s">
        <v>389</v>
      </c>
      <c r="K181" s="187" t="b">
        <v>1</v>
      </c>
      <c r="L181" s="187">
        <v>3.6</v>
      </c>
      <c r="M181" s="187">
        <v>0.34</v>
      </c>
      <c r="N181" s="187">
        <v>11.76</v>
      </c>
      <c r="O181" s="187">
        <v>3.2</v>
      </c>
      <c r="P181" s="187">
        <v>10.63</v>
      </c>
      <c r="Q181" s="187"/>
      <c r="R181" s="187"/>
      <c r="S181" s="187"/>
      <c r="T181" s="187"/>
      <c r="U181" s="187">
        <v>40.200000000000003</v>
      </c>
      <c r="V181" s="187">
        <v>2.38</v>
      </c>
      <c r="W181" s="188">
        <v>39547</v>
      </c>
      <c r="X181" s="691">
        <f t="shared" si="99"/>
        <v>2.0032100000000002</v>
      </c>
      <c r="Y181" s="691">
        <f t="shared" si="76"/>
        <v>3.3946400000000003</v>
      </c>
      <c r="Z181" s="189"/>
      <c r="AA181" s="190">
        <f t="shared" si="84"/>
        <v>2008</v>
      </c>
      <c r="AB181" s="191">
        <f t="shared" si="85"/>
        <v>1.7971156294147892</v>
      </c>
      <c r="AC181" s="192">
        <f>IF(AB181="","",AB181*SFAssumptions!$C$3)</f>
        <v>461.34348370864763</v>
      </c>
      <c r="AD181" s="193">
        <f t="shared" si="86"/>
        <v>12.220704000000001</v>
      </c>
      <c r="AE181" s="194">
        <f>IF(AD181="","",AD181*SFAssumptions!$C$3)</f>
        <v>3137.2172521632006</v>
      </c>
      <c r="AF181" s="192">
        <f t="shared" si="75"/>
        <v>3.6</v>
      </c>
      <c r="AG181" s="192">
        <f t="shared" si="87"/>
        <v>3.3946400000000003</v>
      </c>
      <c r="AH181" s="192">
        <f t="shared" si="88"/>
        <v>2.0032100000000002</v>
      </c>
      <c r="AI181" s="692">
        <f ca="1">IF(AC181="","",AC181*SFAssumptions!$C$8/'SavingsData&amp;Analysis'!AF181)</f>
        <v>484.02714039951263</v>
      </c>
      <c r="AJ181" s="692">
        <f ca="1">IF(OR(AE181="",AF181=""),"",AE181*SFAssumptions!$C$8/AF181)</f>
        <v>3291.470128004557</v>
      </c>
      <c r="AK181" s="191">
        <f t="shared" si="89"/>
        <v>1.5126050420168069</v>
      </c>
      <c r="AL181" s="692">
        <f>IF(AK181="","",AK181*SFAssumptions!$C$3)</f>
        <v>388.30583193277317</v>
      </c>
      <c r="AM181" s="193">
        <f t="shared" si="90"/>
        <v>11.520000000000001</v>
      </c>
      <c r="AN181" s="194">
        <f>IF(AM181="","",AM181*SFAssumptions!$C$3)</f>
        <v>2957.3372160000004</v>
      </c>
      <c r="AO181" s="693">
        <f t="shared" si="91"/>
        <v>3.2</v>
      </c>
      <c r="AP181" s="693">
        <f t="shared" si="92"/>
        <v>2.38</v>
      </c>
      <c r="AQ181" s="692">
        <f ca="1">IF(AL181="","",AL181*SFAssumptions!$C$8/'SavingsData&amp;Analysis'!AF181)</f>
        <v>407.39832265533943</v>
      </c>
      <c r="AR181" s="692">
        <f ca="1">IF(OR(AN181="",AF181=""),"",AN181*SFAssumptions!$C$8/AF181)</f>
        <v>3102.7456253430646</v>
      </c>
      <c r="AS181" s="190" t="str">
        <f>IF(OR(AG181="",AH181=""),"No",IF(AND(G181="Horizontal",AH181&gt;='Eff. Standards &amp; Certifications'!$B$21,AG181&lt;='Eff. Standards &amp; Certifications'!$C$21),"Consider",IF(AND(G181="Vertical",AH181&gt;='Eff. Standards &amp; Certifications'!$B$20,AG181&lt;='Eff. Standards &amp; Certifications'!$C$20),"Consider","No")))</f>
        <v>Consider</v>
      </c>
      <c r="AT181" s="190" t="str">
        <f t="shared" si="77"/>
        <v>Residential</v>
      </c>
      <c r="AU181" s="190"/>
      <c r="AV181" s="190" t="str">
        <f t="shared" si="96"/>
        <v>NO</v>
      </c>
      <c r="AW181" s="190" t="str">
        <f t="shared" si="96"/>
        <v>YES</v>
      </c>
      <c r="AX181" s="190" t="str">
        <f t="shared" si="93"/>
        <v>YES</v>
      </c>
      <c r="AY181" s="190" t="str">
        <f t="shared" si="78"/>
        <v>NO</v>
      </c>
      <c r="AZ181" s="190" t="str">
        <f t="shared" si="78"/>
        <v>YES</v>
      </c>
      <c r="BA181" s="190" t="str">
        <f t="shared" si="94"/>
        <v>YES</v>
      </c>
      <c r="BB181" s="190" t="str">
        <f t="shared" si="79"/>
        <v>NO</v>
      </c>
      <c r="BC181" s="190" t="str">
        <f t="shared" si="80"/>
        <v>NO</v>
      </c>
      <c r="BD181" s="190" t="str">
        <f t="shared" si="95"/>
        <v>NO</v>
      </c>
      <c r="BE181" s="190" t="str">
        <f t="shared" si="81"/>
        <v>NO</v>
      </c>
      <c r="BF181" s="190" t="str">
        <f t="shared" si="82"/>
        <v>NO</v>
      </c>
      <c r="BG181" s="190" t="str">
        <f t="shared" si="83"/>
        <v>NO</v>
      </c>
      <c r="BH181" s="88"/>
      <c r="BI181" s="9"/>
      <c r="BJ181" s="694" t="str">
        <f t="shared" si="97"/>
        <v/>
      </c>
      <c r="BK181" s="694">
        <f t="shared" si="97"/>
        <v>2.0032100000000002</v>
      </c>
      <c r="BL181" s="694" t="str">
        <f t="shared" si="98"/>
        <v/>
      </c>
      <c r="BM181" s="694">
        <f t="shared" si="98"/>
        <v>3.3946400000000003</v>
      </c>
      <c r="BN181" s="88"/>
      <c r="BO181" s="195"/>
      <c r="BP181" s="195"/>
      <c r="BQ181" s="195"/>
      <c r="BR181" s="195"/>
      <c r="BS181" s="195"/>
      <c r="BT181" s="195"/>
      <c r="BU181" s="195"/>
      <c r="BV181" s="195"/>
      <c r="BW181" s="195"/>
      <c r="BX181" s="195"/>
    </row>
    <row r="182" spans="1:76" s="124" customFormat="1" ht="15">
      <c r="A182" s="187">
        <v>1401</v>
      </c>
      <c r="B182" s="187" t="s">
        <v>490</v>
      </c>
      <c r="C182" s="187" t="s">
        <v>1324</v>
      </c>
      <c r="D182" s="187" t="s">
        <v>537</v>
      </c>
      <c r="E182" s="187" t="s">
        <v>385</v>
      </c>
      <c r="F182" s="187" t="s">
        <v>386</v>
      </c>
      <c r="G182" s="187" t="s">
        <v>387</v>
      </c>
      <c r="H182" s="187" t="b">
        <v>0</v>
      </c>
      <c r="I182" s="187" t="s">
        <v>388</v>
      </c>
      <c r="J182" s="187" t="s">
        <v>389</v>
      </c>
      <c r="K182" s="187" t="b">
        <v>1</v>
      </c>
      <c r="L182" s="187">
        <v>3.2</v>
      </c>
      <c r="M182" s="187">
        <v>0.51</v>
      </c>
      <c r="N182" s="187">
        <v>15.38</v>
      </c>
      <c r="O182" s="187">
        <v>4.8</v>
      </c>
      <c r="P182" s="187">
        <v>5.7</v>
      </c>
      <c r="Q182" s="187"/>
      <c r="R182" s="187"/>
      <c r="S182" s="187"/>
      <c r="T182" s="187"/>
      <c r="U182" s="187">
        <v>43.1</v>
      </c>
      <c r="V182" s="187">
        <v>1.9</v>
      </c>
      <c r="W182" s="188">
        <v>38639</v>
      </c>
      <c r="X182" s="691">
        <f t="shared" si="99"/>
        <v>1.5642499999999999</v>
      </c>
      <c r="Y182" s="691">
        <f t="shared" si="76"/>
        <v>5.0333600000000001</v>
      </c>
      <c r="Z182" s="189"/>
      <c r="AA182" s="190">
        <f t="shared" si="84"/>
        <v>2005</v>
      </c>
      <c r="AB182" s="191">
        <f t="shared" si="85"/>
        <v>2.0457088061371267</v>
      </c>
      <c r="AC182" s="192">
        <f>IF(AB182="","",AB182*SFAssumptions!$C$3)</f>
        <v>525.16065846252206</v>
      </c>
      <c r="AD182" s="193">
        <f t="shared" si="86"/>
        <v>16.106752</v>
      </c>
      <c r="AE182" s="194">
        <f>IF(AD182="","",AD182*SFAssumptions!$C$3)</f>
        <v>4134.8174582015999</v>
      </c>
      <c r="AF182" s="192">
        <f t="shared" si="75"/>
        <v>3.2</v>
      </c>
      <c r="AG182" s="192">
        <f t="shared" si="87"/>
        <v>5.0333600000000001</v>
      </c>
      <c r="AH182" s="192">
        <f t="shared" si="88"/>
        <v>1.5642499999999999</v>
      </c>
      <c r="AI182" s="692">
        <f ca="1">IF(AC182="","",AC182*SFAssumptions!$C$8/'SavingsData&amp;Analysis'!AF182)</f>
        <v>619.85488759450709</v>
      </c>
      <c r="AJ182" s="692">
        <f ca="1">IF(OR(AE182="",AF182=""),"",AE182*SFAssumptions!$C$8/AF182)</f>
        <v>4880.3861627427395</v>
      </c>
      <c r="AK182" s="191">
        <f t="shared" si="89"/>
        <v>1.6842105263157896</v>
      </c>
      <c r="AL182" s="692">
        <f>IF(AK182="","",AK182*SFAssumptions!$C$3)</f>
        <v>432.35924210526321</v>
      </c>
      <c r="AM182" s="193">
        <f t="shared" si="90"/>
        <v>15.36</v>
      </c>
      <c r="AN182" s="194">
        <f>IF(AM182="","",AM182*SFAssumptions!$C$3)</f>
        <v>3943.1162879999997</v>
      </c>
      <c r="AO182" s="693">
        <f t="shared" si="91"/>
        <v>4.8</v>
      </c>
      <c r="AP182" s="693">
        <f t="shared" si="92"/>
        <v>1.9</v>
      </c>
      <c r="AQ182" s="692">
        <f ca="1">IF(AL182="","",AL182*SFAssumptions!$C$8/'SavingsData&amp;Analysis'!AF182)</f>
        <v>510.32000416826725</v>
      </c>
      <c r="AR182" s="692">
        <f ca="1">IF(OR(AN182="",AF182=""),"",AN182*SFAssumptions!$C$8/AF182)</f>
        <v>4654.118438014596</v>
      </c>
      <c r="AS182" s="190" t="str">
        <f>IF(OR(AG182="",AH182=""),"No",IF(AND(G182="Horizontal",AH182&gt;='Eff. Standards &amp; Certifications'!$B$21,AG182&lt;='Eff. Standards &amp; Certifications'!$C$21),"Consider",IF(AND(G182="Vertical",AH182&gt;='Eff. Standards &amp; Certifications'!$B$20,AG182&lt;='Eff. Standards &amp; Certifications'!$C$20),"Consider","No")))</f>
        <v>No</v>
      </c>
      <c r="AT182" s="190" t="str">
        <f t="shared" si="77"/>
        <v>Residential</v>
      </c>
      <c r="AU182" s="190"/>
      <c r="AV182" s="190" t="str">
        <f t="shared" si="96"/>
        <v>NO</v>
      </c>
      <c r="AW182" s="190" t="str">
        <f t="shared" si="96"/>
        <v>NO</v>
      </c>
      <c r="AX182" s="190" t="str">
        <f t="shared" si="93"/>
        <v>NO</v>
      </c>
      <c r="AY182" s="190" t="str">
        <f t="shared" si="78"/>
        <v>NO</v>
      </c>
      <c r="AZ182" s="190" t="str">
        <f t="shared" si="78"/>
        <v>NO</v>
      </c>
      <c r="BA182" s="190" t="str">
        <f t="shared" si="94"/>
        <v>NO</v>
      </c>
      <c r="BB182" s="190" t="str">
        <f t="shared" si="79"/>
        <v>NO</v>
      </c>
      <c r="BC182" s="190" t="str">
        <f t="shared" si="80"/>
        <v>NO</v>
      </c>
      <c r="BD182" s="190" t="str">
        <f t="shared" si="95"/>
        <v>NO</v>
      </c>
      <c r="BE182" s="190" t="str">
        <f t="shared" si="81"/>
        <v>NO</v>
      </c>
      <c r="BF182" s="190" t="str">
        <f t="shared" si="82"/>
        <v>NO</v>
      </c>
      <c r="BG182" s="190" t="str">
        <f t="shared" si="83"/>
        <v>NO</v>
      </c>
      <c r="BH182" s="88"/>
      <c r="BI182" s="9"/>
      <c r="BJ182" s="694" t="str">
        <f t="shared" si="97"/>
        <v/>
      </c>
      <c r="BK182" s="694" t="str">
        <f t="shared" si="97"/>
        <v/>
      </c>
      <c r="BL182" s="694" t="str">
        <f t="shared" si="98"/>
        <v/>
      </c>
      <c r="BM182" s="694" t="str">
        <f t="shared" si="98"/>
        <v/>
      </c>
      <c r="BN182" s="88"/>
      <c r="BO182" s="195"/>
      <c r="BP182" s="195"/>
      <c r="BQ182" s="195"/>
      <c r="BR182" s="195"/>
      <c r="BS182" s="195"/>
      <c r="BT182" s="195"/>
      <c r="BU182" s="195"/>
      <c r="BV182" s="195"/>
      <c r="BW182" s="195"/>
      <c r="BX182" s="195"/>
    </row>
    <row r="183" spans="1:76" s="124" customFormat="1" ht="15">
      <c r="A183" s="187">
        <v>1405</v>
      </c>
      <c r="B183" s="187" t="s">
        <v>490</v>
      </c>
      <c r="C183" s="187" t="s">
        <v>1324</v>
      </c>
      <c r="D183" s="187" t="s">
        <v>538</v>
      </c>
      <c r="E183" s="187" t="s">
        <v>385</v>
      </c>
      <c r="F183" s="187" t="s">
        <v>386</v>
      </c>
      <c r="G183" s="187" t="s">
        <v>387</v>
      </c>
      <c r="H183" s="187" t="b">
        <v>0</v>
      </c>
      <c r="I183" s="187" t="s">
        <v>388</v>
      </c>
      <c r="J183" s="187" t="s">
        <v>389</v>
      </c>
      <c r="K183" s="187" t="b">
        <v>1</v>
      </c>
      <c r="L183" s="187">
        <v>3.3</v>
      </c>
      <c r="M183" s="187">
        <v>0.43</v>
      </c>
      <c r="N183" s="187">
        <v>12.62</v>
      </c>
      <c r="O183" s="187">
        <v>3.8</v>
      </c>
      <c r="P183" s="187">
        <v>7.82</v>
      </c>
      <c r="Q183" s="187"/>
      <c r="R183" s="187"/>
      <c r="S183" s="187"/>
      <c r="T183" s="187"/>
      <c r="U183" s="187">
        <v>36.5</v>
      </c>
      <c r="V183" s="187">
        <v>2.38</v>
      </c>
      <c r="W183" s="188">
        <v>38639</v>
      </c>
      <c r="X183" s="691">
        <f t="shared" si="99"/>
        <v>2.0032100000000002</v>
      </c>
      <c r="Y183" s="691">
        <f t="shared" si="76"/>
        <v>4.0091599999999996</v>
      </c>
      <c r="Z183" s="189"/>
      <c r="AA183" s="190">
        <f t="shared" si="84"/>
        <v>2005</v>
      </c>
      <c r="AB183" s="191">
        <f t="shared" si="85"/>
        <v>1.6473559936302233</v>
      </c>
      <c r="AC183" s="192">
        <f>IF(AB183="","",AB183*SFAssumptions!$C$3)</f>
        <v>422.89819339959359</v>
      </c>
      <c r="AD183" s="193">
        <f t="shared" si="86"/>
        <v>13.230227999999999</v>
      </c>
      <c r="AE183" s="194">
        <f>IF(AD183="","",AD183*SFAssumptions!$C$3)</f>
        <v>3396.3754896323999</v>
      </c>
      <c r="AF183" s="192">
        <f t="shared" si="75"/>
        <v>3.3</v>
      </c>
      <c r="AG183" s="192">
        <f t="shared" si="87"/>
        <v>4.0091599999999996</v>
      </c>
      <c r="AH183" s="192">
        <f t="shared" si="88"/>
        <v>2.0032100000000002</v>
      </c>
      <c r="AI183" s="692">
        <f ca="1">IF(AC183="","",AC183*SFAssumptions!$C$8/'SavingsData&amp;Analysis'!AF183)</f>
        <v>484.02714039951258</v>
      </c>
      <c r="AJ183" s="692">
        <f ca="1">IF(OR(AE183="",AF183=""),"",AE183*SFAssumptions!$C$8/AF183)</f>
        <v>3887.313641031375</v>
      </c>
      <c r="AK183" s="191">
        <f t="shared" si="89"/>
        <v>1.3865546218487395</v>
      </c>
      <c r="AL183" s="692">
        <f>IF(AK183="","",AK183*SFAssumptions!$C$3)</f>
        <v>355.947012605042</v>
      </c>
      <c r="AM183" s="193">
        <f t="shared" si="90"/>
        <v>12.54</v>
      </c>
      <c r="AN183" s="194">
        <f>IF(AM183="","",AM183*SFAssumptions!$C$3)</f>
        <v>3219.1847819999998</v>
      </c>
      <c r="AO183" s="693">
        <f t="shared" si="91"/>
        <v>3.8</v>
      </c>
      <c r="AP183" s="693">
        <f t="shared" si="92"/>
        <v>2.38</v>
      </c>
      <c r="AQ183" s="692">
        <f ca="1">IF(AL183="","",AL183*SFAssumptions!$C$8/'SavingsData&amp;Analysis'!AF183)</f>
        <v>407.39832265533937</v>
      </c>
      <c r="AR183" s="692">
        <f ca="1">IF(OR(AN183="",AF183=""),"",AN183*SFAssumptions!$C$8/AF183)</f>
        <v>3684.5104300948892</v>
      </c>
      <c r="AS183" s="190" t="str">
        <f>IF(OR(AG183="",AH183=""),"No",IF(AND(G183="Horizontal",AH183&gt;='Eff. Standards &amp; Certifications'!$B$21,AG183&lt;='Eff. Standards &amp; Certifications'!$C$21),"Consider",IF(AND(G183="Vertical",AH183&gt;='Eff. Standards &amp; Certifications'!$B$20,AG183&lt;='Eff. Standards &amp; Certifications'!$C$20),"Consider","No")))</f>
        <v>Consider</v>
      </c>
      <c r="AT183" s="190" t="str">
        <f t="shared" si="77"/>
        <v>Residential</v>
      </c>
      <c r="AU183" s="190"/>
      <c r="AV183" s="190" t="str">
        <f t="shared" ref="AV183:AW202" si="100">IF(AND($G183=AV$18,$AS183="Consider",$AT183="Residential",$AH183&gt;=AV$3,$AH183&lt;=AV$4,$AG183&gt;=AV$5,$AG183&lt;=AV$6),"YES","NO")</f>
        <v>NO</v>
      </c>
      <c r="AW183" s="190" t="str">
        <f t="shared" si="100"/>
        <v>YES</v>
      </c>
      <c r="AX183" s="190" t="str">
        <f t="shared" si="93"/>
        <v>YES</v>
      </c>
      <c r="AY183" s="190" t="str">
        <f t="shared" si="78"/>
        <v>NO</v>
      </c>
      <c r="AZ183" s="190" t="str">
        <f t="shared" si="78"/>
        <v>YES</v>
      </c>
      <c r="BA183" s="190" t="str">
        <f t="shared" si="94"/>
        <v>YES</v>
      </c>
      <c r="BB183" s="190" t="str">
        <f t="shared" si="79"/>
        <v>NO</v>
      </c>
      <c r="BC183" s="190" t="str">
        <f t="shared" si="80"/>
        <v>NO</v>
      </c>
      <c r="BD183" s="190" t="str">
        <f t="shared" si="95"/>
        <v>NO</v>
      </c>
      <c r="BE183" s="190" t="str">
        <f t="shared" si="81"/>
        <v>NO</v>
      </c>
      <c r="BF183" s="190" t="str">
        <f t="shared" si="82"/>
        <v>NO</v>
      </c>
      <c r="BG183" s="190" t="str">
        <f t="shared" si="83"/>
        <v>NO</v>
      </c>
      <c r="BH183" s="88"/>
      <c r="BI183" s="9"/>
      <c r="BJ183" s="694" t="str">
        <f t="shared" ref="BJ183:BK202" si="101">IF(AND($G183=BJ$21,$AT183="Residential",$AS183="Consider"),$X183,"")</f>
        <v/>
      </c>
      <c r="BK183" s="694">
        <f t="shared" si="101"/>
        <v>2.0032100000000002</v>
      </c>
      <c r="BL183" s="694" t="str">
        <f t="shared" ref="BL183:BM202" si="102">IF(AND($G183=BL$21,$AT183="Residential",$AS183="Consider"),$Y183,"")</f>
        <v/>
      </c>
      <c r="BM183" s="694">
        <f t="shared" si="102"/>
        <v>4.0091599999999996</v>
      </c>
      <c r="BN183" s="88"/>
      <c r="BO183" s="195"/>
      <c r="BP183" s="195"/>
      <c r="BQ183" s="195"/>
      <c r="BR183" s="195"/>
      <c r="BS183" s="195"/>
      <c r="BT183" s="195"/>
      <c r="BU183" s="195"/>
      <c r="BV183" s="195"/>
      <c r="BW183" s="195"/>
      <c r="BX183" s="195"/>
    </row>
    <row r="184" spans="1:76" s="124" customFormat="1" ht="15">
      <c r="A184" s="187">
        <v>3297</v>
      </c>
      <c r="B184" s="187" t="s">
        <v>490</v>
      </c>
      <c r="C184" s="187" t="s">
        <v>1324</v>
      </c>
      <c r="D184" s="187" t="s">
        <v>539</v>
      </c>
      <c r="E184" s="187" t="s">
        <v>385</v>
      </c>
      <c r="F184" s="187" t="s">
        <v>386</v>
      </c>
      <c r="G184" s="187" t="s">
        <v>387</v>
      </c>
      <c r="H184" s="187" t="b">
        <v>0</v>
      </c>
      <c r="I184" s="187" t="s">
        <v>388</v>
      </c>
      <c r="J184" s="187" t="s">
        <v>389</v>
      </c>
      <c r="K184" s="187" t="b">
        <v>1</v>
      </c>
      <c r="L184" s="187">
        <v>3.6</v>
      </c>
      <c r="M184" s="187">
        <v>0.36</v>
      </c>
      <c r="N184" s="187">
        <v>12.16</v>
      </c>
      <c r="O184" s="187">
        <v>3.4</v>
      </c>
      <c r="P184" s="187">
        <v>10.119999999999999</v>
      </c>
      <c r="Q184" s="187"/>
      <c r="R184" s="187"/>
      <c r="S184" s="187"/>
      <c r="T184" s="187"/>
      <c r="U184" s="187">
        <v>38.700000000000003</v>
      </c>
      <c r="V184" s="187">
        <v>2.44</v>
      </c>
      <c r="W184" s="188">
        <v>39547</v>
      </c>
      <c r="X184" s="691">
        <f t="shared" si="99"/>
        <v>2.0580799999999995</v>
      </c>
      <c r="Y184" s="691">
        <f t="shared" si="76"/>
        <v>3.5994799999999998</v>
      </c>
      <c r="Z184" s="189"/>
      <c r="AA184" s="190">
        <f t="shared" si="84"/>
        <v>2008</v>
      </c>
      <c r="AB184" s="191">
        <f t="shared" si="85"/>
        <v>1.7492031407914177</v>
      </c>
      <c r="AC184" s="192">
        <f>IF(AB184="","",AB184*SFAssumptions!$C$3)</f>
        <v>449.04371064292945</v>
      </c>
      <c r="AD184" s="193">
        <f t="shared" si="86"/>
        <v>12.958128</v>
      </c>
      <c r="AE184" s="194">
        <f>IF(AD184="","",AD184*SFAssumptions!$C$3)</f>
        <v>3326.5238007024</v>
      </c>
      <c r="AF184" s="192">
        <f t="shared" si="75"/>
        <v>3.6</v>
      </c>
      <c r="AG184" s="192">
        <f t="shared" si="87"/>
        <v>3.5994799999999998</v>
      </c>
      <c r="AH184" s="192">
        <f t="shared" si="88"/>
        <v>2.0580799999999995</v>
      </c>
      <c r="AI184" s="692">
        <f ca="1">IF(AC184="","",AC184*SFAssumptions!$C$8/'SavingsData&amp;Analysis'!AF184)</f>
        <v>471.12260355268404</v>
      </c>
      <c r="AJ184" s="692">
        <f ca="1">IF(OR(AE184="",AF184=""),"",AE184*SFAssumptions!$C$8/AF184)</f>
        <v>3490.0846323468295</v>
      </c>
      <c r="AK184" s="191">
        <f t="shared" si="89"/>
        <v>1.4754098360655739</v>
      </c>
      <c r="AL184" s="692">
        <f>IF(AK184="","",AK184*SFAssumptions!$C$3)</f>
        <v>378.75732786885249</v>
      </c>
      <c r="AM184" s="193">
        <f t="shared" si="90"/>
        <v>12.24</v>
      </c>
      <c r="AN184" s="194">
        <f>IF(AM184="","",AM184*SFAssumptions!$C$3)</f>
        <v>3142.1707919999999</v>
      </c>
      <c r="AO184" s="693">
        <f t="shared" si="91"/>
        <v>3.4</v>
      </c>
      <c r="AP184" s="693">
        <f t="shared" si="92"/>
        <v>2.44</v>
      </c>
      <c r="AQ184" s="692">
        <f ca="1">IF(AL184="","",AL184*SFAssumptions!$C$8/'SavingsData&amp;Analysis'!AF184)</f>
        <v>397.38033111463432</v>
      </c>
      <c r="AR184" s="692">
        <f ca="1">IF(OR(AN184="",AF184=""),"",AN184*SFAssumptions!$C$8/AF184)</f>
        <v>3296.6672269270061</v>
      </c>
      <c r="AS184" s="190" t="str">
        <f>IF(OR(AG184="",AH184=""),"No",IF(AND(G184="Horizontal",AH184&gt;='Eff. Standards &amp; Certifications'!$B$21,AG184&lt;='Eff. Standards &amp; Certifications'!$C$21),"Consider",IF(AND(G184="Vertical",AH184&gt;='Eff. Standards &amp; Certifications'!$B$20,AG184&lt;='Eff. Standards &amp; Certifications'!$C$20),"Consider","No")))</f>
        <v>Consider</v>
      </c>
      <c r="AT184" s="190" t="str">
        <f t="shared" si="77"/>
        <v>Residential</v>
      </c>
      <c r="AU184" s="190"/>
      <c r="AV184" s="190" t="str">
        <f t="shared" si="100"/>
        <v>NO</v>
      </c>
      <c r="AW184" s="190" t="str">
        <f t="shared" si="100"/>
        <v>YES</v>
      </c>
      <c r="AX184" s="190" t="str">
        <f t="shared" si="93"/>
        <v>YES</v>
      </c>
      <c r="AY184" s="190" t="str">
        <f t="shared" si="78"/>
        <v>NO</v>
      </c>
      <c r="AZ184" s="190" t="str">
        <f t="shared" si="78"/>
        <v>YES</v>
      </c>
      <c r="BA184" s="190" t="str">
        <f t="shared" si="94"/>
        <v>YES</v>
      </c>
      <c r="BB184" s="190" t="str">
        <f t="shared" si="79"/>
        <v>NO</v>
      </c>
      <c r="BC184" s="190" t="str">
        <f t="shared" si="80"/>
        <v>NO</v>
      </c>
      <c r="BD184" s="190" t="str">
        <f t="shared" si="95"/>
        <v>NO</v>
      </c>
      <c r="BE184" s="190" t="str">
        <f t="shared" si="81"/>
        <v>NO</v>
      </c>
      <c r="BF184" s="190" t="str">
        <f t="shared" si="82"/>
        <v>NO</v>
      </c>
      <c r="BG184" s="190" t="str">
        <f t="shared" si="83"/>
        <v>NO</v>
      </c>
      <c r="BH184" s="88"/>
      <c r="BI184" s="9"/>
      <c r="BJ184" s="694" t="str">
        <f t="shared" si="101"/>
        <v/>
      </c>
      <c r="BK184" s="694">
        <f t="shared" si="101"/>
        <v>2.0580799999999995</v>
      </c>
      <c r="BL184" s="694" t="str">
        <f t="shared" si="102"/>
        <v/>
      </c>
      <c r="BM184" s="694">
        <f t="shared" si="102"/>
        <v>3.5994799999999998</v>
      </c>
      <c r="BN184" s="88"/>
      <c r="BO184" s="195"/>
      <c r="BP184" s="195"/>
      <c r="BQ184" s="195"/>
      <c r="BR184" s="195"/>
      <c r="BS184" s="195"/>
      <c r="BT184" s="195"/>
      <c r="BU184" s="195"/>
      <c r="BV184" s="195"/>
      <c r="BW184" s="195"/>
      <c r="BX184" s="195"/>
    </row>
    <row r="185" spans="1:76" s="124" customFormat="1" ht="15">
      <c r="A185" s="187">
        <v>3301</v>
      </c>
      <c r="B185" s="187" t="s">
        <v>490</v>
      </c>
      <c r="C185" s="187" t="s">
        <v>1324</v>
      </c>
      <c r="D185" s="187" t="s">
        <v>540</v>
      </c>
      <c r="E185" s="187" t="s">
        <v>385</v>
      </c>
      <c r="F185" s="187" t="s">
        <v>386</v>
      </c>
      <c r="G185" s="187" t="s">
        <v>387</v>
      </c>
      <c r="H185" s="187" t="b">
        <v>0</v>
      </c>
      <c r="I185" s="187" t="s">
        <v>388</v>
      </c>
      <c r="J185" s="187" t="s">
        <v>389</v>
      </c>
      <c r="K185" s="187" t="b">
        <v>1</v>
      </c>
      <c r="L185" s="187">
        <v>3.6</v>
      </c>
      <c r="M185" s="187">
        <v>0.35</v>
      </c>
      <c r="N185" s="187">
        <v>12.67</v>
      </c>
      <c r="O185" s="187">
        <v>3.6</v>
      </c>
      <c r="P185" s="187">
        <v>10.38</v>
      </c>
      <c r="Q185" s="187"/>
      <c r="R185" s="187"/>
      <c r="S185" s="187"/>
      <c r="T185" s="187"/>
      <c r="U185" s="187">
        <v>35.200000000000003</v>
      </c>
      <c r="V185" s="187">
        <v>2.65</v>
      </c>
      <c r="W185" s="188">
        <v>39547</v>
      </c>
      <c r="X185" s="691">
        <f t="shared" si="99"/>
        <v>2.2501249999999997</v>
      </c>
      <c r="Y185" s="691">
        <f t="shared" si="76"/>
        <v>3.8043200000000001</v>
      </c>
      <c r="Z185" s="189"/>
      <c r="AA185" s="190">
        <f t="shared" si="84"/>
        <v>2008</v>
      </c>
      <c r="AB185" s="191">
        <f t="shared" si="85"/>
        <v>1.5999111160491086</v>
      </c>
      <c r="AC185" s="192">
        <f>IF(AB185="","",AB185*SFAssumptions!$C$3)</f>
        <v>410.71846230764965</v>
      </c>
      <c r="AD185" s="193">
        <f t="shared" si="86"/>
        <v>13.695552000000001</v>
      </c>
      <c r="AE185" s="194">
        <f>IF(AD185="","",AD185*SFAssumptions!$C$3)</f>
        <v>3515.8303492416003</v>
      </c>
      <c r="AF185" s="192">
        <f t="shared" si="75"/>
        <v>3.6</v>
      </c>
      <c r="AG185" s="192">
        <f t="shared" si="87"/>
        <v>3.8043200000000001</v>
      </c>
      <c r="AH185" s="192">
        <f t="shared" si="88"/>
        <v>2.2501249999999997</v>
      </c>
      <c r="AI185" s="692">
        <f ca="1">IF(AC185="","",AC185*SFAssumptions!$C$8/'SavingsData&amp;Analysis'!AF185)</f>
        <v>430.91295280027015</v>
      </c>
      <c r="AJ185" s="692">
        <f ca="1">IF(OR(AE185="",AF185=""),"",AE185*SFAssumptions!$C$8/AF185)</f>
        <v>3688.6991366891025</v>
      </c>
      <c r="AK185" s="191">
        <f t="shared" si="89"/>
        <v>1.358490566037736</v>
      </c>
      <c r="AL185" s="692">
        <f>IF(AK185="","",AK185*SFAssumptions!$C$3)</f>
        <v>348.74259622641512</v>
      </c>
      <c r="AM185" s="193">
        <f t="shared" si="90"/>
        <v>12.96</v>
      </c>
      <c r="AN185" s="194">
        <f>IF(AM185="","",AM185*SFAssumptions!$C$3)</f>
        <v>3327.0043680000003</v>
      </c>
      <c r="AO185" s="693">
        <f t="shared" si="91"/>
        <v>3.6</v>
      </c>
      <c r="AP185" s="693">
        <f t="shared" si="92"/>
        <v>2.65</v>
      </c>
      <c r="AQ185" s="692">
        <f ca="1">IF(AL185="","",AL185*SFAssumptions!$C$8/'SavingsData&amp;Analysis'!AF185)</f>
        <v>365.88981430932364</v>
      </c>
      <c r="AR185" s="692">
        <f ca="1">IF(OR(AN185="",AF185=""),"",AN185*SFAssumptions!$C$8/AF185)</f>
        <v>3490.5888285109477</v>
      </c>
      <c r="AS185" s="190" t="str">
        <f>IF(OR(AG185="",AH185=""),"No",IF(AND(G185="Horizontal",AH185&gt;='Eff. Standards &amp; Certifications'!$B$21,AG185&lt;='Eff. Standards &amp; Certifications'!$C$21),"Consider",IF(AND(G185="Vertical",AH185&gt;='Eff. Standards &amp; Certifications'!$B$20,AG185&lt;='Eff. Standards &amp; Certifications'!$C$20),"Consider","No")))</f>
        <v>Consider</v>
      </c>
      <c r="AT185" s="190" t="str">
        <f t="shared" si="77"/>
        <v>Residential</v>
      </c>
      <c r="AU185" s="190"/>
      <c r="AV185" s="190" t="str">
        <f t="shared" si="100"/>
        <v>NO</v>
      </c>
      <c r="AW185" s="190" t="str">
        <f t="shared" si="100"/>
        <v>YES</v>
      </c>
      <c r="AX185" s="190" t="str">
        <f t="shared" si="93"/>
        <v>YES</v>
      </c>
      <c r="AY185" s="190" t="str">
        <f t="shared" si="78"/>
        <v>NO</v>
      </c>
      <c r="AZ185" s="190" t="str">
        <f t="shared" si="78"/>
        <v>YES</v>
      </c>
      <c r="BA185" s="190" t="str">
        <f t="shared" si="94"/>
        <v>YES</v>
      </c>
      <c r="BB185" s="190" t="str">
        <f t="shared" si="79"/>
        <v>NO</v>
      </c>
      <c r="BC185" s="190" t="str">
        <f t="shared" si="80"/>
        <v>NO</v>
      </c>
      <c r="BD185" s="190" t="str">
        <f t="shared" si="95"/>
        <v>NO</v>
      </c>
      <c r="BE185" s="190" t="str">
        <f t="shared" si="81"/>
        <v>NO</v>
      </c>
      <c r="BF185" s="190" t="str">
        <f t="shared" si="82"/>
        <v>NO</v>
      </c>
      <c r="BG185" s="190" t="str">
        <f t="shared" si="83"/>
        <v>NO</v>
      </c>
      <c r="BH185" s="88"/>
      <c r="BI185" s="9"/>
      <c r="BJ185" s="694" t="str">
        <f t="shared" si="101"/>
        <v/>
      </c>
      <c r="BK185" s="694">
        <f t="shared" si="101"/>
        <v>2.2501249999999997</v>
      </c>
      <c r="BL185" s="694" t="str">
        <f t="shared" si="102"/>
        <v/>
      </c>
      <c r="BM185" s="694">
        <f t="shared" si="102"/>
        <v>3.8043200000000001</v>
      </c>
      <c r="BN185" s="88"/>
      <c r="BO185" s="195"/>
      <c r="BP185" s="195"/>
      <c r="BQ185" s="195"/>
      <c r="BR185" s="195"/>
      <c r="BS185" s="195"/>
      <c r="BT185" s="195"/>
      <c r="BU185" s="195"/>
      <c r="BV185" s="195"/>
      <c r="BW185" s="195"/>
      <c r="BX185" s="195"/>
    </row>
    <row r="186" spans="1:76" s="124" customFormat="1" ht="15">
      <c r="A186" s="187">
        <v>3298</v>
      </c>
      <c r="B186" s="187" t="s">
        <v>490</v>
      </c>
      <c r="C186" s="187" t="s">
        <v>1324</v>
      </c>
      <c r="D186" s="187" t="s">
        <v>541</v>
      </c>
      <c r="E186" s="187" t="s">
        <v>385</v>
      </c>
      <c r="F186" s="187" t="s">
        <v>386</v>
      </c>
      <c r="G186" s="187" t="s">
        <v>387</v>
      </c>
      <c r="H186" s="187" t="b">
        <v>0</v>
      </c>
      <c r="I186" s="187" t="s">
        <v>388</v>
      </c>
      <c r="J186" s="187" t="s">
        <v>389</v>
      </c>
      <c r="K186" s="187" t="b">
        <v>1</v>
      </c>
      <c r="L186" s="187">
        <v>3.6</v>
      </c>
      <c r="M186" s="187">
        <v>0.36</v>
      </c>
      <c r="N186" s="187">
        <v>12.02</v>
      </c>
      <c r="O186" s="187">
        <v>3.3</v>
      </c>
      <c r="P186" s="187">
        <v>9.9700000000000006</v>
      </c>
      <c r="Q186" s="187"/>
      <c r="R186" s="187"/>
      <c r="S186" s="187"/>
      <c r="T186" s="187"/>
      <c r="U186" s="187">
        <v>39.700000000000003</v>
      </c>
      <c r="V186" s="187">
        <v>2.38</v>
      </c>
      <c r="W186" s="188">
        <v>39547</v>
      </c>
      <c r="X186" s="691">
        <f t="shared" si="99"/>
        <v>2.0032100000000002</v>
      </c>
      <c r="Y186" s="691">
        <f t="shared" si="76"/>
        <v>3.4970599999999998</v>
      </c>
      <c r="Z186" s="189"/>
      <c r="AA186" s="190">
        <f t="shared" si="84"/>
        <v>2008</v>
      </c>
      <c r="AB186" s="191">
        <f t="shared" si="85"/>
        <v>1.7971156294147892</v>
      </c>
      <c r="AC186" s="192">
        <f>IF(AB186="","",AB186*SFAssumptions!$C$3)</f>
        <v>461.34348370864763</v>
      </c>
      <c r="AD186" s="193">
        <f t="shared" si="86"/>
        <v>12.589416</v>
      </c>
      <c r="AE186" s="194">
        <f>IF(AD186="","",AD186*SFAssumptions!$C$3)</f>
        <v>3231.8705264328</v>
      </c>
      <c r="AF186" s="192">
        <f t="shared" si="75"/>
        <v>3.6</v>
      </c>
      <c r="AG186" s="192">
        <f t="shared" si="87"/>
        <v>3.4970599999999998</v>
      </c>
      <c r="AH186" s="192">
        <f t="shared" si="88"/>
        <v>2.0032100000000002</v>
      </c>
      <c r="AI186" s="692">
        <f ca="1">IF(AC186="","",AC186*SFAssumptions!$C$8/'SavingsData&amp;Analysis'!AF186)</f>
        <v>484.02714039951263</v>
      </c>
      <c r="AJ186" s="692">
        <f ca="1">IF(OR(AE186="",AF186=""),"",AE186*SFAssumptions!$C$8/AF186)</f>
        <v>3390.777380175693</v>
      </c>
      <c r="AK186" s="191">
        <f t="shared" si="89"/>
        <v>1.5126050420168069</v>
      </c>
      <c r="AL186" s="692">
        <f>IF(AK186="","",AK186*SFAssumptions!$C$3)</f>
        <v>388.30583193277317</v>
      </c>
      <c r="AM186" s="193">
        <f t="shared" si="90"/>
        <v>11.879999999999999</v>
      </c>
      <c r="AN186" s="194">
        <f>IF(AM186="","",AM186*SFAssumptions!$C$3)</f>
        <v>3049.7540039999999</v>
      </c>
      <c r="AO186" s="693">
        <f t="shared" si="91"/>
        <v>3.3</v>
      </c>
      <c r="AP186" s="693">
        <f t="shared" si="92"/>
        <v>2.38</v>
      </c>
      <c r="AQ186" s="692">
        <f ca="1">IF(AL186="","",AL186*SFAssumptions!$C$8/'SavingsData&amp;Analysis'!AF186)</f>
        <v>407.39832265533943</v>
      </c>
      <c r="AR186" s="692">
        <f ca="1">IF(OR(AN186="",AF186=""),"",AN186*SFAssumptions!$C$8/AF186)</f>
        <v>3199.7064261350351</v>
      </c>
      <c r="AS186" s="190" t="str">
        <f>IF(OR(AG186="",AH186=""),"No",IF(AND(G186="Horizontal",AH186&gt;='Eff. Standards &amp; Certifications'!$B$21,AG186&lt;='Eff. Standards &amp; Certifications'!$C$21),"Consider",IF(AND(G186="Vertical",AH186&gt;='Eff. Standards &amp; Certifications'!$B$20,AG186&lt;='Eff. Standards &amp; Certifications'!$C$20),"Consider","No")))</f>
        <v>Consider</v>
      </c>
      <c r="AT186" s="190" t="str">
        <f t="shared" si="77"/>
        <v>Residential</v>
      </c>
      <c r="AU186" s="190"/>
      <c r="AV186" s="190" t="str">
        <f t="shared" si="100"/>
        <v>NO</v>
      </c>
      <c r="AW186" s="190" t="str">
        <f t="shared" si="100"/>
        <v>YES</v>
      </c>
      <c r="AX186" s="190" t="str">
        <f t="shared" si="93"/>
        <v>YES</v>
      </c>
      <c r="AY186" s="190" t="str">
        <f t="shared" si="78"/>
        <v>NO</v>
      </c>
      <c r="AZ186" s="190" t="str">
        <f t="shared" si="78"/>
        <v>YES</v>
      </c>
      <c r="BA186" s="190" t="str">
        <f t="shared" si="94"/>
        <v>YES</v>
      </c>
      <c r="BB186" s="190" t="str">
        <f t="shared" si="79"/>
        <v>NO</v>
      </c>
      <c r="BC186" s="190" t="str">
        <f t="shared" si="80"/>
        <v>NO</v>
      </c>
      <c r="BD186" s="190" t="str">
        <f t="shared" si="95"/>
        <v>NO</v>
      </c>
      <c r="BE186" s="190" t="str">
        <f t="shared" si="81"/>
        <v>NO</v>
      </c>
      <c r="BF186" s="190" t="str">
        <f t="shared" si="82"/>
        <v>NO</v>
      </c>
      <c r="BG186" s="190" t="str">
        <f t="shared" si="83"/>
        <v>NO</v>
      </c>
      <c r="BH186" s="88"/>
      <c r="BI186" s="9"/>
      <c r="BJ186" s="694" t="str">
        <f t="shared" si="101"/>
        <v/>
      </c>
      <c r="BK186" s="694">
        <f t="shared" si="101"/>
        <v>2.0032100000000002</v>
      </c>
      <c r="BL186" s="694" t="str">
        <f t="shared" si="102"/>
        <v/>
      </c>
      <c r="BM186" s="694">
        <f t="shared" si="102"/>
        <v>3.4970599999999998</v>
      </c>
      <c r="BN186" s="88"/>
      <c r="BO186" s="195"/>
      <c r="BP186" s="195"/>
      <c r="BQ186" s="195"/>
      <c r="BR186" s="195"/>
      <c r="BS186" s="195"/>
      <c r="BT186" s="195"/>
      <c r="BU186" s="195"/>
      <c r="BV186" s="195"/>
      <c r="BW186" s="195"/>
      <c r="BX186" s="195"/>
    </row>
    <row r="187" spans="1:76" s="124" customFormat="1" ht="15">
      <c r="A187" s="187">
        <v>3399</v>
      </c>
      <c r="B187" s="187" t="s">
        <v>490</v>
      </c>
      <c r="C187" s="187" t="s">
        <v>1324</v>
      </c>
      <c r="D187" s="187" t="s">
        <v>542</v>
      </c>
      <c r="E187" s="187" t="s">
        <v>385</v>
      </c>
      <c r="F187" s="187" t="s">
        <v>386</v>
      </c>
      <c r="G187" s="187" t="s">
        <v>387</v>
      </c>
      <c r="H187" s="187" t="b">
        <v>0</v>
      </c>
      <c r="I187" s="187" t="s">
        <v>388</v>
      </c>
      <c r="J187" s="187" t="s">
        <v>389</v>
      </c>
      <c r="K187" s="187" t="b">
        <v>1</v>
      </c>
      <c r="L187" s="187">
        <v>3.9</v>
      </c>
      <c r="M187" s="187">
        <v>0.34</v>
      </c>
      <c r="N187" s="187">
        <v>12.59</v>
      </c>
      <c r="O187" s="187">
        <v>3.4</v>
      </c>
      <c r="P187" s="187">
        <v>11.28</v>
      </c>
      <c r="Q187" s="187"/>
      <c r="R187" s="187"/>
      <c r="S187" s="187"/>
      <c r="T187" s="187"/>
      <c r="U187" s="187">
        <v>37.700000000000003</v>
      </c>
      <c r="V187" s="187">
        <v>2.57</v>
      </c>
      <c r="W187" s="188">
        <v>39911</v>
      </c>
      <c r="X187" s="691">
        <f t="shared" si="99"/>
        <v>2.176965</v>
      </c>
      <c r="Y187" s="691">
        <f t="shared" si="76"/>
        <v>3.5994799999999998</v>
      </c>
      <c r="Z187" s="189"/>
      <c r="AA187" s="190">
        <f t="shared" si="84"/>
        <v>2009</v>
      </c>
      <c r="AB187" s="191">
        <f t="shared" si="85"/>
        <v>1.7914849343007351</v>
      </c>
      <c r="AC187" s="192">
        <f>IF(AB187="","",AB187*SFAssumptions!$C$3)</f>
        <v>459.89800938462491</v>
      </c>
      <c r="AD187" s="193">
        <f t="shared" si="86"/>
        <v>14.037971999999998</v>
      </c>
      <c r="AE187" s="194">
        <f>IF(AD187="","",AD187*SFAssumptions!$C$3)</f>
        <v>3603.7341174275994</v>
      </c>
      <c r="AF187" s="192">
        <f t="shared" si="75"/>
        <v>3.9</v>
      </c>
      <c r="AG187" s="192">
        <f t="shared" si="87"/>
        <v>3.5994799999999998</v>
      </c>
      <c r="AH187" s="192">
        <f t="shared" si="88"/>
        <v>2.176965</v>
      </c>
      <c r="AI187" s="692">
        <f ca="1">IF(AC187="","",AC187*SFAssumptions!$C$8/'SavingsData&amp;Analysis'!AF187)</f>
        <v>445.3943944526934</v>
      </c>
      <c r="AJ187" s="692">
        <f ca="1">IF(OR(AE187="",AF187=""),"",AE187*SFAssumptions!$C$8/AF187)</f>
        <v>3490.0846323468286</v>
      </c>
      <c r="AK187" s="191">
        <f t="shared" si="89"/>
        <v>1.5175097276264593</v>
      </c>
      <c r="AL187" s="692">
        <f>IF(AK187="","",AK187*SFAssumptions!$C$3)</f>
        <v>389.56492996108955</v>
      </c>
      <c r="AM187" s="193">
        <f t="shared" si="90"/>
        <v>13.26</v>
      </c>
      <c r="AN187" s="194">
        <f>IF(AM187="","",AM187*SFAssumptions!$C$3)</f>
        <v>3404.0183579999998</v>
      </c>
      <c r="AO187" s="693">
        <f t="shared" si="91"/>
        <v>3.4</v>
      </c>
      <c r="AP187" s="693">
        <f t="shared" si="92"/>
        <v>2.57</v>
      </c>
      <c r="AQ187" s="692">
        <f ca="1">IF(AL187="","",AL187*SFAssumptions!$C$8/'SavingsData&amp;Analysis'!AF187)</f>
        <v>377.27938051350498</v>
      </c>
      <c r="AR187" s="692">
        <f ca="1">IF(OR(AN187="",AF187=""),"",AN187*SFAssumptions!$C$8/AF187)</f>
        <v>3296.6672269270057</v>
      </c>
      <c r="AS187" s="190" t="str">
        <f>IF(OR(AG187="",AH187=""),"No",IF(AND(G187="Horizontal",AH187&gt;='Eff. Standards &amp; Certifications'!$B$21,AG187&lt;='Eff. Standards &amp; Certifications'!$C$21),"Consider",IF(AND(G187="Vertical",AH187&gt;='Eff. Standards &amp; Certifications'!$B$20,AG187&lt;='Eff. Standards &amp; Certifications'!$C$20),"Consider","No")))</f>
        <v>Consider</v>
      </c>
      <c r="AT187" s="190" t="str">
        <f t="shared" si="77"/>
        <v>Residential</v>
      </c>
      <c r="AU187" s="190"/>
      <c r="AV187" s="190" t="str">
        <f t="shared" si="100"/>
        <v>NO</v>
      </c>
      <c r="AW187" s="190" t="str">
        <f t="shared" si="100"/>
        <v>YES</v>
      </c>
      <c r="AX187" s="190" t="str">
        <f t="shared" si="93"/>
        <v>YES</v>
      </c>
      <c r="AY187" s="190" t="str">
        <f t="shared" si="78"/>
        <v>NO</v>
      </c>
      <c r="AZ187" s="190" t="str">
        <f t="shared" si="78"/>
        <v>YES</v>
      </c>
      <c r="BA187" s="190" t="str">
        <f t="shared" si="94"/>
        <v>YES</v>
      </c>
      <c r="BB187" s="190" t="str">
        <f t="shared" si="79"/>
        <v>NO</v>
      </c>
      <c r="BC187" s="190" t="str">
        <f t="shared" si="80"/>
        <v>NO</v>
      </c>
      <c r="BD187" s="190" t="str">
        <f t="shared" si="95"/>
        <v>NO</v>
      </c>
      <c r="BE187" s="190" t="str">
        <f t="shared" si="81"/>
        <v>NO</v>
      </c>
      <c r="BF187" s="190" t="str">
        <f t="shared" si="82"/>
        <v>NO</v>
      </c>
      <c r="BG187" s="190" t="str">
        <f t="shared" si="83"/>
        <v>NO</v>
      </c>
      <c r="BH187" s="88"/>
      <c r="BI187" s="9"/>
      <c r="BJ187" s="694" t="str">
        <f t="shared" si="101"/>
        <v/>
      </c>
      <c r="BK187" s="694">
        <f t="shared" si="101"/>
        <v>2.176965</v>
      </c>
      <c r="BL187" s="694" t="str">
        <f t="shared" si="102"/>
        <v/>
      </c>
      <c r="BM187" s="694">
        <f t="shared" si="102"/>
        <v>3.5994799999999998</v>
      </c>
      <c r="BN187" s="88"/>
      <c r="BO187" s="195"/>
      <c r="BP187" s="195"/>
      <c r="BQ187" s="195"/>
      <c r="BR187" s="195"/>
      <c r="BS187" s="195"/>
      <c r="BT187" s="195"/>
      <c r="BU187" s="195"/>
      <c r="BV187" s="195"/>
      <c r="BW187" s="195"/>
      <c r="BX187" s="195"/>
    </row>
    <row r="188" spans="1:76" s="124" customFormat="1" ht="15">
      <c r="A188" s="187">
        <v>3299</v>
      </c>
      <c r="B188" s="187" t="s">
        <v>490</v>
      </c>
      <c r="C188" s="187" t="s">
        <v>1324</v>
      </c>
      <c r="D188" s="187" t="s">
        <v>543</v>
      </c>
      <c r="E188" s="187" t="s">
        <v>385</v>
      </c>
      <c r="F188" s="187" t="s">
        <v>386</v>
      </c>
      <c r="G188" s="187" t="s">
        <v>387</v>
      </c>
      <c r="H188" s="187" t="b">
        <v>0</v>
      </c>
      <c r="I188" s="187" t="s">
        <v>388</v>
      </c>
      <c r="J188" s="187" t="s">
        <v>389</v>
      </c>
      <c r="K188" s="187" t="b">
        <v>1</v>
      </c>
      <c r="L188" s="187">
        <v>3.6</v>
      </c>
      <c r="M188" s="187">
        <v>0.33</v>
      </c>
      <c r="N188" s="187">
        <v>11.94</v>
      </c>
      <c r="O188" s="187">
        <v>3.3</v>
      </c>
      <c r="P188" s="187">
        <v>10.97</v>
      </c>
      <c r="Q188" s="187"/>
      <c r="R188" s="187"/>
      <c r="S188" s="187"/>
      <c r="T188" s="187"/>
      <c r="U188" s="187">
        <v>35.799999999999997</v>
      </c>
      <c r="V188" s="187">
        <v>2.65</v>
      </c>
      <c r="W188" s="188">
        <v>39547</v>
      </c>
      <c r="X188" s="691">
        <f t="shared" si="99"/>
        <v>2.2501249999999997</v>
      </c>
      <c r="Y188" s="691">
        <f t="shared" si="76"/>
        <v>3.4970599999999998</v>
      </c>
      <c r="Z188" s="189"/>
      <c r="AA188" s="190">
        <f t="shared" si="84"/>
        <v>2008</v>
      </c>
      <c r="AB188" s="191">
        <f t="shared" si="85"/>
        <v>1.5999111160491086</v>
      </c>
      <c r="AC188" s="192">
        <f>IF(AB188="","",AB188*SFAssumptions!$C$3)</f>
        <v>410.71846230764965</v>
      </c>
      <c r="AD188" s="193">
        <f t="shared" si="86"/>
        <v>12.589416</v>
      </c>
      <c r="AE188" s="194">
        <f>IF(AD188="","",AD188*SFAssumptions!$C$3)</f>
        <v>3231.8705264328</v>
      </c>
      <c r="AF188" s="192">
        <f t="shared" si="75"/>
        <v>3.6</v>
      </c>
      <c r="AG188" s="192">
        <f t="shared" si="87"/>
        <v>3.4970599999999998</v>
      </c>
      <c r="AH188" s="192">
        <f t="shared" si="88"/>
        <v>2.2501249999999997</v>
      </c>
      <c r="AI188" s="692">
        <f ca="1">IF(AC188="","",AC188*SFAssumptions!$C$8/'SavingsData&amp;Analysis'!AF188)</f>
        <v>430.91295280027015</v>
      </c>
      <c r="AJ188" s="692">
        <f ca="1">IF(OR(AE188="",AF188=""),"",AE188*SFAssumptions!$C$8/AF188)</f>
        <v>3390.777380175693</v>
      </c>
      <c r="AK188" s="191">
        <f t="shared" si="89"/>
        <v>1.358490566037736</v>
      </c>
      <c r="AL188" s="692">
        <f>IF(AK188="","",AK188*SFAssumptions!$C$3)</f>
        <v>348.74259622641512</v>
      </c>
      <c r="AM188" s="193">
        <f t="shared" si="90"/>
        <v>11.879999999999999</v>
      </c>
      <c r="AN188" s="194">
        <f>IF(AM188="","",AM188*SFAssumptions!$C$3)</f>
        <v>3049.7540039999999</v>
      </c>
      <c r="AO188" s="693">
        <f t="shared" si="91"/>
        <v>3.3</v>
      </c>
      <c r="AP188" s="693">
        <f t="shared" si="92"/>
        <v>2.65</v>
      </c>
      <c r="AQ188" s="692">
        <f ca="1">IF(AL188="","",AL188*SFAssumptions!$C$8/'SavingsData&amp;Analysis'!AF188)</f>
        <v>365.88981430932364</v>
      </c>
      <c r="AR188" s="692">
        <f ca="1">IF(OR(AN188="",AF188=""),"",AN188*SFAssumptions!$C$8/AF188)</f>
        <v>3199.7064261350351</v>
      </c>
      <c r="AS188" s="190" t="str">
        <f>IF(OR(AG188="",AH188=""),"No",IF(AND(G188="Horizontal",AH188&gt;='Eff. Standards &amp; Certifications'!$B$21,AG188&lt;='Eff. Standards &amp; Certifications'!$C$21),"Consider",IF(AND(G188="Vertical",AH188&gt;='Eff. Standards &amp; Certifications'!$B$20,AG188&lt;='Eff. Standards &amp; Certifications'!$C$20),"Consider","No")))</f>
        <v>Consider</v>
      </c>
      <c r="AT188" s="190" t="str">
        <f t="shared" si="77"/>
        <v>Residential</v>
      </c>
      <c r="AU188" s="190"/>
      <c r="AV188" s="190" t="str">
        <f t="shared" si="100"/>
        <v>NO</v>
      </c>
      <c r="AW188" s="190" t="str">
        <f t="shared" si="100"/>
        <v>YES</v>
      </c>
      <c r="AX188" s="190" t="str">
        <f t="shared" si="93"/>
        <v>YES</v>
      </c>
      <c r="AY188" s="190" t="str">
        <f t="shared" si="78"/>
        <v>NO</v>
      </c>
      <c r="AZ188" s="190" t="str">
        <f t="shared" si="78"/>
        <v>YES</v>
      </c>
      <c r="BA188" s="190" t="str">
        <f t="shared" si="94"/>
        <v>YES</v>
      </c>
      <c r="BB188" s="190" t="str">
        <f t="shared" si="79"/>
        <v>NO</v>
      </c>
      <c r="BC188" s="190" t="str">
        <f t="shared" si="80"/>
        <v>NO</v>
      </c>
      <c r="BD188" s="190" t="str">
        <f t="shared" si="95"/>
        <v>NO</v>
      </c>
      <c r="BE188" s="190" t="str">
        <f t="shared" si="81"/>
        <v>NO</v>
      </c>
      <c r="BF188" s="190" t="str">
        <f t="shared" si="82"/>
        <v>NO</v>
      </c>
      <c r="BG188" s="190" t="str">
        <f t="shared" si="83"/>
        <v>NO</v>
      </c>
      <c r="BH188" s="88"/>
      <c r="BI188" s="9"/>
      <c r="BJ188" s="694" t="str">
        <f t="shared" si="101"/>
        <v/>
      </c>
      <c r="BK188" s="694">
        <f t="shared" si="101"/>
        <v>2.2501249999999997</v>
      </c>
      <c r="BL188" s="694" t="str">
        <f t="shared" si="102"/>
        <v/>
      </c>
      <c r="BM188" s="694">
        <f t="shared" si="102"/>
        <v>3.4970599999999998</v>
      </c>
      <c r="BN188" s="88"/>
      <c r="BO188" s="195"/>
      <c r="BP188" s="195"/>
      <c r="BQ188" s="195"/>
      <c r="BR188" s="195"/>
      <c r="BS188" s="195"/>
      <c r="BT188" s="195"/>
      <c r="BU188" s="195"/>
      <c r="BV188" s="195"/>
      <c r="BW188" s="195"/>
      <c r="BX188" s="195"/>
    </row>
    <row r="189" spans="1:76" s="124" customFormat="1" ht="15">
      <c r="A189" s="187">
        <v>3376</v>
      </c>
      <c r="B189" s="187" t="s">
        <v>490</v>
      </c>
      <c r="C189" s="187" t="s">
        <v>1324</v>
      </c>
      <c r="D189" s="187" t="s">
        <v>544</v>
      </c>
      <c r="E189" s="187" t="s">
        <v>385</v>
      </c>
      <c r="F189" s="187" t="s">
        <v>386</v>
      </c>
      <c r="G189" s="187" t="s">
        <v>387</v>
      </c>
      <c r="H189" s="187" t="b">
        <v>0</v>
      </c>
      <c r="I189" s="187" t="s">
        <v>388</v>
      </c>
      <c r="J189" s="187" t="s">
        <v>389</v>
      </c>
      <c r="K189" s="187" t="b">
        <v>1</v>
      </c>
      <c r="L189" s="187">
        <v>3.9</v>
      </c>
      <c r="M189" s="187">
        <v>0.34</v>
      </c>
      <c r="N189" s="187">
        <v>13.16</v>
      </c>
      <c r="O189" s="187">
        <v>3.4</v>
      </c>
      <c r="P189" s="187">
        <v>11.44</v>
      </c>
      <c r="Q189" s="187"/>
      <c r="R189" s="187"/>
      <c r="S189" s="187"/>
      <c r="T189" s="187"/>
      <c r="U189" s="187">
        <v>36.5</v>
      </c>
      <c r="V189" s="187">
        <v>2.7</v>
      </c>
      <c r="W189" s="188">
        <v>39868</v>
      </c>
      <c r="X189" s="691">
        <f t="shared" si="99"/>
        <v>2.2958499999999997</v>
      </c>
      <c r="Y189" s="691">
        <f t="shared" si="76"/>
        <v>3.5994799999999998</v>
      </c>
      <c r="Z189" s="189"/>
      <c r="AA189" s="190">
        <f t="shared" si="84"/>
        <v>2009</v>
      </c>
      <c r="AB189" s="191">
        <f t="shared" si="85"/>
        <v>1.6987172506914652</v>
      </c>
      <c r="AC189" s="192">
        <f>IF(AB189="","",AB189*SFAssumptions!$C$3)</f>
        <v>436.08331119193332</v>
      </c>
      <c r="AD189" s="193">
        <f t="shared" si="86"/>
        <v>14.037971999999998</v>
      </c>
      <c r="AE189" s="194">
        <f>IF(AD189="","",AD189*SFAssumptions!$C$3)</f>
        <v>3603.7341174275994</v>
      </c>
      <c r="AF189" s="192">
        <f t="shared" si="75"/>
        <v>3.9</v>
      </c>
      <c r="AG189" s="192">
        <f t="shared" si="87"/>
        <v>3.5994799999999998</v>
      </c>
      <c r="AH189" s="192">
        <f t="shared" si="88"/>
        <v>2.2958499999999997</v>
      </c>
      <c r="AI189" s="692">
        <f ca="1">IF(AC189="","",AC189*SFAssumptions!$C$8/'SavingsData&amp;Analysis'!AF189)</f>
        <v>422.3307306312293</v>
      </c>
      <c r="AJ189" s="692">
        <f ca="1">IF(OR(AE189="",AF189=""),"",AE189*SFAssumptions!$C$8/AF189)</f>
        <v>3490.0846323468286</v>
      </c>
      <c r="AK189" s="191">
        <f t="shared" si="89"/>
        <v>1.4444444444444444</v>
      </c>
      <c r="AL189" s="692">
        <f>IF(AK189="","",AK189*SFAssumptions!$C$3)</f>
        <v>370.80810000000002</v>
      </c>
      <c r="AM189" s="193">
        <f t="shared" si="90"/>
        <v>13.26</v>
      </c>
      <c r="AN189" s="194">
        <f>IF(AM189="","",AM189*SFAssumptions!$C$3)</f>
        <v>3404.0183579999998</v>
      </c>
      <c r="AO189" s="693">
        <f t="shared" si="91"/>
        <v>3.4</v>
      </c>
      <c r="AP189" s="693">
        <f t="shared" si="92"/>
        <v>2.7</v>
      </c>
      <c r="AQ189" s="692">
        <f ca="1">IF(AL189="","",AL189*SFAssumptions!$C$8/'SavingsData&amp;Analysis'!AF189)</f>
        <v>359.11407700729922</v>
      </c>
      <c r="AR189" s="692">
        <f ca="1">IF(OR(AN189="",AF189=""),"",AN189*SFAssumptions!$C$8/AF189)</f>
        <v>3296.6672269270057</v>
      </c>
      <c r="AS189" s="190" t="str">
        <f>IF(OR(AG189="",AH189=""),"No",IF(AND(G189="Horizontal",AH189&gt;='Eff. Standards &amp; Certifications'!$B$21,AG189&lt;='Eff. Standards &amp; Certifications'!$C$21),"Consider",IF(AND(G189="Vertical",AH189&gt;='Eff. Standards &amp; Certifications'!$B$20,AG189&lt;='Eff. Standards &amp; Certifications'!$C$20),"Consider","No")))</f>
        <v>Consider</v>
      </c>
      <c r="AT189" s="190" t="str">
        <f t="shared" si="77"/>
        <v>Residential</v>
      </c>
      <c r="AU189" s="190"/>
      <c r="AV189" s="190" t="str">
        <f t="shared" si="100"/>
        <v>NO</v>
      </c>
      <c r="AW189" s="190" t="str">
        <f t="shared" si="100"/>
        <v>YES</v>
      </c>
      <c r="AX189" s="190" t="str">
        <f t="shared" si="93"/>
        <v>YES</v>
      </c>
      <c r="AY189" s="190" t="str">
        <f t="shared" si="78"/>
        <v>NO</v>
      </c>
      <c r="AZ189" s="190" t="str">
        <f t="shared" si="78"/>
        <v>YES</v>
      </c>
      <c r="BA189" s="190" t="str">
        <f t="shared" si="94"/>
        <v>YES</v>
      </c>
      <c r="BB189" s="190" t="str">
        <f t="shared" si="79"/>
        <v>NO</v>
      </c>
      <c r="BC189" s="190" t="str">
        <f t="shared" si="80"/>
        <v>NO</v>
      </c>
      <c r="BD189" s="190" t="str">
        <f t="shared" si="95"/>
        <v>NO</v>
      </c>
      <c r="BE189" s="190" t="str">
        <f t="shared" si="81"/>
        <v>NO</v>
      </c>
      <c r="BF189" s="190" t="str">
        <f t="shared" si="82"/>
        <v>NO</v>
      </c>
      <c r="BG189" s="190" t="str">
        <f t="shared" si="83"/>
        <v>NO</v>
      </c>
      <c r="BH189" s="88"/>
      <c r="BI189" s="9"/>
      <c r="BJ189" s="694" t="str">
        <f t="shared" si="101"/>
        <v/>
      </c>
      <c r="BK189" s="694">
        <f t="shared" si="101"/>
        <v>2.2958499999999997</v>
      </c>
      <c r="BL189" s="694" t="str">
        <f t="shared" si="102"/>
        <v/>
      </c>
      <c r="BM189" s="694">
        <f t="shared" si="102"/>
        <v>3.5994799999999998</v>
      </c>
      <c r="BN189" s="88"/>
      <c r="BO189" s="195"/>
      <c r="BP189" s="195"/>
      <c r="BQ189" s="195"/>
      <c r="BR189" s="195"/>
      <c r="BS189" s="195"/>
      <c r="BT189" s="195"/>
      <c r="BU189" s="195"/>
      <c r="BV189" s="195"/>
      <c r="BW189" s="195"/>
      <c r="BX189" s="195"/>
    </row>
    <row r="190" spans="1:76" s="124" customFormat="1" ht="15">
      <c r="A190" s="187">
        <v>3393</v>
      </c>
      <c r="B190" s="187" t="s">
        <v>490</v>
      </c>
      <c r="C190" s="187" t="s">
        <v>1324</v>
      </c>
      <c r="D190" s="187" t="s">
        <v>545</v>
      </c>
      <c r="E190" s="187" t="s">
        <v>385</v>
      </c>
      <c r="F190" s="187" t="s">
        <v>386</v>
      </c>
      <c r="G190" s="187" t="s">
        <v>387</v>
      </c>
      <c r="H190" s="187" t="b">
        <v>0</v>
      </c>
      <c r="I190" s="187" t="s">
        <v>388</v>
      </c>
      <c r="J190" s="187" t="s">
        <v>389</v>
      </c>
      <c r="K190" s="187" t="b">
        <v>1</v>
      </c>
      <c r="L190" s="187">
        <v>3.9</v>
      </c>
      <c r="M190" s="187">
        <v>0.36</v>
      </c>
      <c r="N190" s="187">
        <v>13.09</v>
      </c>
      <c r="O190" s="187">
        <v>3.4</v>
      </c>
      <c r="P190" s="187">
        <v>10.77</v>
      </c>
      <c r="Q190" s="187"/>
      <c r="R190" s="187"/>
      <c r="S190" s="187"/>
      <c r="T190" s="187"/>
      <c r="U190" s="187">
        <v>33.5</v>
      </c>
      <c r="V190" s="187">
        <v>2.87</v>
      </c>
      <c r="W190" s="188">
        <v>39945</v>
      </c>
      <c r="X190" s="691">
        <f t="shared" si="99"/>
        <v>2.4513150000000001</v>
      </c>
      <c r="Y190" s="691">
        <f t="shared" si="76"/>
        <v>3.5994799999999998</v>
      </c>
      <c r="Z190" s="189"/>
      <c r="AA190" s="190">
        <f t="shared" si="84"/>
        <v>2009</v>
      </c>
      <c r="AB190" s="191">
        <f t="shared" si="85"/>
        <v>1.5909827990282766</v>
      </c>
      <c r="AC190" s="192">
        <f>IF(AB190="","",AB190*SFAssumptions!$C$3)</f>
        <v>408.42644458178569</v>
      </c>
      <c r="AD190" s="193">
        <f t="shared" si="86"/>
        <v>14.037971999999998</v>
      </c>
      <c r="AE190" s="194">
        <f>IF(AD190="","",AD190*SFAssumptions!$C$3)</f>
        <v>3603.7341174275994</v>
      </c>
      <c r="AF190" s="192">
        <f t="shared" si="75"/>
        <v>3.9</v>
      </c>
      <c r="AG190" s="192">
        <f t="shared" si="87"/>
        <v>3.5994799999999998</v>
      </c>
      <c r="AH190" s="192">
        <f t="shared" si="88"/>
        <v>2.4513150000000001</v>
      </c>
      <c r="AI190" s="692">
        <f ca="1">IF(AC190="","",AC190*SFAssumptions!$C$8/'SavingsData&amp;Analysis'!AF190)</f>
        <v>395.54606728213543</v>
      </c>
      <c r="AJ190" s="692">
        <f ca="1">IF(OR(AE190="",AF190=""),"",AE190*SFAssumptions!$C$8/AF190)</f>
        <v>3490.0846323468286</v>
      </c>
      <c r="AK190" s="191">
        <f t="shared" si="89"/>
        <v>1.3588850174216027</v>
      </c>
      <c r="AL190" s="692">
        <f>IF(AK190="","",AK190*SFAssumptions!$C$3)</f>
        <v>348.84385714285713</v>
      </c>
      <c r="AM190" s="193">
        <f t="shared" si="90"/>
        <v>13.26</v>
      </c>
      <c r="AN190" s="194">
        <f>IF(AM190="","",AM190*SFAssumptions!$C$3)</f>
        <v>3404.0183579999998</v>
      </c>
      <c r="AO190" s="693">
        <f t="shared" si="91"/>
        <v>3.4</v>
      </c>
      <c r="AP190" s="693">
        <f t="shared" si="92"/>
        <v>2.87</v>
      </c>
      <c r="AQ190" s="692">
        <f ca="1">IF(AL190="","",AL190*SFAssumptions!$C$8/'SavingsData&amp;Analysis'!AF190)</f>
        <v>337.84251147028147</v>
      </c>
      <c r="AR190" s="692">
        <f ca="1">IF(OR(AN190="",AF190=""),"",AN190*SFAssumptions!$C$8/AF190)</f>
        <v>3296.6672269270057</v>
      </c>
      <c r="AS190" s="190" t="str">
        <f>IF(OR(AG190="",AH190=""),"No",IF(AND(G190="Horizontal",AH190&gt;='Eff. Standards &amp; Certifications'!$B$21,AG190&lt;='Eff. Standards &amp; Certifications'!$C$21),"Consider",IF(AND(G190="Vertical",AH190&gt;='Eff. Standards &amp; Certifications'!$B$20,AG190&lt;='Eff. Standards &amp; Certifications'!$C$20),"Consider","No")))</f>
        <v>Consider</v>
      </c>
      <c r="AT190" s="190" t="str">
        <f t="shared" si="77"/>
        <v>Residential</v>
      </c>
      <c r="AU190" s="190"/>
      <c r="AV190" s="190" t="str">
        <f t="shared" si="100"/>
        <v>NO</v>
      </c>
      <c r="AW190" s="190" t="str">
        <f t="shared" si="100"/>
        <v>YES</v>
      </c>
      <c r="AX190" s="190" t="str">
        <f t="shared" si="93"/>
        <v>YES</v>
      </c>
      <c r="AY190" s="190" t="str">
        <f t="shared" si="78"/>
        <v>NO</v>
      </c>
      <c r="AZ190" s="190" t="str">
        <f t="shared" si="78"/>
        <v>NO</v>
      </c>
      <c r="BA190" s="190" t="str">
        <f t="shared" si="94"/>
        <v>NO</v>
      </c>
      <c r="BB190" s="190" t="str">
        <f t="shared" si="79"/>
        <v>NO</v>
      </c>
      <c r="BC190" s="190" t="str">
        <f t="shared" si="80"/>
        <v>YES</v>
      </c>
      <c r="BD190" s="190" t="str">
        <f t="shared" si="95"/>
        <v>YES</v>
      </c>
      <c r="BE190" s="190" t="str">
        <f t="shared" si="81"/>
        <v>YES</v>
      </c>
      <c r="BF190" s="190" t="str">
        <f t="shared" si="82"/>
        <v>NO</v>
      </c>
      <c r="BG190" s="190" t="str">
        <f t="shared" si="83"/>
        <v>NO</v>
      </c>
      <c r="BH190" s="88"/>
      <c r="BI190" s="9"/>
      <c r="BJ190" s="694" t="str">
        <f t="shared" si="101"/>
        <v/>
      </c>
      <c r="BK190" s="694">
        <f t="shared" si="101"/>
        <v>2.4513150000000001</v>
      </c>
      <c r="BL190" s="694" t="str">
        <f t="shared" si="102"/>
        <v/>
      </c>
      <c r="BM190" s="694">
        <f t="shared" si="102"/>
        <v>3.5994799999999998</v>
      </c>
      <c r="BN190" s="88"/>
      <c r="BO190" s="195"/>
      <c r="BP190" s="195"/>
      <c r="BQ190" s="195"/>
      <c r="BR190" s="195"/>
      <c r="BS190" s="195"/>
      <c r="BT190" s="195"/>
      <c r="BU190" s="195"/>
      <c r="BV190" s="195"/>
      <c r="BW190" s="195"/>
      <c r="BX190" s="195"/>
    </row>
    <row r="191" spans="1:76" s="124" customFormat="1" ht="15">
      <c r="A191" s="187">
        <v>3420</v>
      </c>
      <c r="B191" s="187" t="s">
        <v>490</v>
      </c>
      <c r="C191" s="187" t="s">
        <v>1324</v>
      </c>
      <c r="D191" s="187" t="s">
        <v>546</v>
      </c>
      <c r="E191" s="187" t="s">
        <v>385</v>
      </c>
      <c r="F191" s="187" t="s">
        <v>386</v>
      </c>
      <c r="G191" s="187" t="s">
        <v>387</v>
      </c>
      <c r="H191" s="187" t="b">
        <v>0</v>
      </c>
      <c r="I191" s="187" t="s">
        <v>388</v>
      </c>
      <c r="J191" s="187" t="s">
        <v>389</v>
      </c>
      <c r="K191" s="187" t="b">
        <v>1</v>
      </c>
      <c r="L191" s="187">
        <v>3.9</v>
      </c>
      <c r="M191" s="187">
        <v>0.35</v>
      </c>
      <c r="N191" s="187">
        <v>12.96</v>
      </c>
      <c r="O191" s="187">
        <v>3.4</v>
      </c>
      <c r="P191" s="187">
        <v>10.94</v>
      </c>
      <c r="Q191" s="187"/>
      <c r="R191" s="187"/>
      <c r="S191" s="187"/>
      <c r="T191" s="187"/>
      <c r="U191" s="187">
        <v>36</v>
      </c>
      <c r="V191" s="187">
        <v>2.71</v>
      </c>
      <c r="W191" s="188">
        <v>39679</v>
      </c>
      <c r="X191" s="691">
        <f t="shared" si="99"/>
        <v>2.3049949999999999</v>
      </c>
      <c r="Y191" s="691">
        <f t="shared" si="76"/>
        <v>3.5994799999999998</v>
      </c>
      <c r="Z191" s="189"/>
      <c r="AA191" s="190">
        <f t="shared" si="84"/>
        <v>2008</v>
      </c>
      <c r="AB191" s="191">
        <f t="shared" si="85"/>
        <v>1.6919776398647286</v>
      </c>
      <c r="AC191" s="192">
        <f>IF(AB191="","",AB191*SFAssumptions!$C$3)</f>
        <v>434.35316345588603</v>
      </c>
      <c r="AD191" s="193">
        <f t="shared" si="86"/>
        <v>14.037971999999998</v>
      </c>
      <c r="AE191" s="194">
        <f>IF(AD191="","",AD191*SFAssumptions!$C$3)</f>
        <v>3603.7341174275994</v>
      </c>
      <c r="AF191" s="192">
        <f t="shared" si="75"/>
        <v>3.9</v>
      </c>
      <c r="AG191" s="192">
        <f t="shared" si="87"/>
        <v>3.5994799999999998</v>
      </c>
      <c r="AH191" s="192">
        <f t="shared" si="88"/>
        <v>2.3049949999999999</v>
      </c>
      <c r="AI191" s="692">
        <f ca="1">IF(AC191="","",AC191*SFAssumptions!$C$8/'SavingsData&amp;Analysis'!AF191)</f>
        <v>420.65514585485334</v>
      </c>
      <c r="AJ191" s="692">
        <f ca="1">IF(OR(AE191="",AF191=""),"",AE191*SFAssumptions!$C$8/AF191)</f>
        <v>3490.0846323468286</v>
      </c>
      <c r="AK191" s="191">
        <f t="shared" si="89"/>
        <v>1.4391143911439115</v>
      </c>
      <c r="AL191" s="692">
        <f>IF(AK191="","",AK191*SFAssumptions!$C$3)</f>
        <v>369.43980442804428</v>
      </c>
      <c r="AM191" s="193">
        <f t="shared" si="90"/>
        <v>13.26</v>
      </c>
      <c r="AN191" s="194">
        <f>IF(AM191="","",AM191*SFAssumptions!$C$3)</f>
        <v>3404.0183579999998</v>
      </c>
      <c r="AO191" s="693">
        <f t="shared" si="91"/>
        <v>3.4</v>
      </c>
      <c r="AP191" s="693">
        <f t="shared" si="92"/>
        <v>2.71</v>
      </c>
      <c r="AQ191" s="692">
        <f ca="1">IF(AL191="","",AL191*SFAssumptions!$C$8/'SavingsData&amp;Analysis'!AF191)</f>
        <v>357.78893281170025</v>
      </c>
      <c r="AR191" s="692">
        <f ca="1">IF(OR(AN191="",AF191=""),"",AN191*SFAssumptions!$C$8/AF191)</f>
        <v>3296.6672269270057</v>
      </c>
      <c r="AS191" s="190" t="str">
        <f>IF(OR(AG191="",AH191=""),"No",IF(AND(G191="Horizontal",AH191&gt;='Eff. Standards &amp; Certifications'!$B$21,AG191&lt;='Eff. Standards &amp; Certifications'!$C$21),"Consider",IF(AND(G191="Vertical",AH191&gt;='Eff. Standards &amp; Certifications'!$B$20,AG191&lt;='Eff. Standards &amp; Certifications'!$C$20),"Consider","No")))</f>
        <v>Consider</v>
      </c>
      <c r="AT191" s="190" t="str">
        <f t="shared" si="77"/>
        <v>Residential</v>
      </c>
      <c r="AU191" s="190"/>
      <c r="AV191" s="190" t="str">
        <f t="shared" si="100"/>
        <v>NO</v>
      </c>
      <c r="AW191" s="190" t="str">
        <f t="shared" si="100"/>
        <v>YES</v>
      </c>
      <c r="AX191" s="190" t="str">
        <f t="shared" si="93"/>
        <v>YES</v>
      </c>
      <c r="AY191" s="190" t="str">
        <f t="shared" si="78"/>
        <v>NO</v>
      </c>
      <c r="AZ191" s="190" t="str">
        <f t="shared" si="78"/>
        <v>YES</v>
      </c>
      <c r="BA191" s="190" t="str">
        <f t="shared" si="94"/>
        <v>YES</v>
      </c>
      <c r="BB191" s="190" t="str">
        <f t="shared" si="79"/>
        <v>NO</v>
      </c>
      <c r="BC191" s="190" t="str">
        <f t="shared" si="80"/>
        <v>NO</v>
      </c>
      <c r="BD191" s="190" t="str">
        <f t="shared" si="95"/>
        <v>NO</v>
      </c>
      <c r="BE191" s="190" t="str">
        <f t="shared" si="81"/>
        <v>NO</v>
      </c>
      <c r="BF191" s="190" t="str">
        <f t="shared" si="82"/>
        <v>NO</v>
      </c>
      <c r="BG191" s="190" t="str">
        <f t="shared" si="83"/>
        <v>NO</v>
      </c>
      <c r="BH191" s="88"/>
      <c r="BI191" s="9"/>
      <c r="BJ191" s="694" t="str">
        <f t="shared" si="101"/>
        <v/>
      </c>
      <c r="BK191" s="694">
        <f t="shared" si="101"/>
        <v>2.3049949999999999</v>
      </c>
      <c r="BL191" s="694" t="str">
        <f t="shared" si="102"/>
        <v/>
      </c>
      <c r="BM191" s="694">
        <f t="shared" si="102"/>
        <v>3.5994799999999998</v>
      </c>
      <c r="BN191" s="88"/>
      <c r="BO191" s="195"/>
      <c r="BP191" s="195"/>
      <c r="BQ191" s="195"/>
      <c r="BR191" s="195"/>
      <c r="BS191" s="195"/>
      <c r="BT191" s="195"/>
      <c r="BU191" s="195"/>
      <c r="BV191" s="195"/>
      <c r="BW191" s="195"/>
      <c r="BX191" s="195"/>
    </row>
    <row r="192" spans="1:76" s="124" customFormat="1" ht="15">
      <c r="A192" s="187">
        <v>4820</v>
      </c>
      <c r="B192" s="187" t="s">
        <v>490</v>
      </c>
      <c r="C192" s="187" t="s">
        <v>1324</v>
      </c>
      <c r="D192" s="187" t="s">
        <v>547</v>
      </c>
      <c r="E192" s="187" t="s">
        <v>385</v>
      </c>
      <c r="F192" s="187" t="s">
        <v>386</v>
      </c>
      <c r="G192" s="187" t="s">
        <v>387</v>
      </c>
      <c r="H192" s="187" t="b">
        <v>0</v>
      </c>
      <c r="I192" s="187" t="s">
        <v>388</v>
      </c>
      <c r="J192" s="187" t="s">
        <v>389</v>
      </c>
      <c r="K192" s="187" t="b">
        <v>1</v>
      </c>
      <c r="L192" s="187">
        <v>3.9</v>
      </c>
      <c r="M192" s="187">
        <v>0.26</v>
      </c>
      <c r="N192" s="187">
        <v>12.77</v>
      </c>
      <c r="O192" s="187">
        <v>3.3</v>
      </c>
      <c r="P192" s="187">
        <v>15.17</v>
      </c>
      <c r="Q192" s="187"/>
      <c r="R192" s="187"/>
      <c r="S192" s="187"/>
      <c r="T192" s="187"/>
      <c r="U192" s="187">
        <v>32.4</v>
      </c>
      <c r="V192" s="187">
        <v>3.14</v>
      </c>
      <c r="W192" s="188">
        <v>40626</v>
      </c>
      <c r="X192" s="691">
        <f t="shared" si="99"/>
        <v>2.6982299999999997</v>
      </c>
      <c r="Y192" s="691">
        <f t="shared" si="76"/>
        <v>3.4970599999999998</v>
      </c>
      <c r="Z192" s="189"/>
      <c r="AA192" s="190">
        <f t="shared" si="84"/>
        <v>2011</v>
      </c>
      <c r="AB192" s="191">
        <f t="shared" si="85"/>
        <v>1.4453919791863556</v>
      </c>
      <c r="AC192" s="192">
        <f>IF(AB192="","",AB192*SFAssumptions!$C$3)</f>
        <v>371.05134477046067</v>
      </c>
      <c r="AD192" s="193">
        <f t="shared" si="86"/>
        <v>13.638534</v>
      </c>
      <c r="AE192" s="194">
        <f>IF(AD192="","",AD192*SFAssumptions!$C$3)</f>
        <v>3501.1930703021999</v>
      </c>
      <c r="AF192" s="192">
        <f t="shared" si="75"/>
        <v>3.9</v>
      </c>
      <c r="AG192" s="192">
        <f t="shared" si="87"/>
        <v>3.4970599999999998</v>
      </c>
      <c r="AH192" s="192">
        <f t="shared" si="88"/>
        <v>2.6982299999999997</v>
      </c>
      <c r="AI192" s="692">
        <f ca="1">IF(AC192="","",AC192*SFAssumptions!$C$8/'SavingsData&amp;Analysis'!AF192)</f>
        <v>359.34965066718104</v>
      </c>
      <c r="AJ192" s="692">
        <f ca="1">IF(OR(AE192="",AF192=""),"",AE192*SFAssumptions!$C$8/AF192)</f>
        <v>3390.777380175693</v>
      </c>
      <c r="AK192" s="191">
        <f t="shared" si="89"/>
        <v>1.2420382165605095</v>
      </c>
      <c r="AL192" s="692">
        <f>IF(AK192="","",AK192*SFAssumptions!$C$3)</f>
        <v>318.84772929936304</v>
      </c>
      <c r="AM192" s="193">
        <f t="shared" si="90"/>
        <v>12.87</v>
      </c>
      <c r="AN192" s="194">
        <f>IF(AM192="","",AM192*SFAssumptions!$C$3)</f>
        <v>3303.9001709999998</v>
      </c>
      <c r="AO192" s="693">
        <f t="shared" si="91"/>
        <v>3.3</v>
      </c>
      <c r="AP192" s="693">
        <f t="shared" si="92"/>
        <v>3.14</v>
      </c>
      <c r="AQ192" s="692">
        <f ca="1">IF(AL192="","",AL192*SFAssumptions!$C$8/'SavingsData&amp;Analysis'!AF192)</f>
        <v>308.79235921009803</v>
      </c>
      <c r="AR192" s="692">
        <f ca="1">IF(OR(AN192="",AF192=""),"",AN192*SFAssumptions!$C$8/AF192)</f>
        <v>3199.7064261350351</v>
      </c>
      <c r="AS192" s="190" t="str">
        <f>IF(OR(AG192="",AH192=""),"No",IF(AND(G192="Horizontal",AH192&gt;='Eff. Standards &amp; Certifications'!$B$21,AG192&lt;='Eff. Standards &amp; Certifications'!$C$21),"Consider",IF(AND(G192="Vertical",AH192&gt;='Eff. Standards &amp; Certifications'!$B$20,AG192&lt;='Eff. Standards &amp; Certifications'!$C$20),"Consider","No")))</f>
        <v>Consider</v>
      </c>
      <c r="AT192" s="190" t="str">
        <f t="shared" si="77"/>
        <v>Residential</v>
      </c>
      <c r="AU192" s="190"/>
      <c r="AV192" s="190" t="str">
        <f t="shared" si="100"/>
        <v>NO</v>
      </c>
      <c r="AW192" s="190" t="str">
        <f t="shared" si="100"/>
        <v>YES</v>
      </c>
      <c r="AX192" s="190" t="str">
        <f t="shared" si="93"/>
        <v>YES</v>
      </c>
      <c r="AY192" s="190" t="str">
        <f t="shared" si="78"/>
        <v>NO</v>
      </c>
      <c r="AZ192" s="190" t="str">
        <f t="shared" si="78"/>
        <v>NO</v>
      </c>
      <c r="BA192" s="190" t="str">
        <f t="shared" si="94"/>
        <v>NO</v>
      </c>
      <c r="BB192" s="190" t="str">
        <f t="shared" si="79"/>
        <v>NO</v>
      </c>
      <c r="BC192" s="190" t="str">
        <f t="shared" si="80"/>
        <v>YES</v>
      </c>
      <c r="BD192" s="190" t="str">
        <f t="shared" si="95"/>
        <v>YES</v>
      </c>
      <c r="BE192" s="190" t="str">
        <f t="shared" si="81"/>
        <v>YES</v>
      </c>
      <c r="BF192" s="190" t="str">
        <f t="shared" si="82"/>
        <v>NO</v>
      </c>
      <c r="BG192" s="190" t="str">
        <f t="shared" si="83"/>
        <v>NO</v>
      </c>
      <c r="BH192" s="88"/>
      <c r="BI192" s="9"/>
      <c r="BJ192" s="694" t="str">
        <f t="shared" si="101"/>
        <v/>
      </c>
      <c r="BK192" s="694">
        <f t="shared" si="101"/>
        <v>2.6982299999999997</v>
      </c>
      <c r="BL192" s="694" t="str">
        <f t="shared" si="102"/>
        <v/>
      </c>
      <c r="BM192" s="694">
        <f t="shared" si="102"/>
        <v>3.4970599999999998</v>
      </c>
      <c r="BN192" s="88"/>
      <c r="BO192" s="195"/>
      <c r="BP192" s="195"/>
      <c r="BQ192" s="195"/>
      <c r="BR192" s="195"/>
      <c r="BS192" s="195"/>
      <c r="BT192" s="195"/>
      <c r="BU192" s="195"/>
      <c r="BV192" s="195"/>
      <c r="BW192" s="195"/>
      <c r="BX192" s="195"/>
    </row>
    <row r="193" spans="1:76" s="124" customFormat="1" ht="15">
      <c r="A193" s="187">
        <v>3302</v>
      </c>
      <c r="B193" s="187" t="s">
        <v>490</v>
      </c>
      <c r="C193" s="187" t="s">
        <v>1324</v>
      </c>
      <c r="D193" s="187" t="s">
        <v>548</v>
      </c>
      <c r="E193" s="187" t="s">
        <v>385</v>
      </c>
      <c r="F193" s="187" t="s">
        <v>386</v>
      </c>
      <c r="G193" s="187" t="s">
        <v>387</v>
      </c>
      <c r="H193" s="187" t="b">
        <v>0</v>
      </c>
      <c r="I193" s="187" t="s">
        <v>388</v>
      </c>
      <c r="J193" s="187" t="s">
        <v>389</v>
      </c>
      <c r="K193" s="187" t="b">
        <v>1</v>
      </c>
      <c r="L193" s="187">
        <v>3.6</v>
      </c>
      <c r="M193" s="187">
        <v>0.39</v>
      </c>
      <c r="N193" s="187">
        <v>12.45</v>
      </c>
      <c r="O193" s="187">
        <v>3.4</v>
      </c>
      <c r="P193" s="187">
        <v>9.2899999999999991</v>
      </c>
      <c r="Q193" s="187"/>
      <c r="R193" s="187"/>
      <c r="S193" s="187"/>
      <c r="T193" s="187"/>
      <c r="U193" s="187">
        <v>35.799999999999997</v>
      </c>
      <c r="V193" s="187">
        <v>2.54</v>
      </c>
      <c r="W193" s="188">
        <v>39547</v>
      </c>
      <c r="X193" s="691">
        <f t="shared" si="99"/>
        <v>2.1495300000000004</v>
      </c>
      <c r="Y193" s="691">
        <f t="shared" si="76"/>
        <v>3.5994799999999998</v>
      </c>
      <c r="Z193" s="189"/>
      <c r="AA193" s="190">
        <f t="shared" si="84"/>
        <v>2008</v>
      </c>
      <c r="AB193" s="191">
        <f t="shared" si="85"/>
        <v>1.6747847203807342</v>
      </c>
      <c r="AC193" s="192">
        <f>IF(AB193="","",AB193*SFAssumptions!$C$3)</f>
        <v>429.93951235851557</v>
      </c>
      <c r="AD193" s="193">
        <f t="shared" si="86"/>
        <v>12.958128</v>
      </c>
      <c r="AE193" s="194">
        <f>IF(AD193="","",AD193*SFAssumptions!$C$3)</f>
        <v>3326.5238007024</v>
      </c>
      <c r="AF193" s="192">
        <f t="shared" si="75"/>
        <v>3.6</v>
      </c>
      <c r="AG193" s="192">
        <f t="shared" si="87"/>
        <v>3.5994799999999998</v>
      </c>
      <c r="AH193" s="192">
        <f t="shared" si="88"/>
        <v>2.1495300000000004</v>
      </c>
      <c r="AI193" s="692">
        <f ca="1">IF(AC193="","",AC193*SFAssumptions!$C$8/'SavingsData&amp;Analysis'!AF193)</f>
        <v>451.07907678409123</v>
      </c>
      <c r="AJ193" s="692">
        <f ca="1">IF(OR(AE193="",AF193=""),"",AE193*SFAssumptions!$C$8/AF193)</f>
        <v>3490.0846323468295</v>
      </c>
      <c r="AK193" s="191">
        <f t="shared" si="89"/>
        <v>1.4173228346456692</v>
      </c>
      <c r="AL193" s="692">
        <f>IF(AK193="","",AK193*SFAssumptions!$C$3)</f>
        <v>363.84562204724409</v>
      </c>
      <c r="AM193" s="193">
        <f t="shared" si="90"/>
        <v>12.24</v>
      </c>
      <c r="AN193" s="194">
        <f>IF(AM193="","",AM193*SFAssumptions!$C$3)</f>
        <v>3142.1707919999999</v>
      </c>
      <c r="AO193" s="693">
        <f t="shared" si="91"/>
        <v>3.4</v>
      </c>
      <c r="AP193" s="693">
        <f t="shared" si="92"/>
        <v>2.54</v>
      </c>
      <c r="AQ193" s="692">
        <f ca="1">IF(AL193="","",AL193*SFAssumptions!$C$8/'SavingsData&amp;Analysis'!AF193)</f>
        <v>381.73543618886129</v>
      </c>
      <c r="AR193" s="692">
        <f ca="1">IF(OR(AN193="",AF193=""),"",AN193*SFAssumptions!$C$8/AF193)</f>
        <v>3296.6672269270061</v>
      </c>
      <c r="AS193" s="190" t="str">
        <f>IF(OR(AG193="",AH193=""),"No",IF(AND(G193="Horizontal",AH193&gt;='Eff. Standards &amp; Certifications'!$B$21,AG193&lt;='Eff. Standards &amp; Certifications'!$C$21),"Consider",IF(AND(G193="Vertical",AH193&gt;='Eff. Standards &amp; Certifications'!$B$20,AG193&lt;='Eff. Standards &amp; Certifications'!$C$20),"Consider","No")))</f>
        <v>Consider</v>
      </c>
      <c r="AT193" s="190" t="str">
        <f t="shared" si="77"/>
        <v>Residential</v>
      </c>
      <c r="AU193" s="190"/>
      <c r="AV193" s="190" t="str">
        <f t="shared" si="100"/>
        <v>NO</v>
      </c>
      <c r="AW193" s="190" t="str">
        <f t="shared" si="100"/>
        <v>YES</v>
      </c>
      <c r="AX193" s="190" t="str">
        <f t="shared" si="93"/>
        <v>YES</v>
      </c>
      <c r="AY193" s="190" t="str">
        <f t="shared" si="78"/>
        <v>NO</v>
      </c>
      <c r="AZ193" s="190" t="str">
        <f t="shared" si="78"/>
        <v>YES</v>
      </c>
      <c r="BA193" s="190" t="str">
        <f t="shared" si="94"/>
        <v>YES</v>
      </c>
      <c r="BB193" s="190" t="str">
        <f t="shared" si="79"/>
        <v>NO</v>
      </c>
      <c r="BC193" s="190" t="str">
        <f t="shared" si="80"/>
        <v>NO</v>
      </c>
      <c r="BD193" s="190" t="str">
        <f t="shared" si="95"/>
        <v>NO</v>
      </c>
      <c r="BE193" s="190" t="str">
        <f t="shared" si="81"/>
        <v>NO</v>
      </c>
      <c r="BF193" s="190" t="str">
        <f t="shared" si="82"/>
        <v>NO</v>
      </c>
      <c r="BG193" s="190" t="str">
        <f t="shared" si="83"/>
        <v>NO</v>
      </c>
      <c r="BH193" s="88"/>
      <c r="BI193" s="9"/>
      <c r="BJ193" s="694" t="str">
        <f t="shared" si="101"/>
        <v/>
      </c>
      <c r="BK193" s="694">
        <f t="shared" si="101"/>
        <v>2.1495300000000004</v>
      </c>
      <c r="BL193" s="694" t="str">
        <f t="shared" si="102"/>
        <v/>
      </c>
      <c r="BM193" s="694">
        <f t="shared" si="102"/>
        <v>3.5994799999999998</v>
      </c>
      <c r="BN193" s="88"/>
      <c r="BO193" s="195"/>
      <c r="BP193" s="195"/>
      <c r="BQ193" s="195"/>
      <c r="BR193" s="195"/>
      <c r="BS193" s="195"/>
      <c r="BT193" s="195"/>
      <c r="BU193" s="195"/>
      <c r="BV193" s="195"/>
      <c r="BW193" s="195"/>
      <c r="BX193" s="195"/>
    </row>
    <row r="194" spans="1:76" s="124" customFormat="1" ht="15">
      <c r="A194" s="187">
        <v>569</v>
      </c>
      <c r="B194" s="187" t="s">
        <v>490</v>
      </c>
      <c r="C194" s="187" t="s">
        <v>1324</v>
      </c>
      <c r="D194" s="187" t="s">
        <v>549</v>
      </c>
      <c r="E194" s="187" t="s">
        <v>385</v>
      </c>
      <c r="F194" s="187" t="s">
        <v>386</v>
      </c>
      <c r="G194" s="187" t="s">
        <v>387</v>
      </c>
      <c r="H194" s="187" t="b">
        <v>0</v>
      </c>
      <c r="I194" s="187" t="s">
        <v>388</v>
      </c>
      <c r="J194" s="187" t="s">
        <v>389</v>
      </c>
      <c r="K194" s="187" t="b">
        <v>1</v>
      </c>
      <c r="L194" s="187">
        <v>3.6</v>
      </c>
      <c r="M194" s="187">
        <v>0.32</v>
      </c>
      <c r="N194" s="187">
        <v>12.78</v>
      </c>
      <c r="O194" s="187">
        <v>3.5</v>
      </c>
      <c r="P194" s="187">
        <v>11.09</v>
      </c>
      <c r="Q194" s="187"/>
      <c r="R194" s="187"/>
      <c r="S194" s="187"/>
      <c r="T194" s="187"/>
      <c r="U194" s="187">
        <v>33.799999999999997</v>
      </c>
      <c r="V194" s="187">
        <v>2.76</v>
      </c>
      <c r="W194" s="188">
        <v>40255</v>
      </c>
      <c r="X194" s="691">
        <f t="shared" si="99"/>
        <v>2.3507199999999999</v>
      </c>
      <c r="Y194" s="691">
        <f t="shared" si="76"/>
        <v>3.7018999999999997</v>
      </c>
      <c r="Z194" s="189"/>
      <c r="AA194" s="190">
        <f t="shared" si="84"/>
        <v>2010</v>
      </c>
      <c r="AB194" s="191">
        <f t="shared" si="85"/>
        <v>1.5314456847263818</v>
      </c>
      <c r="AC194" s="192">
        <f>IF(AB194="","",AB194*SFAssumptions!$C$3)</f>
        <v>393.14247549686905</v>
      </c>
      <c r="AD194" s="193">
        <f t="shared" si="86"/>
        <v>13.326839999999999</v>
      </c>
      <c r="AE194" s="194">
        <f>IF(AD194="","",AD194*SFAssumptions!$C$3)</f>
        <v>3421.1770749719999</v>
      </c>
      <c r="AF194" s="192">
        <f t="shared" si="75"/>
        <v>3.6</v>
      </c>
      <c r="AG194" s="192">
        <f t="shared" si="87"/>
        <v>3.7018999999999997</v>
      </c>
      <c r="AH194" s="192">
        <f t="shared" si="88"/>
        <v>2.3507199999999999</v>
      </c>
      <c r="AI194" s="692">
        <f ca="1">IF(AC194="","",AC194*SFAssumptions!$C$8/'SavingsData&amp;Analysis'!AF194)</f>
        <v>412.47277766799436</v>
      </c>
      <c r="AJ194" s="692">
        <f ca="1">IF(OR(AE194="",AF194=""),"",AE194*SFAssumptions!$C$8/AF194)</f>
        <v>3589.3918845179655</v>
      </c>
      <c r="AK194" s="191">
        <f t="shared" si="89"/>
        <v>1.3043478260869568</v>
      </c>
      <c r="AL194" s="692">
        <f>IF(AK194="","",AK194*SFAssumptions!$C$3)</f>
        <v>334.84343478260877</v>
      </c>
      <c r="AM194" s="193">
        <f t="shared" si="90"/>
        <v>12.6</v>
      </c>
      <c r="AN194" s="194">
        <f>IF(AM194="","",AM194*SFAssumptions!$C$3)</f>
        <v>3234.5875799999999</v>
      </c>
      <c r="AO194" s="693">
        <f t="shared" si="91"/>
        <v>3.5</v>
      </c>
      <c r="AP194" s="693">
        <f t="shared" si="92"/>
        <v>2.76</v>
      </c>
      <c r="AQ194" s="692">
        <f ca="1">IF(AL194="","",AL194*SFAssumptions!$C$8/'SavingsData&amp;Analysis'!AF194)</f>
        <v>351.30724924627094</v>
      </c>
      <c r="AR194" s="692">
        <f ca="1">IF(OR(AN194="",AF194=""),"",AN194*SFAssumptions!$C$8/AF194)</f>
        <v>3393.6280277189762</v>
      </c>
      <c r="AS194" s="190" t="str">
        <f>IF(OR(AG194="",AH194=""),"No",IF(AND(G194="Horizontal",AH194&gt;='Eff. Standards &amp; Certifications'!$B$21,AG194&lt;='Eff. Standards &amp; Certifications'!$C$21),"Consider",IF(AND(G194="Vertical",AH194&gt;='Eff. Standards &amp; Certifications'!$B$20,AG194&lt;='Eff. Standards &amp; Certifications'!$C$20),"Consider","No")))</f>
        <v>Consider</v>
      </c>
      <c r="AT194" s="190" t="str">
        <f t="shared" si="77"/>
        <v>Residential</v>
      </c>
      <c r="AU194" s="190"/>
      <c r="AV194" s="190" t="str">
        <f t="shared" si="100"/>
        <v>NO</v>
      </c>
      <c r="AW194" s="190" t="str">
        <f t="shared" si="100"/>
        <v>YES</v>
      </c>
      <c r="AX194" s="190" t="str">
        <f t="shared" si="93"/>
        <v>YES</v>
      </c>
      <c r="AY194" s="190" t="str">
        <f t="shared" si="78"/>
        <v>NO</v>
      </c>
      <c r="AZ194" s="190" t="str">
        <f t="shared" si="78"/>
        <v>YES</v>
      </c>
      <c r="BA194" s="190" t="str">
        <f t="shared" si="94"/>
        <v>YES</v>
      </c>
      <c r="BB194" s="190" t="str">
        <f t="shared" si="79"/>
        <v>NO</v>
      </c>
      <c r="BC194" s="190" t="str">
        <f t="shared" si="80"/>
        <v>NO</v>
      </c>
      <c r="BD194" s="190" t="str">
        <f t="shared" si="95"/>
        <v>NO</v>
      </c>
      <c r="BE194" s="190" t="str">
        <f t="shared" si="81"/>
        <v>NO</v>
      </c>
      <c r="BF194" s="190" t="str">
        <f t="shared" si="82"/>
        <v>NO</v>
      </c>
      <c r="BG194" s="190" t="str">
        <f t="shared" si="83"/>
        <v>NO</v>
      </c>
      <c r="BH194" s="88"/>
      <c r="BI194" s="9"/>
      <c r="BJ194" s="694" t="str">
        <f t="shared" si="101"/>
        <v/>
      </c>
      <c r="BK194" s="694">
        <f t="shared" si="101"/>
        <v>2.3507199999999999</v>
      </c>
      <c r="BL194" s="694" t="str">
        <f t="shared" si="102"/>
        <v/>
      </c>
      <c r="BM194" s="694">
        <f t="shared" si="102"/>
        <v>3.7018999999999997</v>
      </c>
      <c r="BN194" s="88"/>
      <c r="BO194" s="195"/>
      <c r="BP194" s="195"/>
      <c r="BQ194" s="195"/>
      <c r="BR194" s="195"/>
      <c r="BS194" s="195"/>
      <c r="BT194" s="195"/>
      <c r="BU194" s="195"/>
      <c r="BV194" s="195"/>
      <c r="BW194" s="195"/>
      <c r="BX194" s="195"/>
    </row>
    <row r="195" spans="1:76" s="124" customFormat="1" ht="15">
      <c r="A195" s="187">
        <v>5460</v>
      </c>
      <c r="B195" s="187" t="s">
        <v>490</v>
      </c>
      <c r="C195" s="187" t="s">
        <v>1324</v>
      </c>
      <c r="D195" s="187" t="s">
        <v>550</v>
      </c>
      <c r="E195" s="187" t="s">
        <v>392</v>
      </c>
      <c r="F195" s="187" t="s">
        <v>386</v>
      </c>
      <c r="G195" s="187" t="s">
        <v>393</v>
      </c>
      <c r="H195" s="187" t="b">
        <v>0</v>
      </c>
      <c r="I195" s="187" t="s">
        <v>388</v>
      </c>
      <c r="J195" s="187" t="s">
        <v>389</v>
      </c>
      <c r="K195" s="187" t="b">
        <v>1</v>
      </c>
      <c r="L195" s="187">
        <v>4.3</v>
      </c>
      <c r="M195" s="187">
        <v>0.56999999999999995</v>
      </c>
      <c r="N195" s="187">
        <v>16.98</v>
      </c>
      <c r="O195" s="187">
        <v>3.8</v>
      </c>
      <c r="P195" s="187">
        <v>7.36</v>
      </c>
      <c r="Q195" s="187"/>
      <c r="R195" s="187"/>
      <c r="S195" s="187"/>
      <c r="T195" s="187"/>
      <c r="U195" s="187">
        <v>33.799999999999997</v>
      </c>
      <c r="V195" s="187">
        <v>2.56</v>
      </c>
      <c r="W195" s="188">
        <v>41122</v>
      </c>
      <c r="X195" s="691">
        <f t="shared" si="99"/>
        <v>2.1181000000000001</v>
      </c>
      <c r="Y195" s="691">
        <f t="shared" si="76"/>
        <v>4.28592</v>
      </c>
      <c r="Z195" s="189"/>
      <c r="AA195" s="190">
        <f t="shared" si="84"/>
        <v>2012</v>
      </c>
      <c r="AB195" s="191">
        <f t="shared" si="85"/>
        <v>2.0301213351588685</v>
      </c>
      <c r="AC195" s="192">
        <f>IF(AB195="","",AB195*SFAssumptions!$C$3)</f>
        <v>521.15914734903913</v>
      </c>
      <c r="AD195" s="193">
        <f t="shared" si="86"/>
        <v>18.429455999999998</v>
      </c>
      <c r="AE195" s="194">
        <f>IF(AD195="","",AD195*SFAssumptions!$C$3)</f>
        <v>4731.0864669647999</v>
      </c>
      <c r="AF195" s="192">
        <f t="shared" si="75"/>
        <v>4.3</v>
      </c>
      <c r="AG195" s="192">
        <f t="shared" si="87"/>
        <v>4.28592</v>
      </c>
      <c r="AH195" s="192">
        <f t="shared" si="88"/>
        <v>2.1181000000000001</v>
      </c>
      <c r="AI195" s="692">
        <f ca="1">IF(AC195="","",AC195*SFAssumptions!$C$8/'SavingsData&amp;Analysis'!AF195)</f>
        <v>457.77253572527621</v>
      </c>
      <c r="AJ195" s="692">
        <f ca="1">IF(OR(AE195="",AF195=""),"",AE195*SFAssumptions!$C$8/AF195)</f>
        <v>4155.6623533032334</v>
      </c>
      <c r="AK195" s="191">
        <f t="shared" si="89"/>
        <v>1.6796875</v>
      </c>
      <c r="AL195" s="692">
        <f>IF(AK195="","",AK195*SFAssumptions!$C$3)</f>
        <v>431.19812109374999</v>
      </c>
      <c r="AM195" s="193">
        <f t="shared" si="90"/>
        <v>16.34</v>
      </c>
      <c r="AN195" s="194">
        <f>IF(AM195="","",AM195*SFAssumptions!$C$3)</f>
        <v>4194.6953219999996</v>
      </c>
      <c r="AO195" s="693">
        <f t="shared" si="91"/>
        <v>3.8</v>
      </c>
      <c r="AP195" s="693">
        <f t="shared" si="92"/>
        <v>2.56</v>
      </c>
      <c r="AQ195" s="692">
        <f ca="1">IF(AL195="","",AL195*SFAssumptions!$C$8/'SavingsData&amp;Analysis'!AF195)</f>
        <v>378.75312809363584</v>
      </c>
      <c r="AR195" s="692">
        <f ca="1">IF(OR(AN195="",AF195=""),"",AN195*SFAssumptions!$C$8/AF195)</f>
        <v>3684.5104300948888</v>
      </c>
      <c r="AS195" s="190" t="str">
        <f>IF(OR(AG195="",AH195=""),"No",IF(AND(G195="Horizontal",AH195&gt;='Eff. Standards &amp; Certifications'!$B$21,AG195&lt;='Eff. Standards &amp; Certifications'!$C$21),"Consider",IF(AND(G195="Vertical",AH195&gt;='Eff. Standards &amp; Certifications'!$B$20,AG195&lt;='Eff. Standards &amp; Certifications'!$C$20),"Consider","No")))</f>
        <v>Consider</v>
      </c>
      <c r="AT195" s="190" t="str">
        <f t="shared" si="77"/>
        <v>Residential</v>
      </c>
      <c r="AU195" s="190"/>
      <c r="AV195" s="190" t="str">
        <f t="shared" si="100"/>
        <v>YES</v>
      </c>
      <c r="AW195" s="190" t="str">
        <f t="shared" si="100"/>
        <v>NO</v>
      </c>
      <c r="AX195" s="190" t="str">
        <f t="shared" si="93"/>
        <v>YES</v>
      </c>
      <c r="AY195" s="190" t="str">
        <f t="shared" si="78"/>
        <v>NO</v>
      </c>
      <c r="AZ195" s="190" t="str">
        <f t="shared" si="78"/>
        <v>NO</v>
      </c>
      <c r="BA195" s="190" t="str">
        <f t="shared" si="94"/>
        <v>NO</v>
      </c>
      <c r="BB195" s="190" t="str">
        <f t="shared" si="79"/>
        <v>YES</v>
      </c>
      <c r="BC195" s="190" t="str">
        <f t="shared" si="80"/>
        <v>NO</v>
      </c>
      <c r="BD195" s="190" t="str">
        <f t="shared" si="95"/>
        <v>YES</v>
      </c>
      <c r="BE195" s="190" t="str">
        <f t="shared" si="81"/>
        <v>NO</v>
      </c>
      <c r="BF195" s="190" t="str">
        <f t="shared" si="82"/>
        <v>NO</v>
      </c>
      <c r="BG195" s="190" t="str">
        <f t="shared" si="83"/>
        <v>NO</v>
      </c>
      <c r="BH195" s="88"/>
      <c r="BI195" s="9"/>
      <c r="BJ195" s="694">
        <f t="shared" si="101"/>
        <v>2.1181000000000001</v>
      </c>
      <c r="BK195" s="694" t="str">
        <f t="shared" si="101"/>
        <v/>
      </c>
      <c r="BL195" s="694">
        <f t="shared" si="102"/>
        <v>4.28592</v>
      </c>
      <c r="BM195" s="694" t="str">
        <f t="shared" si="102"/>
        <v/>
      </c>
      <c r="BN195" s="88"/>
      <c r="BO195" s="195"/>
      <c r="BP195" s="195"/>
      <c r="BQ195" s="195"/>
      <c r="BR195" s="195"/>
      <c r="BS195" s="195"/>
      <c r="BT195" s="195"/>
      <c r="BU195" s="195"/>
      <c r="BV195" s="195"/>
      <c r="BW195" s="195"/>
      <c r="BX195" s="195"/>
    </row>
    <row r="196" spans="1:76" s="124" customFormat="1" ht="15">
      <c r="A196" s="187">
        <v>5461</v>
      </c>
      <c r="B196" s="187" t="s">
        <v>490</v>
      </c>
      <c r="C196" s="187" t="s">
        <v>1324</v>
      </c>
      <c r="D196" s="187" t="s">
        <v>551</v>
      </c>
      <c r="E196" s="187" t="s">
        <v>392</v>
      </c>
      <c r="F196" s="187" t="s">
        <v>386</v>
      </c>
      <c r="G196" s="187" t="s">
        <v>393</v>
      </c>
      <c r="H196" s="187" t="b">
        <v>0</v>
      </c>
      <c r="I196" s="187" t="s">
        <v>388</v>
      </c>
      <c r="J196" s="187" t="s">
        <v>389</v>
      </c>
      <c r="K196" s="187" t="b">
        <v>1</v>
      </c>
      <c r="L196" s="187">
        <v>4.5</v>
      </c>
      <c r="M196" s="187">
        <v>0.59</v>
      </c>
      <c r="N196" s="187">
        <v>16.5</v>
      </c>
      <c r="O196" s="187">
        <v>3.8</v>
      </c>
      <c r="P196" s="187">
        <v>7.81</v>
      </c>
      <c r="Q196" s="187"/>
      <c r="R196" s="187"/>
      <c r="S196" s="187"/>
      <c r="T196" s="187"/>
      <c r="U196" s="187">
        <v>34.299999999999997</v>
      </c>
      <c r="V196" s="187">
        <v>2.57</v>
      </c>
      <c r="W196" s="188">
        <v>41122</v>
      </c>
      <c r="X196" s="691">
        <f t="shared" si="99"/>
        <v>2.1279999999999997</v>
      </c>
      <c r="Y196" s="691">
        <f t="shared" si="76"/>
        <v>4.28592</v>
      </c>
      <c r="Z196" s="189"/>
      <c r="AA196" s="190">
        <f t="shared" si="84"/>
        <v>2012</v>
      </c>
      <c r="AB196" s="191">
        <f t="shared" si="85"/>
        <v>2.1146616541353387</v>
      </c>
      <c r="AC196" s="192">
        <f>IF(AB196="","",AB196*SFAssumptions!$C$3)</f>
        <v>542.86177161654143</v>
      </c>
      <c r="AD196" s="193">
        <f t="shared" si="86"/>
        <v>19.286639999999998</v>
      </c>
      <c r="AE196" s="194">
        <f>IF(AD196="","",AD196*SFAssumptions!$C$3)</f>
        <v>4951.1370003120001</v>
      </c>
      <c r="AF196" s="192">
        <f t="shared" si="75"/>
        <v>4.5</v>
      </c>
      <c r="AG196" s="192">
        <f t="shared" si="87"/>
        <v>4.28592</v>
      </c>
      <c r="AH196" s="192">
        <f t="shared" si="88"/>
        <v>2.1279999999999997</v>
      </c>
      <c r="AI196" s="692">
        <f ca="1">IF(AC196="","",AC196*SFAssumptions!$C$8/'SavingsData&amp;Analysis'!AF196)</f>
        <v>455.64286086452438</v>
      </c>
      <c r="AJ196" s="692">
        <f ca="1">IF(OR(AE196="",AF196=""),"",AE196*SFAssumptions!$C$8/AF196)</f>
        <v>4155.6623533032334</v>
      </c>
      <c r="AK196" s="191">
        <f t="shared" si="89"/>
        <v>1.7509727626459146</v>
      </c>
      <c r="AL196" s="692">
        <f>IF(AK196="","",AK196*SFAssumptions!$C$3)</f>
        <v>449.49799610894945</v>
      </c>
      <c r="AM196" s="193">
        <f t="shared" si="90"/>
        <v>17.099999999999998</v>
      </c>
      <c r="AN196" s="194">
        <f>IF(AM196="","",AM196*SFAssumptions!$C$3)</f>
        <v>4389.7974299999996</v>
      </c>
      <c r="AO196" s="693">
        <f t="shared" si="91"/>
        <v>3.8</v>
      </c>
      <c r="AP196" s="693">
        <f t="shared" si="92"/>
        <v>2.57</v>
      </c>
      <c r="AQ196" s="692">
        <f ca="1">IF(AL196="","",AL196*SFAssumptions!$C$8/'SavingsData&amp;Analysis'!AF196)</f>
        <v>377.27938051350498</v>
      </c>
      <c r="AR196" s="692">
        <f ca="1">IF(OR(AN196="",AF196=""),"",AN196*SFAssumptions!$C$8/AF196)</f>
        <v>3684.5104300948888</v>
      </c>
      <c r="AS196" s="190" t="str">
        <f>IF(OR(AG196="",AH196=""),"No",IF(AND(G196="Horizontal",AH196&gt;='Eff. Standards &amp; Certifications'!$B$21,AG196&lt;='Eff. Standards &amp; Certifications'!$C$21),"Consider",IF(AND(G196="Vertical",AH196&gt;='Eff. Standards &amp; Certifications'!$B$20,AG196&lt;='Eff. Standards &amp; Certifications'!$C$20),"Consider","No")))</f>
        <v>Consider</v>
      </c>
      <c r="AT196" s="190" t="str">
        <f t="shared" si="77"/>
        <v>Residential</v>
      </c>
      <c r="AU196" s="190"/>
      <c r="AV196" s="190" t="str">
        <f t="shared" si="100"/>
        <v>YES</v>
      </c>
      <c r="AW196" s="190" t="str">
        <f t="shared" si="100"/>
        <v>NO</v>
      </c>
      <c r="AX196" s="190" t="str">
        <f t="shared" si="93"/>
        <v>YES</v>
      </c>
      <c r="AY196" s="190" t="str">
        <f t="shared" si="78"/>
        <v>NO</v>
      </c>
      <c r="AZ196" s="190" t="str">
        <f t="shared" si="78"/>
        <v>NO</v>
      </c>
      <c r="BA196" s="190" t="str">
        <f t="shared" si="94"/>
        <v>NO</v>
      </c>
      <c r="BB196" s="190" t="str">
        <f t="shared" si="79"/>
        <v>YES</v>
      </c>
      <c r="BC196" s="190" t="str">
        <f t="shared" si="80"/>
        <v>NO</v>
      </c>
      <c r="BD196" s="190" t="str">
        <f t="shared" si="95"/>
        <v>YES</v>
      </c>
      <c r="BE196" s="190" t="str">
        <f t="shared" si="81"/>
        <v>NO</v>
      </c>
      <c r="BF196" s="190" t="str">
        <f t="shared" si="82"/>
        <v>NO</v>
      </c>
      <c r="BG196" s="190" t="str">
        <f t="shared" si="83"/>
        <v>NO</v>
      </c>
      <c r="BH196" s="88"/>
      <c r="BI196" s="9"/>
      <c r="BJ196" s="694">
        <f t="shared" si="101"/>
        <v>2.1279999999999997</v>
      </c>
      <c r="BK196" s="694" t="str">
        <f t="shared" si="101"/>
        <v/>
      </c>
      <c r="BL196" s="694">
        <f t="shared" si="102"/>
        <v>4.28592</v>
      </c>
      <c r="BM196" s="694" t="str">
        <f t="shared" si="102"/>
        <v/>
      </c>
      <c r="BN196" s="88"/>
      <c r="BO196" s="195"/>
      <c r="BP196" s="195"/>
      <c r="BQ196" s="195"/>
      <c r="BR196" s="195"/>
      <c r="BS196" s="195"/>
      <c r="BT196" s="195"/>
      <c r="BU196" s="195"/>
      <c r="BV196" s="195"/>
      <c r="BW196" s="195"/>
      <c r="BX196" s="195"/>
    </row>
    <row r="197" spans="1:76" s="124" customFormat="1" ht="15">
      <c r="A197" s="187">
        <v>6352</v>
      </c>
      <c r="B197" s="187" t="s">
        <v>490</v>
      </c>
      <c r="C197" s="187" t="s">
        <v>1324</v>
      </c>
      <c r="D197" s="187" t="s">
        <v>1327</v>
      </c>
      <c r="E197" s="187" t="s">
        <v>392</v>
      </c>
      <c r="F197" s="187" t="s">
        <v>386</v>
      </c>
      <c r="G197" s="187" t="s">
        <v>393</v>
      </c>
      <c r="H197" s="187" t="b">
        <v>0</v>
      </c>
      <c r="I197" s="187" t="s">
        <v>388</v>
      </c>
      <c r="J197" s="187" t="s">
        <v>389</v>
      </c>
      <c r="K197" s="187" t="b">
        <v>1</v>
      </c>
      <c r="L197" s="187">
        <v>4.9000000000000004</v>
      </c>
      <c r="M197" s="187">
        <v>0.46</v>
      </c>
      <c r="N197" s="187">
        <v>19.399999999999999</v>
      </c>
      <c r="O197" s="187">
        <v>4</v>
      </c>
      <c r="P197" s="187">
        <v>10.6</v>
      </c>
      <c r="Q197" s="187"/>
      <c r="R197" s="187"/>
      <c r="S197" s="187"/>
      <c r="T197" s="187"/>
      <c r="U197" s="187">
        <v>32.5</v>
      </c>
      <c r="V197" s="187">
        <v>2.2599999999999998</v>
      </c>
      <c r="W197" s="188">
        <v>41849</v>
      </c>
      <c r="X197" s="691">
        <f t="shared" si="99"/>
        <v>1.8210999999999995</v>
      </c>
      <c r="Y197" s="691">
        <f t="shared" si="76"/>
        <v>4.4836999999999998</v>
      </c>
      <c r="Z197" s="189"/>
      <c r="AA197" s="190">
        <f t="shared" si="84"/>
        <v>2014</v>
      </c>
      <c r="AB197" s="191">
        <f t="shared" si="85"/>
        <v>2.6906814562626993</v>
      </c>
      <c r="AC197" s="192">
        <f>IF(AB197="","",AB197*SFAssumptions!$C$3)</f>
        <v>690.73371588600321</v>
      </c>
      <c r="AD197" s="193">
        <f t="shared" si="86"/>
        <v>21.970130000000001</v>
      </c>
      <c r="AE197" s="194">
        <f>IF(AD197="","",AD197*SFAssumptions!$C$3)</f>
        <v>5640.0245737290006</v>
      </c>
      <c r="AF197" s="192">
        <f t="shared" si="75"/>
        <v>4.9000000000000004</v>
      </c>
      <c r="AG197" s="192">
        <f t="shared" si="87"/>
        <v>4.4836999999999998</v>
      </c>
      <c r="AH197" s="192">
        <f t="shared" si="88"/>
        <v>1.8210999999999995</v>
      </c>
      <c r="AI197" s="692">
        <f ca="1">IF(AC197="","",AC197*SFAssumptions!$C$8/'SavingsData&amp;Analysis'!AF197)</f>
        <v>532.42985443946407</v>
      </c>
      <c r="AJ197" s="692">
        <f ca="1">IF(OR(AE197="",AF197=""),"",AE197*SFAssumptions!$C$8/AF197)</f>
        <v>4347.4314251095939</v>
      </c>
      <c r="AK197" s="191">
        <f t="shared" si="89"/>
        <v>2.1681415929203545</v>
      </c>
      <c r="AL197" s="692">
        <f>IF(AK197="","",AK197*SFAssumptions!$C$3)</f>
        <v>556.59078318584079</v>
      </c>
      <c r="AM197" s="193">
        <f t="shared" si="90"/>
        <v>19.600000000000001</v>
      </c>
      <c r="AN197" s="194">
        <f>IF(AM197="","",AM197*SFAssumptions!$C$3)</f>
        <v>5031.58068</v>
      </c>
      <c r="AO197" s="693">
        <f t="shared" si="91"/>
        <v>4</v>
      </c>
      <c r="AP197" s="693">
        <f t="shared" si="92"/>
        <v>2.2599999999999998</v>
      </c>
      <c r="AQ197" s="692">
        <f ca="1">IF(AL197="","",AL197*SFAssumptions!$C$8/'SavingsData&amp;Analysis'!AF197)</f>
        <v>429.03009199987071</v>
      </c>
      <c r="AR197" s="692">
        <f ca="1">IF(OR(AN197="",AF197=""),"",AN197*SFAssumptions!$C$8/AF197)</f>
        <v>3878.4320316788303</v>
      </c>
      <c r="AS197" s="190" t="str">
        <f>IF(OR(AG197="",AH197=""),"No",IF(AND(G197="Horizontal",AH197&gt;='Eff. Standards &amp; Certifications'!$B$21,AG197&lt;='Eff. Standards &amp; Certifications'!$C$21),"Consider",IF(AND(G197="Vertical",AH197&gt;='Eff. Standards &amp; Certifications'!$B$20,AG197&lt;='Eff. Standards &amp; Certifications'!$C$20),"Consider","No")))</f>
        <v>Consider</v>
      </c>
      <c r="AT197" s="190" t="str">
        <f t="shared" si="77"/>
        <v>Residential</v>
      </c>
      <c r="AU197" s="190"/>
      <c r="AV197" s="190" t="str">
        <f t="shared" si="100"/>
        <v>YES</v>
      </c>
      <c r="AW197" s="190" t="str">
        <f t="shared" si="100"/>
        <v>NO</v>
      </c>
      <c r="AX197" s="190" t="str">
        <f t="shared" si="93"/>
        <v>YES</v>
      </c>
      <c r="AY197" s="190" t="str">
        <f t="shared" si="78"/>
        <v>YES</v>
      </c>
      <c r="AZ197" s="190" t="str">
        <f t="shared" si="78"/>
        <v>NO</v>
      </c>
      <c r="BA197" s="190" t="str">
        <f t="shared" si="94"/>
        <v>YES</v>
      </c>
      <c r="BB197" s="190" t="str">
        <f t="shared" si="79"/>
        <v>NO</v>
      </c>
      <c r="BC197" s="190" t="str">
        <f t="shared" si="80"/>
        <v>NO</v>
      </c>
      <c r="BD197" s="190" t="str">
        <f t="shared" si="95"/>
        <v>NO</v>
      </c>
      <c r="BE197" s="190" t="str">
        <f t="shared" si="81"/>
        <v>NO</v>
      </c>
      <c r="BF197" s="190" t="str">
        <f t="shared" si="82"/>
        <v>NO</v>
      </c>
      <c r="BG197" s="190" t="str">
        <f t="shared" si="83"/>
        <v>NO</v>
      </c>
      <c r="BH197" s="88"/>
      <c r="BI197" s="9"/>
      <c r="BJ197" s="694">
        <f t="shared" si="101"/>
        <v>1.8210999999999995</v>
      </c>
      <c r="BK197" s="694" t="str">
        <f t="shared" si="101"/>
        <v/>
      </c>
      <c r="BL197" s="694">
        <f t="shared" si="102"/>
        <v>4.4836999999999998</v>
      </c>
      <c r="BM197" s="694" t="str">
        <f t="shared" si="102"/>
        <v/>
      </c>
      <c r="BN197" s="88"/>
      <c r="BO197" s="195"/>
      <c r="BP197" s="195"/>
      <c r="BQ197" s="195"/>
      <c r="BR197" s="195"/>
      <c r="BS197" s="195"/>
      <c r="BT197" s="195"/>
      <c r="BU197" s="195"/>
      <c r="BV197" s="195"/>
      <c r="BW197" s="195"/>
      <c r="BX197" s="195"/>
    </row>
    <row r="198" spans="1:76" s="124" customFormat="1" ht="15">
      <c r="A198" s="187">
        <v>5103</v>
      </c>
      <c r="B198" s="187" t="s">
        <v>490</v>
      </c>
      <c r="C198" s="187" t="s">
        <v>1324</v>
      </c>
      <c r="D198" s="187" t="s">
        <v>552</v>
      </c>
      <c r="E198" s="187" t="s">
        <v>392</v>
      </c>
      <c r="F198" s="187" t="s">
        <v>386</v>
      </c>
      <c r="G198" s="187" t="s">
        <v>393</v>
      </c>
      <c r="H198" s="187" t="b">
        <v>0</v>
      </c>
      <c r="I198" s="187" t="s">
        <v>388</v>
      </c>
      <c r="J198" s="187" t="s">
        <v>389</v>
      </c>
      <c r="K198" s="187" t="b">
        <v>1</v>
      </c>
      <c r="L198" s="187">
        <v>2.7</v>
      </c>
      <c r="M198" s="187">
        <v>0.45</v>
      </c>
      <c r="N198" s="187">
        <v>10.53</v>
      </c>
      <c r="O198" s="187">
        <v>3.9</v>
      </c>
      <c r="P198" s="187">
        <v>8.36</v>
      </c>
      <c r="Q198" s="187"/>
      <c r="R198" s="187"/>
      <c r="S198" s="187"/>
      <c r="T198" s="187"/>
      <c r="U198" s="187">
        <v>36.799999999999997</v>
      </c>
      <c r="V198" s="187">
        <v>2.41</v>
      </c>
      <c r="W198" s="188">
        <v>40707</v>
      </c>
      <c r="X198" s="691">
        <f t="shared" si="99"/>
        <v>1.9695999999999998</v>
      </c>
      <c r="Y198" s="691">
        <f t="shared" si="76"/>
        <v>4.3848099999999999</v>
      </c>
      <c r="Z198" s="189"/>
      <c r="AA198" s="190">
        <f t="shared" si="84"/>
        <v>2011</v>
      </c>
      <c r="AB198" s="191">
        <f t="shared" si="85"/>
        <v>1.3708367181153536</v>
      </c>
      <c r="AC198" s="192">
        <f>IF(AB198="","",AB198*SFAssumptions!$C$3)</f>
        <v>351.91201766856221</v>
      </c>
      <c r="AD198" s="193">
        <f t="shared" si="86"/>
        <v>11.838987000000001</v>
      </c>
      <c r="AE198" s="194">
        <f>IF(AD198="","",AD198*SFAssumptions!$C$3)</f>
        <v>3039.2254214271002</v>
      </c>
      <c r="AF198" s="192">
        <f t="shared" si="75"/>
        <v>2.7</v>
      </c>
      <c r="AG198" s="192">
        <f t="shared" si="87"/>
        <v>4.3848099999999999</v>
      </c>
      <c r="AH198" s="192">
        <f t="shared" si="88"/>
        <v>1.9695999999999998</v>
      </c>
      <c r="AI198" s="692">
        <f ca="1">IF(AC198="","",AC198*SFAssumptions!$C$8/'SavingsData&amp;Analysis'!AF198)</f>
        <v>492.28676275371026</v>
      </c>
      <c r="AJ198" s="692">
        <f ca="1">IF(OR(AE198="",AF198=""),"",AE198*SFAssumptions!$C$8/AF198)</f>
        <v>4251.5468892064137</v>
      </c>
      <c r="AK198" s="191">
        <f t="shared" si="89"/>
        <v>1.1203319502074689</v>
      </c>
      <c r="AL198" s="692">
        <f>IF(AK198="","",AK198*SFAssumptions!$C$3)</f>
        <v>287.60411203319501</v>
      </c>
      <c r="AM198" s="193">
        <f t="shared" si="90"/>
        <v>10.530000000000001</v>
      </c>
      <c r="AN198" s="194">
        <f>IF(AM198="","",AM198*SFAssumptions!$C$3)</f>
        <v>2703.1910490000005</v>
      </c>
      <c r="AO198" s="693">
        <f t="shared" si="91"/>
        <v>3.9</v>
      </c>
      <c r="AP198" s="693">
        <f t="shared" si="92"/>
        <v>2.41</v>
      </c>
      <c r="AQ198" s="692">
        <f ca="1">IF(AL198="","",AL198*SFAssumptions!$C$8/'SavingsData&amp;Analysis'!AF198)</f>
        <v>402.32697424054254</v>
      </c>
      <c r="AR198" s="692">
        <f ca="1">IF(OR(AN198="",AF198=""),"",AN198*SFAssumptions!$C$8/AF198)</f>
        <v>3781.4712308868607</v>
      </c>
      <c r="AS198" s="190" t="str">
        <f>IF(OR(AG198="",AH198=""),"No",IF(AND(G198="Horizontal",AH198&gt;='Eff. Standards &amp; Certifications'!$B$21,AG198&lt;='Eff. Standards &amp; Certifications'!$C$21),"Consider",IF(AND(G198="Vertical",AH198&gt;='Eff. Standards &amp; Certifications'!$B$20,AG198&lt;='Eff. Standards &amp; Certifications'!$C$20),"Consider","No")))</f>
        <v>Consider</v>
      </c>
      <c r="AT198" s="190" t="str">
        <f t="shared" si="77"/>
        <v>Residential</v>
      </c>
      <c r="AU198" s="190"/>
      <c r="AV198" s="190" t="str">
        <f t="shared" si="100"/>
        <v>YES</v>
      </c>
      <c r="AW198" s="190" t="str">
        <f t="shared" si="100"/>
        <v>NO</v>
      </c>
      <c r="AX198" s="190" t="str">
        <f t="shared" si="93"/>
        <v>YES</v>
      </c>
      <c r="AY198" s="190" t="str">
        <f t="shared" si="78"/>
        <v>YES</v>
      </c>
      <c r="AZ198" s="190" t="str">
        <f t="shared" si="78"/>
        <v>NO</v>
      </c>
      <c r="BA198" s="190" t="str">
        <f t="shared" si="94"/>
        <v>YES</v>
      </c>
      <c r="BB198" s="190" t="str">
        <f t="shared" si="79"/>
        <v>NO</v>
      </c>
      <c r="BC198" s="190" t="str">
        <f t="shared" si="80"/>
        <v>NO</v>
      </c>
      <c r="BD198" s="190" t="str">
        <f t="shared" si="95"/>
        <v>NO</v>
      </c>
      <c r="BE198" s="190" t="str">
        <f t="shared" si="81"/>
        <v>NO</v>
      </c>
      <c r="BF198" s="190" t="str">
        <f t="shared" si="82"/>
        <v>NO</v>
      </c>
      <c r="BG198" s="190" t="str">
        <f t="shared" si="83"/>
        <v>NO</v>
      </c>
      <c r="BH198" s="88"/>
      <c r="BI198" s="9"/>
      <c r="BJ198" s="694">
        <f t="shared" si="101"/>
        <v>1.9695999999999998</v>
      </c>
      <c r="BK198" s="694" t="str">
        <f t="shared" si="101"/>
        <v/>
      </c>
      <c r="BL198" s="694">
        <f t="shared" si="102"/>
        <v>4.3848099999999999</v>
      </c>
      <c r="BM198" s="694" t="str">
        <f t="shared" si="102"/>
        <v/>
      </c>
      <c r="BN198" s="88"/>
      <c r="BO198" s="195"/>
      <c r="BP198" s="195"/>
      <c r="BQ198" s="195"/>
      <c r="BR198" s="195"/>
      <c r="BS198" s="195"/>
      <c r="BT198" s="195"/>
      <c r="BU198" s="195"/>
      <c r="BV198" s="195"/>
      <c r="BW198" s="195"/>
      <c r="BX198" s="195"/>
    </row>
    <row r="199" spans="1:76" s="124" customFormat="1" ht="15">
      <c r="A199" s="187">
        <v>5449</v>
      </c>
      <c r="B199" s="187" t="s">
        <v>490</v>
      </c>
      <c r="C199" s="187" t="s">
        <v>1324</v>
      </c>
      <c r="D199" s="187" t="s">
        <v>553</v>
      </c>
      <c r="E199" s="187" t="s">
        <v>392</v>
      </c>
      <c r="F199" s="187" t="s">
        <v>386</v>
      </c>
      <c r="G199" s="187" t="s">
        <v>393</v>
      </c>
      <c r="H199" s="187" t="b">
        <v>0</v>
      </c>
      <c r="I199" s="187" t="s">
        <v>388</v>
      </c>
      <c r="J199" s="187" t="s">
        <v>389</v>
      </c>
      <c r="K199" s="187" t="b">
        <v>1</v>
      </c>
      <c r="L199" s="187">
        <v>4.5</v>
      </c>
      <c r="M199" s="187">
        <v>0.56999999999999995</v>
      </c>
      <c r="N199" s="187">
        <v>16.850000000000001</v>
      </c>
      <c r="O199" s="187">
        <v>3.8</v>
      </c>
      <c r="P199" s="187">
        <v>7.81</v>
      </c>
      <c r="Q199" s="187"/>
      <c r="R199" s="187"/>
      <c r="S199" s="187"/>
      <c r="T199" s="187"/>
      <c r="U199" s="187">
        <v>34.799999999999997</v>
      </c>
      <c r="V199" s="187">
        <v>2.58</v>
      </c>
      <c r="W199" s="188">
        <v>41117</v>
      </c>
      <c r="X199" s="691">
        <f t="shared" si="99"/>
        <v>2.1379000000000001</v>
      </c>
      <c r="Y199" s="691">
        <f t="shared" si="76"/>
        <v>4.28592</v>
      </c>
      <c r="Z199" s="189"/>
      <c r="AA199" s="190">
        <f t="shared" si="84"/>
        <v>2012</v>
      </c>
      <c r="AB199" s="191">
        <f t="shared" si="85"/>
        <v>2.104869264231255</v>
      </c>
      <c r="AC199" s="192">
        <f>IF(AB199="","",AB199*SFAssumptions!$C$3)</f>
        <v>540.34793488937748</v>
      </c>
      <c r="AD199" s="193">
        <f t="shared" si="86"/>
        <v>19.286639999999998</v>
      </c>
      <c r="AE199" s="194">
        <f>IF(AD199="","",AD199*SFAssumptions!$C$3)</f>
        <v>4951.1370003120001</v>
      </c>
      <c r="AF199" s="192">
        <f t="shared" si="75"/>
        <v>4.5</v>
      </c>
      <c r="AG199" s="192">
        <f t="shared" si="87"/>
        <v>4.28592</v>
      </c>
      <c r="AH199" s="192">
        <f t="shared" si="88"/>
        <v>2.1379000000000001</v>
      </c>
      <c r="AI199" s="692">
        <f ca="1">IF(AC199="","",AC199*SFAssumptions!$C$8/'SavingsData&amp;Analysis'!AF199)</f>
        <v>453.53290982726401</v>
      </c>
      <c r="AJ199" s="692">
        <f ca="1">IF(OR(AE199="",AF199=""),"",AE199*SFAssumptions!$C$8/AF199)</f>
        <v>4155.6623533032334</v>
      </c>
      <c r="AK199" s="191">
        <f t="shared" si="89"/>
        <v>1.7441860465116279</v>
      </c>
      <c r="AL199" s="692">
        <f>IF(AK199="","",AK199*SFAssumptions!$C$3)</f>
        <v>447.7557558139535</v>
      </c>
      <c r="AM199" s="193">
        <f t="shared" si="90"/>
        <v>17.099999999999998</v>
      </c>
      <c r="AN199" s="194">
        <f>IF(AM199="","",AM199*SFAssumptions!$C$3)</f>
        <v>4389.7974299999996</v>
      </c>
      <c r="AO199" s="693">
        <f t="shared" si="91"/>
        <v>3.8</v>
      </c>
      <c r="AP199" s="693">
        <f t="shared" si="92"/>
        <v>2.58</v>
      </c>
      <c r="AQ199" s="692">
        <f ca="1">IF(AL199="","",AL199*SFAssumptions!$C$8/'SavingsData&amp;Analysis'!AF199)</f>
        <v>375.81705733322002</v>
      </c>
      <c r="AR199" s="692">
        <f ca="1">IF(OR(AN199="",AF199=""),"",AN199*SFAssumptions!$C$8/AF199)</f>
        <v>3684.5104300948888</v>
      </c>
      <c r="AS199" s="190" t="str">
        <f>IF(OR(AG199="",AH199=""),"No",IF(AND(G199="Horizontal",AH199&gt;='Eff. Standards &amp; Certifications'!$B$21,AG199&lt;='Eff. Standards &amp; Certifications'!$C$21),"Consider",IF(AND(G199="Vertical",AH199&gt;='Eff. Standards &amp; Certifications'!$B$20,AG199&lt;='Eff. Standards &amp; Certifications'!$C$20),"Consider","No")))</f>
        <v>Consider</v>
      </c>
      <c r="AT199" s="190" t="str">
        <f t="shared" si="77"/>
        <v>Residential</v>
      </c>
      <c r="AU199" s="190"/>
      <c r="AV199" s="190" t="str">
        <f t="shared" si="100"/>
        <v>YES</v>
      </c>
      <c r="AW199" s="190" t="str">
        <f t="shared" si="100"/>
        <v>NO</v>
      </c>
      <c r="AX199" s="190" t="str">
        <f t="shared" si="93"/>
        <v>YES</v>
      </c>
      <c r="AY199" s="190" t="str">
        <f t="shared" si="78"/>
        <v>NO</v>
      </c>
      <c r="AZ199" s="190" t="str">
        <f t="shared" si="78"/>
        <v>NO</v>
      </c>
      <c r="BA199" s="190" t="str">
        <f t="shared" si="94"/>
        <v>NO</v>
      </c>
      <c r="BB199" s="190" t="str">
        <f t="shared" si="79"/>
        <v>YES</v>
      </c>
      <c r="BC199" s="190" t="str">
        <f t="shared" si="80"/>
        <v>NO</v>
      </c>
      <c r="BD199" s="190" t="str">
        <f t="shared" si="95"/>
        <v>YES</v>
      </c>
      <c r="BE199" s="190" t="str">
        <f t="shared" si="81"/>
        <v>NO</v>
      </c>
      <c r="BF199" s="190" t="str">
        <f t="shared" si="82"/>
        <v>NO</v>
      </c>
      <c r="BG199" s="190" t="str">
        <f t="shared" si="83"/>
        <v>NO</v>
      </c>
      <c r="BH199" s="88"/>
      <c r="BI199" s="9"/>
      <c r="BJ199" s="694">
        <f t="shared" si="101"/>
        <v>2.1379000000000001</v>
      </c>
      <c r="BK199" s="694" t="str">
        <f t="shared" si="101"/>
        <v/>
      </c>
      <c r="BL199" s="694">
        <f t="shared" si="102"/>
        <v>4.28592</v>
      </c>
      <c r="BM199" s="694" t="str">
        <f t="shared" si="102"/>
        <v/>
      </c>
      <c r="BN199" s="88"/>
      <c r="BO199" s="195"/>
      <c r="BP199" s="195"/>
      <c r="BQ199" s="195"/>
      <c r="BR199" s="195"/>
      <c r="BS199" s="195"/>
      <c r="BT199" s="195"/>
      <c r="BU199" s="195"/>
      <c r="BV199" s="195"/>
      <c r="BW199" s="195"/>
      <c r="BX199" s="195"/>
    </row>
    <row r="200" spans="1:76" s="124" customFormat="1" ht="15">
      <c r="A200" s="187">
        <v>5223</v>
      </c>
      <c r="B200" s="187" t="s">
        <v>490</v>
      </c>
      <c r="C200" s="187" t="s">
        <v>1324</v>
      </c>
      <c r="D200" s="187" t="s">
        <v>554</v>
      </c>
      <c r="E200" s="187" t="s">
        <v>392</v>
      </c>
      <c r="F200" s="187" t="s">
        <v>386</v>
      </c>
      <c r="G200" s="187" t="s">
        <v>393</v>
      </c>
      <c r="H200" s="187" t="b">
        <v>0</v>
      </c>
      <c r="I200" s="187" t="s">
        <v>388</v>
      </c>
      <c r="J200" s="187" t="s">
        <v>389</v>
      </c>
      <c r="K200" s="187" t="b">
        <v>1</v>
      </c>
      <c r="L200" s="187">
        <v>4.7</v>
      </c>
      <c r="M200" s="187">
        <v>0.46</v>
      </c>
      <c r="N200" s="187">
        <v>16.809999999999999</v>
      </c>
      <c r="O200" s="187">
        <v>3.6</v>
      </c>
      <c r="P200" s="187">
        <v>10.15</v>
      </c>
      <c r="Q200" s="187"/>
      <c r="R200" s="187"/>
      <c r="S200" s="187"/>
      <c r="T200" s="187"/>
      <c r="U200" s="187">
        <v>34.5</v>
      </c>
      <c r="V200" s="187">
        <v>2.69</v>
      </c>
      <c r="W200" s="188">
        <v>40879</v>
      </c>
      <c r="X200" s="691">
        <f t="shared" si="99"/>
        <v>2.2467999999999999</v>
      </c>
      <c r="Y200" s="691">
        <f t="shared" si="76"/>
        <v>4.0881400000000001</v>
      </c>
      <c r="Z200" s="189"/>
      <c r="AA200" s="190">
        <f t="shared" si="84"/>
        <v>2011</v>
      </c>
      <c r="AB200" s="191">
        <f t="shared" si="85"/>
        <v>2.091863984333274</v>
      </c>
      <c r="AC200" s="192">
        <f>IF(AB200="","",AB200*SFAssumptions!$C$3)</f>
        <v>537.00930656934304</v>
      </c>
      <c r="AD200" s="193">
        <f t="shared" si="86"/>
        <v>19.214258000000001</v>
      </c>
      <c r="AE200" s="194">
        <f>IF(AD200="","",AD200*SFAssumptions!$C$3)</f>
        <v>4932.5555782314004</v>
      </c>
      <c r="AF200" s="192">
        <f t="shared" si="75"/>
        <v>4.7</v>
      </c>
      <c r="AG200" s="192">
        <f t="shared" si="87"/>
        <v>4.0881400000000001</v>
      </c>
      <c r="AH200" s="192">
        <f t="shared" si="88"/>
        <v>2.2467999999999999</v>
      </c>
      <c r="AI200" s="692">
        <f ca="1">IF(AC200="","",AC200*SFAssumptions!$C$8/'SavingsData&amp;Analysis'!AF200)</f>
        <v>431.55065333795068</v>
      </c>
      <c r="AJ200" s="692">
        <f ca="1">IF(OR(AE200="",AF200=""),"",AE200*SFAssumptions!$C$8/AF200)</f>
        <v>3963.8932814968734</v>
      </c>
      <c r="AK200" s="191">
        <f t="shared" si="89"/>
        <v>1.7472118959107807</v>
      </c>
      <c r="AL200" s="692">
        <f>IF(AK200="","",AK200*SFAssumptions!$C$3)</f>
        <v>448.53253159851306</v>
      </c>
      <c r="AM200" s="193">
        <f t="shared" si="90"/>
        <v>16.920000000000002</v>
      </c>
      <c r="AN200" s="194">
        <f>IF(AM200="","",AM200*SFAssumptions!$C$3)</f>
        <v>4343.5890360000003</v>
      </c>
      <c r="AO200" s="693">
        <f t="shared" si="91"/>
        <v>3.6</v>
      </c>
      <c r="AP200" s="693">
        <f t="shared" si="92"/>
        <v>2.69</v>
      </c>
      <c r="AQ200" s="692">
        <f ca="1">IF(AL200="","",AL200*SFAssumptions!$C$8/'SavingsData&amp;Analysis'!AF200)</f>
        <v>360.44907357609952</v>
      </c>
      <c r="AR200" s="692">
        <f ca="1">IF(OR(AN200="",AF200=""),"",AN200*SFAssumptions!$C$8/AF200)</f>
        <v>3490.5888285109477</v>
      </c>
      <c r="AS200" s="190" t="str">
        <f>IF(OR(AG200="",AH200=""),"No",IF(AND(G200="Horizontal",AH200&gt;='Eff. Standards &amp; Certifications'!$B$21,AG200&lt;='Eff. Standards &amp; Certifications'!$C$21),"Consider",IF(AND(G200="Vertical",AH200&gt;='Eff. Standards &amp; Certifications'!$B$20,AG200&lt;='Eff. Standards &amp; Certifications'!$C$20),"Consider","No")))</f>
        <v>Consider</v>
      </c>
      <c r="AT200" s="190" t="str">
        <f t="shared" si="77"/>
        <v>Residential</v>
      </c>
      <c r="AU200" s="190"/>
      <c r="AV200" s="190" t="str">
        <f t="shared" si="100"/>
        <v>YES</v>
      </c>
      <c r="AW200" s="190" t="str">
        <f t="shared" si="100"/>
        <v>NO</v>
      </c>
      <c r="AX200" s="190" t="str">
        <f t="shared" si="93"/>
        <v>YES</v>
      </c>
      <c r="AY200" s="190" t="str">
        <f t="shared" si="78"/>
        <v>NO</v>
      </c>
      <c r="AZ200" s="190" t="str">
        <f t="shared" si="78"/>
        <v>NO</v>
      </c>
      <c r="BA200" s="190" t="str">
        <f t="shared" si="94"/>
        <v>NO</v>
      </c>
      <c r="BB200" s="190" t="str">
        <f t="shared" si="79"/>
        <v>YES</v>
      </c>
      <c r="BC200" s="190" t="str">
        <f t="shared" si="80"/>
        <v>NO</v>
      </c>
      <c r="BD200" s="190" t="str">
        <f t="shared" si="95"/>
        <v>YES</v>
      </c>
      <c r="BE200" s="190" t="str">
        <f t="shared" si="81"/>
        <v>NO</v>
      </c>
      <c r="BF200" s="190" t="str">
        <f t="shared" si="82"/>
        <v>NO</v>
      </c>
      <c r="BG200" s="190" t="str">
        <f t="shared" si="83"/>
        <v>NO</v>
      </c>
      <c r="BH200" s="88"/>
      <c r="BI200" s="9"/>
      <c r="BJ200" s="694">
        <f t="shared" si="101"/>
        <v>2.2467999999999999</v>
      </c>
      <c r="BK200" s="694" t="str">
        <f t="shared" si="101"/>
        <v/>
      </c>
      <c r="BL200" s="694">
        <f t="shared" si="102"/>
        <v>4.0881400000000001</v>
      </c>
      <c r="BM200" s="694" t="str">
        <f t="shared" si="102"/>
        <v/>
      </c>
      <c r="BN200" s="88"/>
      <c r="BO200" s="195"/>
      <c r="BP200" s="195"/>
      <c r="BQ200" s="195"/>
      <c r="BR200" s="195"/>
      <c r="BS200" s="195"/>
      <c r="BT200" s="195"/>
      <c r="BU200" s="195"/>
      <c r="BV200" s="195"/>
      <c r="BW200" s="195"/>
      <c r="BX200" s="195"/>
    </row>
    <row r="201" spans="1:76" s="124" customFormat="1" ht="15">
      <c r="A201" s="187">
        <v>793</v>
      </c>
      <c r="B201" s="187" t="s">
        <v>555</v>
      </c>
      <c r="C201" s="187" t="s">
        <v>555</v>
      </c>
      <c r="D201" s="187" t="s">
        <v>556</v>
      </c>
      <c r="E201" s="187" t="s">
        <v>385</v>
      </c>
      <c r="F201" s="187" t="s">
        <v>386</v>
      </c>
      <c r="G201" s="187" t="s">
        <v>387</v>
      </c>
      <c r="H201" s="187" t="b">
        <v>0</v>
      </c>
      <c r="I201" s="187" t="s">
        <v>388</v>
      </c>
      <c r="J201" s="187" t="s">
        <v>389</v>
      </c>
      <c r="K201" s="187" t="b">
        <v>0</v>
      </c>
      <c r="L201" s="187">
        <v>2.2999999999999998</v>
      </c>
      <c r="M201" s="187">
        <v>0.23</v>
      </c>
      <c r="N201" s="187">
        <v>16.11</v>
      </c>
      <c r="O201" s="187">
        <v>7</v>
      </c>
      <c r="P201" s="187">
        <v>10.09</v>
      </c>
      <c r="Q201" s="187"/>
      <c r="R201" s="187"/>
      <c r="S201" s="187"/>
      <c r="T201" s="187"/>
      <c r="U201" s="187">
        <v>41.1</v>
      </c>
      <c r="V201" s="187">
        <v>2.35</v>
      </c>
      <c r="W201" s="188">
        <v>40010</v>
      </c>
      <c r="X201" s="691">
        <f t="shared" si="99"/>
        <v>1.9757749999999998</v>
      </c>
      <c r="Y201" s="691">
        <f t="shared" si="76"/>
        <v>7.2866</v>
      </c>
      <c r="Z201" s="189"/>
      <c r="AA201" s="190">
        <f t="shared" si="84"/>
        <v>2009</v>
      </c>
      <c r="AB201" s="191">
        <f t="shared" si="85"/>
        <v>1.1641001632270882</v>
      </c>
      <c r="AC201" s="192">
        <f>IF(AB201="","",AB201*SFAssumptions!$C$3)</f>
        <v>298.83999443256448</v>
      </c>
      <c r="AD201" s="193">
        <f t="shared" si="86"/>
        <v>16.759179999999997</v>
      </c>
      <c r="AE201" s="194">
        <f>IF(AD201="","",AD201*SFAssumptions!$C$3)</f>
        <v>4302.3044030939991</v>
      </c>
      <c r="AF201" s="192">
        <f t="shared" si="75"/>
        <v>2.2999999999999998</v>
      </c>
      <c r="AG201" s="192">
        <f t="shared" si="87"/>
        <v>7.2866</v>
      </c>
      <c r="AH201" s="192">
        <f t="shared" si="88"/>
        <v>1.9757749999999998</v>
      </c>
      <c r="AI201" s="692">
        <f ca="1">IF(AC201="","",AC201*SFAssumptions!$C$8/'SavingsData&amp;Analysis'!AF201)</f>
        <v>490.74819142853204</v>
      </c>
      <c r="AJ201" s="692">
        <f ca="1">IF(OR(AE201="",AF201=""),"",AE201*SFAssumptions!$C$8/AF201)</f>
        <v>7065.1457105077407</v>
      </c>
      <c r="AK201" s="191">
        <f t="shared" si="89"/>
        <v>0.97872340425531901</v>
      </c>
      <c r="AL201" s="692">
        <f>IF(AK201="","",AK201*SFAssumptions!$C$3)</f>
        <v>251.25131489361698</v>
      </c>
      <c r="AM201" s="193">
        <f t="shared" si="90"/>
        <v>16.099999999999998</v>
      </c>
      <c r="AN201" s="194">
        <f>IF(AM201="","",AM201*SFAssumptions!$C$3)</f>
        <v>4133.0841299999993</v>
      </c>
      <c r="AO201" s="693">
        <f t="shared" si="91"/>
        <v>7</v>
      </c>
      <c r="AP201" s="693">
        <f t="shared" si="92"/>
        <v>2.35</v>
      </c>
      <c r="AQ201" s="692">
        <f ca="1">IF(AL201="","",AL201*SFAssumptions!$C$8/'SavingsData&amp;Analysis'!AF201)</f>
        <v>412.59915230625859</v>
      </c>
      <c r="AR201" s="692">
        <f ca="1">IF(OR(AN201="",AF201=""),"",AN201*SFAssumptions!$C$8/AF201)</f>
        <v>6787.2560554379534</v>
      </c>
      <c r="AS201" s="190" t="str">
        <f>IF(OR(AG201="",AH201=""),"No",IF(AND(G201="Horizontal",AH201&gt;='Eff. Standards &amp; Certifications'!$B$21,AG201&lt;='Eff. Standards &amp; Certifications'!$C$21),"Consider",IF(AND(G201="Vertical",AH201&gt;='Eff. Standards &amp; Certifications'!$B$20,AG201&lt;='Eff. Standards &amp; Certifications'!$C$20),"Consider","No")))</f>
        <v>No</v>
      </c>
      <c r="AT201" s="190" t="str">
        <f t="shared" si="77"/>
        <v>Residential</v>
      </c>
      <c r="AU201" s="190"/>
      <c r="AV201" s="190" t="str">
        <f t="shared" si="100"/>
        <v>NO</v>
      </c>
      <c r="AW201" s="190" t="str">
        <f t="shared" si="100"/>
        <v>NO</v>
      </c>
      <c r="AX201" s="190" t="str">
        <f t="shared" si="93"/>
        <v>NO</v>
      </c>
      <c r="AY201" s="190" t="str">
        <f t="shared" si="78"/>
        <v>NO</v>
      </c>
      <c r="AZ201" s="190" t="str">
        <f t="shared" si="78"/>
        <v>NO</v>
      </c>
      <c r="BA201" s="190" t="str">
        <f t="shared" si="94"/>
        <v>NO</v>
      </c>
      <c r="BB201" s="190" t="str">
        <f t="shared" si="79"/>
        <v>NO</v>
      </c>
      <c r="BC201" s="190" t="str">
        <f t="shared" si="80"/>
        <v>NO</v>
      </c>
      <c r="BD201" s="190" t="str">
        <f t="shared" si="95"/>
        <v>NO</v>
      </c>
      <c r="BE201" s="190" t="str">
        <f t="shared" si="81"/>
        <v>NO</v>
      </c>
      <c r="BF201" s="190" t="str">
        <f t="shared" si="82"/>
        <v>NO</v>
      </c>
      <c r="BG201" s="190" t="str">
        <f t="shared" si="83"/>
        <v>NO</v>
      </c>
      <c r="BH201" s="88"/>
      <c r="BI201" s="9"/>
      <c r="BJ201" s="694" t="str">
        <f t="shared" si="101"/>
        <v/>
      </c>
      <c r="BK201" s="694" t="str">
        <f t="shared" si="101"/>
        <v/>
      </c>
      <c r="BL201" s="694" t="str">
        <f t="shared" si="102"/>
        <v/>
      </c>
      <c r="BM201" s="694" t="str">
        <f t="shared" si="102"/>
        <v/>
      </c>
      <c r="BN201" s="88"/>
      <c r="BO201" s="195"/>
      <c r="BP201" s="195"/>
      <c r="BQ201" s="195"/>
      <c r="BR201" s="195"/>
      <c r="BS201" s="195"/>
      <c r="BT201" s="195"/>
      <c r="BU201" s="195"/>
      <c r="BV201" s="195"/>
      <c r="BW201" s="195"/>
      <c r="BX201" s="195"/>
    </row>
    <row r="202" spans="1:76" s="124" customFormat="1" ht="15">
      <c r="A202" s="187">
        <v>1551</v>
      </c>
      <c r="B202" s="187" t="s">
        <v>557</v>
      </c>
      <c r="C202" s="187" t="s">
        <v>558</v>
      </c>
      <c r="D202" s="187" t="s">
        <v>559</v>
      </c>
      <c r="E202" s="187" t="s">
        <v>385</v>
      </c>
      <c r="F202" s="187" t="s">
        <v>386</v>
      </c>
      <c r="G202" s="187" t="s">
        <v>387</v>
      </c>
      <c r="H202" s="187" t="b">
        <v>0</v>
      </c>
      <c r="I202" s="187" t="s">
        <v>388</v>
      </c>
      <c r="J202" s="187" t="s">
        <v>389</v>
      </c>
      <c r="K202" s="187" t="b">
        <v>1</v>
      </c>
      <c r="L202" s="187">
        <v>2.9</v>
      </c>
      <c r="M202" s="187">
        <v>0.62</v>
      </c>
      <c r="N202" s="187">
        <v>22.53</v>
      </c>
      <c r="O202" s="187">
        <v>7.2</v>
      </c>
      <c r="P202" s="187">
        <v>5.78</v>
      </c>
      <c r="Q202" s="187"/>
      <c r="R202" s="187"/>
      <c r="S202" s="187"/>
      <c r="T202" s="187"/>
      <c r="U202" s="187">
        <v>40</v>
      </c>
      <c r="V202" s="187">
        <v>1.9</v>
      </c>
      <c r="W202" s="188">
        <v>39129</v>
      </c>
      <c r="X202" s="691">
        <f t="shared" si="99"/>
        <v>1.5642499999999999</v>
      </c>
      <c r="Y202" s="691">
        <f t="shared" si="76"/>
        <v>7.4914400000000008</v>
      </c>
      <c r="Z202" s="189"/>
      <c r="AA202" s="190">
        <f t="shared" si="84"/>
        <v>2007</v>
      </c>
      <c r="AB202" s="191">
        <f t="shared" si="85"/>
        <v>1.8539236055617709</v>
      </c>
      <c r="AC202" s="192">
        <f>IF(AB202="","",AB202*SFAssumptions!$C$3)</f>
        <v>475.92684673166059</v>
      </c>
      <c r="AD202" s="193">
        <f t="shared" si="86"/>
        <v>21.725176000000001</v>
      </c>
      <c r="AE202" s="194">
        <f>IF(AD202="","",AD202*SFAssumptions!$C$3)</f>
        <v>5577.1416240408007</v>
      </c>
      <c r="AF202" s="192">
        <f t="shared" si="75"/>
        <v>2.9</v>
      </c>
      <c r="AG202" s="192">
        <f t="shared" si="87"/>
        <v>7.4914400000000008</v>
      </c>
      <c r="AH202" s="192">
        <f t="shared" si="88"/>
        <v>1.5642499999999999</v>
      </c>
      <c r="AI202" s="692">
        <f ca="1">IF(AC202="","",AC202*SFAssumptions!$C$8/'SavingsData&amp;Analysis'!AF202)</f>
        <v>619.85488759450709</v>
      </c>
      <c r="AJ202" s="692">
        <f ca="1">IF(OR(AE202="",AF202=""),"",AE202*SFAssumptions!$C$8/AF202)</f>
        <v>7263.7602148500164</v>
      </c>
      <c r="AK202" s="191">
        <f t="shared" si="89"/>
        <v>1.5263157894736843</v>
      </c>
      <c r="AL202" s="692">
        <f>IF(AK202="","",AK202*SFAssumptions!$C$3)</f>
        <v>391.82556315789475</v>
      </c>
      <c r="AM202" s="193">
        <f t="shared" si="90"/>
        <v>20.88</v>
      </c>
      <c r="AN202" s="194">
        <f>IF(AM202="","",AM202*SFAssumptions!$C$3)</f>
        <v>5360.1737039999998</v>
      </c>
      <c r="AO202" s="693">
        <f t="shared" si="91"/>
        <v>7.2</v>
      </c>
      <c r="AP202" s="693">
        <f t="shared" si="92"/>
        <v>1.9</v>
      </c>
      <c r="AQ202" s="692">
        <f ca="1">IF(AL202="","",AL202*SFAssumptions!$C$8/'SavingsData&amp;Analysis'!AF202)</f>
        <v>510.32000416826719</v>
      </c>
      <c r="AR202" s="692">
        <f ca="1">IF(OR(AN202="",AF202=""),"",AN202*SFAssumptions!$C$8/AF202)</f>
        <v>6981.1776570218954</v>
      </c>
      <c r="AS202" s="190" t="str">
        <f>IF(OR(AG202="",AH202=""),"No",IF(AND(G202="Horizontal",AH202&gt;='Eff. Standards &amp; Certifications'!$B$21,AG202&lt;='Eff. Standards &amp; Certifications'!$C$21),"Consider",IF(AND(G202="Vertical",AH202&gt;='Eff. Standards &amp; Certifications'!$B$20,AG202&lt;='Eff. Standards &amp; Certifications'!$C$20),"Consider","No")))</f>
        <v>No</v>
      </c>
      <c r="AT202" s="190" t="str">
        <f t="shared" si="77"/>
        <v>Residential</v>
      </c>
      <c r="AU202" s="190"/>
      <c r="AV202" s="190" t="str">
        <f t="shared" si="100"/>
        <v>NO</v>
      </c>
      <c r="AW202" s="190" t="str">
        <f t="shared" si="100"/>
        <v>NO</v>
      </c>
      <c r="AX202" s="190" t="str">
        <f t="shared" si="93"/>
        <v>NO</v>
      </c>
      <c r="AY202" s="190" t="str">
        <f t="shared" si="78"/>
        <v>NO</v>
      </c>
      <c r="AZ202" s="190" t="str">
        <f t="shared" si="78"/>
        <v>NO</v>
      </c>
      <c r="BA202" s="190" t="str">
        <f t="shared" si="94"/>
        <v>NO</v>
      </c>
      <c r="BB202" s="190" t="str">
        <f t="shared" si="79"/>
        <v>NO</v>
      </c>
      <c r="BC202" s="190" t="str">
        <f t="shared" si="80"/>
        <v>NO</v>
      </c>
      <c r="BD202" s="190" t="str">
        <f t="shared" si="95"/>
        <v>NO</v>
      </c>
      <c r="BE202" s="190" t="str">
        <f t="shared" si="81"/>
        <v>NO</v>
      </c>
      <c r="BF202" s="190" t="str">
        <f t="shared" si="82"/>
        <v>NO</v>
      </c>
      <c r="BG202" s="190" t="str">
        <f t="shared" si="83"/>
        <v>NO</v>
      </c>
      <c r="BH202" s="88"/>
      <c r="BI202" s="9"/>
      <c r="BJ202" s="694" t="str">
        <f t="shared" si="101"/>
        <v/>
      </c>
      <c r="BK202" s="694" t="str">
        <f t="shared" si="101"/>
        <v/>
      </c>
      <c r="BL202" s="694" t="str">
        <f t="shared" si="102"/>
        <v/>
      </c>
      <c r="BM202" s="694" t="str">
        <f t="shared" si="102"/>
        <v/>
      </c>
      <c r="BN202" s="88"/>
      <c r="BO202" s="195"/>
      <c r="BP202" s="195"/>
      <c r="BQ202" s="195"/>
      <c r="BR202" s="195"/>
      <c r="BS202" s="195"/>
      <c r="BT202" s="195"/>
      <c r="BU202" s="195"/>
      <c r="BV202" s="195"/>
      <c r="BW202" s="195"/>
      <c r="BX202" s="195"/>
    </row>
    <row r="203" spans="1:76" s="124" customFormat="1" ht="15">
      <c r="A203" s="187">
        <v>54</v>
      </c>
      <c r="B203" s="187" t="s">
        <v>557</v>
      </c>
      <c r="C203" s="187" t="s">
        <v>558</v>
      </c>
      <c r="D203" s="187" t="s">
        <v>560</v>
      </c>
      <c r="E203" s="187" t="s">
        <v>392</v>
      </c>
      <c r="F203" s="187" t="s">
        <v>386</v>
      </c>
      <c r="G203" s="187" t="s">
        <v>393</v>
      </c>
      <c r="H203" s="187" t="b">
        <v>0</v>
      </c>
      <c r="I203" s="187" t="s">
        <v>388</v>
      </c>
      <c r="J203" s="187" t="s">
        <v>389</v>
      </c>
      <c r="K203" s="187" t="b">
        <v>1</v>
      </c>
      <c r="L203" s="187">
        <v>3.4</v>
      </c>
      <c r="M203" s="187">
        <v>0.3</v>
      </c>
      <c r="N203" s="187">
        <v>37.43</v>
      </c>
      <c r="O203" s="187">
        <v>10</v>
      </c>
      <c r="P203" s="187">
        <v>4.09</v>
      </c>
      <c r="Q203" s="187"/>
      <c r="R203" s="187"/>
      <c r="S203" s="187"/>
      <c r="T203" s="187"/>
      <c r="U203" s="187">
        <v>52.3</v>
      </c>
      <c r="V203" s="187">
        <v>1.48</v>
      </c>
      <c r="W203" s="188">
        <v>38891</v>
      </c>
      <c r="X203" s="691">
        <f t="shared" si="99"/>
        <v>1.0489000000000002</v>
      </c>
      <c r="Y203" s="691">
        <f t="shared" si="76"/>
        <v>10.4171</v>
      </c>
      <c r="Z203" s="189"/>
      <c r="AA203" s="190">
        <f t="shared" si="84"/>
        <v>2006</v>
      </c>
      <c r="AB203" s="191">
        <f t="shared" si="85"/>
        <v>3.2414910858995132</v>
      </c>
      <c r="AC203" s="192">
        <f>IF(AB203="","",AB203*SFAssumptions!$C$3)</f>
        <v>832.13387358184752</v>
      </c>
      <c r="AD203" s="193">
        <f t="shared" si="86"/>
        <v>35.418140000000001</v>
      </c>
      <c r="AE203" s="194">
        <f>IF(AD203="","",AD203*SFAssumptions!$C$3)</f>
        <v>9092.3075992619997</v>
      </c>
      <c r="AF203" s="192">
        <f t="shared" si="75"/>
        <v>3.4</v>
      </c>
      <c r="AG203" s="192">
        <f t="shared" si="87"/>
        <v>10.4171</v>
      </c>
      <c r="AH203" s="192">
        <f t="shared" si="88"/>
        <v>1.0489000000000002</v>
      </c>
      <c r="AI203" s="692">
        <f ca="1">IF(AC203="","",AC203*SFAssumptions!$C$8/'SavingsData&amp;Analysis'!AF203)</f>
        <v>924.40462190838741</v>
      </c>
      <c r="AJ203" s="692">
        <f ca="1">IF(OR(AE203="",AF203=""),"",AE203*SFAssumptions!$C$8/AF203)</f>
        <v>10100.503579300386</v>
      </c>
      <c r="AK203" s="191">
        <f t="shared" si="89"/>
        <v>2.2972972972972974</v>
      </c>
      <c r="AL203" s="692">
        <f>IF(AK203="","",AK203*SFAssumptions!$C$3)</f>
        <v>589.7467702702703</v>
      </c>
      <c r="AM203" s="193">
        <f t="shared" si="90"/>
        <v>34</v>
      </c>
      <c r="AN203" s="194">
        <f>IF(AM203="","",AM203*SFAssumptions!$C$3)</f>
        <v>8728.2522000000008</v>
      </c>
      <c r="AO203" s="693">
        <f t="shared" si="91"/>
        <v>10</v>
      </c>
      <c r="AP203" s="693">
        <f t="shared" si="92"/>
        <v>1.48</v>
      </c>
      <c r="AQ203" s="692">
        <f ca="1">IF(AL203="","",AL203*SFAssumptions!$C$8/'SavingsData&amp;Analysis'!AF203)</f>
        <v>655.14054589169439</v>
      </c>
      <c r="AR203" s="692">
        <f ca="1">IF(OR(AN203="",AF203=""),"",AN203*SFAssumptions!$C$8/AF203)</f>
        <v>9696.0800791970778</v>
      </c>
      <c r="AS203" s="190" t="str">
        <f>IF(OR(AG203="",AH203=""),"No",IF(AND(G203="Horizontal",AH203&gt;='Eff. Standards &amp; Certifications'!$B$21,AG203&lt;='Eff. Standards &amp; Certifications'!$C$21),"Consider",IF(AND(G203="Vertical",AH203&gt;='Eff. Standards &amp; Certifications'!$B$20,AG203&lt;='Eff. Standards &amp; Certifications'!$C$20),"Consider","No")))</f>
        <v>No</v>
      </c>
      <c r="AT203" s="190" t="str">
        <f t="shared" si="77"/>
        <v>Residential</v>
      </c>
      <c r="AU203" s="190"/>
      <c r="AV203" s="190" t="str">
        <f t="shared" ref="AV203:AW222" si="103">IF(AND($G203=AV$18,$AS203="Consider",$AT203="Residential",$AH203&gt;=AV$3,$AH203&lt;=AV$4,$AG203&gt;=AV$5,$AG203&lt;=AV$6),"YES","NO")</f>
        <v>NO</v>
      </c>
      <c r="AW203" s="190" t="str">
        <f t="shared" si="103"/>
        <v>NO</v>
      </c>
      <c r="AX203" s="190" t="str">
        <f t="shared" si="93"/>
        <v>NO</v>
      </c>
      <c r="AY203" s="190" t="str">
        <f t="shared" si="78"/>
        <v>NO</v>
      </c>
      <c r="AZ203" s="190" t="str">
        <f t="shared" si="78"/>
        <v>NO</v>
      </c>
      <c r="BA203" s="190" t="str">
        <f t="shared" si="94"/>
        <v>NO</v>
      </c>
      <c r="BB203" s="190" t="str">
        <f t="shared" si="79"/>
        <v>NO</v>
      </c>
      <c r="BC203" s="190" t="str">
        <f t="shared" si="80"/>
        <v>NO</v>
      </c>
      <c r="BD203" s="190" t="str">
        <f t="shared" si="95"/>
        <v>NO</v>
      </c>
      <c r="BE203" s="190" t="str">
        <f t="shared" si="81"/>
        <v>NO</v>
      </c>
      <c r="BF203" s="190" t="str">
        <f t="shared" si="82"/>
        <v>NO</v>
      </c>
      <c r="BG203" s="190" t="str">
        <f t="shared" si="83"/>
        <v>NO</v>
      </c>
      <c r="BH203" s="88"/>
      <c r="BI203" s="9"/>
      <c r="BJ203" s="694" t="str">
        <f t="shared" ref="BJ203:BK222" si="104">IF(AND($G203=BJ$21,$AT203="Residential",$AS203="Consider"),$X203,"")</f>
        <v/>
      </c>
      <c r="BK203" s="694" t="str">
        <f t="shared" si="104"/>
        <v/>
      </c>
      <c r="BL203" s="694" t="str">
        <f t="shared" ref="BL203:BM222" si="105">IF(AND($G203=BL$21,$AT203="Residential",$AS203="Consider"),$Y203,"")</f>
        <v/>
      </c>
      <c r="BM203" s="694" t="str">
        <f t="shared" si="105"/>
        <v/>
      </c>
      <c r="BN203" s="88"/>
      <c r="BO203" s="195"/>
      <c r="BP203" s="195"/>
      <c r="BQ203" s="195"/>
      <c r="BR203" s="195"/>
      <c r="BS203" s="195"/>
      <c r="BT203" s="195"/>
      <c r="BU203" s="195"/>
      <c r="BV203" s="195"/>
      <c r="BW203" s="195"/>
      <c r="BX203" s="195"/>
    </row>
    <row r="204" spans="1:76" s="124" customFormat="1" ht="15">
      <c r="A204" s="187">
        <v>44</v>
      </c>
      <c r="B204" s="187" t="s">
        <v>557</v>
      </c>
      <c r="C204" s="187" t="s">
        <v>450</v>
      </c>
      <c r="D204" s="187" t="s">
        <v>561</v>
      </c>
      <c r="E204" s="187" t="s">
        <v>385</v>
      </c>
      <c r="F204" s="187" t="s">
        <v>386</v>
      </c>
      <c r="G204" s="187" t="s">
        <v>387</v>
      </c>
      <c r="H204" s="187" t="b">
        <v>0</v>
      </c>
      <c r="I204" s="187" t="s">
        <v>388</v>
      </c>
      <c r="J204" s="187" t="s">
        <v>389</v>
      </c>
      <c r="K204" s="187" t="b">
        <v>1</v>
      </c>
      <c r="L204" s="187">
        <v>2.9</v>
      </c>
      <c r="M204" s="187">
        <v>0.7</v>
      </c>
      <c r="N204" s="187">
        <v>22.94</v>
      </c>
      <c r="O204" s="187">
        <v>7.9</v>
      </c>
      <c r="P204" s="187">
        <v>3.46</v>
      </c>
      <c r="Q204" s="187"/>
      <c r="R204" s="187"/>
      <c r="S204" s="187"/>
      <c r="T204" s="187"/>
      <c r="U204" s="187">
        <v>46</v>
      </c>
      <c r="V204" s="187">
        <v>1.74</v>
      </c>
      <c r="W204" s="188">
        <v>38637</v>
      </c>
      <c r="X204" s="691">
        <f t="shared" si="99"/>
        <v>1.4179299999999999</v>
      </c>
      <c r="Y204" s="691">
        <f t="shared" si="76"/>
        <v>8.20838</v>
      </c>
      <c r="Z204" s="189"/>
      <c r="AA204" s="190">
        <f t="shared" si="84"/>
        <v>2005</v>
      </c>
      <c r="AB204" s="191">
        <f t="shared" si="85"/>
        <v>2.0452349551811446</v>
      </c>
      <c r="AC204" s="192">
        <f>IF(AB204="","",AB204*SFAssumptions!$C$3)</f>
        <v>525.0390146199037</v>
      </c>
      <c r="AD204" s="193">
        <f t="shared" si="86"/>
        <v>23.804302</v>
      </c>
      <c r="AE204" s="194">
        <f>IF(AD204="","",AD204*SFAssumptions!$C$3)</f>
        <v>6110.8809206165997</v>
      </c>
      <c r="AF204" s="192">
        <f t="shared" si="75"/>
        <v>2.9</v>
      </c>
      <c r="AG204" s="192">
        <f t="shared" si="87"/>
        <v>8.20838</v>
      </c>
      <c r="AH204" s="192">
        <f t="shared" si="88"/>
        <v>1.4179299999999999</v>
      </c>
      <c r="AI204" s="692">
        <f ca="1">IF(AC204="","",AC204*SFAssumptions!$C$8/'SavingsData&amp;Analysis'!AF204)</f>
        <v>683.81937607618693</v>
      </c>
      <c r="AJ204" s="692">
        <f ca="1">IF(OR(AE204="",AF204=""),"",AE204*SFAssumptions!$C$8/AF204)</f>
        <v>7958.9109800479691</v>
      </c>
      <c r="AK204" s="191">
        <f t="shared" si="89"/>
        <v>1.6666666666666665</v>
      </c>
      <c r="AL204" s="692">
        <f>IF(AK204="","",AK204*SFAssumptions!$C$3)</f>
        <v>427.85549999999995</v>
      </c>
      <c r="AM204" s="193">
        <f t="shared" si="90"/>
        <v>22.91</v>
      </c>
      <c r="AN204" s="194">
        <f>IF(AM204="","",AM204*SFAssumptions!$C$3)</f>
        <v>5881.3017030000001</v>
      </c>
      <c r="AO204" s="693">
        <f t="shared" si="91"/>
        <v>7.9</v>
      </c>
      <c r="AP204" s="693">
        <f t="shared" si="92"/>
        <v>1.74</v>
      </c>
      <c r="AQ204" s="692">
        <f ca="1">IF(AL204="","",AL204*SFAssumptions!$C$8/'SavingsData&amp;Analysis'!AF204)</f>
        <v>557.24598156305035</v>
      </c>
      <c r="AR204" s="692">
        <f ca="1">IF(OR(AN204="",AF204=""),"",AN204*SFAssumptions!$C$8/AF204)</f>
        <v>7659.9032625656901</v>
      </c>
      <c r="AS204" s="190" t="str">
        <f>IF(OR(AG204="",AH204=""),"No",IF(AND(G204="Horizontal",AH204&gt;='Eff. Standards &amp; Certifications'!$B$21,AG204&lt;='Eff. Standards &amp; Certifications'!$C$21),"Consider",IF(AND(G204="Vertical",AH204&gt;='Eff. Standards &amp; Certifications'!$B$20,AG204&lt;='Eff. Standards &amp; Certifications'!$C$20),"Consider","No")))</f>
        <v>No</v>
      </c>
      <c r="AT204" s="190" t="str">
        <f t="shared" si="77"/>
        <v>Residential</v>
      </c>
      <c r="AU204" s="190"/>
      <c r="AV204" s="190" t="str">
        <f t="shared" si="103"/>
        <v>NO</v>
      </c>
      <c r="AW204" s="190" t="str">
        <f t="shared" si="103"/>
        <v>NO</v>
      </c>
      <c r="AX204" s="190" t="str">
        <f t="shared" si="93"/>
        <v>NO</v>
      </c>
      <c r="AY204" s="190" t="str">
        <f t="shared" si="78"/>
        <v>NO</v>
      </c>
      <c r="AZ204" s="190" t="str">
        <f t="shared" si="78"/>
        <v>NO</v>
      </c>
      <c r="BA204" s="190" t="str">
        <f t="shared" si="94"/>
        <v>NO</v>
      </c>
      <c r="BB204" s="190" t="str">
        <f t="shared" si="79"/>
        <v>NO</v>
      </c>
      <c r="BC204" s="190" t="str">
        <f t="shared" si="80"/>
        <v>NO</v>
      </c>
      <c r="BD204" s="190" t="str">
        <f t="shared" si="95"/>
        <v>NO</v>
      </c>
      <c r="BE204" s="190" t="str">
        <f t="shared" si="81"/>
        <v>NO</v>
      </c>
      <c r="BF204" s="190" t="str">
        <f t="shared" si="82"/>
        <v>NO</v>
      </c>
      <c r="BG204" s="190" t="str">
        <f t="shared" si="83"/>
        <v>NO</v>
      </c>
      <c r="BH204" s="88"/>
      <c r="BI204" s="9"/>
      <c r="BJ204" s="694" t="str">
        <f t="shared" si="104"/>
        <v/>
      </c>
      <c r="BK204" s="694" t="str">
        <f t="shared" si="104"/>
        <v/>
      </c>
      <c r="BL204" s="694" t="str">
        <f t="shared" si="105"/>
        <v/>
      </c>
      <c r="BM204" s="694" t="str">
        <f t="shared" si="105"/>
        <v/>
      </c>
      <c r="BN204" s="88"/>
      <c r="BO204" s="195"/>
      <c r="BP204" s="195"/>
      <c r="BQ204" s="195"/>
      <c r="BR204" s="195"/>
      <c r="BS204" s="195"/>
      <c r="BT204" s="195"/>
      <c r="BU204" s="195"/>
      <c r="BV204" s="195"/>
      <c r="BW204" s="195"/>
      <c r="BX204" s="195"/>
    </row>
    <row r="205" spans="1:76" s="124" customFormat="1" ht="15">
      <c r="A205" s="187">
        <v>1056</v>
      </c>
      <c r="B205" s="187" t="s">
        <v>557</v>
      </c>
      <c r="C205" s="187" t="s">
        <v>557</v>
      </c>
      <c r="D205" s="187" t="s">
        <v>562</v>
      </c>
      <c r="E205" s="187" t="s">
        <v>385</v>
      </c>
      <c r="F205" s="187" t="s">
        <v>386</v>
      </c>
      <c r="G205" s="187" t="s">
        <v>387</v>
      </c>
      <c r="H205" s="187" t="b">
        <v>0</v>
      </c>
      <c r="I205" s="187" t="s">
        <v>388</v>
      </c>
      <c r="J205" s="187" t="s">
        <v>389</v>
      </c>
      <c r="K205" s="187" t="b">
        <v>0</v>
      </c>
      <c r="L205" s="187">
        <v>2.9</v>
      </c>
      <c r="M205" s="187">
        <v>0.7</v>
      </c>
      <c r="N205" s="187">
        <v>22.94</v>
      </c>
      <c r="O205" s="187">
        <v>7.9</v>
      </c>
      <c r="P205" s="187">
        <v>3.46</v>
      </c>
      <c r="Q205" s="187"/>
      <c r="R205" s="187"/>
      <c r="S205" s="187"/>
      <c r="T205" s="187"/>
      <c r="U205" s="187">
        <v>46</v>
      </c>
      <c r="V205" s="187">
        <v>1.68</v>
      </c>
      <c r="W205" s="188">
        <v>38467</v>
      </c>
      <c r="X205" s="691">
        <f t="shared" si="99"/>
        <v>1.3630599999999999</v>
      </c>
      <c r="Y205" s="691">
        <f t="shared" si="76"/>
        <v>8.20838</v>
      </c>
      <c r="Z205" s="189"/>
      <c r="AA205" s="190">
        <f t="shared" si="84"/>
        <v>2005</v>
      </c>
      <c r="AB205" s="191">
        <f t="shared" si="85"/>
        <v>2.1275659178612827</v>
      </c>
      <c r="AC205" s="192">
        <f>IF(AB205="","",AB205*SFAssumptions!$C$3)</f>
        <v>546.17446774169878</v>
      </c>
      <c r="AD205" s="193">
        <f t="shared" si="86"/>
        <v>23.804302</v>
      </c>
      <c r="AE205" s="194">
        <f>IF(AD205="","",AD205*SFAssumptions!$C$3)</f>
        <v>6110.8809206165997</v>
      </c>
      <c r="AF205" s="192">
        <f t="shared" si="75"/>
        <v>2.9</v>
      </c>
      <c r="AG205" s="192">
        <f t="shared" si="87"/>
        <v>8.20838</v>
      </c>
      <c r="AH205" s="192">
        <f t="shared" si="88"/>
        <v>1.3630599999999999</v>
      </c>
      <c r="AI205" s="692">
        <f ca="1">IF(AC205="","",AC205*SFAssumptions!$C$8/'SavingsData&amp;Analysis'!AF205)</f>
        <v>711.34653494322163</v>
      </c>
      <c r="AJ205" s="692">
        <f ca="1">IF(OR(AE205="",AF205=""),"",AE205*SFAssumptions!$C$8/AF205)</f>
        <v>7958.9109800479691</v>
      </c>
      <c r="AK205" s="191">
        <f t="shared" si="89"/>
        <v>1.7261904761904763</v>
      </c>
      <c r="AL205" s="692">
        <f>IF(AK205="","",AK205*SFAssumptions!$C$3)</f>
        <v>443.13605357142859</v>
      </c>
      <c r="AM205" s="193">
        <f t="shared" si="90"/>
        <v>22.91</v>
      </c>
      <c r="AN205" s="194">
        <f>IF(AM205="","",AM205*SFAssumptions!$C$3)</f>
        <v>5881.3017030000001</v>
      </c>
      <c r="AO205" s="693">
        <f t="shared" si="91"/>
        <v>7.9</v>
      </c>
      <c r="AP205" s="693">
        <f t="shared" si="92"/>
        <v>1.68</v>
      </c>
      <c r="AQ205" s="692">
        <f ca="1">IF(AL205="","",AL205*SFAssumptions!$C$8/'SavingsData&amp;Analysis'!AF205)</f>
        <v>577.14762376173076</v>
      </c>
      <c r="AR205" s="692">
        <f ca="1">IF(OR(AN205="",AF205=""),"",AN205*SFAssumptions!$C$8/AF205)</f>
        <v>7659.9032625656901</v>
      </c>
      <c r="AS205" s="190" t="str">
        <f>IF(OR(AG205="",AH205=""),"No",IF(AND(G205="Horizontal",AH205&gt;='Eff. Standards &amp; Certifications'!$B$21,AG205&lt;='Eff. Standards &amp; Certifications'!$C$21),"Consider",IF(AND(G205="Vertical",AH205&gt;='Eff. Standards &amp; Certifications'!$B$20,AG205&lt;='Eff. Standards &amp; Certifications'!$C$20),"Consider","No")))</f>
        <v>No</v>
      </c>
      <c r="AT205" s="190" t="str">
        <f t="shared" si="77"/>
        <v>Residential</v>
      </c>
      <c r="AU205" s="190"/>
      <c r="AV205" s="190" t="str">
        <f t="shared" si="103"/>
        <v>NO</v>
      </c>
      <c r="AW205" s="190" t="str">
        <f t="shared" si="103"/>
        <v>NO</v>
      </c>
      <c r="AX205" s="190" t="str">
        <f t="shared" si="93"/>
        <v>NO</v>
      </c>
      <c r="AY205" s="190" t="str">
        <f t="shared" si="78"/>
        <v>NO</v>
      </c>
      <c r="AZ205" s="190" t="str">
        <f t="shared" si="78"/>
        <v>NO</v>
      </c>
      <c r="BA205" s="190" t="str">
        <f t="shared" si="94"/>
        <v>NO</v>
      </c>
      <c r="BB205" s="190" t="str">
        <f t="shared" si="79"/>
        <v>NO</v>
      </c>
      <c r="BC205" s="190" t="str">
        <f t="shared" si="80"/>
        <v>NO</v>
      </c>
      <c r="BD205" s="190" t="str">
        <f t="shared" si="95"/>
        <v>NO</v>
      </c>
      <c r="BE205" s="190" t="str">
        <f t="shared" si="81"/>
        <v>NO</v>
      </c>
      <c r="BF205" s="190" t="str">
        <f t="shared" si="82"/>
        <v>NO</v>
      </c>
      <c r="BG205" s="190" t="str">
        <f t="shared" si="83"/>
        <v>NO</v>
      </c>
      <c r="BH205" s="88"/>
      <c r="BI205" s="9"/>
      <c r="BJ205" s="694" t="str">
        <f t="shared" si="104"/>
        <v/>
      </c>
      <c r="BK205" s="694" t="str">
        <f t="shared" si="104"/>
        <v/>
      </c>
      <c r="BL205" s="694" t="str">
        <f t="shared" si="105"/>
        <v/>
      </c>
      <c r="BM205" s="694" t="str">
        <f t="shared" si="105"/>
        <v/>
      </c>
      <c r="BN205" s="88"/>
      <c r="BO205" s="195"/>
      <c r="BP205" s="195"/>
      <c r="BQ205" s="195"/>
      <c r="BR205" s="195"/>
      <c r="BS205" s="195"/>
      <c r="BT205" s="195"/>
      <c r="BU205" s="195"/>
      <c r="BV205" s="195"/>
      <c r="BW205" s="195"/>
      <c r="BX205" s="195"/>
    </row>
    <row r="206" spans="1:76" s="124" customFormat="1" ht="15">
      <c r="A206" s="187">
        <v>1409</v>
      </c>
      <c r="B206" s="187" t="s">
        <v>557</v>
      </c>
      <c r="C206" s="187" t="s">
        <v>557</v>
      </c>
      <c r="D206" s="187" t="s">
        <v>563</v>
      </c>
      <c r="E206" s="187" t="s">
        <v>385</v>
      </c>
      <c r="F206" s="187" t="s">
        <v>386</v>
      </c>
      <c r="G206" s="187" t="s">
        <v>387</v>
      </c>
      <c r="H206" s="187" t="b">
        <v>0</v>
      </c>
      <c r="I206" s="187" t="s">
        <v>388</v>
      </c>
      <c r="J206" s="187" t="s">
        <v>389</v>
      </c>
      <c r="K206" s="187" t="b">
        <v>1</v>
      </c>
      <c r="L206" s="187">
        <v>2.9</v>
      </c>
      <c r="M206" s="187">
        <v>0.62</v>
      </c>
      <c r="N206" s="187">
        <v>22.53</v>
      </c>
      <c r="O206" s="187">
        <v>7.2</v>
      </c>
      <c r="P206" s="187">
        <v>5.78</v>
      </c>
      <c r="Q206" s="187"/>
      <c r="R206" s="187"/>
      <c r="S206" s="187"/>
      <c r="T206" s="187"/>
      <c r="U206" s="187">
        <v>40</v>
      </c>
      <c r="V206" s="187">
        <v>1.75</v>
      </c>
      <c r="W206" s="188">
        <v>38805</v>
      </c>
      <c r="X206" s="691">
        <f t="shared" si="99"/>
        <v>1.4270749999999999</v>
      </c>
      <c r="Y206" s="691">
        <f t="shared" si="76"/>
        <v>7.4914400000000008</v>
      </c>
      <c r="Z206" s="189"/>
      <c r="AA206" s="190">
        <f t="shared" si="84"/>
        <v>2006</v>
      </c>
      <c r="AB206" s="191">
        <f t="shared" si="85"/>
        <v>2.0321286547658675</v>
      </c>
      <c r="AC206" s="192">
        <f>IF(AB206="","",AB206*SFAssumptions!$C$3)</f>
        <v>521.67445298950656</v>
      </c>
      <c r="AD206" s="193">
        <f t="shared" si="86"/>
        <v>21.725176000000001</v>
      </c>
      <c r="AE206" s="194">
        <f>IF(AD206="","",AD206*SFAssumptions!$C$3)</f>
        <v>5577.1416240408007</v>
      </c>
      <c r="AF206" s="192">
        <f t="shared" si="75"/>
        <v>2.9</v>
      </c>
      <c r="AG206" s="192">
        <f t="shared" si="87"/>
        <v>7.4914400000000008</v>
      </c>
      <c r="AH206" s="192">
        <f t="shared" si="88"/>
        <v>1.4270749999999999</v>
      </c>
      <c r="AI206" s="692">
        <f ca="1">IF(AC206="","",AC206*SFAssumptions!$C$8/'SavingsData&amp;Analysis'!AF206)</f>
        <v>679.43731613244427</v>
      </c>
      <c r="AJ206" s="692">
        <f ca="1">IF(OR(AE206="",AF206=""),"",AE206*SFAssumptions!$C$8/AF206)</f>
        <v>7263.7602148500164</v>
      </c>
      <c r="AK206" s="191">
        <f t="shared" si="89"/>
        <v>1.657142857142857</v>
      </c>
      <c r="AL206" s="692">
        <f>IF(AK206="","",AK206*SFAssumptions!$C$3)</f>
        <v>425.41061142857143</v>
      </c>
      <c r="AM206" s="193">
        <f t="shared" si="90"/>
        <v>20.88</v>
      </c>
      <c r="AN206" s="194">
        <f>IF(AM206="","",AM206*SFAssumptions!$C$3)</f>
        <v>5360.1737039999998</v>
      </c>
      <c r="AO206" s="693">
        <f t="shared" si="91"/>
        <v>7.2</v>
      </c>
      <c r="AP206" s="693">
        <f t="shared" si="92"/>
        <v>1.75</v>
      </c>
      <c r="AQ206" s="692">
        <f ca="1">IF(AL206="","",AL206*SFAssumptions!$C$8/'SavingsData&amp;Analysis'!AF206)</f>
        <v>554.06171881126147</v>
      </c>
      <c r="AR206" s="692">
        <f ca="1">IF(OR(AN206="",AF206=""),"",AN206*SFAssumptions!$C$8/AF206)</f>
        <v>6981.1776570218954</v>
      </c>
      <c r="AS206" s="190" t="str">
        <f>IF(OR(AG206="",AH206=""),"No",IF(AND(G206="Horizontal",AH206&gt;='Eff. Standards &amp; Certifications'!$B$21,AG206&lt;='Eff. Standards &amp; Certifications'!$C$21),"Consider",IF(AND(G206="Vertical",AH206&gt;='Eff. Standards &amp; Certifications'!$B$20,AG206&lt;='Eff. Standards &amp; Certifications'!$C$20),"Consider","No")))</f>
        <v>No</v>
      </c>
      <c r="AT206" s="190" t="str">
        <f t="shared" si="77"/>
        <v>Residential</v>
      </c>
      <c r="AU206" s="190"/>
      <c r="AV206" s="190" t="str">
        <f t="shared" si="103"/>
        <v>NO</v>
      </c>
      <c r="AW206" s="190" t="str">
        <f t="shared" si="103"/>
        <v>NO</v>
      </c>
      <c r="AX206" s="190" t="str">
        <f t="shared" si="93"/>
        <v>NO</v>
      </c>
      <c r="AY206" s="190" t="str">
        <f t="shared" si="78"/>
        <v>NO</v>
      </c>
      <c r="AZ206" s="190" t="str">
        <f t="shared" si="78"/>
        <v>NO</v>
      </c>
      <c r="BA206" s="190" t="str">
        <f t="shared" si="94"/>
        <v>NO</v>
      </c>
      <c r="BB206" s="190" t="str">
        <f t="shared" si="79"/>
        <v>NO</v>
      </c>
      <c r="BC206" s="190" t="str">
        <f t="shared" si="80"/>
        <v>NO</v>
      </c>
      <c r="BD206" s="190" t="str">
        <f t="shared" si="95"/>
        <v>NO</v>
      </c>
      <c r="BE206" s="190" t="str">
        <f t="shared" si="81"/>
        <v>NO</v>
      </c>
      <c r="BF206" s="190" t="str">
        <f t="shared" si="82"/>
        <v>NO</v>
      </c>
      <c r="BG206" s="190" t="str">
        <f t="shared" si="83"/>
        <v>NO</v>
      </c>
      <c r="BH206" s="88"/>
      <c r="BI206" s="9"/>
      <c r="BJ206" s="694" t="str">
        <f t="shared" si="104"/>
        <v/>
      </c>
      <c r="BK206" s="694" t="str">
        <f t="shared" si="104"/>
        <v/>
      </c>
      <c r="BL206" s="694" t="str">
        <f t="shared" si="105"/>
        <v/>
      </c>
      <c r="BM206" s="694" t="str">
        <f t="shared" si="105"/>
        <v/>
      </c>
      <c r="BN206" s="88"/>
      <c r="BO206" s="195"/>
      <c r="BP206" s="195"/>
      <c r="BQ206" s="195"/>
      <c r="BR206" s="195"/>
      <c r="BS206" s="195"/>
      <c r="BT206" s="195"/>
      <c r="BU206" s="195"/>
      <c r="BV206" s="195"/>
      <c r="BW206" s="195"/>
      <c r="BX206" s="195"/>
    </row>
    <row r="207" spans="1:76" s="124" customFormat="1" ht="15">
      <c r="A207" s="187">
        <v>6825</v>
      </c>
      <c r="B207" s="187" t="s">
        <v>557</v>
      </c>
      <c r="C207" s="187" t="s">
        <v>557</v>
      </c>
      <c r="D207" s="187" t="s">
        <v>1328</v>
      </c>
      <c r="E207" s="187" t="s">
        <v>392</v>
      </c>
      <c r="F207" s="187" t="s">
        <v>386</v>
      </c>
      <c r="G207" s="187" t="s">
        <v>393</v>
      </c>
      <c r="H207" s="187" t="b">
        <v>0</v>
      </c>
      <c r="I207" s="187" t="s">
        <v>388</v>
      </c>
      <c r="J207" s="187" t="s">
        <v>389</v>
      </c>
      <c r="K207" s="187" t="b">
        <v>1</v>
      </c>
      <c r="L207" s="187">
        <v>2.5</v>
      </c>
      <c r="M207" s="187">
        <v>1.2</v>
      </c>
      <c r="N207" s="187">
        <v>30.98</v>
      </c>
      <c r="O207" s="187">
        <v>9.5</v>
      </c>
      <c r="P207" s="187">
        <v>3.91</v>
      </c>
      <c r="Q207" s="187"/>
      <c r="R207" s="187"/>
      <c r="S207" s="187"/>
      <c r="T207" s="187"/>
      <c r="U207" s="187">
        <v>51.6</v>
      </c>
      <c r="V207" s="187">
        <v>1.26</v>
      </c>
      <c r="W207" s="188">
        <v>41989</v>
      </c>
      <c r="X207" s="691">
        <f t="shared" si="99"/>
        <v>0.83110000000000006</v>
      </c>
      <c r="Y207" s="691">
        <f t="shared" si="76"/>
        <v>9.9226500000000009</v>
      </c>
      <c r="Z207" s="189"/>
      <c r="AA207" s="190">
        <f t="shared" si="84"/>
        <v>2014</v>
      </c>
      <c r="AB207" s="191">
        <f t="shared" si="85"/>
        <v>3.0080616051016724</v>
      </c>
      <c r="AC207" s="192">
        <f>IF(AB207="","",AB207*SFAssumptions!$C$3)</f>
        <v>772.20942124894714</v>
      </c>
      <c r="AD207" s="193">
        <f t="shared" si="86"/>
        <v>24.806625000000004</v>
      </c>
      <c r="AE207" s="194">
        <f>IF(AD207="","",AD207*SFAssumptions!$C$3)</f>
        <v>6368.1905656125009</v>
      </c>
      <c r="AF207" s="192">
        <f t="shared" si="75"/>
        <v>2.5</v>
      </c>
      <c r="AG207" s="192">
        <f t="shared" si="87"/>
        <v>9.9226500000000009</v>
      </c>
      <c r="AH207" s="192">
        <f t="shared" si="88"/>
        <v>0.83110000000000006</v>
      </c>
      <c r="AI207" s="692">
        <f ca="1">IF(AC207="","",AC207*SFAssumptions!$C$8/'SavingsData&amp;Analysis'!AF207)</f>
        <v>1166.6562482489564</v>
      </c>
      <c r="AJ207" s="692">
        <f ca="1">IF(OR(AE207="",AF207=""),"",AE207*SFAssumptions!$C$8/AF207)</f>
        <v>9621.0808997844888</v>
      </c>
      <c r="AK207" s="191">
        <f t="shared" si="89"/>
        <v>1.9841269841269842</v>
      </c>
      <c r="AL207" s="692">
        <f>IF(AK207="","",AK207*SFAssumptions!$C$3)</f>
        <v>509.35178571428571</v>
      </c>
      <c r="AM207" s="193">
        <f t="shared" si="90"/>
        <v>23.75</v>
      </c>
      <c r="AN207" s="194">
        <f>IF(AM207="","",AM207*SFAssumptions!$C$3)</f>
        <v>6096.9408750000002</v>
      </c>
      <c r="AO207" s="693">
        <f t="shared" si="91"/>
        <v>9.5</v>
      </c>
      <c r="AP207" s="693">
        <f t="shared" si="92"/>
        <v>1.26</v>
      </c>
      <c r="AQ207" s="692">
        <f ca="1">IF(AL207="","",AL207*SFAssumptions!$C$8/'SavingsData&amp;Analysis'!AF207)</f>
        <v>769.53016501564093</v>
      </c>
      <c r="AR207" s="692">
        <f ca="1">IF(OR(AN207="",AF207=""),"",AN207*SFAssumptions!$C$8/AF207)</f>
        <v>9211.2760752372233</v>
      </c>
      <c r="AS207" s="190" t="str">
        <f>IF(OR(AG207="",AH207=""),"No",IF(AND(G207="Horizontal",AH207&gt;='Eff. Standards &amp; Certifications'!$B$21,AG207&lt;='Eff. Standards &amp; Certifications'!$C$21),"Consider",IF(AND(G207="Vertical",AH207&gt;='Eff. Standards &amp; Certifications'!$B$20,AG207&lt;='Eff. Standards &amp; Certifications'!$C$20),"Consider","No")))</f>
        <v>No</v>
      </c>
      <c r="AT207" s="190" t="str">
        <f t="shared" si="77"/>
        <v>Residential</v>
      </c>
      <c r="AU207" s="190"/>
      <c r="AV207" s="190" t="str">
        <f t="shared" si="103"/>
        <v>NO</v>
      </c>
      <c r="AW207" s="190" t="str">
        <f t="shared" si="103"/>
        <v>NO</v>
      </c>
      <c r="AX207" s="190" t="str">
        <f t="shared" si="93"/>
        <v>NO</v>
      </c>
      <c r="AY207" s="190" t="str">
        <f t="shared" si="78"/>
        <v>NO</v>
      </c>
      <c r="AZ207" s="190" t="str">
        <f t="shared" si="78"/>
        <v>NO</v>
      </c>
      <c r="BA207" s="190" t="str">
        <f t="shared" si="94"/>
        <v>NO</v>
      </c>
      <c r="BB207" s="190" t="str">
        <f t="shared" si="79"/>
        <v>NO</v>
      </c>
      <c r="BC207" s="190" t="str">
        <f t="shared" si="80"/>
        <v>NO</v>
      </c>
      <c r="BD207" s="190" t="str">
        <f t="shared" si="95"/>
        <v>NO</v>
      </c>
      <c r="BE207" s="190" t="str">
        <f t="shared" si="81"/>
        <v>NO</v>
      </c>
      <c r="BF207" s="190" t="str">
        <f t="shared" si="82"/>
        <v>NO</v>
      </c>
      <c r="BG207" s="190" t="str">
        <f t="shared" si="83"/>
        <v>NO</v>
      </c>
      <c r="BH207" s="88"/>
      <c r="BI207" s="9"/>
      <c r="BJ207" s="694" t="str">
        <f t="shared" si="104"/>
        <v/>
      </c>
      <c r="BK207" s="694" t="str">
        <f t="shared" si="104"/>
        <v/>
      </c>
      <c r="BL207" s="694" t="str">
        <f t="shared" si="105"/>
        <v/>
      </c>
      <c r="BM207" s="694" t="str">
        <f t="shared" si="105"/>
        <v/>
      </c>
      <c r="BN207" s="88"/>
      <c r="BO207" s="195"/>
      <c r="BP207" s="195"/>
      <c r="BQ207" s="195"/>
      <c r="BR207" s="195"/>
      <c r="BS207" s="195"/>
      <c r="BT207" s="195"/>
      <c r="BU207" s="195"/>
      <c r="BV207" s="195"/>
      <c r="BW207" s="195"/>
      <c r="BX207" s="195"/>
    </row>
    <row r="208" spans="1:76" s="124" customFormat="1" ht="15">
      <c r="A208" s="187">
        <v>6826</v>
      </c>
      <c r="B208" s="187" t="s">
        <v>557</v>
      </c>
      <c r="C208" s="187" t="s">
        <v>557</v>
      </c>
      <c r="D208" s="187" t="s">
        <v>1329</v>
      </c>
      <c r="E208" s="187" t="s">
        <v>385</v>
      </c>
      <c r="F208" s="187" t="s">
        <v>386</v>
      </c>
      <c r="G208" s="187" t="s">
        <v>387</v>
      </c>
      <c r="H208" s="187" t="b">
        <v>0</v>
      </c>
      <c r="I208" s="187" t="s">
        <v>388</v>
      </c>
      <c r="J208" s="187" t="s">
        <v>389</v>
      </c>
      <c r="K208" s="187" t="b">
        <v>1</v>
      </c>
      <c r="L208" s="187">
        <v>3.1</v>
      </c>
      <c r="M208" s="187">
        <v>0.3</v>
      </c>
      <c r="N208" s="187">
        <v>11.96</v>
      </c>
      <c r="O208" s="187">
        <v>3.7</v>
      </c>
      <c r="P208" s="187">
        <v>10.74</v>
      </c>
      <c r="Q208" s="187"/>
      <c r="R208" s="187"/>
      <c r="S208" s="187"/>
      <c r="T208" s="187"/>
      <c r="U208" s="187">
        <v>37.200000000000003</v>
      </c>
      <c r="V208" s="187">
        <v>2.4900000000000002</v>
      </c>
      <c r="W208" s="188">
        <v>41989</v>
      </c>
      <c r="X208" s="691">
        <f t="shared" si="99"/>
        <v>2.1038050000000004</v>
      </c>
      <c r="Y208" s="691">
        <f t="shared" si="76"/>
        <v>3.9067400000000001</v>
      </c>
      <c r="Z208" s="189"/>
      <c r="AA208" s="190">
        <f t="shared" si="84"/>
        <v>2014</v>
      </c>
      <c r="AB208" s="191">
        <f t="shared" si="85"/>
        <v>1.473520597203638</v>
      </c>
      <c r="AC208" s="192">
        <f>IF(AB208="","",AB208*SFAssumptions!$C$3)</f>
        <v>378.27233512611667</v>
      </c>
      <c r="AD208" s="193">
        <f t="shared" si="86"/>
        <v>12.110894</v>
      </c>
      <c r="AE208" s="194">
        <f>IF(AD208="","",AD208*SFAssumptions!$C$3)</f>
        <v>3109.0275646902001</v>
      </c>
      <c r="AF208" s="192">
        <f t="shared" si="75"/>
        <v>3.1</v>
      </c>
      <c r="AG208" s="192">
        <f t="shared" si="87"/>
        <v>3.9067400000000001</v>
      </c>
      <c r="AH208" s="192">
        <f t="shared" si="88"/>
        <v>2.1038050000000004</v>
      </c>
      <c r="AI208" s="692">
        <f ca="1">IF(AC208="","",AC208*SFAssumptions!$C$8/'SavingsData&amp;Analysis'!AF208)</f>
        <v>460.88302286557337</v>
      </c>
      <c r="AJ208" s="692">
        <f ca="1">IF(OR(AE208="",AF208=""),"",AE208*SFAssumptions!$C$8/AF208)</f>
        <v>3788.006388860239</v>
      </c>
      <c r="AK208" s="191">
        <f t="shared" si="89"/>
        <v>1.2449799196787148</v>
      </c>
      <c r="AL208" s="692">
        <f>IF(AK208="","",AK208*SFAssumptions!$C$3)</f>
        <v>319.60290361445783</v>
      </c>
      <c r="AM208" s="193">
        <f t="shared" si="90"/>
        <v>11.47</v>
      </c>
      <c r="AN208" s="194">
        <f>IF(AM208="","",AM208*SFAssumptions!$C$3)</f>
        <v>2944.5015510000003</v>
      </c>
      <c r="AO208" s="693">
        <f t="shared" si="91"/>
        <v>3.7</v>
      </c>
      <c r="AP208" s="693">
        <f t="shared" si="92"/>
        <v>2.4900000000000002</v>
      </c>
      <c r="AQ208" s="692">
        <f ca="1">IF(AL208="","",AL208*SFAssumptions!$C$8/'SavingsData&amp;Analysis'!AF208)</f>
        <v>389.40080639345689</v>
      </c>
      <c r="AR208" s="692">
        <f ca="1">IF(OR(AN208="",AF208=""),"",AN208*SFAssumptions!$C$8/AF208)</f>
        <v>3587.5496293029187</v>
      </c>
      <c r="AS208" s="190" t="str">
        <f>IF(OR(AG208="",AH208=""),"No",IF(AND(G208="Horizontal",AH208&gt;='Eff. Standards &amp; Certifications'!$B$21,AG208&lt;='Eff. Standards &amp; Certifications'!$C$21),"Consider",IF(AND(G208="Vertical",AH208&gt;='Eff. Standards &amp; Certifications'!$B$20,AG208&lt;='Eff. Standards &amp; Certifications'!$C$20),"Consider","No")))</f>
        <v>Consider</v>
      </c>
      <c r="AT208" s="190" t="str">
        <f t="shared" si="77"/>
        <v>Residential</v>
      </c>
      <c r="AU208" s="190"/>
      <c r="AV208" s="190" t="str">
        <f t="shared" si="103"/>
        <v>NO</v>
      </c>
      <c r="AW208" s="190" t="str">
        <f t="shared" si="103"/>
        <v>YES</v>
      </c>
      <c r="AX208" s="190" t="str">
        <f t="shared" si="93"/>
        <v>YES</v>
      </c>
      <c r="AY208" s="190" t="str">
        <f t="shared" si="78"/>
        <v>NO</v>
      </c>
      <c r="AZ208" s="190" t="str">
        <f t="shared" si="78"/>
        <v>YES</v>
      </c>
      <c r="BA208" s="190" t="str">
        <f t="shared" si="94"/>
        <v>YES</v>
      </c>
      <c r="BB208" s="190" t="str">
        <f t="shared" si="79"/>
        <v>NO</v>
      </c>
      <c r="BC208" s="190" t="str">
        <f t="shared" si="80"/>
        <v>NO</v>
      </c>
      <c r="BD208" s="190" t="str">
        <f t="shared" si="95"/>
        <v>NO</v>
      </c>
      <c r="BE208" s="190" t="str">
        <f t="shared" si="81"/>
        <v>NO</v>
      </c>
      <c r="BF208" s="190" t="str">
        <f t="shared" si="82"/>
        <v>NO</v>
      </c>
      <c r="BG208" s="190" t="str">
        <f t="shared" si="83"/>
        <v>NO</v>
      </c>
      <c r="BH208" s="88"/>
      <c r="BI208" s="9"/>
      <c r="BJ208" s="694" t="str">
        <f t="shared" si="104"/>
        <v/>
      </c>
      <c r="BK208" s="694">
        <f t="shared" si="104"/>
        <v>2.1038050000000004</v>
      </c>
      <c r="BL208" s="694" t="str">
        <f t="shared" si="105"/>
        <v/>
      </c>
      <c r="BM208" s="694">
        <f t="shared" si="105"/>
        <v>3.9067400000000001</v>
      </c>
      <c r="BN208" s="88"/>
      <c r="BO208" s="195"/>
      <c r="BP208" s="195"/>
      <c r="BQ208" s="195"/>
      <c r="BR208" s="195"/>
      <c r="BS208" s="195"/>
      <c r="BT208" s="195"/>
      <c r="BU208" s="195"/>
      <c r="BV208" s="195"/>
      <c r="BW208" s="195"/>
      <c r="BX208" s="195"/>
    </row>
    <row r="209" spans="1:76" s="124" customFormat="1" ht="15">
      <c r="A209" s="187">
        <v>6827</v>
      </c>
      <c r="B209" s="187" t="s">
        <v>557</v>
      </c>
      <c r="C209" s="187" t="s">
        <v>557</v>
      </c>
      <c r="D209" s="187" t="s">
        <v>1330</v>
      </c>
      <c r="E209" s="187" t="s">
        <v>385</v>
      </c>
      <c r="F209" s="187" t="s">
        <v>386</v>
      </c>
      <c r="G209" s="187" t="s">
        <v>387</v>
      </c>
      <c r="H209" s="187" t="b">
        <v>0</v>
      </c>
      <c r="I209" s="187" t="s">
        <v>388</v>
      </c>
      <c r="J209" s="187" t="s">
        <v>389</v>
      </c>
      <c r="K209" s="187" t="b">
        <v>1</v>
      </c>
      <c r="L209" s="187">
        <v>4.3</v>
      </c>
      <c r="M209" s="187">
        <v>0.32</v>
      </c>
      <c r="N209" s="187">
        <v>11.69</v>
      </c>
      <c r="O209" s="187">
        <v>2.7</v>
      </c>
      <c r="P209" s="187">
        <v>14.86</v>
      </c>
      <c r="Q209" s="187"/>
      <c r="R209" s="187"/>
      <c r="S209" s="187"/>
      <c r="T209" s="187"/>
      <c r="U209" s="187">
        <v>30.7</v>
      </c>
      <c r="V209" s="187">
        <v>3.2</v>
      </c>
      <c r="W209" s="188">
        <v>41989</v>
      </c>
      <c r="X209" s="691">
        <f t="shared" si="99"/>
        <v>2.7530999999999999</v>
      </c>
      <c r="Y209" s="691">
        <f t="shared" si="76"/>
        <v>2.8825400000000001</v>
      </c>
      <c r="Z209" s="189"/>
      <c r="AA209" s="190">
        <f t="shared" si="84"/>
        <v>2014</v>
      </c>
      <c r="AB209" s="191">
        <f t="shared" si="85"/>
        <v>1.561875703752134</v>
      </c>
      <c r="AC209" s="192">
        <f>IF(AB209="","",AB209*SFAssumptions!$C$3)</f>
        <v>400.95426610003273</v>
      </c>
      <c r="AD209" s="193">
        <f t="shared" si="86"/>
        <v>12.394921999999999</v>
      </c>
      <c r="AE209" s="194">
        <f>IF(AD209="","",AD209*SFAssumptions!$C$3)</f>
        <v>3181.9413298626</v>
      </c>
      <c r="AF209" s="192">
        <f t="shared" si="75"/>
        <v>4.3</v>
      </c>
      <c r="AG209" s="192">
        <f t="shared" si="87"/>
        <v>2.8825400000000001</v>
      </c>
      <c r="AH209" s="192">
        <f t="shared" si="88"/>
        <v>2.7530999999999999</v>
      </c>
      <c r="AI209" s="692">
        <f ca="1">IF(AC209="","",AC209*SFAssumptions!$C$8/'SavingsData&amp;Analysis'!AF209)</f>
        <v>352.18771854262752</v>
      </c>
      <c r="AJ209" s="692">
        <f ca="1">IF(OR(AE209="",AF209=""),"",AE209*SFAssumptions!$C$8/AF209)</f>
        <v>2794.9338671488745</v>
      </c>
      <c r="AK209" s="191">
        <f t="shared" si="89"/>
        <v>1.3437499999999998</v>
      </c>
      <c r="AL209" s="692">
        <f>IF(AK209="","",AK209*SFAssumptions!$C$3)</f>
        <v>344.95849687499992</v>
      </c>
      <c r="AM209" s="193">
        <f t="shared" si="90"/>
        <v>11.61</v>
      </c>
      <c r="AN209" s="194">
        <f>IF(AM209="","",AM209*SFAssumptions!$C$3)</f>
        <v>2980.441413</v>
      </c>
      <c r="AO209" s="693">
        <f t="shared" si="91"/>
        <v>2.7</v>
      </c>
      <c r="AP209" s="693">
        <f t="shared" si="92"/>
        <v>3.2</v>
      </c>
      <c r="AQ209" s="692">
        <f ca="1">IF(AL209="","",AL209*SFAssumptions!$C$8/'SavingsData&amp;Analysis'!AF209)</f>
        <v>303.00250247490857</v>
      </c>
      <c r="AR209" s="692">
        <f ca="1">IF(OR(AN209="",AF209=""),"",AN209*SFAssumptions!$C$8/AF209)</f>
        <v>2617.941621383211</v>
      </c>
      <c r="AS209" s="190" t="str">
        <f>IF(OR(AG209="",AH209=""),"No",IF(AND(G209="Horizontal",AH209&gt;='Eff. Standards &amp; Certifications'!$B$21,AG209&lt;='Eff. Standards &amp; Certifications'!$C$21),"Consider",IF(AND(G209="Vertical",AH209&gt;='Eff. Standards &amp; Certifications'!$B$20,AG209&lt;='Eff. Standards &amp; Certifications'!$C$20),"Consider","No")))</f>
        <v>Consider</v>
      </c>
      <c r="AT209" s="190" t="str">
        <f t="shared" si="77"/>
        <v>Residential</v>
      </c>
      <c r="AU209" s="190"/>
      <c r="AV209" s="190" t="str">
        <f t="shared" si="103"/>
        <v>NO</v>
      </c>
      <c r="AW209" s="190" t="str">
        <f t="shared" si="103"/>
        <v>YES</v>
      </c>
      <c r="AX209" s="190" t="str">
        <f t="shared" si="93"/>
        <v>YES</v>
      </c>
      <c r="AY209" s="190" t="str">
        <f t="shared" si="78"/>
        <v>NO</v>
      </c>
      <c r="AZ209" s="190" t="str">
        <f t="shared" si="78"/>
        <v>NO</v>
      </c>
      <c r="BA209" s="190" t="str">
        <f t="shared" si="94"/>
        <v>NO</v>
      </c>
      <c r="BB209" s="190" t="str">
        <f t="shared" si="79"/>
        <v>NO</v>
      </c>
      <c r="BC209" s="190" t="str">
        <f t="shared" si="80"/>
        <v>YES</v>
      </c>
      <c r="BD209" s="190" t="str">
        <f t="shared" si="95"/>
        <v>YES</v>
      </c>
      <c r="BE209" s="190" t="str">
        <f t="shared" si="81"/>
        <v>YES</v>
      </c>
      <c r="BF209" s="190" t="str">
        <f t="shared" si="82"/>
        <v>NO</v>
      </c>
      <c r="BG209" s="190" t="str">
        <f t="shared" si="83"/>
        <v>NO</v>
      </c>
      <c r="BH209" s="88"/>
      <c r="BI209" s="9"/>
      <c r="BJ209" s="694" t="str">
        <f t="shared" si="104"/>
        <v/>
      </c>
      <c r="BK209" s="694">
        <f t="shared" si="104"/>
        <v>2.7530999999999999</v>
      </c>
      <c r="BL209" s="694" t="str">
        <f t="shared" si="105"/>
        <v/>
      </c>
      <c r="BM209" s="694">
        <f t="shared" si="105"/>
        <v>2.8825400000000001</v>
      </c>
      <c r="BN209" s="88"/>
      <c r="BO209" s="195"/>
      <c r="BP209" s="195"/>
      <c r="BQ209" s="195"/>
      <c r="BR209" s="195"/>
      <c r="BS209" s="195"/>
      <c r="BT209" s="195"/>
      <c r="BU209" s="195"/>
      <c r="BV209" s="195"/>
      <c r="BW209" s="195"/>
      <c r="BX209" s="195"/>
    </row>
    <row r="210" spans="1:76" s="124" customFormat="1" ht="15">
      <c r="A210" s="187">
        <v>6828</v>
      </c>
      <c r="B210" s="187" t="s">
        <v>557</v>
      </c>
      <c r="C210" s="187" t="s">
        <v>557</v>
      </c>
      <c r="D210" s="187" t="s">
        <v>1331</v>
      </c>
      <c r="E210" s="187" t="s">
        <v>385</v>
      </c>
      <c r="F210" s="187" t="s">
        <v>386</v>
      </c>
      <c r="G210" s="187" t="s">
        <v>387</v>
      </c>
      <c r="H210" s="187" t="b">
        <v>0</v>
      </c>
      <c r="I210" s="187" t="s">
        <v>388</v>
      </c>
      <c r="J210" s="187" t="s">
        <v>389</v>
      </c>
      <c r="K210" s="187" t="b">
        <v>1</v>
      </c>
      <c r="L210" s="187">
        <v>2</v>
      </c>
      <c r="M210" s="187">
        <v>0.39</v>
      </c>
      <c r="N210" s="187">
        <v>10.28</v>
      </c>
      <c r="O210" s="187">
        <v>5.2</v>
      </c>
      <c r="P210" s="187">
        <v>5.43</v>
      </c>
      <c r="Q210" s="187"/>
      <c r="R210" s="187"/>
      <c r="S210" s="187"/>
      <c r="T210" s="187"/>
      <c r="U210" s="187">
        <v>36.299999999999997</v>
      </c>
      <c r="V210" s="187">
        <v>2.08</v>
      </c>
      <c r="W210" s="188">
        <v>41989</v>
      </c>
      <c r="X210" s="691">
        <f t="shared" si="99"/>
        <v>1.7288600000000001</v>
      </c>
      <c r="Y210" s="691">
        <f t="shared" si="76"/>
        <v>5.4430400000000008</v>
      </c>
      <c r="Z210" s="189"/>
      <c r="AA210" s="190">
        <f t="shared" si="84"/>
        <v>2014</v>
      </c>
      <c r="AB210" s="191">
        <f t="shared" si="85"/>
        <v>1.1568316694237821</v>
      </c>
      <c r="AC210" s="192">
        <f>IF(AB210="","",AB210*SFAssumptions!$C$3)</f>
        <v>296.97407540228824</v>
      </c>
      <c r="AD210" s="193">
        <f t="shared" si="86"/>
        <v>10.886080000000002</v>
      </c>
      <c r="AE210" s="194">
        <f>IF(AD210="","",AD210*SFAssumptions!$C$3)</f>
        <v>2794.6015208640006</v>
      </c>
      <c r="AF210" s="192">
        <f t="shared" si="75"/>
        <v>2</v>
      </c>
      <c r="AG210" s="192">
        <f t="shared" si="87"/>
        <v>5.4430400000000008</v>
      </c>
      <c r="AH210" s="192">
        <f t="shared" si="88"/>
        <v>1.7288600000000001</v>
      </c>
      <c r="AI210" s="692">
        <f ca="1">IF(AC210="","",AC210*SFAssumptions!$C$8/'SavingsData&amp;Analysis'!AF210)</f>
        <v>560.83662524421163</v>
      </c>
      <c r="AJ210" s="692">
        <f ca="1">IF(OR(AE210="",AF210=""),"",AE210*SFAssumptions!$C$8/AF210)</f>
        <v>5277.6151714272864</v>
      </c>
      <c r="AK210" s="191">
        <f t="shared" si="89"/>
        <v>0.96153846153846145</v>
      </c>
      <c r="AL210" s="692">
        <f>IF(AK210="","",AK210*SFAssumptions!$C$3)</f>
        <v>246.83971153846153</v>
      </c>
      <c r="AM210" s="193">
        <f t="shared" si="90"/>
        <v>10.4</v>
      </c>
      <c r="AN210" s="194">
        <f>IF(AM210="","",AM210*SFAssumptions!$C$3)</f>
        <v>2669.8183200000003</v>
      </c>
      <c r="AO210" s="693">
        <f t="shared" si="91"/>
        <v>5.2</v>
      </c>
      <c r="AP210" s="693">
        <f t="shared" si="92"/>
        <v>2.08</v>
      </c>
      <c r="AQ210" s="692">
        <f ca="1">IF(AL210="","",AL210*SFAssumptions!$C$8/'SavingsData&amp;Analysis'!AF210)</f>
        <v>466.15769611524405</v>
      </c>
      <c r="AR210" s="692">
        <f ca="1">IF(OR(AN210="",AF210=""),"",AN210*SFAssumptions!$C$8/AF210)</f>
        <v>5041.9616411824809</v>
      </c>
      <c r="AS210" s="190" t="str">
        <f>IF(OR(AG210="",AH210=""),"No",IF(AND(G210="Horizontal",AH210&gt;='Eff. Standards &amp; Certifications'!$B$21,AG210&lt;='Eff. Standards &amp; Certifications'!$C$21),"Consider",IF(AND(G210="Vertical",AH210&gt;='Eff. Standards &amp; Certifications'!$B$20,AG210&lt;='Eff. Standards &amp; Certifications'!$C$20),"Consider","No")))</f>
        <v>No</v>
      </c>
      <c r="AT210" s="190" t="str">
        <f t="shared" si="77"/>
        <v>Residential</v>
      </c>
      <c r="AU210" s="190"/>
      <c r="AV210" s="190" t="str">
        <f t="shared" si="103"/>
        <v>NO</v>
      </c>
      <c r="AW210" s="190" t="str">
        <f t="shared" si="103"/>
        <v>NO</v>
      </c>
      <c r="AX210" s="190" t="str">
        <f t="shared" si="93"/>
        <v>NO</v>
      </c>
      <c r="AY210" s="190" t="str">
        <f t="shared" si="78"/>
        <v>NO</v>
      </c>
      <c r="AZ210" s="190" t="str">
        <f t="shared" si="78"/>
        <v>NO</v>
      </c>
      <c r="BA210" s="190" t="str">
        <f t="shared" si="94"/>
        <v>NO</v>
      </c>
      <c r="BB210" s="190" t="str">
        <f t="shared" si="79"/>
        <v>NO</v>
      </c>
      <c r="BC210" s="190" t="str">
        <f t="shared" si="80"/>
        <v>NO</v>
      </c>
      <c r="BD210" s="190" t="str">
        <f t="shared" si="95"/>
        <v>NO</v>
      </c>
      <c r="BE210" s="190" t="str">
        <f t="shared" si="81"/>
        <v>NO</v>
      </c>
      <c r="BF210" s="190" t="str">
        <f t="shared" si="82"/>
        <v>NO</v>
      </c>
      <c r="BG210" s="190" t="str">
        <f t="shared" si="83"/>
        <v>NO</v>
      </c>
      <c r="BH210" s="88"/>
      <c r="BI210" s="9"/>
      <c r="BJ210" s="694" t="str">
        <f t="shared" si="104"/>
        <v/>
      </c>
      <c r="BK210" s="694" t="str">
        <f t="shared" si="104"/>
        <v/>
      </c>
      <c r="BL210" s="694" t="str">
        <f t="shared" si="105"/>
        <v/>
      </c>
      <c r="BM210" s="694" t="str">
        <f t="shared" si="105"/>
        <v/>
      </c>
      <c r="BN210" s="88"/>
      <c r="BO210" s="195"/>
      <c r="BP210" s="195"/>
      <c r="BQ210" s="195"/>
      <c r="BR210" s="195"/>
      <c r="BS210" s="195"/>
      <c r="BT210" s="195"/>
      <c r="BU210" s="195"/>
      <c r="BV210" s="195"/>
      <c r="BW210" s="195"/>
      <c r="BX210" s="195"/>
    </row>
    <row r="211" spans="1:76" s="124" customFormat="1" ht="15">
      <c r="A211" s="187">
        <v>6829</v>
      </c>
      <c r="B211" s="187" t="s">
        <v>557</v>
      </c>
      <c r="C211" s="187" t="s">
        <v>557</v>
      </c>
      <c r="D211" s="187" t="s">
        <v>1332</v>
      </c>
      <c r="E211" s="187" t="s">
        <v>392</v>
      </c>
      <c r="F211" s="187" t="s">
        <v>386</v>
      </c>
      <c r="G211" s="187" t="s">
        <v>393</v>
      </c>
      <c r="H211" s="187" t="b">
        <v>0</v>
      </c>
      <c r="I211" s="187" t="s">
        <v>388</v>
      </c>
      <c r="J211" s="187" t="s">
        <v>389</v>
      </c>
      <c r="K211" s="187" t="b">
        <v>1</v>
      </c>
      <c r="L211" s="187">
        <v>4.5999999999999996</v>
      </c>
      <c r="M211" s="187">
        <v>0.46</v>
      </c>
      <c r="N211" s="187">
        <v>16.399999999999999</v>
      </c>
      <c r="O211" s="187">
        <v>3.7</v>
      </c>
      <c r="P211" s="187">
        <v>10.06</v>
      </c>
      <c r="Q211" s="187"/>
      <c r="R211" s="187"/>
      <c r="S211" s="187"/>
      <c r="T211" s="187"/>
      <c r="U211" s="187">
        <v>34.5</v>
      </c>
      <c r="V211" s="187">
        <v>2.61</v>
      </c>
      <c r="W211" s="188">
        <v>41989</v>
      </c>
      <c r="X211" s="691">
        <f t="shared" si="99"/>
        <v>2.1675999999999997</v>
      </c>
      <c r="Y211" s="691">
        <f t="shared" si="76"/>
        <v>4.18703</v>
      </c>
      <c r="Z211" s="189"/>
      <c r="AA211" s="190">
        <f t="shared" si="84"/>
        <v>2014</v>
      </c>
      <c r="AB211" s="191">
        <f t="shared" si="85"/>
        <v>2.122162760656948</v>
      </c>
      <c r="AC211" s="192">
        <f>IF(AB211="","",AB211*SFAssumptions!$C$3)</f>
        <v>544.78740542535525</v>
      </c>
      <c r="AD211" s="193">
        <f t="shared" si="86"/>
        <v>19.260337999999997</v>
      </c>
      <c r="AE211" s="194">
        <f>IF(AD211="","",AD211*SFAssumptions!$C$3)</f>
        <v>4944.3849270953997</v>
      </c>
      <c r="AF211" s="192">
        <f t="shared" si="75"/>
        <v>4.5999999999999996</v>
      </c>
      <c r="AG211" s="192">
        <f t="shared" si="87"/>
        <v>4.18703</v>
      </c>
      <c r="AH211" s="192">
        <f t="shared" si="88"/>
        <v>2.1675999999999997</v>
      </c>
      <c r="AI211" s="692">
        <f ca="1">IF(AC211="","",AC211*SFAssumptions!$C$8/'SavingsData&amp;Analysis'!AF211)</f>
        <v>447.31869713955888</v>
      </c>
      <c r="AJ211" s="692">
        <f ca="1">IF(OR(AE211="",AF211=""),"",AE211*SFAssumptions!$C$8/AF211)</f>
        <v>4059.7778174000541</v>
      </c>
      <c r="AK211" s="191">
        <f t="shared" si="89"/>
        <v>1.7624521072796935</v>
      </c>
      <c r="AL211" s="692">
        <f>IF(AK211="","",AK211*SFAssumptions!$C$3)</f>
        <v>452.44489655172413</v>
      </c>
      <c r="AM211" s="193">
        <f t="shared" si="90"/>
        <v>17.02</v>
      </c>
      <c r="AN211" s="194">
        <f>IF(AM211="","",AM211*SFAssumptions!$C$3)</f>
        <v>4369.2603659999995</v>
      </c>
      <c r="AO211" s="693">
        <f t="shared" si="91"/>
        <v>3.7</v>
      </c>
      <c r="AP211" s="693">
        <f t="shared" si="92"/>
        <v>2.61</v>
      </c>
      <c r="AQ211" s="692">
        <f ca="1">IF(AL211="","",AL211*SFAssumptions!$C$8/'SavingsData&amp;Analysis'!AF211)</f>
        <v>371.4973210420336</v>
      </c>
      <c r="AR211" s="692">
        <f ca="1">IF(OR(AN211="",AF211=""),"",AN211*SFAssumptions!$C$8/AF211)</f>
        <v>3587.5496293029182</v>
      </c>
      <c r="AS211" s="190" t="str">
        <f>IF(OR(AG211="",AH211=""),"No",IF(AND(G211="Horizontal",AH211&gt;='Eff. Standards &amp; Certifications'!$B$21,AG211&lt;='Eff. Standards &amp; Certifications'!$C$21),"Consider",IF(AND(G211="Vertical",AH211&gt;='Eff. Standards &amp; Certifications'!$B$20,AG211&lt;='Eff. Standards &amp; Certifications'!$C$20),"Consider","No")))</f>
        <v>Consider</v>
      </c>
      <c r="AT211" s="190" t="str">
        <f t="shared" si="77"/>
        <v>Residential</v>
      </c>
      <c r="AU211" s="190"/>
      <c r="AV211" s="190" t="str">
        <f t="shared" si="103"/>
        <v>YES</v>
      </c>
      <c r="AW211" s="190" t="str">
        <f t="shared" si="103"/>
        <v>NO</v>
      </c>
      <c r="AX211" s="190" t="str">
        <f t="shared" si="93"/>
        <v>YES</v>
      </c>
      <c r="AY211" s="190" t="str">
        <f t="shared" si="78"/>
        <v>NO</v>
      </c>
      <c r="AZ211" s="190" t="str">
        <f t="shared" si="78"/>
        <v>NO</v>
      </c>
      <c r="BA211" s="190" t="str">
        <f t="shared" si="94"/>
        <v>NO</v>
      </c>
      <c r="BB211" s="190" t="str">
        <f t="shared" si="79"/>
        <v>YES</v>
      </c>
      <c r="BC211" s="190" t="str">
        <f t="shared" si="80"/>
        <v>NO</v>
      </c>
      <c r="BD211" s="190" t="str">
        <f t="shared" si="95"/>
        <v>YES</v>
      </c>
      <c r="BE211" s="190" t="str">
        <f t="shared" si="81"/>
        <v>NO</v>
      </c>
      <c r="BF211" s="190" t="str">
        <f t="shared" si="82"/>
        <v>NO</v>
      </c>
      <c r="BG211" s="190" t="str">
        <f t="shared" si="83"/>
        <v>NO</v>
      </c>
      <c r="BH211" s="88"/>
      <c r="BI211" s="9"/>
      <c r="BJ211" s="694">
        <f t="shared" si="104"/>
        <v>2.1675999999999997</v>
      </c>
      <c r="BK211" s="694" t="str">
        <f t="shared" si="104"/>
        <v/>
      </c>
      <c r="BL211" s="694">
        <f t="shared" si="105"/>
        <v>4.18703</v>
      </c>
      <c r="BM211" s="694" t="str">
        <f t="shared" si="105"/>
        <v/>
      </c>
      <c r="BN211" s="88"/>
      <c r="BO211" s="195"/>
      <c r="BP211" s="195"/>
      <c r="BQ211" s="195"/>
      <c r="BR211" s="195"/>
      <c r="BS211" s="195"/>
      <c r="BT211" s="195"/>
      <c r="BU211" s="195"/>
      <c r="BV211" s="195"/>
      <c r="BW211" s="195"/>
      <c r="BX211" s="195"/>
    </row>
    <row r="212" spans="1:76" s="124" customFormat="1" ht="15">
      <c r="A212" s="187">
        <v>6830</v>
      </c>
      <c r="B212" s="187" t="s">
        <v>557</v>
      </c>
      <c r="C212" s="187" t="s">
        <v>557</v>
      </c>
      <c r="D212" s="187" t="s">
        <v>1333</v>
      </c>
      <c r="E212" s="187" t="s">
        <v>392</v>
      </c>
      <c r="F212" s="187" t="s">
        <v>386</v>
      </c>
      <c r="G212" s="187" t="s">
        <v>393</v>
      </c>
      <c r="H212" s="187" t="b">
        <v>0</v>
      </c>
      <c r="I212" s="187" t="s">
        <v>388</v>
      </c>
      <c r="J212" s="187" t="s">
        <v>389</v>
      </c>
      <c r="K212" s="187" t="b">
        <v>1</v>
      </c>
      <c r="L212" s="187">
        <v>4.5999999999999996</v>
      </c>
      <c r="M212" s="187">
        <v>0.48</v>
      </c>
      <c r="N212" s="187">
        <v>17.25</v>
      </c>
      <c r="O212" s="187">
        <v>3.9</v>
      </c>
      <c r="P212" s="187">
        <v>9.68</v>
      </c>
      <c r="Q212" s="187"/>
      <c r="R212" s="187"/>
      <c r="S212" s="187"/>
      <c r="T212" s="187"/>
      <c r="U212" s="187">
        <v>34.700000000000003</v>
      </c>
      <c r="V212" s="187">
        <v>2.57</v>
      </c>
      <c r="W212" s="188">
        <v>41989</v>
      </c>
      <c r="X212" s="691">
        <f t="shared" si="99"/>
        <v>2.1279999999999997</v>
      </c>
      <c r="Y212" s="691">
        <f t="shared" si="76"/>
        <v>4.3848099999999999</v>
      </c>
      <c r="Z212" s="189"/>
      <c r="AA212" s="190">
        <f t="shared" si="84"/>
        <v>2014</v>
      </c>
      <c r="AB212" s="191">
        <f t="shared" si="85"/>
        <v>2.1616541353383458</v>
      </c>
      <c r="AC212" s="192">
        <f>IF(AB212="","",AB212*SFAssumptions!$C$3)</f>
        <v>554.92536654135336</v>
      </c>
      <c r="AD212" s="193">
        <f t="shared" si="86"/>
        <v>20.170125999999996</v>
      </c>
      <c r="AE212" s="194">
        <f>IF(AD212="","",AD212*SFAssumptions!$C$3)</f>
        <v>5177.9396068757987</v>
      </c>
      <c r="AF212" s="192">
        <f t="shared" si="75"/>
        <v>4.5999999999999996</v>
      </c>
      <c r="AG212" s="192">
        <f t="shared" si="87"/>
        <v>4.3848099999999999</v>
      </c>
      <c r="AH212" s="192">
        <f t="shared" si="88"/>
        <v>2.1279999999999997</v>
      </c>
      <c r="AI212" s="692">
        <f ca="1">IF(AC212="","",AC212*SFAssumptions!$C$8/'SavingsData&amp;Analysis'!AF212)</f>
        <v>455.64286086452427</v>
      </c>
      <c r="AJ212" s="692">
        <f ca="1">IF(OR(AE212="",AF212=""),"",AE212*SFAssumptions!$C$8/AF212)</f>
        <v>4251.5468892064127</v>
      </c>
      <c r="AK212" s="191">
        <f t="shared" si="89"/>
        <v>1.7898832684824904</v>
      </c>
      <c r="AL212" s="692">
        <f>IF(AK212="","",AK212*SFAssumptions!$C$3)</f>
        <v>459.48684046692608</v>
      </c>
      <c r="AM212" s="193">
        <f t="shared" si="90"/>
        <v>17.939999999999998</v>
      </c>
      <c r="AN212" s="194">
        <f>IF(AM212="","",AM212*SFAssumptions!$C$3)</f>
        <v>4605.4366019999998</v>
      </c>
      <c r="AO212" s="693">
        <f t="shared" si="91"/>
        <v>3.9</v>
      </c>
      <c r="AP212" s="693">
        <f t="shared" si="92"/>
        <v>2.57</v>
      </c>
      <c r="AQ212" s="692">
        <f ca="1">IF(AL212="","",AL212*SFAssumptions!$C$8/'SavingsData&amp;Analysis'!AF212)</f>
        <v>377.27938051350498</v>
      </c>
      <c r="AR212" s="692">
        <f ca="1">IF(OR(AN212="",AF212=""),"",AN212*SFAssumptions!$C$8/AF212)</f>
        <v>3781.4712308868598</v>
      </c>
      <c r="AS212" s="190" t="str">
        <f>IF(OR(AG212="",AH212=""),"No",IF(AND(G212="Horizontal",AH212&gt;='Eff. Standards &amp; Certifications'!$B$21,AG212&lt;='Eff. Standards &amp; Certifications'!$C$21),"Consider",IF(AND(G212="Vertical",AH212&gt;='Eff. Standards &amp; Certifications'!$B$20,AG212&lt;='Eff. Standards &amp; Certifications'!$C$20),"Consider","No")))</f>
        <v>Consider</v>
      </c>
      <c r="AT212" s="190" t="str">
        <f t="shared" si="77"/>
        <v>Residential</v>
      </c>
      <c r="AU212" s="190"/>
      <c r="AV212" s="190" t="str">
        <f t="shared" si="103"/>
        <v>YES</v>
      </c>
      <c r="AW212" s="190" t="str">
        <f t="shared" si="103"/>
        <v>NO</v>
      </c>
      <c r="AX212" s="190" t="str">
        <f t="shared" si="93"/>
        <v>YES</v>
      </c>
      <c r="AY212" s="190" t="str">
        <f t="shared" si="78"/>
        <v>YES</v>
      </c>
      <c r="AZ212" s="190" t="str">
        <f t="shared" si="78"/>
        <v>NO</v>
      </c>
      <c r="BA212" s="190" t="str">
        <f t="shared" si="94"/>
        <v>YES</v>
      </c>
      <c r="BB212" s="190" t="str">
        <f t="shared" si="79"/>
        <v>NO</v>
      </c>
      <c r="BC212" s="190" t="str">
        <f t="shared" si="80"/>
        <v>NO</v>
      </c>
      <c r="BD212" s="190" t="str">
        <f t="shared" si="95"/>
        <v>NO</v>
      </c>
      <c r="BE212" s="190" t="str">
        <f t="shared" si="81"/>
        <v>NO</v>
      </c>
      <c r="BF212" s="190" t="str">
        <f t="shared" si="82"/>
        <v>NO</v>
      </c>
      <c r="BG212" s="190" t="str">
        <f t="shared" si="83"/>
        <v>NO</v>
      </c>
      <c r="BH212" s="88"/>
      <c r="BI212" s="9"/>
      <c r="BJ212" s="694">
        <f t="shared" si="104"/>
        <v>2.1279999999999997</v>
      </c>
      <c r="BK212" s="694" t="str">
        <f t="shared" si="104"/>
        <v/>
      </c>
      <c r="BL212" s="694">
        <f t="shared" si="105"/>
        <v>4.3848099999999999</v>
      </c>
      <c r="BM212" s="694" t="str">
        <f t="shared" si="105"/>
        <v/>
      </c>
      <c r="BN212" s="88"/>
      <c r="BO212" s="195"/>
      <c r="BP212" s="195"/>
      <c r="BQ212" s="195"/>
      <c r="BR212" s="195"/>
      <c r="BS212" s="195"/>
      <c r="BT212" s="195"/>
      <c r="BU212" s="195"/>
      <c r="BV212" s="195"/>
      <c r="BW212" s="195"/>
      <c r="BX212" s="195"/>
    </row>
    <row r="213" spans="1:76" s="124" customFormat="1" ht="15">
      <c r="A213" s="187">
        <v>6833</v>
      </c>
      <c r="B213" s="187" t="s">
        <v>557</v>
      </c>
      <c r="C213" s="187" t="s">
        <v>557</v>
      </c>
      <c r="D213" s="187" t="s">
        <v>1334</v>
      </c>
      <c r="E213" s="187" t="s">
        <v>392</v>
      </c>
      <c r="F213" s="187" t="s">
        <v>386</v>
      </c>
      <c r="G213" s="187" t="s">
        <v>393</v>
      </c>
      <c r="H213" s="187" t="b">
        <v>0</v>
      </c>
      <c r="I213" s="187" t="s">
        <v>388</v>
      </c>
      <c r="J213" s="187" t="s">
        <v>389</v>
      </c>
      <c r="K213" s="187" t="b">
        <v>1</v>
      </c>
      <c r="L213" s="187">
        <v>3.6</v>
      </c>
      <c r="M213" s="187">
        <v>0.3</v>
      </c>
      <c r="N213" s="187">
        <v>12.59</v>
      </c>
      <c r="O213" s="187">
        <v>3.6</v>
      </c>
      <c r="P213" s="187">
        <v>12.22</v>
      </c>
      <c r="Q213" s="187"/>
      <c r="R213" s="187"/>
      <c r="S213" s="187"/>
      <c r="T213" s="187"/>
      <c r="U213" s="187">
        <v>38.799999999999997</v>
      </c>
      <c r="V213" s="187">
        <v>2.46</v>
      </c>
      <c r="W213" s="188">
        <v>41989</v>
      </c>
      <c r="X213" s="691">
        <f t="shared" si="99"/>
        <v>2.0190999999999999</v>
      </c>
      <c r="Y213" s="691">
        <f t="shared" si="76"/>
        <v>4.0881400000000001</v>
      </c>
      <c r="Z213" s="189"/>
      <c r="AA213" s="190">
        <f t="shared" si="84"/>
        <v>2014</v>
      </c>
      <c r="AB213" s="191">
        <f t="shared" si="85"/>
        <v>1.7829726115596058</v>
      </c>
      <c r="AC213" s="192">
        <f>IF(AB213="","",AB213*SFAssumptions!$C$3)</f>
        <v>457.71278292308455</v>
      </c>
      <c r="AD213" s="193">
        <f t="shared" si="86"/>
        <v>14.717304</v>
      </c>
      <c r="AE213" s="194">
        <f>IF(AD213="","",AD213*SFAssumptions!$C$3)</f>
        <v>3778.1276769432002</v>
      </c>
      <c r="AF213" s="192">
        <f t="shared" si="75"/>
        <v>3.6</v>
      </c>
      <c r="AG213" s="192">
        <f t="shared" si="87"/>
        <v>4.0881400000000001</v>
      </c>
      <c r="AH213" s="192">
        <f t="shared" si="88"/>
        <v>2.0190999999999999</v>
      </c>
      <c r="AI213" s="692">
        <f ca="1">IF(AC213="","",AC213*SFAssumptions!$C$8/'SavingsData&amp;Analysis'!AF213)</f>
        <v>480.21792279714111</v>
      </c>
      <c r="AJ213" s="692">
        <f ca="1">IF(OR(AE213="",AF213=""),"",AE213*SFAssumptions!$C$8/AF213)</f>
        <v>3963.8932814968734</v>
      </c>
      <c r="AK213" s="191">
        <f t="shared" si="89"/>
        <v>1.4634146341463414</v>
      </c>
      <c r="AL213" s="692">
        <f>IF(AK213="","",AK213*SFAssumptions!$C$3)</f>
        <v>375.678</v>
      </c>
      <c r="AM213" s="193">
        <f t="shared" si="90"/>
        <v>12.96</v>
      </c>
      <c r="AN213" s="194">
        <f>IF(AM213="","",AM213*SFAssumptions!$C$3)</f>
        <v>3327.0043680000003</v>
      </c>
      <c r="AO213" s="693">
        <f t="shared" si="91"/>
        <v>3.6</v>
      </c>
      <c r="AP213" s="693">
        <f t="shared" si="92"/>
        <v>2.46</v>
      </c>
      <c r="AQ213" s="692">
        <f ca="1">IF(AL213="","",AL213*SFAssumptions!$C$8/'SavingsData&amp;Analysis'!AF213)</f>
        <v>394.1495967153283</v>
      </c>
      <c r="AR213" s="692">
        <f ca="1">IF(OR(AN213="",AF213=""),"",AN213*SFAssumptions!$C$8/AF213)</f>
        <v>3490.5888285109477</v>
      </c>
      <c r="AS213" s="190" t="str">
        <f>IF(OR(AG213="",AH213=""),"No",IF(AND(G213="Horizontal",AH213&gt;='Eff. Standards &amp; Certifications'!$B$21,AG213&lt;='Eff. Standards &amp; Certifications'!$C$21),"Consider",IF(AND(G213="Vertical",AH213&gt;='Eff. Standards &amp; Certifications'!$B$20,AG213&lt;='Eff. Standards &amp; Certifications'!$C$20),"Consider","No")))</f>
        <v>Consider</v>
      </c>
      <c r="AT213" s="190" t="str">
        <f t="shared" si="77"/>
        <v>Residential</v>
      </c>
      <c r="AU213" s="190"/>
      <c r="AV213" s="190" t="str">
        <f t="shared" si="103"/>
        <v>YES</v>
      </c>
      <c r="AW213" s="190" t="str">
        <f t="shared" si="103"/>
        <v>NO</v>
      </c>
      <c r="AX213" s="190" t="str">
        <f t="shared" si="93"/>
        <v>YES</v>
      </c>
      <c r="AY213" s="190" t="str">
        <f t="shared" si="78"/>
        <v>YES</v>
      </c>
      <c r="AZ213" s="190" t="str">
        <f t="shared" si="78"/>
        <v>NO</v>
      </c>
      <c r="BA213" s="190" t="str">
        <f t="shared" si="94"/>
        <v>YES</v>
      </c>
      <c r="BB213" s="190" t="str">
        <f t="shared" si="79"/>
        <v>NO</v>
      </c>
      <c r="BC213" s="190" t="str">
        <f t="shared" si="80"/>
        <v>NO</v>
      </c>
      <c r="BD213" s="190" t="str">
        <f t="shared" si="95"/>
        <v>NO</v>
      </c>
      <c r="BE213" s="190" t="str">
        <f t="shared" si="81"/>
        <v>NO</v>
      </c>
      <c r="BF213" s="190" t="str">
        <f t="shared" si="82"/>
        <v>NO</v>
      </c>
      <c r="BG213" s="190" t="str">
        <f t="shared" si="83"/>
        <v>NO</v>
      </c>
      <c r="BH213" s="88"/>
      <c r="BI213" s="9"/>
      <c r="BJ213" s="694">
        <f t="shared" si="104"/>
        <v>2.0190999999999999</v>
      </c>
      <c r="BK213" s="694" t="str">
        <f t="shared" si="104"/>
        <v/>
      </c>
      <c r="BL213" s="694">
        <f t="shared" si="105"/>
        <v>4.0881400000000001</v>
      </c>
      <c r="BM213" s="694" t="str">
        <f t="shared" si="105"/>
        <v/>
      </c>
      <c r="BN213" s="88"/>
      <c r="BO213" s="195"/>
      <c r="BP213" s="195"/>
      <c r="BQ213" s="195"/>
      <c r="BR213" s="195"/>
      <c r="BS213" s="195"/>
      <c r="BT213" s="195"/>
      <c r="BU213" s="195"/>
      <c r="BV213" s="195"/>
      <c r="BW213" s="195"/>
      <c r="BX213" s="195"/>
    </row>
    <row r="214" spans="1:76" s="124" customFormat="1" ht="15">
      <c r="A214" s="187">
        <v>6834</v>
      </c>
      <c r="B214" s="187" t="s">
        <v>557</v>
      </c>
      <c r="C214" s="187" t="s">
        <v>557</v>
      </c>
      <c r="D214" s="187" t="s">
        <v>1335</v>
      </c>
      <c r="E214" s="187" t="s">
        <v>392</v>
      </c>
      <c r="F214" s="187" t="s">
        <v>386</v>
      </c>
      <c r="G214" s="187" t="s">
        <v>393</v>
      </c>
      <c r="H214" s="187" t="b">
        <v>0</v>
      </c>
      <c r="I214" s="187" t="s">
        <v>388</v>
      </c>
      <c r="J214" s="187" t="s">
        <v>389</v>
      </c>
      <c r="K214" s="187" t="b">
        <v>1</v>
      </c>
      <c r="L214" s="187">
        <v>3.8</v>
      </c>
      <c r="M214" s="187">
        <v>0.34</v>
      </c>
      <c r="N214" s="187">
        <v>15.16</v>
      </c>
      <c r="O214" s="187">
        <v>4</v>
      </c>
      <c r="P214" s="187">
        <v>11.66</v>
      </c>
      <c r="Q214" s="187"/>
      <c r="R214" s="187"/>
      <c r="S214" s="187"/>
      <c r="T214" s="187"/>
      <c r="U214" s="187">
        <v>38.799999999999997</v>
      </c>
      <c r="V214" s="187">
        <v>2.4</v>
      </c>
      <c r="W214" s="188">
        <v>41989</v>
      </c>
      <c r="X214" s="691">
        <f t="shared" si="99"/>
        <v>1.9596999999999998</v>
      </c>
      <c r="Y214" s="691">
        <f t="shared" si="76"/>
        <v>4.4836999999999998</v>
      </c>
      <c r="Z214" s="189"/>
      <c r="AA214" s="190">
        <f t="shared" si="84"/>
        <v>2014</v>
      </c>
      <c r="AB214" s="191">
        <f t="shared" si="85"/>
        <v>1.9390723069857632</v>
      </c>
      <c r="AC214" s="192">
        <f>IF(AB214="","",AB214*SFAssumptions!$C$3)</f>
        <v>497.7856508649283</v>
      </c>
      <c r="AD214" s="193">
        <f t="shared" si="86"/>
        <v>17.038059999999998</v>
      </c>
      <c r="AE214" s="194">
        <f>IF(AD214="","",AD214*SFAssumptions!$C$3)</f>
        <v>4373.8966081979997</v>
      </c>
      <c r="AF214" s="192">
        <f t="shared" ref="AF214:AF277" si="106">L214</f>
        <v>3.8</v>
      </c>
      <c r="AG214" s="192">
        <f t="shared" si="87"/>
        <v>4.4836999999999998</v>
      </c>
      <c r="AH214" s="192">
        <f t="shared" si="88"/>
        <v>1.9596999999999998</v>
      </c>
      <c r="AI214" s="692">
        <f ca="1">IF(AC214="","",AC214*SFAssumptions!$C$8/'SavingsData&amp;Analysis'!AF214)</f>
        <v>494.77369389177312</v>
      </c>
      <c r="AJ214" s="692">
        <f ca="1">IF(OR(AE214="",AF214=""),"",AE214*SFAssumptions!$C$8/AF214)</f>
        <v>4347.431425109593</v>
      </c>
      <c r="AK214" s="191">
        <f t="shared" si="89"/>
        <v>1.5833333333333333</v>
      </c>
      <c r="AL214" s="692">
        <f>IF(AK214="","",AK214*SFAssumptions!$C$3)</f>
        <v>406.46272499999998</v>
      </c>
      <c r="AM214" s="193">
        <f t="shared" si="90"/>
        <v>15.2</v>
      </c>
      <c r="AN214" s="194">
        <f>IF(AM214="","",AM214*SFAssumptions!$C$3)</f>
        <v>3902.04216</v>
      </c>
      <c r="AO214" s="693">
        <f t="shared" si="91"/>
        <v>4</v>
      </c>
      <c r="AP214" s="693">
        <f t="shared" si="92"/>
        <v>2.4</v>
      </c>
      <c r="AQ214" s="692">
        <f ca="1">IF(AL214="","",AL214*SFAssumptions!$C$8/'SavingsData&amp;Analysis'!AF214)</f>
        <v>404.00333663321152</v>
      </c>
      <c r="AR214" s="692">
        <f ca="1">IF(OR(AN214="",AF214=""),"",AN214*SFAssumptions!$C$8/AF214)</f>
        <v>3878.4320316788308</v>
      </c>
      <c r="AS214" s="190" t="str">
        <f>IF(OR(AG214="",AH214=""),"No",IF(AND(G214="Horizontal",AH214&gt;='Eff. Standards &amp; Certifications'!$B$21,AG214&lt;='Eff. Standards &amp; Certifications'!$C$21),"Consider",IF(AND(G214="Vertical",AH214&gt;='Eff. Standards &amp; Certifications'!$B$20,AG214&lt;='Eff. Standards &amp; Certifications'!$C$20),"Consider","No")))</f>
        <v>Consider</v>
      </c>
      <c r="AT214" s="190" t="str">
        <f t="shared" si="77"/>
        <v>Residential</v>
      </c>
      <c r="AU214" s="190"/>
      <c r="AV214" s="190" t="str">
        <f t="shared" si="103"/>
        <v>YES</v>
      </c>
      <c r="AW214" s="190" t="str">
        <f t="shared" si="103"/>
        <v>NO</v>
      </c>
      <c r="AX214" s="190" t="str">
        <f t="shared" si="93"/>
        <v>YES</v>
      </c>
      <c r="AY214" s="190" t="str">
        <f t="shared" si="78"/>
        <v>YES</v>
      </c>
      <c r="AZ214" s="190" t="str">
        <f t="shared" si="78"/>
        <v>NO</v>
      </c>
      <c r="BA214" s="190" t="str">
        <f t="shared" si="94"/>
        <v>YES</v>
      </c>
      <c r="BB214" s="190" t="str">
        <f t="shared" si="79"/>
        <v>NO</v>
      </c>
      <c r="BC214" s="190" t="str">
        <f t="shared" si="80"/>
        <v>NO</v>
      </c>
      <c r="BD214" s="190" t="str">
        <f t="shared" si="95"/>
        <v>NO</v>
      </c>
      <c r="BE214" s="190" t="str">
        <f t="shared" si="81"/>
        <v>NO</v>
      </c>
      <c r="BF214" s="190" t="str">
        <f t="shared" si="82"/>
        <v>NO</v>
      </c>
      <c r="BG214" s="190" t="str">
        <f t="shared" si="83"/>
        <v>NO</v>
      </c>
      <c r="BH214" s="88"/>
      <c r="BI214" s="9"/>
      <c r="BJ214" s="694">
        <f t="shared" si="104"/>
        <v>1.9596999999999998</v>
      </c>
      <c r="BK214" s="694" t="str">
        <f t="shared" si="104"/>
        <v/>
      </c>
      <c r="BL214" s="694">
        <f t="shared" si="105"/>
        <v>4.4836999999999998</v>
      </c>
      <c r="BM214" s="694" t="str">
        <f t="shared" si="105"/>
        <v/>
      </c>
      <c r="BN214" s="88"/>
      <c r="BO214" s="195"/>
      <c r="BP214" s="195"/>
      <c r="BQ214" s="195"/>
      <c r="BR214" s="195"/>
      <c r="BS214" s="195"/>
      <c r="BT214" s="195"/>
      <c r="BU214" s="195"/>
      <c r="BV214" s="195"/>
      <c r="BW214" s="195"/>
      <c r="BX214" s="195"/>
    </row>
    <row r="215" spans="1:76" s="124" customFormat="1" ht="15">
      <c r="A215" s="187">
        <v>901</v>
      </c>
      <c r="B215" s="187" t="s">
        <v>557</v>
      </c>
      <c r="C215" s="187" t="s">
        <v>557</v>
      </c>
      <c r="D215" s="187" t="s">
        <v>564</v>
      </c>
      <c r="E215" s="187" t="s">
        <v>392</v>
      </c>
      <c r="F215" s="187" t="s">
        <v>386</v>
      </c>
      <c r="G215" s="187" t="s">
        <v>393</v>
      </c>
      <c r="H215" s="187" t="b">
        <v>0</v>
      </c>
      <c r="I215" s="187" t="s">
        <v>388</v>
      </c>
      <c r="J215" s="187" t="s">
        <v>389</v>
      </c>
      <c r="K215" s="187" t="b">
        <v>0</v>
      </c>
      <c r="L215" s="187">
        <v>3.3</v>
      </c>
      <c r="M215" s="187">
        <v>1.07</v>
      </c>
      <c r="N215" s="187">
        <v>34.97</v>
      </c>
      <c r="O215" s="187">
        <v>10.5</v>
      </c>
      <c r="P215" s="187">
        <v>3.53</v>
      </c>
      <c r="Q215" s="187"/>
      <c r="R215" s="187"/>
      <c r="S215" s="187"/>
      <c r="T215" s="187"/>
      <c r="U215" s="187">
        <v>52</v>
      </c>
      <c r="V215" s="187">
        <v>1.42</v>
      </c>
      <c r="W215" s="188">
        <v>38467</v>
      </c>
      <c r="X215" s="691">
        <f t="shared" si="99"/>
        <v>0.98949999999999994</v>
      </c>
      <c r="Y215" s="691">
        <f t="shared" ref="Y215:Y278" si="107">IF($O215="","",IF($G215="Horizontal",O215*slope_FrontLoad_WF+int_FrontLoad_WF,IF($G215="Vertical",O215*slope_TopLoad_WF+int_TopLoad_WF,"")))</f>
        <v>10.91155</v>
      </c>
      <c r="Z215" s="189"/>
      <c r="AA215" s="190">
        <f t="shared" si="84"/>
        <v>2005</v>
      </c>
      <c r="AB215" s="191">
        <f t="shared" si="85"/>
        <v>3.3350176856998486</v>
      </c>
      <c r="AC215" s="192">
        <f>IF(AB215="","",AB215*SFAssumptions!$C$3)</f>
        <v>856.14339565437092</v>
      </c>
      <c r="AD215" s="193">
        <f t="shared" si="86"/>
        <v>36.008114999999997</v>
      </c>
      <c r="AE215" s="194">
        <f>IF(AD215="","",AD215*SFAssumptions!$C$3)</f>
        <v>9243.762028429499</v>
      </c>
      <c r="AF215" s="192">
        <f t="shared" si="106"/>
        <v>3.3</v>
      </c>
      <c r="AG215" s="192">
        <f t="shared" si="87"/>
        <v>10.91155</v>
      </c>
      <c r="AH215" s="192">
        <f t="shared" si="88"/>
        <v>0.98949999999999994</v>
      </c>
      <c r="AI215" s="692">
        <f ca="1">IF(AC215="","",AC215*SFAssumptions!$C$8/'SavingsData&amp;Analysis'!AF215)</f>
        <v>979.89692563891629</v>
      </c>
      <c r="AJ215" s="692">
        <f ca="1">IF(OR(AE215="",AF215=""),"",AE215*SFAssumptions!$C$8/AF215)</f>
        <v>10579.926258816286</v>
      </c>
      <c r="AK215" s="191">
        <f t="shared" si="89"/>
        <v>2.323943661971831</v>
      </c>
      <c r="AL215" s="692">
        <f>IF(AK215="","",AK215*SFAssumptions!$C$3)</f>
        <v>596.58724647887323</v>
      </c>
      <c r="AM215" s="193">
        <f t="shared" si="90"/>
        <v>34.65</v>
      </c>
      <c r="AN215" s="194">
        <f>IF(AM215="","",AM215*SFAssumptions!$C$3)</f>
        <v>8895.1158450000003</v>
      </c>
      <c r="AO215" s="693">
        <f t="shared" si="91"/>
        <v>10.5</v>
      </c>
      <c r="AP215" s="693">
        <f t="shared" si="92"/>
        <v>1.42</v>
      </c>
      <c r="AQ215" s="692">
        <f ca="1">IF(AL215="","",AL215*SFAssumptions!$C$8/'SavingsData&amp;Analysis'!AF215)</f>
        <v>682.82254078852657</v>
      </c>
      <c r="AR215" s="692">
        <f ca="1">IF(OR(AN215="",AF215=""),"",AN215*SFAssumptions!$C$8/AF215)</f>
        <v>10180.884083156932</v>
      </c>
      <c r="AS215" s="190" t="str">
        <f>IF(OR(AG215="",AH215=""),"No",IF(AND(G215="Horizontal",AH215&gt;='Eff. Standards &amp; Certifications'!$B$21,AG215&lt;='Eff. Standards &amp; Certifications'!$C$21),"Consider",IF(AND(G215="Vertical",AH215&gt;='Eff. Standards &amp; Certifications'!$B$20,AG215&lt;='Eff. Standards &amp; Certifications'!$C$20),"Consider","No")))</f>
        <v>No</v>
      </c>
      <c r="AT215" s="190" t="str">
        <f t="shared" ref="AT215:AT278" si="108">J215</f>
        <v>Residential</v>
      </c>
      <c r="AU215" s="190"/>
      <c r="AV215" s="190" t="str">
        <f t="shared" si="103"/>
        <v>NO</v>
      </c>
      <c r="AW215" s="190" t="str">
        <f t="shared" si="103"/>
        <v>NO</v>
      </c>
      <c r="AX215" s="190" t="str">
        <f t="shared" si="93"/>
        <v>NO</v>
      </c>
      <c r="AY215" s="190" t="str">
        <f t="shared" ref="AY215:AZ278" si="109">IF(AND($AS215="Consider",$AT215="Residential",$G215=AY$18,$AH215&gt;=BB$3,$AG215&lt;=BB$6),"NO",IF(AND($AS215="Consider",$AT215="Residential",$G215=AY$18,$AH215&gt;=AY$3,$AG215&lt;=AY$6),"YES","NO"))</f>
        <v>NO</v>
      </c>
      <c r="AZ215" s="190" t="str">
        <f t="shared" si="109"/>
        <v>NO</v>
      </c>
      <c r="BA215" s="190" t="str">
        <f t="shared" si="94"/>
        <v>NO</v>
      </c>
      <c r="BB215" s="190" t="str">
        <f t="shared" ref="BB215:BB278" si="110">IF(AND($AS215="Consider",$AT215="Residential",$G215=BB$18,$AH215&gt;=BB$3,$AG215&lt;=BB$6),"YES","NO")</f>
        <v>NO</v>
      </c>
      <c r="BC215" s="190" t="str">
        <f t="shared" ref="BC215:BC278" si="111">IF(AND($G215=BC$18,$AS215="Consider",$AT215="Residential",$AH215&gt;=BC$3,$AH215&lt;=BC$4,$AG215&gt;=BC$5,$AG215&lt;=BC$6),"YES","NO")</f>
        <v>NO</v>
      </c>
      <c r="BD215" s="190" t="str">
        <f t="shared" si="95"/>
        <v>NO</v>
      </c>
      <c r="BE215" s="190" t="str">
        <f t="shared" ref="BE215:BE278" si="112">IF(AND($AS215="Consider",$AT215="Residential",$AH215&gt;=BG$3,$AG215&lt;=BG$6),"NO",IF(AND($AS215="Consider",$AT215="Residential",$AH215&gt;=BF$3,$AG215&lt;=BF$6),"NO",IF(AND($AS215="Consider",$AT215="Residential",$AH215&gt;=BE$3,$AG215&lt;=BE$6),"YES","NO")))</f>
        <v>NO</v>
      </c>
      <c r="BF215" s="190" t="str">
        <f t="shared" ref="BF215:BF278" si="113">IF(AND($AS215="Consider",$AT215="Residential",$AH215&gt;=BG$3,$AG215&lt;=BG$6),"NO",IF(AND($AS215="Consider",$AT215="Residential",$AH215&gt;=BF$3,$AG215&lt;=BF$6),"YES","NO"))</f>
        <v>NO</v>
      </c>
      <c r="BG215" s="190" t="str">
        <f t="shared" ref="BG215:BG278" si="114">IF(AND($AS215="Consider",$AT215="Residential",$AH215&gt;=BG$3,$AG215&lt;=BG$6),"YES","NO")</f>
        <v>NO</v>
      </c>
      <c r="BH215" s="88"/>
      <c r="BI215" s="9"/>
      <c r="BJ215" s="694" t="str">
        <f t="shared" si="104"/>
        <v/>
      </c>
      <c r="BK215" s="694" t="str">
        <f t="shared" si="104"/>
        <v/>
      </c>
      <c r="BL215" s="694" t="str">
        <f t="shared" si="105"/>
        <v/>
      </c>
      <c r="BM215" s="694" t="str">
        <f t="shared" si="105"/>
        <v/>
      </c>
      <c r="BN215" s="88"/>
      <c r="BO215" s="195"/>
      <c r="BP215" s="195"/>
      <c r="BQ215" s="195"/>
      <c r="BR215" s="195"/>
      <c r="BS215" s="195"/>
      <c r="BT215" s="195"/>
      <c r="BU215" s="195"/>
      <c r="BV215" s="195"/>
      <c r="BW215" s="195"/>
      <c r="BX215" s="195"/>
    </row>
    <row r="216" spans="1:76" s="124" customFormat="1" ht="15">
      <c r="A216" s="187">
        <v>6436</v>
      </c>
      <c r="B216" s="187" t="s">
        <v>566</v>
      </c>
      <c r="C216" s="187" t="s">
        <v>566</v>
      </c>
      <c r="D216" s="187" t="s">
        <v>567</v>
      </c>
      <c r="E216" s="187" t="s">
        <v>385</v>
      </c>
      <c r="F216" s="187" t="s">
        <v>386</v>
      </c>
      <c r="G216" s="187" t="s">
        <v>387</v>
      </c>
      <c r="H216" s="187" t="b">
        <v>0</v>
      </c>
      <c r="I216" s="187" t="s">
        <v>388</v>
      </c>
      <c r="J216" s="187" t="s">
        <v>389</v>
      </c>
      <c r="K216" s="187" t="b">
        <v>1</v>
      </c>
      <c r="L216" s="187">
        <v>2.1</v>
      </c>
      <c r="M216" s="187">
        <v>0.34</v>
      </c>
      <c r="N216" s="187">
        <v>9.66</v>
      </c>
      <c r="O216" s="187">
        <v>4.5999999999999996</v>
      </c>
      <c r="P216" s="187">
        <v>5.76</v>
      </c>
      <c r="Q216" s="187"/>
      <c r="R216" s="187"/>
      <c r="S216" s="187"/>
      <c r="T216" s="187"/>
      <c r="U216" s="187">
        <v>49.6</v>
      </c>
      <c r="V216" s="187">
        <v>2.23</v>
      </c>
      <c r="W216" s="188">
        <v>41862</v>
      </c>
      <c r="X216" s="691">
        <f t="shared" si="99"/>
        <v>1.8660349999999999</v>
      </c>
      <c r="Y216" s="691">
        <f t="shared" si="107"/>
        <v>4.8285200000000001</v>
      </c>
      <c r="Z216" s="189"/>
      <c r="AA216" s="190">
        <f t="shared" ref="AA216:AA279" si="115">YEAR(W216)</f>
        <v>2014</v>
      </c>
      <c r="AB216" s="191">
        <f t="shared" ref="AB216:AB279" si="116">IF(OR(L216="",X216=""),"",L216/X216)</f>
        <v>1.1253808208313349</v>
      </c>
      <c r="AC216" s="192">
        <f>IF(AB216="","",AB216*SFAssumptions!$C$3)</f>
        <v>288.90022427232077</v>
      </c>
      <c r="AD216" s="193">
        <f t="shared" ref="AD216:AD279" si="117">IF(OR(Y216="",L216=""),"",Y216*L216)</f>
        <v>10.139892000000001</v>
      </c>
      <c r="AE216" s="194">
        <f>IF(AD216="","",AD216*SFAssumptions!$C$3)</f>
        <v>2603.0451369636003</v>
      </c>
      <c r="AF216" s="192">
        <f t="shared" si="106"/>
        <v>2.1</v>
      </c>
      <c r="AG216" s="192">
        <f t="shared" ref="AG216:AG279" si="118">IF(Y216="","",Y216)</f>
        <v>4.8285200000000001</v>
      </c>
      <c r="AH216" s="192">
        <f t="shared" ref="AH216:AH279" si="119">IF(X216="","",X216)</f>
        <v>1.8660349999999999</v>
      </c>
      <c r="AI216" s="692">
        <f ca="1">IF(AC216="","",AC216*SFAssumptions!$C$8/'SavingsData&amp;Analysis'!AF216)</f>
        <v>519.60869325586486</v>
      </c>
      <c r="AJ216" s="692">
        <f ca="1">IF(OR(AE216="",AF216=""),"",AE216*SFAssumptions!$C$8/AF216)</f>
        <v>4681.7716584004675</v>
      </c>
      <c r="AK216" s="191">
        <f t="shared" ref="AK216:AK279" si="120">IF(OR(L216="",V216=""),"",L216/V216)</f>
        <v>0.94170403587443952</v>
      </c>
      <c r="AL216" s="692">
        <f>IF(AK216="","",AK216*SFAssumptions!$C$3)</f>
        <v>241.74795067264577</v>
      </c>
      <c r="AM216" s="193">
        <f t="shared" ref="AM216:AM279" si="121">IF(OR(L216="",O216=""),"",O216*L216)</f>
        <v>9.66</v>
      </c>
      <c r="AN216" s="194">
        <f>IF(AM216="","",AM216*SFAssumptions!$C$3)</f>
        <v>2479.8504780000003</v>
      </c>
      <c r="AO216" s="693">
        <f t="shared" ref="AO216:AO279" si="122">IF(O216="","",O216)</f>
        <v>4.5999999999999996</v>
      </c>
      <c r="AP216" s="693">
        <f t="shared" ref="AP216:AP279" si="123">IF(V216="","",V216)</f>
        <v>2.23</v>
      </c>
      <c r="AQ216" s="692">
        <f ca="1">IF(AL216="","",AL216*SFAssumptions!$C$8/'SavingsData&amp;Analysis'!AF216)</f>
        <v>434.80179727341152</v>
      </c>
      <c r="AR216" s="692">
        <f ca="1">IF(OR(AN216="",AF216=""),"",AN216*SFAssumptions!$C$8/AF216)</f>
        <v>4460.1968364306558</v>
      </c>
      <c r="AS216" s="190" t="str">
        <f>IF(OR(AG216="",AH216=""),"No",IF(AND(G216="Horizontal",AH216&gt;='Eff. Standards &amp; Certifications'!$B$21,AG216&lt;='Eff. Standards &amp; Certifications'!$C$21),"Consider",IF(AND(G216="Vertical",AH216&gt;='Eff. Standards &amp; Certifications'!$B$20,AG216&lt;='Eff. Standards &amp; Certifications'!$C$20),"Consider","No")))</f>
        <v>No</v>
      </c>
      <c r="AT216" s="190" t="str">
        <f t="shared" si="108"/>
        <v>Residential</v>
      </c>
      <c r="AU216" s="190"/>
      <c r="AV216" s="190" t="str">
        <f t="shared" si="103"/>
        <v>NO</v>
      </c>
      <c r="AW216" s="190" t="str">
        <f t="shared" si="103"/>
        <v>NO</v>
      </c>
      <c r="AX216" s="190" t="str">
        <f t="shared" ref="AX216:AX279" si="124">IF(OR(AV216="YES",AW216="YES"),"YES","NO")</f>
        <v>NO</v>
      </c>
      <c r="AY216" s="190" t="str">
        <f t="shared" si="109"/>
        <v>NO</v>
      </c>
      <c r="AZ216" s="190" t="str">
        <f t="shared" si="109"/>
        <v>NO</v>
      </c>
      <c r="BA216" s="190" t="str">
        <f t="shared" ref="BA216:BA279" si="125">IF(OR(AY216="YES",AZ216="YES"),"YES","NO")</f>
        <v>NO</v>
      </c>
      <c r="BB216" s="190" t="str">
        <f t="shared" si="110"/>
        <v>NO</v>
      </c>
      <c r="BC216" s="190" t="str">
        <f t="shared" si="111"/>
        <v>NO</v>
      </c>
      <c r="BD216" s="190" t="str">
        <f t="shared" ref="BD216:BD279" si="126">IF(OR(BB216="YES",BC216="YES"),"YES","NO")</f>
        <v>NO</v>
      </c>
      <c r="BE216" s="190" t="str">
        <f t="shared" si="112"/>
        <v>NO</v>
      </c>
      <c r="BF216" s="190" t="str">
        <f t="shared" si="113"/>
        <v>NO</v>
      </c>
      <c r="BG216" s="190" t="str">
        <f t="shared" si="114"/>
        <v>NO</v>
      </c>
      <c r="BH216" s="88"/>
      <c r="BI216" s="9"/>
      <c r="BJ216" s="694" t="str">
        <f t="shared" si="104"/>
        <v/>
      </c>
      <c r="BK216" s="694" t="str">
        <f t="shared" si="104"/>
        <v/>
      </c>
      <c r="BL216" s="694" t="str">
        <f t="shared" si="105"/>
        <v/>
      </c>
      <c r="BM216" s="694" t="str">
        <f t="shared" si="105"/>
        <v/>
      </c>
      <c r="BN216" s="88"/>
      <c r="BO216" s="195"/>
      <c r="BP216" s="195"/>
      <c r="BQ216" s="195"/>
      <c r="BR216" s="195"/>
      <c r="BS216" s="195"/>
      <c r="BT216" s="195"/>
      <c r="BU216" s="195"/>
      <c r="BV216" s="195"/>
      <c r="BW216" s="195"/>
      <c r="BX216" s="195"/>
    </row>
    <row r="217" spans="1:76" s="124" customFormat="1" ht="15">
      <c r="A217" s="187">
        <v>6435</v>
      </c>
      <c r="B217" s="187" t="s">
        <v>566</v>
      </c>
      <c r="C217" s="187" t="s">
        <v>566</v>
      </c>
      <c r="D217" s="187" t="s">
        <v>1336</v>
      </c>
      <c r="E217" s="187" t="s">
        <v>385</v>
      </c>
      <c r="F217" s="187" t="s">
        <v>386</v>
      </c>
      <c r="G217" s="187" t="s">
        <v>387</v>
      </c>
      <c r="H217" s="187" t="b">
        <v>0</v>
      </c>
      <c r="I217" s="187" t="s">
        <v>388</v>
      </c>
      <c r="J217" s="187" t="s">
        <v>389</v>
      </c>
      <c r="K217" s="187" t="b">
        <v>1</v>
      </c>
      <c r="L217" s="187">
        <v>1.9</v>
      </c>
      <c r="M217" s="187">
        <v>0.31</v>
      </c>
      <c r="N217" s="187">
        <v>7.41</v>
      </c>
      <c r="O217" s="187">
        <v>3.9</v>
      </c>
      <c r="P217" s="187">
        <v>5.5</v>
      </c>
      <c r="Q217" s="187"/>
      <c r="R217" s="187"/>
      <c r="S217" s="187"/>
      <c r="T217" s="187"/>
      <c r="U217" s="187">
        <v>30.8</v>
      </c>
      <c r="V217" s="187">
        <v>2.35</v>
      </c>
      <c r="W217" s="188">
        <v>41862</v>
      </c>
      <c r="X217" s="691">
        <f t="shared" si="99"/>
        <v>1.9757749999999998</v>
      </c>
      <c r="Y217" s="691">
        <f t="shared" si="107"/>
        <v>4.11158</v>
      </c>
      <c r="Z217" s="189"/>
      <c r="AA217" s="190">
        <f t="shared" si="115"/>
        <v>2014</v>
      </c>
      <c r="AB217" s="191">
        <f t="shared" si="116"/>
        <v>0.961647960926725</v>
      </c>
      <c r="AC217" s="192">
        <f>IF(AB217="","",AB217*SFAssumptions!$C$3)</f>
        <v>246.86782148777064</v>
      </c>
      <c r="AD217" s="193">
        <f t="shared" si="117"/>
        <v>7.8120019999999997</v>
      </c>
      <c r="AE217" s="194">
        <f>IF(AD217="","",AD217*SFAssumptions!$C$3)</f>
        <v>2005.4448130265998</v>
      </c>
      <c r="AF217" s="192">
        <f t="shared" si="106"/>
        <v>1.9</v>
      </c>
      <c r="AG217" s="192">
        <f t="shared" si="118"/>
        <v>4.11158</v>
      </c>
      <c r="AH217" s="192">
        <f t="shared" si="119"/>
        <v>1.9757749999999998</v>
      </c>
      <c r="AI217" s="692">
        <f ca="1">IF(AC217="","",AC217*SFAssumptions!$C$8/'SavingsData&amp;Analysis'!AF217)</f>
        <v>490.74819142853198</v>
      </c>
      <c r="AJ217" s="692">
        <f ca="1">IF(OR(AE217="",AF217=""),"",AE217*SFAssumptions!$C$8/AF217)</f>
        <v>3986.6208932025115</v>
      </c>
      <c r="AK217" s="191">
        <f t="shared" si="120"/>
        <v>0.80851063829787229</v>
      </c>
      <c r="AL217" s="692">
        <f>IF(AK217="","",AK217*SFAssumptions!$C$3)</f>
        <v>207.55543404255317</v>
      </c>
      <c r="AM217" s="193">
        <f t="shared" si="121"/>
        <v>7.4099999999999993</v>
      </c>
      <c r="AN217" s="194">
        <f>IF(AM217="","",AM217*SFAssumptions!$C$3)</f>
        <v>1902.2455529999997</v>
      </c>
      <c r="AO217" s="693">
        <f t="shared" si="122"/>
        <v>3.9</v>
      </c>
      <c r="AP217" s="693">
        <f t="shared" si="123"/>
        <v>2.35</v>
      </c>
      <c r="AQ217" s="692">
        <f ca="1">IF(AL217="","",AL217*SFAssumptions!$C$8/'SavingsData&amp;Analysis'!AF217)</f>
        <v>412.59915230625859</v>
      </c>
      <c r="AR217" s="692">
        <f ca="1">IF(OR(AN217="",AF217=""),"",AN217*SFAssumptions!$C$8/AF217)</f>
        <v>3781.4712308868598</v>
      </c>
      <c r="AS217" s="190" t="str">
        <f>IF(OR(AG217="",AH217=""),"No",IF(AND(G217="Horizontal",AH217&gt;='Eff. Standards &amp; Certifications'!$B$21,AG217&lt;='Eff. Standards &amp; Certifications'!$C$21),"Consider",IF(AND(G217="Vertical",AH217&gt;='Eff. Standards &amp; Certifications'!$B$20,AG217&lt;='Eff. Standards &amp; Certifications'!$C$20),"Consider","No")))</f>
        <v>Consider</v>
      </c>
      <c r="AT217" s="190" t="str">
        <f t="shared" si="108"/>
        <v>Residential</v>
      </c>
      <c r="AU217" s="190"/>
      <c r="AV217" s="190" t="str">
        <f t="shared" si="103"/>
        <v>NO</v>
      </c>
      <c r="AW217" s="190" t="str">
        <f t="shared" si="103"/>
        <v>YES</v>
      </c>
      <c r="AX217" s="190" t="str">
        <f t="shared" si="124"/>
        <v>YES</v>
      </c>
      <c r="AY217" s="190" t="str">
        <f t="shared" si="109"/>
        <v>NO</v>
      </c>
      <c r="AZ217" s="190" t="str">
        <f t="shared" si="109"/>
        <v>YES</v>
      </c>
      <c r="BA217" s="190" t="str">
        <f t="shared" si="125"/>
        <v>YES</v>
      </c>
      <c r="BB217" s="190" t="str">
        <f t="shared" si="110"/>
        <v>NO</v>
      </c>
      <c r="BC217" s="190" t="str">
        <f t="shared" si="111"/>
        <v>NO</v>
      </c>
      <c r="BD217" s="190" t="str">
        <f t="shared" si="126"/>
        <v>NO</v>
      </c>
      <c r="BE217" s="190" t="str">
        <f t="shared" si="112"/>
        <v>NO</v>
      </c>
      <c r="BF217" s="190" t="str">
        <f t="shared" si="113"/>
        <v>NO</v>
      </c>
      <c r="BG217" s="190" t="str">
        <f t="shared" si="114"/>
        <v>NO</v>
      </c>
      <c r="BH217" s="88"/>
      <c r="BI217" s="9"/>
      <c r="BJ217" s="694" t="str">
        <f t="shared" si="104"/>
        <v/>
      </c>
      <c r="BK217" s="694">
        <f t="shared" si="104"/>
        <v>1.9757749999999998</v>
      </c>
      <c r="BL217" s="694" t="str">
        <f t="shared" si="105"/>
        <v/>
      </c>
      <c r="BM217" s="694">
        <f t="shared" si="105"/>
        <v>4.11158</v>
      </c>
      <c r="BN217" s="88"/>
      <c r="BO217" s="195"/>
      <c r="BP217" s="195"/>
      <c r="BQ217" s="195"/>
      <c r="BR217" s="195"/>
      <c r="BS217" s="195"/>
      <c r="BT217" s="195"/>
      <c r="BU217" s="195"/>
      <c r="BV217" s="195"/>
      <c r="BW217" s="195"/>
      <c r="BX217" s="195"/>
    </row>
    <row r="218" spans="1:76" s="124" customFormat="1" ht="15">
      <c r="A218" s="187">
        <v>5253</v>
      </c>
      <c r="B218" s="187" t="s">
        <v>565</v>
      </c>
      <c r="C218" s="187" t="s">
        <v>566</v>
      </c>
      <c r="D218" s="187" t="s">
        <v>567</v>
      </c>
      <c r="E218" s="187" t="s">
        <v>385</v>
      </c>
      <c r="F218" s="187" t="s">
        <v>386</v>
      </c>
      <c r="G218" s="187" t="s">
        <v>387</v>
      </c>
      <c r="H218" s="187" t="b">
        <v>0</v>
      </c>
      <c r="I218" s="187" t="s">
        <v>388</v>
      </c>
      <c r="J218" s="187" t="s">
        <v>389</v>
      </c>
      <c r="K218" s="187" t="b">
        <v>1</v>
      </c>
      <c r="L218" s="187">
        <v>2.1</v>
      </c>
      <c r="M218" s="187">
        <v>0.34</v>
      </c>
      <c r="N218" s="187">
        <v>10.029999999999999</v>
      </c>
      <c r="O218" s="187">
        <v>4.9000000000000004</v>
      </c>
      <c r="P218" s="187">
        <v>5.76</v>
      </c>
      <c r="Q218" s="187"/>
      <c r="R218" s="187"/>
      <c r="S218" s="187"/>
      <c r="T218" s="187"/>
      <c r="U218" s="187">
        <v>49.6</v>
      </c>
      <c r="V218" s="187">
        <v>1.74</v>
      </c>
      <c r="W218" s="188">
        <v>40904</v>
      </c>
      <c r="X218" s="691">
        <f t="shared" si="99"/>
        <v>1.4179299999999999</v>
      </c>
      <c r="Y218" s="691">
        <f t="shared" si="107"/>
        <v>5.1357800000000005</v>
      </c>
      <c r="Z218" s="189"/>
      <c r="AA218" s="190">
        <f t="shared" si="115"/>
        <v>2011</v>
      </c>
      <c r="AB218" s="191">
        <f t="shared" si="116"/>
        <v>1.4810322089242771</v>
      </c>
      <c r="AC218" s="192">
        <f>IF(AB218="","",AB218*SFAssumptions!$C$3)</f>
        <v>380.20066575924062</v>
      </c>
      <c r="AD218" s="193">
        <f t="shared" si="117"/>
        <v>10.785138000000002</v>
      </c>
      <c r="AE218" s="194">
        <f>IF(AD218="","",AD218*SFAssumptions!$C$3)</f>
        <v>2768.6883669354006</v>
      </c>
      <c r="AF218" s="192">
        <f t="shared" si="106"/>
        <v>2.1</v>
      </c>
      <c r="AG218" s="192">
        <f t="shared" si="118"/>
        <v>5.1357800000000005</v>
      </c>
      <c r="AH218" s="192">
        <f t="shared" si="119"/>
        <v>1.4179299999999999</v>
      </c>
      <c r="AI218" s="692">
        <f ca="1">IF(AC218="","",AC218*SFAssumptions!$C$8/'SavingsData&amp;Analysis'!AF218)</f>
        <v>683.81937607618693</v>
      </c>
      <c r="AJ218" s="692">
        <f ca="1">IF(OR(AE218="",AF218=""),"",AE218*SFAssumptions!$C$8/AF218)</f>
        <v>4979.6934149138769</v>
      </c>
      <c r="AK218" s="191">
        <f t="shared" si="120"/>
        <v>1.2068965517241379</v>
      </c>
      <c r="AL218" s="692">
        <f>IF(AK218="","",AK218*SFAssumptions!$C$3)</f>
        <v>309.82639655172414</v>
      </c>
      <c r="AM218" s="193">
        <f t="shared" si="121"/>
        <v>10.290000000000001</v>
      </c>
      <c r="AN218" s="194">
        <f>IF(AM218="","",AM218*SFAssumptions!$C$3)</f>
        <v>2641.5798570000002</v>
      </c>
      <c r="AO218" s="693">
        <f t="shared" si="122"/>
        <v>4.9000000000000004</v>
      </c>
      <c r="AP218" s="693">
        <f t="shared" si="123"/>
        <v>1.74</v>
      </c>
      <c r="AQ218" s="692">
        <f ca="1">IF(AL218="","",AL218*SFAssumptions!$C$8/'SavingsData&amp;Analysis'!AF218)</f>
        <v>557.24598156305035</v>
      </c>
      <c r="AR218" s="692">
        <f ca="1">IF(OR(AN218="",AF218=""),"",AN218*SFAssumptions!$C$8/AF218)</f>
        <v>4751.0792388065674</v>
      </c>
      <c r="AS218" s="190" t="str">
        <f>IF(OR(AG218="",AH218=""),"No",IF(AND(G218="Horizontal",AH218&gt;='Eff. Standards &amp; Certifications'!$B$21,AG218&lt;='Eff. Standards &amp; Certifications'!$C$21),"Consider",IF(AND(G218="Vertical",AH218&gt;='Eff. Standards &amp; Certifications'!$B$20,AG218&lt;='Eff. Standards &amp; Certifications'!$C$20),"Consider","No")))</f>
        <v>No</v>
      </c>
      <c r="AT218" s="190" t="str">
        <f t="shared" si="108"/>
        <v>Residential</v>
      </c>
      <c r="AU218" s="190"/>
      <c r="AV218" s="190" t="str">
        <f t="shared" si="103"/>
        <v>NO</v>
      </c>
      <c r="AW218" s="190" t="str">
        <f t="shared" si="103"/>
        <v>NO</v>
      </c>
      <c r="AX218" s="190" t="str">
        <f t="shared" si="124"/>
        <v>NO</v>
      </c>
      <c r="AY218" s="190" t="str">
        <f t="shared" si="109"/>
        <v>NO</v>
      </c>
      <c r="AZ218" s="190" t="str">
        <f t="shared" si="109"/>
        <v>NO</v>
      </c>
      <c r="BA218" s="190" t="str">
        <f t="shared" si="125"/>
        <v>NO</v>
      </c>
      <c r="BB218" s="190" t="str">
        <f t="shared" si="110"/>
        <v>NO</v>
      </c>
      <c r="BC218" s="190" t="str">
        <f t="shared" si="111"/>
        <v>NO</v>
      </c>
      <c r="BD218" s="190" t="str">
        <f t="shared" si="126"/>
        <v>NO</v>
      </c>
      <c r="BE218" s="190" t="str">
        <f t="shared" si="112"/>
        <v>NO</v>
      </c>
      <c r="BF218" s="190" t="str">
        <f t="shared" si="113"/>
        <v>NO</v>
      </c>
      <c r="BG218" s="190" t="str">
        <f t="shared" si="114"/>
        <v>NO</v>
      </c>
      <c r="BH218" s="88"/>
      <c r="BI218" s="9"/>
      <c r="BJ218" s="694" t="str">
        <f t="shared" si="104"/>
        <v/>
      </c>
      <c r="BK218" s="694" t="str">
        <f t="shared" si="104"/>
        <v/>
      </c>
      <c r="BL218" s="694" t="str">
        <f t="shared" si="105"/>
        <v/>
      </c>
      <c r="BM218" s="694" t="str">
        <f t="shared" si="105"/>
        <v/>
      </c>
      <c r="BN218" s="88"/>
      <c r="BO218" s="195"/>
      <c r="BP218" s="195"/>
      <c r="BQ218" s="195"/>
      <c r="BR218" s="195"/>
      <c r="BS218" s="195"/>
      <c r="BT218" s="195"/>
      <c r="BU218" s="195"/>
      <c r="BV218" s="195"/>
      <c r="BW218" s="195"/>
      <c r="BX218" s="195"/>
    </row>
    <row r="219" spans="1:76" s="124" customFormat="1" ht="15">
      <c r="A219" s="187">
        <v>533</v>
      </c>
      <c r="B219" s="187" t="s">
        <v>565</v>
      </c>
      <c r="C219" s="187" t="s">
        <v>566</v>
      </c>
      <c r="D219" s="187" t="s">
        <v>568</v>
      </c>
      <c r="E219" s="187" t="s">
        <v>385</v>
      </c>
      <c r="F219" s="187" t="s">
        <v>386</v>
      </c>
      <c r="G219" s="187" t="s">
        <v>387</v>
      </c>
      <c r="H219" s="187" t="b">
        <v>0</v>
      </c>
      <c r="I219" s="187" t="s">
        <v>388</v>
      </c>
      <c r="J219" s="187" t="s">
        <v>389</v>
      </c>
      <c r="K219" s="187" t="b">
        <v>1</v>
      </c>
      <c r="L219" s="187">
        <v>1.7</v>
      </c>
      <c r="M219" s="187">
        <v>0.28000000000000003</v>
      </c>
      <c r="N219" s="187">
        <v>7.76</v>
      </c>
      <c r="O219" s="187">
        <v>4.5</v>
      </c>
      <c r="P219" s="187">
        <v>6.17</v>
      </c>
      <c r="Q219" s="187"/>
      <c r="R219" s="187"/>
      <c r="S219" s="187"/>
      <c r="T219" s="187"/>
      <c r="U219" s="187">
        <v>34.9</v>
      </c>
      <c r="V219" s="187">
        <v>2.11</v>
      </c>
      <c r="W219" s="188">
        <v>40310</v>
      </c>
      <c r="X219" s="691">
        <f t="shared" si="99"/>
        <v>1.7562949999999999</v>
      </c>
      <c r="Y219" s="691">
        <f t="shared" si="107"/>
        <v>4.7261000000000006</v>
      </c>
      <c r="Z219" s="189"/>
      <c r="AA219" s="190">
        <f t="shared" si="115"/>
        <v>2010</v>
      </c>
      <c r="AB219" s="191">
        <f t="shared" si="116"/>
        <v>0.96794672876709209</v>
      </c>
      <c r="AC219" s="192">
        <f>IF(AB219="","",AB219*SFAssumptions!$C$3)</f>
        <v>248.48479896600514</v>
      </c>
      <c r="AD219" s="193">
        <f t="shared" si="117"/>
        <v>8.0343700000000009</v>
      </c>
      <c r="AE219" s="194">
        <f>IF(AD219="","",AD219*SFAssumptions!$C$3)</f>
        <v>2062.5296361210003</v>
      </c>
      <c r="AF219" s="192">
        <f t="shared" si="106"/>
        <v>1.7</v>
      </c>
      <c r="AG219" s="192">
        <f t="shared" si="118"/>
        <v>4.7261000000000006</v>
      </c>
      <c r="AH219" s="192">
        <f t="shared" si="119"/>
        <v>1.7562949999999999</v>
      </c>
      <c r="AI219" s="692">
        <f ca="1">IF(AC219="","",AC219*SFAssumptions!$C$8/'SavingsData&amp;Analysis'!AF219)</f>
        <v>552.07582320721042</v>
      </c>
      <c r="AJ219" s="692">
        <f ca="1">IF(OR(AE219="",AF219=""),"",AE219*SFAssumptions!$C$8/AF219)</f>
        <v>4582.464406229331</v>
      </c>
      <c r="AK219" s="191">
        <f t="shared" si="120"/>
        <v>0.80568720379146919</v>
      </c>
      <c r="AL219" s="692">
        <f>IF(AK219="","",AK219*SFAssumptions!$C$3)</f>
        <v>206.83062085308057</v>
      </c>
      <c r="AM219" s="193">
        <f t="shared" si="121"/>
        <v>7.6499999999999995</v>
      </c>
      <c r="AN219" s="194">
        <f>IF(AM219="","",AM219*SFAssumptions!$C$3)</f>
        <v>1963.8567449999998</v>
      </c>
      <c r="AO219" s="693">
        <f t="shared" si="122"/>
        <v>4.5</v>
      </c>
      <c r="AP219" s="693">
        <f t="shared" si="123"/>
        <v>2.11</v>
      </c>
      <c r="AQ219" s="692">
        <f ca="1">IF(AL219="","",AL219*SFAssumptions!$C$8/'SavingsData&amp;Analysis'!AF219)</f>
        <v>459.52986157332123</v>
      </c>
      <c r="AR219" s="692">
        <f ca="1">IF(OR(AN219="",AF219=""),"",AN219*SFAssumptions!$C$8/AF219)</f>
        <v>4363.2360356386844</v>
      </c>
      <c r="AS219" s="190" t="str">
        <f>IF(OR(AG219="",AH219=""),"No",IF(AND(G219="Horizontal",AH219&gt;='Eff. Standards &amp; Certifications'!$B$21,AG219&lt;='Eff. Standards &amp; Certifications'!$C$21),"Consider",IF(AND(G219="Vertical",AH219&gt;='Eff. Standards &amp; Certifications'!$B$20,AG219&lt;='Eff. Standards &amp; Certifications'!$C$20),"Consider","No")))</f>
        <v>No</v>
      </c>
      <c r="AT219" s="190" t="str">
        <f t="shared" si="108"/>
        <v>Residential</v>
      </c>
      <c r="AU219" s="190"/>
      <c r="AV219" s="190" t="str">
        <f t="shared" si="103"/>
        <v>NO</v>
      </c>
      <c r="AW219" s="190" t="str">
        <f t="shared" si="103"/>
        <v>NO</v>
      </c>
      <c r="AX219" s="190" t="str">
        <f t="shared" si="124"/>
        <v>NO</v>
      </c>
      <c r="AY219" s="190" t="str">
        <f t="shared" si="109"/>
        <v>NO</v>
      </c>
      <c r="AZ219" s="190" t="str">
        <f t="shared" si="109"/>
        <v>NO</v>
      </c>
      <c r="BA219" s="190" t="str">
        <f t="shared" si="125"/>
        <v>NO</v>
      </c>
      <c r="BB219" s="190" t="str">
        <f t="shared" si="110"/>
        <v>NO</v>
      </c>
      <c r="BC219" s="190" t="str">
        <f t="shared" si="111"/>
        <v>NO</v>
      </c>
      <c r="BD219" s="190" t="str">
        <f t="shared" si="126"/>
        <v>NO</v>
      </c>
      <c r="BE219" s="190" t="str">
        <f t="shared" si="112"/>
        <v>NO</v>
      </c>
      <c r="BF219" s="190" t="str">
        <f t="shared" si="113"/>
        <v>NO</v>
      </c>
      <c r="BG219" s="190" t="str">
        <f t="shared" si="114"/>
        <v>NO</v>
      </c>
      <c r="BH219" s="88"/>
      <c r="BI219" s="9"/>
      <c r="BJ219" s="694" t="str">
        <f t="shared" si="104"/>
        <v/>
      </c>
      <c r="BK219" s="694" t="str">
        <f t="shared" si="104"/>
        <v/>
      </c>
      <c r="BL219" s="694" t="str">
        <f t="shared" si="105"/>
        <v/>
      </c>
      <c r="BM219" s="694" t="str">
        <f t="shared" si="105"/>
        <v/>
      </c>
      <c r="BN219" s="88"/>
      <c r="BO219" s="195"/>
      <c r="BP219" s="195"/>
      <c r="BQ219" s="195"/>
      <c r="BR219" s="195"/>
      <c r="BS219" s="195"/>
      <c r="BT219" s="195"/>
      <c r="BU219" s="195"/>
      <c r="BV219" s="195"/>
      <c r="BW219" s="195"/>
      <c r="BX219" s="195"/>
    </row>
    <row r="220" spans="1:76" s="124" customFormat="1" ht="15">
      <c r="A220" s="187">
        <v>535</v>
      </c>
      <c r="B220" s="187" t="s">
        <v>565</v>
      </c>
      <c r="C220" s="187" t="s">
        <v>566</v>
      </c>
      <c r="D220" s="187" t="s">
        <v>569</v>
      </c>
      <c r="E220" s="187" t="s">
        <v>385</v>
      </c>
      <c r="F220" s="187" t="s">
        <v>386</v>
      </c>
      <c r="G220" s="187" t="s">
        <v>387</v>
      </c>
      <c r="H220" s="187" t="b">
        <v>0</v>
      </c>
      <c r="I220" s="187" t="s">
        <v>388</v>
      </c>
      <c r="J220" s="187" t="s">
        <v>389</v>
      </c>
      <c r="K220" s="187" t="b">
        <v>1</v>
      </c>
      <c r="L220" s="187">
        <v>2.1</v>
      </c>
      <c r="M220" s="187">
        <v>0.32</v>
      </c>
      <c r="N220" s="187">
        <v>9.0399999999999991</v>
      </c>
      <c r="O220" s="187">
        <v>4.4000000000000004</v>
      </c>
      <c r="P220" s="187">
        <v>6.7</v>
      </c>
      <c r="Q220" s="187"/>
      <c r="R220" s="187"/>
      <c r="S220" s="187"/>
      <c r="T220" s="187"/>
      <c r="U220" s="187">
        <v>39.299999999999997</v>
      </c>
      <c r="V220" s="187">
        <v>2.04</v>
      </c>
      <c r="W220" s="188">
        <v>40310</v>
      </c>
      <c r="X220" s="691">
        <f t="shared" si="99"/>
        <v>1.69228</v>
      </c>
      <c r="Y220" s="691">
        <f t="shared" si="107"/>
        <v>4.6236800000000011</v>
      </c>
      <c r="Z220" s="189"/>
      <c r="AA220" s="190">
        <f t="shared" si="115"/>
        <v>2010</v>
      </c>
      <c r="AB220" s="191">
        <f t="shared" si="116"/>
        <v>1.2409293970264967</v>
      </c>
      <c r="AC220" s="192">
        <f>IF(AB220="","",AB220*SFAssumptions!$C$3)</f>
        <v>318.56308057768217</v>
      </c>
      <c r="AD220" s="193">
        <f t="shared" si="117"/>
        <v>9.7097280000000019</v>
      </c>
      <c r="AE220" s="194">
        <f>IF(AD220="","",AD220*SFAssumptions!$C$3)</f>
        <v>2492.6163169824003</v>
      </c>
      <c r="AF220" s="192">
        <f t="shared" si="106"/>
        <v>2.1</v>
      </c>
      <c r="AG220" s="192">
        <f t="shared" si="118"/>
        <v>4.6236800000000011</v>
      </c>
      <c r="AH220" s="192">
        <f t="shared" si="119"/>
        <v>1.69228</v>
      </c>
      <c r="AI220" s="692">
        <f ca="1">IF(AC220="","",AC220*SFAssumptions!$C$8/'SavingsData&amp;Analysis'!AF220)</f>
        <v>572.95956219993593</v>
      </c>
      <c r="AJ220" s="692">
        <f ca="1">IF(OR(AE220="",AF220=""),"",AE220*SFAssumptions!$C$8/AF220)</f>
        <v>4483.1571540581945</v>
      </c>
      <c r="AK220" s="191">
        <f t="shared" si="120"/>
        <v>1.0294117647058825</v>
      </c>
      <c r="AL220" s="692">
        <f>IF(AK220="","",AK220*SFAssumptions!$C$3)</f>
        <v>264.26369117647062</v>
      </c>
      <c r="AM220" s="193">
        <f t="shared" si="121"/>
        <v>9.240000000000002</v>
      </c>
      <c r="AN220" s="194">
        <f>IF(AM220="","",AM220*SFAssumptions!$C$3)</f>
        <v>2372.0308920000007</v>
      </c>
      <c r="AO220" s="693">
        <f t="shared" si="122"/>
        <v>4.4000000000000004</v>
      </c>
      <c r="AP220" s="693">
        <f t="shared" si="123"/>
        <v>2.04</v>
      </c>
      <c r="AQ220" s="692">
        <f ca="1">IF(AL220="","",AL220*SFAssumptions!$C$8/'SavingsData&amp;Analysis'!AF220)</f>
        <v>475.29804309789597</v>
      </c>
      <c r="AR220" s="692">
        <f ca="1">IF(OR(AN220="",AF220=""),"",AN220*SFAssumptions!$C$8/AF220)</f>
        <v>4266.2752348467147</v>
      </c>
      <c r="AS220" s="190" t="str">
        <f>IF(OR(AG220="",AH220=""),"No",IF(AND(G220="Horizontal",AH220&gt;='Eff. Standards &amp; Certifications'!$B$21,AG220&lt;='Eff. Standards &amp; Certifications'!$C$21),"Consider",IF(AND(G220="Vertical",AH220&gt;='Eff. Standards &amp; Certifications'!$B$20,AG220&lt;='Eff. Standards &amp; Certifications'!$C$20),"Consider","No")))</f>
        <v>No</v>
      </c>
      <c r="AT220" s="190" t="str">
        <f t="shared" si="108"/>
        <v>Residential</v>
      </c>
      <c r="AU220" s="190"/>
      <c r="AV220" s="190" t="str">
        <f t="shared" si="103"/>
        <v>NO</v>
      </c>
      <c r="AW220" s="190" t="str">
        <f t="shared" si="103"/>
        <v>NO</v>
      </c>
      <c r="AX220" s="190" t="str">
        <f t="shared" si="124"/>
        <v>NO</v>
      </c>
      <c r="AY220" s="190" t="str">
        <f t="shared" si="109"/>
        <v>NO</v>
      </c>
      <c r="AZ220" s="190" t="str">
        <f t="shared" si="109"/>
        <v>NO</v>
      </c>
      <c r="BA220" s="190" t="str">
        <f t="shared" si="125"/>
        <v>NO</v>
      </c>
      <c r="BB220" s="190" t="str">
        <f t="shared" si="110"/>
        <v>NO</v>
      </c>
      <c r="BC220" s="190" t="str">
        <f t="shared" si="111"/>
        <v>NO</v>
      </c>
      <c r="BD220" s="190" t="str">
        <f t="shared" si="126"/>
        <v>NO</v>
      </c>
      <c r="BE220" s="190" t="str">
        <f t="shared" si="112"/>
        <v>NO</v>
      </c>
      <c r="BF220" s="190" t="str">
        <f t="shared" si="113"/>
        <v>NO</v>
      </c>
      <c r="BG220" s="190" t="str">
        <f t="shared" si="114"/>
        <v>NO</v>
      </c>
      <c r="BH220" s="88"/>
      <c r="BI220" s="9"/>
      <c r="BJ220" s="694" t="str">
        <f t="shared" si="104"/>
        <v/>
      </c>
      <c r="BK220" s="694" t="str">
        <f t="shared" si="104"/>
        <v/>
      </c>
      <c r="BL220" s="694" t="str">
        <f t="shared" si="105"/>
        <v/>
      </c>
      <c r="BM220" s="694" t="str">
        <f t="shared" si="105"/>
        <v/>
      </c>
      <c r="BN220" s="88"/>
      <c r="BO220" s="195"/>
      <c r="BP220" s="195"/>
      <c r="BQ220" s="195"/>
      <c r="BR220" s="195"/>
      <c r="BS220" s="195"/>
      <c r="BT220" s="195"/>
      <c r="BU220" s="195"/>
      <c r="BV220" s="195"/>
      <c r="BW220" s="195"/>
      <c r="BX220" s="195"/>
    </row>
    <row r="221" spans="1:76" s="124" customFormat="1" ht="15">
      <c r="A221" s="187">
        <v>4275</v>
      </c>
      <c r="B221" s="187" t="s">
        <v>565</v>
      </c>
      <c r="C221" s="187" t="s">
        <v>566</v>
      </c>
      <c r="D221" s="187" t="s">
        <v>570</v>
      </c>
      <c r="E221" s="187" t="s">
        <v>385</v>
      </c>
      <c r="F221" s="187" t="s">
        <v>386</v>
      </c>
      <c r="G221" s="187" t="s">
        <v>387</v>
      </c>
      <c r="H221" s="187" t="b">
        <v>0</v>
      </c>
      <c r="I221" s="187" t="s">
        <v>388</v>
      </c>
      <c r="J221" s="187" t="s">
        <v>389</v>
      </c>
      <c r="K221" s="187" t="b">
        <v>1</v>
      </c>
      <c r="L221" s="187">
        <v>1.7</v>
      </c>
      <c r="M221" s="187">
        <v>0.78</v>
      </c>
      <c r="N221" s="187"/>
      <c r="O221" s="187">
        <v>8.6999999999999993</v>
      </c>
      <c r="P221" s="187">
        <v>2.19</v>
      </c>
      <c r="Q221" s="187"/>
      <c r="R221" s="187"/>
      <c r="S221" s="187"/>
      <c r="T221" s="187"/>
      <c r="U221" s="187">
        <v>38.799999999999997</v>
      </c>
      <c r="V221" s="187"/>
      <c r="W221" s="188">
        <v>37610</v>
      </c>
      <c r="X221" s="691" t="str">
        <f t="shared" si="99"/>
        <v/>
      </c>
      <c r="Y221" s="691">
        <f t="shared" si="107"/>
        <v>9.0277399999999997</v>
      </c>
      <c r="Z221" s="189"/>
      <c r="AA221" s="190">
        <f t="shared" si="115"/>
        <v>2002</v>
      </c>
      <c r="AB221" s="191" t="str">
        <f t="shared" si="116"/>
        <v/>
      </c>
      <c r="AC221" s="192" t="str">
        <f>IF(AB221="","",AB221*SFAssumptions!$C$3)</f>
        <v/>
      </c>
      <c r="AD221" s="193">
        <f t="shared" si="117"/>
        <v>15.347157999999999</v>
      </c>
      <c r="AE221" s="194">
        <f>IF(AD221="","",AD221*SFAssumptions!$C$3)</f>
        <v>3939.8195758013999</v>
      </c>
      <c r="AF221" s="192">
        <f t="shared" si="106"/>
        <v>1.7</v>
      </c>
      <c r="AG221" s="192">
        <f t="shared" si="118"/>
        <v>9.0277399999999997</v>
      </c>
      <c r="AH221" s="192" t="str">
        <f t="shared" si="119"/>
        <v/>
      </c>
      <c r="AI221" s="692" t="str">
        <f>IF(AC221="","",AC221*SFAssumptions!$C$8/'SavingsData&amp;Analysis'!AF221)</f>
        <v/>
      </c>
      <c r="AJ221" s="692">
        <f ca="1">IF(OR(AE221="",AF221=""),"",AE221*SFAssumptions!$C$8/AF221)</f>
        <v>8753.3689974170611</v>
      </c>
      <c r="AK221" s="191" t="str">
        <f t="shared" si="120"/>
        <v/>
      </c>
      <c r="AL221" s="692" t="str">
        <f>IF(AK221="","",AK221*SFAssumptions!$C$3)</f>
        <v/>
      </c>
      <c r="AM221" s="193">
        <f t="shared" si="121"/>
        <v>14.79</v>
      </c>
      <c r="AN221" s="194">
        <f>IF(AM221="","",AM221*SFAssumptions!$C$3)</f>
        <v>3796.7897069999999</v>
      </c>
      <c r="AO221" s="693">
        <f t="shared" si="122"/>
        <v>8.6999999999999993</v>
      </c>
      <c r="AP221" s="693" t="str">
        <f t="shared" si="123"/>
        <v/>
      </c>
      <c r="AQ221" s="692" t="str">
        <f>IF(AL221="","",AL221*SFAssumptions!$C$8/'SavingsData&amp;Analysis'!AF221)</f>
        <v/>
      </c>
      <c r="AR221" s="692">
        <f ca="1">IF(OR(AN221="",AF221=""),"",AN221*SFAssumptions!$C$8/AF221)</f>
        <v>8435.5896689014571</v>
      </c>
      <c r="AS221" s="190" t="str">
        <f>IF(OR(AG221="",AH221=""),"No",IF(AND(G221="Horizontal",AH221&gt;='Eff. Standards &amp; Certifications'!$B$21,AG221&lt;='Eff. Standards &amp; Certifications'!$C$21),"Consider",IF(AND(G221="Vertical",AH221&gt;='Eff. Standards &amp; Certifications'!$B$20,AG221&lt;='Eff. Standards &amp; Certifications'!$C$20),"Consider","No")))</f>
        <v>No</v>
      </c>
      <c r="AT221" s="190" t="str">
        <f t="shared" si="108"/>
        <v>Residential</v>
      </c>
      <c r="AU221" s="190"/>
      <c r="AV221" s="190" t="str">
        <f t="shared" si="103"/>
        <v>NO</v>
      </c>
      <c r="AW221" s="190" t="str">
        <f t="shared" si="103"/>
        <v>NO</v>
      </c>
      <c r="AX221" s="190" t="str">
        <f t="shared" si="124"/>
        <v>NO</v>
      </c>
      <c r="AY221" s="190" t="str">
        <f t="shared" si="109"/>
        <v>NO</v>
      </c>
      <c r="AZ221" s="190" t="str">
        <f t="shared" si="109"/>
        <v>NO</v>
      </c>
      <c r="BA221" s="190" t="str">
        <f t="shared" si="125"/>
        <v>NO</v>
      </c>
      <c r="BB221" s="190" t="str">
        <f t="shared" si="110"/>
        <v>NO</v>
      </c>
      <c r="BC221" s="190" t="str">
        <f t="shared" si="111"/>
        <v>NO</v>
      </c>
      <c r="BD221" s="190" t="str">
        <f t="shared" si="126"/>
        <v>NO</v>
      </c>
      <c r="BE221" s="190" t="str">
        <f t="shared" si="112"/>
        <v>NO</v>
      </c>
      <c r="BF221" s="190" t="str">
        <f t="shared" si="113"/>
        <v>NO</v>
      </c>
      <c r="BG221" s="190" t="str">
        <f t="shared" si="114"/>
        <v>NO</v>
      </c>
      <c r="BH221" s="88"/>
      <c r="BI221" s="9"/>
      <c r="BJ221" s="694" t="str">
        <f t="shared" si="104"/>
        <v/>
      </c>
      <c r="BK221" s="694" t="str">
        <f t="shared" si="104"/>
        <v/>
      </c>
      <c r="BL221" s="694" t="str">
        <f t="shared" si="105"/>
        <v/>
      </c>
      <c r="BM221" s="694" t="str">
        <f t="shared" si="105"/>
        <v/>
      </c>
      <c r="BN221" s="88"/>
      <c r="BO221" s="195"/>
      <c r="BP221" s="195"/>
      <c r="BQ221" s="195"/>
      <c r="BR221" s="195"/>
      <c r="BS221" s="195"/>
      <c r="BT221" s="195"/>
      <c r="BU221" s="195"/>
      <c r="BV221" s="195"/>
      <c r="BW221" s="195"/>
      <c r="BX221" s="195"/>
    </row>
    <row r="222" spans="1:76" s="124" customFormat="1" ht="15">
      <c r="A222" s="187">
        <v>4276</v>
      </c>
      <c r="B222" s="187" t="s">
        <v>565</v>
      </c>
      <c r="C222" s="187" t="s">
        <v>566</v>
      </c>
      <c r="D222" s="187" t="s">
        <v>571</v>
      </c>
      <c r="E222" s="187" t="s">
        <v>385</v>
      </c>
      <c r="F222" s="187" t="s">
        <v>386</v>
      </c>
      <c r="G222" s="187" t="s">
        <v>387</v>
      </c>
      <c r="H222" s="187" t="b">
        <v>0</v>
      </c>
      <c r="I222" s="187" t="s">
        <v>388</v>
      </c>
      <c r="J222" s="187" t="s">
        <v>389</v>
      </c>
      <c r="K222" s="187" t="b">
        <v>1</v>
      </c>
      <c r="L222" s="187">
        <v>1.7</v>
      </c>
      <c r="M222" s="187">
        <v>0.68</v>
      </c>
      <c r="N222" s="187"/>
      <c r="O222" s="187"/>
      <c r="P222" s="187">
        <v>2.52</v>
      </c>
      <c r="Q222" s="187"/>
      <c r="R222" s="187"/>
      <c r="S222" s="187"/>
      <c r="T222" s="187"/>
      <c r="U222" s="187"/>
      <c r="V222" s="187"/>
      <c r="W222" s="188">
        <v>37610</v>
      </c>
      <c r="X222" s="691" t="str">
        <f t="shared" si="99"/>
        <v/>
      </c>
      <c r="Y222" s="691" t="str">
        <f t="shared" si="107"/>
        <v/>
      </c>
      <c r="Z222" s="189"/>
      <c r="AA222" s="190">
        <f t="shared" si="115"/>
        <v>2002</v>
      </c>
      <c r="AB222" s="191" t="str">
        <f t="shared" si="116"/>
        <v/>
      </c>
      <c r="AC222" s="192" t="str">
        <f>IF(AB222="","",AB222*SFAssumptions!$C$3)</f>
        <v/>
      </c>
      <c r="AD222" s="193" t="str">
        <f t="shared" si="117"/>
        <v/>
      </c>
      <c r="AE222" s="194" t="str">
        <f>IF(AD222="","",AD222*SFAssumptions!$C$3)</f>
        <v/>
      </c>
      <c r="AF222" s="192">
        <f t="shared" si="106"/>
        <v>1.7</v>
      </c>
      <c r="AG222" s="192" t="str">
        <f t="shared" si="118"/>
        <v/>
      </c>
      <c r="AH222" s="192" t="str">
        <f t="shared" si="119"/>
        <v/>
      </c>
      <c r="AI222" s="692" t="str">
        <f>IF(AC222="","",AC222*SFAssumptions!$C$8/'SavingsData&amp;Analysis'!AF222)</f>
        <v/>
      </c>
      <c r="AJ222" s="692" t="str">
        <f>IF(OR(AE222="",AF222=""),"",AE222*SFAssumptions!$C$8/AF222)</f>
        <v/>
      </c>
      <c r="AK222" s="191" t="str">
        <f t="shared" si="120"/>
        <v/>
      </c>
      <c r="AL222" s="692" t="str">
        <f>IF(AK222="","",AK222*SFAssumptions!$C$3)</f>
        <v/>
      </c>
      <c r="AM222" s="193" t="str">
        <f t="shared" si="121"/>
        <v/>
      </c>
      <c r="AN222" s="194" t="str">
        <f>IF(AM222="","",AM222*SFAssumptions!$C$3)</f>
        <v/>
      </c>
      <c r="AO222" s="693" t="str">
        <f t="shared" si="122"/>
        <v/>
      </c>
      <c r="AP222" s="693" t="str">
        <f t="shared" si="123"/>
        <v/>
      </c>
      <c r="AQ222" s="692" t="str">
        <f>IF(AL222="","",AL222*SFAssumptions!$C$8/'SavingsData&amp;Analysis'!AF222)</f>
        <v/>
      </c>
      <c r="AR222" s="692" t="str">
        <f>IF(OR(AN222="",AF222=""),"",AN222*SFAssumptions!$C$8/AF222)</f>
        <v/>
      </c>
      <c r="AS222" s="190" t="str">
        <f>IF(OR(AG222="",AH222=""),"No",IF(AND(G222="Horizontal",AH222&gt;='Eff. Standards &amp; Certifications'!$B$21,AG222&lt;='Eff. Standards &amp; Certifications'!$C$21),"Consider",IF(AND(G222="Vertical",AH222&gt;='Eff. Standards &amp; Certifications'!$B$20,AG222&lt;='Eff. Standards &amp; Certifications'!$C$20),"Consider","No")))</f>
        <v>No</v>
      </c>
      <c r="AT222" s="190" t="str">
        <f t="shared" si="108"/>
        <v>Residential</v>
      </c>
      <c r="AU222" s="190"/>
      <c r="AV222" s="190" t="str">
        <f t="shared" si="103"/>
        <v>NO</v>
      </c>
      <c r="AW222" s="190" t="str">
        <f t="shared" si="103"/>
        <v>NO</v>
      </c>
      <c r="AX222" s="190" t="str">
        <f t="shared" si="124"/>
        <v>NO</v>
      </c>
      <c r="AY222" s="190" t="str">
        <f t="shared" si="109"/>
        <v>NO</v>
      </c>
      <c r="AZ222" s="190" t="str">
        <f t="shared" si="109"/>
        <v>NO</v>
      </c>
      <c r="BA222" s="190" t="str">
        <f t="shared" si="125"/>
        <v>NO</v>
      </c>
      <c r="BB222" s="190" t="str">
        <f t="shared" si="110"/>
        <v>NO</v>
      </c>
      <c r="BC222" s="190" t="str">
        <f t="shared" si="111"/>
        <v>NO</v>
      </c>
      <c r="BD222" s="190" t="str">
        <f t="shared" si="126"/>
        <v>NO</v>
      </c>
      <c r="BE222" s="190" t="str">
        <f t="shared" si="112"/>
        <v>NO</v>
      </c>
      <c r="BF222" s="190" t="str">
        <f t="shared" si="113"/>
        <v>NO</v>
      </c>
      <c r="BG222" s="190" t="str">
        <f t="shared" si="114"/>
        <v>NO</v>
      </c>
      <c r="BH222" s="88"/>
      <c r="BI222" s="9"/>
      <c r="BJ222" s="694" t="str">
        <f t="shared" si="104"/>
        <v/>
      </c>
      <c r="BK222" s="694" t="str">
        <f t="shared" si="104"/>
        <v/>
      </c>
      <c r="BL222" s="694" t="str">
        <f t="shared" si="105"/>
        <v/>
      </c>
      <c r="BM222" s="694" t="str">
        <f t="shared" si="105"/>
        <v/>
      </c>
      <c r="BN222" s="88"/>
      <c r="BO222" s="195"/>
      <c r="BP222" s="195"/>
      <c r="BQ222" s="195"/>
      <c r="BR222" s="195"/>
      <c r="BS222" s="195"/>
      <c r="BT222" s="195"/>
      <c r="BU222" s="195"/>
      <c r="BV222" s="195"/>
      <c r="BW222" s="195"/>
      <c r="BX222" s="195"/>
    </row>
    <row r="223" spans="1:76" s="124" customFormat="1" ht="15">
      <c r="A223" s="187">
        <v>4277</v>
      </c>
      <c r="B223" s="187" t="s">
        <v>565</v>
      </c>
      <c r="C223" s="187" t="s">
        <v>566</v>
      </c>
      <c r="D223" s="187" t="s">
        <v>572</v>
      </c>
      <c r="E223" s="187" t="s">
        <v>385</v>
      </c>
      <c r="F223" s="187" t="s">
        <v>386</v>
      </c>
      <c r="G223" s="187" t="s">
        <v>387</v>
      </c>
      <c r="H223" s="187" t="b">
        <v>0</v>
      </c>
      <c r="I223" s="187" t="s">
        <v>388</v>
      </c>
      <c r="J223" s="187" t="s">
        <v>389</v>
      </c>
      <c r="K223" s="187" t="b">
        <v>1</v>
      </c>
      <c r="L223" s="187">
        <v>1.7</v>
      </c>
      <c r="M223" s="187">
        <v>0.71</v>
      </c>
      <c r="N223" s="187"/>
      <c r="O223" s="187">
        <v>8.6</v>
      </c>
      <c r="P223" s="187">
        <v>2.52</v>
      </c>
      <c r="Q223" s="187"/>
      <c r="R223" s="187"/>
      <c r="S223" s="187"/>
      <c r="T223" s="187"/>
      <c r="U223" s="187">
        <v>35.799999999999997</v>
      </c>
      <c r="V223" s="187"/>
      <c r="W223" s="188">
        <v>37610</v>
      </c>
      <c r="X223" s="691" t="str">
        <f t="shared" si="99"/>
        <v/>
      </c>
      <c r="Y223" s="691">
        <f t="shared" si="107"/>
        <v>8.9253199999999993</v>
      </c>
      <c r="Z223" s="189"/>
      <c r="AA223" s="190">
        <f t="shared" si="115"/>
        <v>2002</v>
      </c>
      <c r="AB223" s="191" t="str">
        <f t="shared" si="116"/>
        <v/>
      </c>
      <c r="AC223" s="192" t="str">
        <f>IF(AB223="","",AB223*SFAssumptions!$C$3)</f>
        <v/>
      </c>
      <c r="AD223" s="193">
        <f t="shared" si="117"/>
        <v>15.173043999999999</v>
      </c>
      <c r="AE223" s="194">
        <f>IF(AD223="","",AD223*SFAssumptions!$C$3)</f>
        <v>3895.1221962851996</v>
      </c>
      <c r="AF223" s="192">
        <f t="shared" si="106"/>
        <v>1.7</v>
      </c>
      <c r="AG223" s="192">
        <f t="shared" si="118"/>
        <v>8.9253199999999993</v>
      </c>
      <c r="AH223" s="192" t="str">
        <f t="shared" si="119"/>
        <v/>
      </c>
      <c r="AI223" s="692" t="str">
        <f>IF(AC223="","",AC223*SFAssumptions!$C$8/'SavingsData&amp;Analysis'!AF223)</f>
        <v/>
      </c>
      <c r="AJ223" s="692">
        <f ca="1">IF(OR(AE223="",AF223=""),"",AE223*SFAssumptions!$C$8/AF223)</f>
        <v>8654.0617452459246</v>
      </c>
      <c r="AK223" s="191" t="str">
        <f t="shared" si="120"/>
        <v/>
      </c>
      <c r="AL223" s="692" t="str">
        <f>IF(AK223="","",AK223*SFAssumptions!$C$3)</f>
        <v/>
      </c>
      <c r="AM223" s="193">
        <f t="shared" si="121"/>
        <v>14.62</v>
      </c>
      <c r="AN223" s="194">
        <f>IF(AM223="","",AM223*SFAssumptions!$C$3)</f>
        <v>3753.1484459999997</v>
      </c>
      <c r="AO223" s="693">
        <f t="shared" si="122"/>
        <v>8.6</v>
      </c>
      <c r="AP223" s="693" t="str">
        <f t="shared" si="123"/>
        <v/>
      </c>
      <c r="AQ223" s="692" t="str">
        <f>IF(AL223="","",AL223*SFAssumptions!$C$8/'SavingsData&amp;Analysis'!AF223)</f>
        <v/>
      </c>
      <c r="AR223" s="692">
        <f ca="1">IF(OR(AN223="",AF223=""),"",AN223*SFAssumptions!$C$8/AF223)</f>
        <v>8338.6288681094848</v>
      </c>
      <c r="AS223" s="190" t="str">
        <f>IF(OR(AG223="",AH223=""),"No",IF(AND(G223="Horizontal",AH223&gt;='Eff. Standards &amp; Certifications'!$B$21,AG223&lt;='Eff. Standards &amp; Certifications'!$C$21),"Consider",IF(AND(G223="Vertical",AH223&gt;='Eff. Standards &amp; Certifications'!$B$20,AG223&lt;='Eff. Standards &amp; Certifications'!$C$20),"Consider","No")))</f>
        <v>No</v>
      </c>
      <c r="AT223" s="190" t="str">
        <f t="shared" si="108"/>
        <v>Residential</v>
      </c>
      <c r="AU223" s="190"/>
      <c r="AV223" s="190" t="str">
        <f t="shared" ref="AV223:AW242" si="127">IF(AND($G223=AV$18,$AS223="Consider",$AT223="Residential",$AH223&gt;=AV$3,$AH223&lt;=AV$4,$AG223&gt;=AV$5,$AG223&lt;=AV$6),"YES","NO")</f>
        <v>NO</v>
      </c>
      <c r="AW223" s="190" t="str">
        <f t="shared" si="127"/>
        <v>NO</v>
      </c>
      <c r="AX223" s="190" t="str">
        <f t="shared" si="124"/>
        <v>NO</v>
      </c>
      <c r="AY223" s="190" t="str">
        <f t="shared" si="109"/>
        <v>NO</v>
      </c>
      <c r="AZ223" s="190" t="str">
        <f t="shared" si="109"/>
        <v>NO</v>
      </c>
      <c r="BA223" s="190" t="str">
        <f t="shared" si="125"/>
        <v>NO</v>
      </c>
      <c r="BB223" s="190" t="str">
        <f t="shared" si="110"/>
        <v>NO</v>
      </c>
      <c r="BC223" s="190" t="str">
        <f t="shared" si="111"/>
        <v>NO</v>
      </c>
      <c r="BD223" s="190" t="str">
        <f t="shared" si="126"/>
        <v>NO</v>
      </c>
      <c r="BE223" s="190" t="str">
        <f t="shared" si="112"/>
        <v>NO</v>
      </c>
      <c r="BF223" s="190" t="str">
        <f t="shared" si="113"/>
        <v>NO</v>
      </c>
      <c r="BG223" s="190" t="str">
        <f t="shared" si="114"/>
        <v>NO</v>
      </c>
      <c r="BH223" s="88"/>
      <c r="BI223" s="9"/>
      <c r="BJ223" s="694" t="str">
        <f t="shared" ref="BJ223:BK242" si="128">IF(AND($G223=BJ$21,$AT223="Residential",$AS223="Consider"),$X223,"")</f>
        <v/>
      </c>
      <c r="BK223" s="694" t="str">
        <f t="shared" si="128"/>
        <v/>
      </c>
      <c r="BL223" s="694" t="str">
        <f t="shared" ref="BL223:BM242" si="129">IF(AND($G223=BL$21,$AT223="Residential",$AS223="Consider"),$Y223,"")</f>
        <v/>
      </c>
      <c r="BM223" s="694" t="str">
        <f t="shared" si="129"/>
        <v/>
      </c>
      <c r="BN223" s="88"/>
      <c r="BO223" s="195"/>
      <c r="BP223" s="195"/>
      <c r="BQ223" s="195"/>
      <c r="BR223" s="195"/>
      <c r="BS223" s="195"/>
      <c r="BT223" s="195"/>
      <c r="BU223" s="195"/>
      <c r="BV223" s="195"/>
      <c r="BW223" s="195"/>
      <c r="BX223" s="195"/>
    </row>
    <row r="224" spans="1:76" s="124" customFormat="1" ht="15">
      <c r="A224" s="187">
        <v>5250</v>
      </c>
      <c r="B224" s="187" t="s">
        <v>565</v>
      </c>
      <c r="C224" s="187" t="s">
        <v>566</v>
      </c>
      <c r="D224" s="187" t="s">
        <v>573</v>
      </c>
      <c r="E224" s="187" t="s">
        <v>385</v>
      </c>
      <c r="F224" s="187" t="s">
        <v>386</v>
      </c>
      <c r="G224" s="187" t="s">
        <v>387</v>
      </c>
      <c r="H224" s="187" t="b">
        <v>0</v>
      </c>
      <c r="I224" s="187" t="s">
        <v>388</v>
      </c>
      <c r="J224" s="187" t="s">
        <v>389</v>
      </c>
      <c r="K224" s="187" t="b">
        <v>1</v>
      </c>
      <c r="L224" s="187">
        <v>2</v>
      </c>
      <c r="M224" s="187">
        <v>0.33</v>
      </c>
      <c r="N224" s="187">
        <v>8.68</v>
      </c>
      <c r="O224" s="187">
        <v>4.4000000000000004</v>
      </c>
      <c r="P224" s="187">
        <v>5.79</v>
      </c>
      <c r="Q224" s="187"/>
      <c r="R224" s="187"/>
      <c r="S224" s="187"/>
      <c r="T224" s="187"/>
      <c r="U224" s="187">
        <v>33.200000000000003</v>
      </c>
      <c r="V224" s="187">
        <v>2.31</v>
      </c>
      <c r="W224" s="188">
        <v>40904</v>
      </c>
      <c r="X224" s="691">
        <f t="shared" si="99"/>
        <v>1.939195</v>
      </c>
      <c r="Y224" s="691">
        <f t="shared" si="107"/>
        <v>4.6236800000000011</v>
      </c>
      <c r="Z224" s="189"/>
      <c r="AA224" s="190">
        <f t="shared" si="115"/>
        <v>2011</v>
      </c>
      <c r="AB224" s="191">
        <f t="shared" si="116"/>
        <v>1.0313557945436123</v>
      </c>
      <c r="AC224" s="192">
        <f>IF(AB224="","",AB224*SFAssumptions!$C$3)</f>
        <v>264.76274949141271</v>
      </c>
      <c r="AD224" s="193">
        <f t="shared" si="117"/>
        <v>9.2473600000000022</v>
      </c>
      <c r="AE224" s="194">
        <f>IF(AD224="","",AD224*SFAssumptions!$C$3)</f>
        <v>2373.9203018880007</v>
      </c>
      <c r="AF224" s="192">
        <f t="shared" si="106"/>
        <v>2</v>
      </c>
      <c r="AG224" s="192">
        <f t="shared" si="118"/>
        <v>4.6236800000000011</v>
      </c>
      <c r="AH224" s="192">
        <f t="shared" si="119"/>
        <v>1.939195</v>
      </c>
      <c r="AI224" s="692">
        <f ca="1">IF(AC224="","",AC224*SFAssumptions!$C$8/'SavingsData&amp;Analysis'!AF224)</f>
        <v>500.00541870193962</v>
      </c>
      <c r="AJ224" s="692">
        <f ca="1">IF(OR(AE224="",AF224=""),"",AE224*SFAssumptions!$C$8/AF224)</f>
        <v>4483.1571540581954</v>
      </c>
      <c r="AK224" s="191">
        <f t="shared" si="120"/>
        <v>0.86580086580086579</v>
      </c>
      <c r="AL224" s="692">
        <f>IF(AK224="","",AK224*SFAssumptions!$C$3)</f>
        <v>222.26259740259741</v>
      </c>
      <c r="AM224" s="193">
        <f t="shared" si="121"/>
        <v>8.8000000000000007</v>
      </c>
      <c r="AN224" s="194">
        <f>IF(AM224="","",AM224*SFAssumptions!$C$3)</f>
        <v>2259.0770400000001</v>
      </c>
      <c r="AO224" s="693">
        <f t="shared" si="122"/>
        <v>4.4000000000000004</v>
      </c>
      <c r="AP224" s="693">
        <f t="shared" si="123"/>
        <v>2.31</v>
      </c>
      <c r="AQ224" s="692">
        <f ca="1">IF(AL224="","",AL224*SFAssumptions!$C$8/'SavingsData&amp;Analysis'!AF224)</f>
        <v>419.74372637216783</v>
      </c>
      <c r="AR224" s="692">
        <f ca="1">IF(OR(AN224="",AF224=""),"",AN224*SFAssumptions!$C$8/AF224)</f>
        <v>4266.2752348467138</v>
      </c>
      <c r="AS224" s="190" t="str">
        <f>IF(OR(AG224="",AH224=""),"No",IF(AND(G224="Horizontal",AH224&gt;='Eff. Standards &amp; Certifications'!$B$21,AG224&lt;='Eff. Standards &amp; Certifications'!$C$21),"Consider",IF(AND(G224="Vertical",AH224&gt;='Eff. Standards &amp; Certifications'!$B$20,AG224&lt;='Eff. Standards &amp; Certifications'!$C$20),"Consider","No")))</f>
        <v>Consider</v>
      </c>
      <c r="AT224" s="190" t="str">
        <f t="shared" si="108"/>
        <v>Residential</v>
      </c>
      <c r="AU224" s="190"/>
      <c r="AV224" s="190" t="str">
        <f t="shared" si="127"/>
        <v>NO</v>
      </c>
      <c r="AW224" s="190" t="str">
        <f t="shared" si="127"/>
        <v>YES</v>
      </c>
      <c r="AX224" s="190" t="str">
        <f t="shared" si="124"/>
        <v>YES</v>
      </c>
      <c r="AY224" s="190" t="str">
        <f t="shared" si="109"/>
        <v>NO</v>
      </c>
      <c r="AZ224" s="190" t="str">
        <f t="shared" si="109"/>
        <v>YES</v>
      </c>
      <c r="BA224" s="190" t="str">
        <f t="shared" si="125"/>
        <v>YES</v>
      </c>
      <c r="BB224" s="190" t="str">
        <f t="shared" si="110"/>
        <v>NO</v>
      </c>
      <c r="BC224" s="190" t="str">
        <f t="shared" si="111"/>
        <v>NO</v>
      </c>
      <c r="BD224" s="190" t="str">
        <f t="shared" si="126"/>
        <v>NO</v>
      </c>
      <c r="BE224" s="190" t="str">
        <f t="shared" si="112"/>
        <v>NO</v>
      </c>
      <c r="BF224" s="190" t="str">
        <f t="shared" si="113"/>
        <v>NO</v>
      </c>
      <c r="BG224" s="190" t="str">
        <f t="shared" si="114"/>
        <v>NO</v>
      </c>
      <c r="BH224" s="88"/>
      <c r="BI224" s="9"/>
      <c r="BJ224" s="694" t="str">
        <f t="shared" si="128"/>
        <v/>
      </c>
      <c r="BK224" s="694">
        <f t="shared" si="128"/>
        <v>1.939195</v>
      </c>
      <c r="BL224" s="694" t="str">
        <f t="shared" si="129"/>
        <v/>
      </c>
      <c r="BM224" s="694">
        <f t="shared" si="129"/>
        <v>4.6236800000000011</v>
      </c>
      <c r="BN224" s="88"/>
      <c r="BO224" s="195"/>
      <c r="BP224" s="195"/>
      <c r="BQ224" s="195"/>
      <c r="BR224" s="195"/>
      <c r="BS224" s="195"/>
      <c r="BT224" s="195"/>
      <c r="BU224" s="195"/>
      <c r="BV224" s="195"/>
      <c r="BW224" s="195"/>
      <c r="BX224" s="195"/>
    </row>
    <row r="225" spans="1:76" s="124" customFormat="1" ht="15">
      <c r="A225" s="187">
        <v>5252</v>
      </c>
      <c r="B225" s="187" t="s">
        <v>565</v>
      </c>
      <c r="C225" s="187" t="s">
        <v>566</v>
      </c>
      <c r="D225" s="187" t="s">
        <v>574</v>
      </c>
      <c r="E225" s="187" t="s">
        <v>385</v>
      </c>
      <c r="F225" s="187" t="s">
        <v>386</v>
      </c>
      <c r="G225" s="187" t="s">
        <v>387</v>
      </c>
      <c r="H225" s="187" t="b">
        <v>0</v>
      </c>
      <c r="I225" s="187" t="s">
        <v>388</v>
      </c>
      <c r="J225" s="187" t="s">
        <v>389</v>
      </c>
      <c r="K225" s="187" t="b">
        <v>1</v>
      </c>
      <c r="L225" s="187">
        <v>1.8</v>
      </c>
      <c r="M225" s="187">
        <v>0.3</v>
      </c>
      <c r="N225" s="187">
        <v>7.76</v>
      </c>
      <c r="O225" s="187">
        <v>4.4000000000000004</v>
      </c>
      <c r="P225" s="187">
        <v>5.5</v>
      </c>
      <c r="Q225" s="187"/>
      <c r="R225" s="187"/>
      <c r="S225" s="187"/>
      <c r="T225" s="187"/>
      <c r="U225" s="187">
        <v>33.200000000000003</v>
      </c>
      <c r="V225" s="187">
        <v>2.2400000000000002</v>
      </c>
      <c r="W225" s="188">
        <v>40904</v>
      </c>
      <c r="X225" s="691">
        <f t="shared" si="99"/>
        <v>1.8751800000000001</v>
      </c>
      <c r="Y225" s="691">
        <f t="shared" si="107"/>
        <v>4.6236800000000011</v>
      </c>
      <c r="Z225" s="189"/>
      <c r="AA225" s="190">
        <f t="shared" si="115"/>
        <v>2011</v>
      </c>
      <c r="AB225" s="191">
        <f t="shared" si="116"/>
        <v>0.9599078488465107</v>
      </c>
      <c r="AC225" s="192">
        <f>IF(AB225="","",AB225*SFAssumptions!$C$3)</f>
        <v>246.42111157328895</v>
      </c>
      <c r="AD225" s="193">
        <f t="shared" si="117"/>
        <v>8.3226240000000029</v>
      </c>
      <c r="AE225" s="194">
        <f>IF(AD225="","",AD225*SFAssumptions!$C$3)</f>
        <v>2136.5282716992006</v>
      </c>
      <c r="AF225" s="192">
        <f t="shared" si="106"/>
        <v>1.8</v>
      </c>
      <c r="AG225" s="192">
        <f t="shared" si="118"/>
        <v>4.6236800000000011</v>
      </c>
      <c r="AH225" s="192">
        <f t="shared" si="119"/>
        <v>1.8751800000000001</v>
      </c>
      <c r="AI225" s="692">
        <f ca="1">IF(AC225="","",AC225*SFAssumptions!$C$8/'SavingsData&amp;Analysis'!AF225)</f>
        <v>517.07463172586506</v>
      </c>
      <c r="AJ225" s="692">
        <f ca="1">IF(OR(AE225="",AF225=""),"",AE225*SFAssumptions!$C$8/AF225)</f>
        <v>4483.1571540581945</v>
      </c>
      <c r="AK225" s="191">
        <f t="shared" si="120"/>
        <v>0.80357142857142849</v>
      </c>
      <c r="AL225" s="692">
        <f>IF(AK225="","",AK225*SFAssumptions!$C$3)</f>
        <v>206.28747321428568</v>
      </c>
      <c r="AM225" s="193">
        <f t="shared" si="121"/>
        <v>7.9200000000000008</v>
      </c>
      <c r="AN225" s="194">
        <f>IF(AM225="","",AM225*SFAssumptions!$C$3)</f>
        <v>2033.1693360000002</v>
      </c>
      <c r="AO225" s="693">
        <f t="shared" si="122"/>
        <v>4.4000000000000004</v>
      </c>
      <c r="AP225" s="693">
        <f t="shared" si="123"/>
        <v>2.2400000000000002</v>
      </c>
      <c r="AQ225" s="692">
        <f ca="1">IF(AL225="","",AL225*SFAssumptions!$C$8/'SavingsData&amp;Analysis'!AF225)</f>
        <v>432.86071782129801</v>
      </c>
      <c r="AR225" s="692">
        <f ca="1">IF(OR(AN225="",AF225=""),"",AN225*SFAssumptions!$C$8/AF225)</f>
        <v>4266.2752348467138</v>
      </c>
      <c r="AS225" s="190" t="str">
        <f>IF(OR(AG225="",AH225=""),"No",IF(AND(G225="Horizontal",AH225&gt;='Eff. Standards &amp; Certifications'!$B$21,AG225&lt;='Eff. Standards &amp; Certifications'!$C$21),"Consider",IF(AND(G225="Vertical",AH225&gt;='Eff. Standards &amp; Certifications'!$B$20,AG225&lt;='Eff. Standards &amp; Certifications'!$C$20),"Consider","No")))</f>
        <v>Consider</v>
      </c>
      <c r="AT225" s="190" t="str">
        <f t="shared" si="108"/>
        <v>Residential</v>
      </c>
      <c r="AU225" s="190"/>
      <c r="AV225" s="190" t="str">
        <f t="shared" si="127"/>
        <v>NO</v>
      </c>
      <c r="AW225" s="190" t="str">
        <f t="shared" si="127"/>
        <v>YES</v>
      </c>
      <c r="AX225" s="190" t="str">
        <f t="shared" si="124"/>
        <v>YES</v>
      </c>
      <c r="AY225" s="190" t="str">
        <f t="shared" si="109"/>
        <v>NO</v>
      </c>
      <c r="AZ225" s="190" t="str">
        <f t="shared" si="109"/>
        <v>YES</v>
      </c>
      <c r="BA225" s="190" t="str">
        <f t="shared" si="125"/>
        <v>YES</v>
      </c>
      <c r="BB225" s="190" t="str">
        <f t="shared" si="110"/>
        <v>NO</v>
      </c>
      <c r="BC225" s="190" t="str">
        <f t="shared" si="111"/>
        <v>NO</v>
      </c>
      <c r="BD225" s="190" t="str">
        <f t="shared" si="126"/>
        <v>NO</v>
      </c>
      <c r="BE225" s="190" t="str">
        <f t="shared" si="112"/>
        <v>NO</v>
      </c>
      <c r="BF225" s="190" t="str">
        <f t="shared" si="113"/>
        <v>NO</v>
      </c>
      <c r="BG225" s="190" t="str">
        <f t="shared" si="114"/>
        <v>NO</v>
      </c>
      <c r="BH225" s="88"/>
      <c r="BI225" s="9"/>
      <c r="BJ225" s="694" t="str">
        <f t="shared" si="128"/>
        <v/>
      </c>
      <c r="BK225" s="694">
        <f t="shared" si="128"/>
        <v>1.8751800000000001</v>
      </c>
      <c r="BL225" s="694" t="str">
        <f t="shared" si="129"/>
        <v/>
      </c>
      <c r="BM225" s="694">
        <f t="shared" si="129"/>
        <v>4.6236800000000011</v>
      </c>
      <c r="BN225" s="88"/>
      <c r="BO225" s="195"/>
      <c r="BP225" s="195"/>
      <c r="BQ225" s="195"/>
      <c r="BR225" s="195"/>
      <c r="BS225" s="195"/>
      <c r="BT225" s="195"/>
      <c r="BU225" s="195"/>
      <c r="BV225" s="195"/>
      <c r="BW225" s="195"/>
      <c r="BX225" s="195"/>
    </row>
    <row r="226" spans="1:76" s="124" customFormat="1" ht="15">
      <c r="A226" s="187">
        <v>538</v>
      </c>
      <c r="B226" s="187" t="s">
        <v>565</v>
      </c>
      <c r="C226" s="187" t="s">
        <v>566</v>
      </c>
      <c r="D226" s="187" t="s">
        <v>575</v>
      </c>
      <c r="E226" s="187" t="s">
        <v>385</v>
      </c>
      <c r="F226" s="187" t="s">
        <v>386</v>
      </c>
      <c r="G226" s="187" t="s">
        <v>387</v>
      </c>
      <c r="H226" s="187" t="b">
        <v>0</v>
      </c>
      <c r="I226" s="187" t="s">
        <v>388</v>
      </c>
      <c r="J226" s="187" t="s">
        <v>389</v>
      </c>
      <c r="K226" s="187" t="b">
        <v>1</v>
      </c>
      <c r="L226" s="187">
        <v>3.1</v>
      </c>
      <c r="M226" s="187">
        <v>0.46</v>
      </c>
      <c r="N226" s="187">
        <v>12.98</v>
      </c>
      <c r="O226" s="187">
        <v>4.2</v>
      </c>
      <c r="P226" s="187">
        <v>6.53</v>
      </c>
      <c r="Q226" s="187"/>
      <c r="R226" s="187"/>
      <c r="S226" s="187"/>
      <c r="T226" s="187"/>
      <c r="U226" s="187">
        <v>33.5</v>
      </c>
      <c r="V226" s="187">
        <v>2.4</v>
      </c>
      <c r="W226" s="188">
        <v>40310</v>
      </c>
      <c r="X226" s="691">
        <f t="shared" si="99"/>
        <v>2.0214999999999996</v>
      </c>
      <c r="Y226" s="691">
        <f t="shared" si="107"/>
        <v>4.4188400000000003</v>
      </c>
      <c r="Z226" s="189"/>
      <c r="AA226" s="190">
        <f t="shared" si="115"/>
        <v>2010</v>
      </c>
      <c r="AB226" s="191">
        <f t="shared" si="116"/>
        <v>1.5335147167944598</v>
      </c>
      <c r="AC226" s="192">
        <f>IF(AB226="","",AB226*SFAssumptions!$C$3)</f>
        <v>393.67362354687123</v>
      </c>
      <c r="AD226" s="193">
        <f t="shared" si="117"/>
        <v>13.698404000000002</v>
      </c>
      <c r="AE226" s="194">
        <f>IF(AD226="","",AD226*SFAssumptions!$C$3)</f>
        <v>3516.5624955732005</v>
      </c>
      <c r="AF226" s="192">
        <f t="shared" si="106"/>
        <v>3.1</v>
      </c>
      <c r="AG226" s="192">
        <f t="shared" si="118"/>
        <v>4.4188400000000003</v>
      </c>
      <c r="AH226" s="192">
        <f t="shared" si="119"/>
        <v>2.0214999999999996</v>
      </c>
      <c r="AI226" s="692">
        <f ca="1">IF(AC226="","",AC226*SFAssumptions!$C$8/'SavingsData&amp;Analysis'!AF226)</f>
        <v>479.64779021504228</v>
      </c>
      <c r="AJ226" s="692">
        <f ca="1">IF(OR(AE226="",AF226=""),"",AE226*SFAssumptions!$C$8/AF226)</f>
        <v>4284.5426497159215</v>
      </c>
      <c r="AK226" s="191">
        <f t="shared" si="120"/>
        <v>1.2916666666666667</v>
      </c>
      <c r="AL226" s="692">
        <f>IF(AK226="","",AK226*SFAssumptions!$C$3)</f>
        <v>331.58801250000005</v>
      </c>
      <c r="AM226" s="193">
        <f t="shared" si="121"/>
        <v>13.020000000000001</v>
      </c>
      <c r="AN226" s="194">
        <f>IF(AM226="","",AM226*SFAssumptions!$C$3)</f>
        <v>3342.4071660000004</v>
      </c>
      <c r="AO226" s="693">
        <f t="shared" si="122"/>
        <v>4.2</v>
      </c>
      <c r="AP226" s="693">
        <f t="shared" si="123"/>
        <v>2.4</v>
      </c>
      <c r="AQ226" s="692">
        <f ca="1">IF(AL226="","",AL226*SFAssumptions!$C$8/'SavingsData&amp;Analysis'!AF226)</f>
        <v>404.00333663321157</v>
      </c>
      <c r="AR226" s="692">
        <f ca="1">IF(OR(AN226="",AF226=""),"",AN226*SFAssumptions!$C$8/AF226)</f>
        <v>4072.3536332627723</v>
      </c>
      <c r="AS226" s="190" t="str">
        <f>IF(OR(AG226="",AH226=""),"No",IF(AND(G226="Horizontal",AH226&gt;='Eff. Standards &amp; Certifications'!$B$21,AG226&lt;='Eff. Standards &amp; Certifications'!$C$21),"Consider",IF(AND(G226="Vertical",AH226&gt;='Eff. Standards &amp; Certifications'!$B$20,AG226&lt;='Eff. Standards &amp; Certifications'!$C$20),"Consider","No")))</f>
        <v>Consider</v>
      </c>
      <c r="AT226" s="190" t="str">
        <f t="shared" si="108"/>
        <v>Residential</v>
      </c>
      <c r="AU226" s="190"/>
      <c r="AV226" s="190" t="str">
        <f t="shared" si="127"/>
        <v>NO</v>
      </c>
      <c r="AW226" s="190" t="str">
        <f t="shared" si="127"/>
        <v>YES</v>
      </c>
      <c r="AX226" s="190" t="str">
        <f t="shared" si="124"/>
        <v>YES</v>
      </c>
      <c r="AY226" s="190" t="str">
        <f t="shared" si="109"/>
        <v>NO</v>
      </c>
      <c r="AZ226" s="190" t="str">
        <f t="shared" si="109"/>
        <v>YES</v>
      </c>
      <c r="BA226" s="190" t="str">
        <f t="shared" si="125"/>
        <v>YES</v>
      </c>
      <c r="BB226" s="190" t="str">
        <f t="shared" si="110"/>
        <v>NO</v>
      </c>
      <c r="BC226" s="190" t="str">
        <f t="shared" si="111"/>
        <v>NO</v>
      </c>
      <c r="BD226" s="190" t="str">
        <f t="shared" si="126"/>
        <v>NO</v>
      </c>
      <c r="BE226" s="190" t="str">
        <f t="shared" si="112"/>
        <v>NO</v>
      </c>
      <c r="BF226" s="190" t="str">
        <f t="shared" si="113"/>
        <v>NO</v>
      </c>
      <c r="BG226" s="190" t="str">
        <f t="shared" si="114"/>
        <v>NO</v>
      </c>
      <c r="BH226" s="88"/>
      <c r="BI226" s="9"/>
      <c r="BJ226" s="694" t="str">
        <f t="shared" si="128"/>
        <v/>
      </c>
      <c r="BK226" s="694">
        <f t="shared" si="128"/>
        <v>2.0214999999999996</v>
      </c>
      <c r="BL226" s="694" t="str">
        <f t="shared" si="129"/>
        <v/>
      </c>
      <c r="BM226" s="694">
        <f t="shared" si="129"/>
        <v>4.4188400000000003</v>
      </c>
      <c r="BN226" s="88"/>
      <c r="BO226" s="195"/>
      <c r="BP226" s="195"/>
      <c r="BQ226" s="195"/>
      <c r="BR226" s="195"/>
      <c r="BS226" s="195"/>
      <c r="BT226" s="195"/>
      <c r="BU226" s="195"/>
      <c r="BV226" s="195"/>
      <c r="BW226" s="195"/>
      <c r="BX226" s="195"/>
    </row>
    <row r="227" spans="1:76" s="124" customFormat="1" ht="15">
      <c r="A227" s="187">
        <v>3336</v>
      </c>
      <c r="B227" s="187" t="s">
        <v>576</v>
      </c>
      <c r="C227" s="187" t="s">
        <v>558</v>
      </c>
      <c r="D227" s="187" t="s">
        <v>577</v>
      </c>
      <c r="E227" s="187" t="s">
        <v>385</v>
      </c>
      <c r="F227" s="187" t="s">
        <v>386</v>
      </c>
      <c r="G227" s="187" t="s">
        <v>387</v>
      </c>
      <c r="H227" s="187" t="b">
        <v>0</v>
      </c>
      <c r="I227" s="187" t="s">
        <v>388</v>
      </c>
      <c r="J227" s="187" t="s">
        <v>389</v>
      </c>
      <c r="K227" s="187" t="b">
        <v>1</v>
      </c>
      <c r="L227" s="187">
        <v>3.1</v>
      </c>
      <c r="M227" s="187">
        <v>0.55000000000000004</v>
      </c>
      <c r="N227" s="187">
        <v>13.97</v>
      </c>
      <c r="O227" s="187">
        <v>4.5</v>
      </c>
      <c r="P227" s="187">
        <v>5.65</v>
      </c>
      <c r="Q227" s="187"/>
      <c r="R227" s="187"/>
      <c r="S227" s="187"/>
      <c r="T227" s="187"/>
      <c r="U227" s="187">
        <v>41.6</v>
      </c>
      <c r="V227" s="187">
        <v>1.93</v>
      </c>
      <c r="W227" s="188">
        <v>39717</v>
      </c>
      <c r="X227" s="691">
        <f t="shared" si="99"/>
        <v>1.5916849999999998</v>
      </c>
      <c r="Y227" s="691">
        <f t="shared" si="107"/>
        <v>4.7261000000000006</v>
      </c>
      <c r="Z227" s="189"/>
      <c r="AA227" s="190">
        <f t="shared" si="115"/>
        <v>2008</v>
      </c>
      <c r="AB227" s="191">
        <f t="shared" si="116"/>
        <v>1.947621545720416</v>
      </c>
      <c r="AC227" s="192">
        <f>IF(AB227="","",AB227*SFAssumptions!$C$3)</f>
        <v>499.98035415298887</v>
      </c>
      <c r="AD227" s="193">
        <f t="shared" si="117"/>
        <v>14.650910000000003</v>
      </c>
      <c r="AE227" s="194">
        <f>IF(AD227="","",AD227*SFAssumptions!$C$3)</f>
        <v>3761.0834541030008</v>
      </c>
      <c r="AF227" s="192">
        <f t="shared" si="106"/>
        <v>3.1</v>
      </c>
      <c r="AG227" s="192">
        <f t="shared" si="118"/>
        <v>4.7261000000000006</v>
      </c>
      <c r="AH227" s="192">
        <f t="shared" si="119"/>
        <v>1.5916849999999998</v>
      </c>
      <c r="AI227" s="692">
        <f ca="1">IF(AC227="","",AC227*SFAssumptions!$C$8/'SavingsData&amp;Analysis'!AF227)</f>
        <v>609.17078939595945</v>
      </c>
      <c r="AJ227" s="692">
        <f ca="1">IF(OR(AE227="",AF227=""),"",AE227*SFAssumptions!$C$8/AF227)</f>
        <v>4582.464406229331</v>
      </c>
      <c r="AK227" s="191">
        <f t="shared" si="120"/>
        <v>1.606217616580311</v>
      </c>
      <c r="AL227" s="692">
        <f>IF(AK227="","",AK227*SFAssumptions!$C$3)</f>
        <v>412.33742487046635</v>
      </c>
      <c r="AM227" s="193">
        <f t="shared" si="121"/>
        <v>13.950000000000001</v>
      </c>
      <c r="AN227" s="194">
        <f>IF(AM227="","",AM227*SFAssumptions!$C$3)</f>
        <v>3581.1505350000002</v>
      </c>
      <c r="AO227" s="693">
        <f t="shared" si="122"/>
        <v>4.5</v>
      </c>
      <c r="AP227" s="693">
        <f t="shared" si="123"/>
        <v>1.93</v>
      </c>
      <c r="AQ227" s="692">
        <f ca="1">IF(AL227="","",AL227*SFAssumptions!$C$8/'SavingsData&amp;Analysis'!AF227)</f>
        <v>502.38756887031491</v>
      </c>
      <c r="AR227" s="692">
        <f ca="1">IF(OR(AN227="",AF227=""),"",AN227*SFAssumptions!$C$8/AF227)</f>
        <v>4363.2360356386844</v>
      </c>
      <c r="AS227" s="190" t="str">
        <f>IF(OR(AG227="",AH227=""),"No",IF(AND(G227="Horizontal",AH227&gt;='Eff. Standards &amp; Certifications'!$B$21,AG227&lt;='Eff. Standards &amp; Certifications'!$C$21),"Consider",IF(AND(G227="Vertical",AH227&gt;='Eff. Standards &amp; Certifications'!$B$20,AG227&lt;='Eff. Standards &amp; Certifications'!$C$20),"Consider","No")))</f>
        <v>No</v>
      </c>
      <c r="AT227" s="190" t="str">
        <f t="shared" si="108"/>
        <v>Residential</v>
      </c>
      <c r="AU227" s="190"/>
      <c r="AV227" s="190" t="str">
        <f t="shared" si="127"/>
        <v>NO</v>
      </c>
      <c r="AW227" s="190" t="str">
        <f t="shared" si="127"/>
        <v>NO</v>
      </c>
      <c r="AX227" s="190" t="str">
        <f t="shared" si="124"/>
        <v>NO</v>
      </c>
      <c r="AY227" s="190" t="str">
        <f t="shared" si="109"/>
        <v>NO</v>
      </c>
      <c r="AZ227" s="190" t="str">
        <f t="shared" si="109"/>
        <v>NO</v>
      </c>
      <c r="BA227" s="190" t="str">
        <f t="shared" si="125"/>
        <v>NO</v>
      </c>
      <c r="BB227" s="190" t="str">
        <f t="shared" si="110"/>
        <v>NO</v>
      </c>
      <c r="BC227" s="190" t="str">
        <f t="shared" si="111"/>
        <v>NO</v>
      </c>
      <c r="BD227" s="190" t="str">
        <f t="shared" si="126"/>
        <v>NO</v>
      </c>
      <c r="BE227" s="190" t="str">
        <f t="shared" si="112"/>
        <v>NO</v>
      </c>
      <c r="BF227" s="190" t="str">
        <f t="shared" si="113"/>
        <v>NO</v>
      </c>
      <c r="BG227" s="190" t="str">
        <f t="shared" si="114"/>
        <v>NO</v>
      </c>
      <c r="BH227" s="88"/>
      <c r="BI227" s="9"/>
      <c r="BJ227" s="694" t="str">
        <f t="shared" si="128"/>
        <v/>
      </c>
      <c r="BK227" s="694" t="str">
        <f t="shared" si="128"/>
        <v/>
      </c>
      <c r="BL227" s="694" t="str">
        <f t="shared" si="129"/>
        <v/>
      </c>
      <c r="BM227" s="694" t="str">
        <f t="shared" si="129"/>
        <v/>
      </c>
      <c r="BN227" s="88"/>
      <c r="BO227" s="195"/>
      <c r="BP227" s="195"/>
      <c r="BQ227" s="195"/>
      <c r="BR227" s="195"/>
      <c r="BS227" s="195"/>
      <c r="BT227" s="195"/>
      <c r="BU227" s="195"/>
      <c r="BV227" s="195"/>
      <c r="BW227" s="195"/>
      <c r="BX227" s="195"/>
    </row>
    <row r="228" spans="1:76" s="124" customFormat="1" ht="15">
      <c r="A228" s="187">
        <v>660</v>
      </c>
      <c r="B228" s="187" t="s">
        <v>576</v>
      </c>
      <c r="C228" s="187" t="s">
        <v>479</v>
      </c>
      <c r="D228" s="187" t="s">
        <v>578</v>
      </c>
      <c r="E228" s="187" t="s">
        <v>392</v>
      </c>
      <c r="F228" s="187" t="s">
        <v>386</v>
      </c>
      <c r="G228" s="187" t="s">
        <v>393</v>
      </c>
      <c r="H228" s="187" t="b">
        <v>0</v>
      </c>
      <c r="I228" s="187" t="s">
        <v>388</v>
      </c>
      <c r="J228" s="187" t="s">
        <v>389</v>
      </c>
      <c r="K228" s="187" t="b">
        <v>1</v>
      </c>
      <c r="L228" s="187">
        <v>2.7</v>
      </c>
      <c r="M228" s="187">
        <v>0.98</v>
      </c>
      <c r="N228" s="187">
        <v>25.59</v>
      </c>
      <c r="O228" s="187">
        <v>9.5</v>
      </c>
      <c r="P228" s="187">
        <v>2.75</v>
      </c>
      <c r="Q228" s="187"/>
      <c r="R228" s="187"/>
      <c r="S228" s="187"/>
      <c r="T228" s="187"/>
      <c r="U228" s="187">
        <v>47.6</v>
      </c>
      <c r="V228" s="187">
        <v>1.33</v>
      </c>
      <c r="W228" s="188">
        <v>40056</v>
      </c>
      <c r="X228" s="691">
        <f t="shared" si="99"/>
        <v>0.90039999999999998</v>
      </c>
      <c r="Y228" s="691">
        <f t="shared" si="107"/>
        <v>9.9226500000000009</v>
      </c>
      <c r="Z228" s="189"/>
      <c r="AA228" s="190">
        <f t="shared" si="115"/>
        <v>2009</v>
      </c>
      <c r="AB228" s="191">
        <f t="shared" si="116"/>
        <v>2.9986672589960022</v>
      </c>
      <c r="AC228" s="192">
        <f>IF(AB228="","",AB228*SFAssumptions!$C$3)</f>
        <v>769.79776765881843</v>
      </c>
      <c r="AD228" s="193">
        <f t="shared" si="117"/>
        <v>26.791155000000003</v>
      </c>
      <c r="AE228" s="194">
        <f>IF(AD228="","",AD228*SFAssumptions!$C$3)</f>
        <v>6877.6458108615006</v>
      </c>
      <c r="AF228" s="192">
        <f t="shared" si="106"/>
        <v>2.7</v>
      </c>
      <c r="AG228" s="192">
        <f t="shared" si="118"/>
        <v>9.9226500000000009</v>
      </c>
      <c r="AH228" s="192">
        <f t="shared" si="119"/>
        <v>0.90039999999999998</v>
      </c>
      <c r="AI228" s="692">
        <f ca="1">IF(AC228="","",AC228*SFAssumptions!$C$8/'SavingsData&amp;Analysis'!AF228)</f>
        <v>1076.8636249663568</v>
      </c>
      <c r="AJ228" s="692">
        <f ca="1">IF(OR(AE228="",AF228=""),"",AE228*SFAssumptions!$C$8/AF228)</f>
        <v>9621.080899784487</v>
      </c>
      <c r="AK228" s="191">
        <f t="shared" si="120"/>
        <v>2.030075187969925</v>
      </c>
      <c r="AL228" s="692">
        <f>IF(AK228="","",AK228*SFAssumptions!$C$3)</f>
        <v>521.14730075187981</v>
      </c>
      <c r="AM228" s="193">
        <f t="shared" si="121"/>
        <v>25.650000000000002</v>
      </c>
      <c r="AN228" s="194">
        <f>IF(AM228="","",AM228*SFAssumptions!$C$3)</f>
        <v>6584.6961450000008</v>
      </c>
      <c r="AO228" s="693">
        <f t="shared" si="122"/>
        <v>9.5</v>
      </c>
      <c r="AP228" s="693">
        <f t="shared" si="123"/>
        <v>1.33</v>
      </c>
      <c r="AQ228" s="692">
        <f ca="1">IF(AL228="","",AL228*SFAssumptions!$C$8/'SavingsData&amp;Analysis'!AF228)</f>
        <v>729.02857738323894</v>
      </c>
      <c r="AR228" s="692">
        <f ca="1">IF(OR(AN228="",AF228=""),"",AN228*SFAssumptions!$C$8/AF228)</f>
        <v>9211.2760752372233</v>
      </c>
      <c r="AS228" s="190" t="str">
        <f>IF(OR(AG228="",AH228=""),"No",IF(AND(G228="Horizontal",AH228&gt;='Eff. Standards &amp; Certifications'!$B$21,AG228&lt;='Eff. Standards &amp; Certifications'!$C$21),"Consider",IF(AND(G228="Vertical",AH228&gt;='Eff. Standards &amp; Certifications'!$B$20,AG228&lt;='Eff. Standards &amp; Certifications'!$C$20),"Consider","No")))</f>
        <v>No</v>
      </c>
      <c r="AT228" s="190" t="str">
        <f t="shared" si="108"/>
        <v>Residential</v>
      </c>
      <c r="AU228" s="190"/>
      <c r="AV228" s="190" t="str">
        <f t="shared" si="127"/>
        <v>NO</v>
      </c>
      <c r="AW228" s="190" t="str">
        <f t="shared" si="127"/>
        <v>NO</v>
      </c>
      <c r="AX228" s="190" t="str">
        <f t="shared" si="124"/>
        <v>NO</v>
      </c>
      <c r="AY228" s="190" t="str">
        <f t="shared" si="109"/>
        <v>NO</v>
      </c>
      <c r="AZ228" s="190" t="str">
        <f t="shared" si="109"/>
        <v>NO</v>
      </c>
      <c r="BA228" s="190" t="str">
        <f t="shared" si="125"/>
        <v>NO</v>
      </c>
      <c r="BB228" s="190" t="str">
        <f t="shared" si="110"/>
        <v>NO</v>
      </c>
      <c r="BC228" s="190" t="str">
        <f t="shared" si="111"/>
        <v>NO</v>
      </c>
      <c r="BD228" s="190" t="str">
        <f t="shared" si="126"/>
        <v>NO</v>
      </c>
      <c r="BE228" s="190" t="str">
        <f t="shared" si="112"/>
        <v>NO</v>
      </c>
      <c r="BF228" s="190" t="str">
        <f t="shared" si="113"/>
        <v>NO</v>
      </c>
      <c r="BG228" s="190" t="str">
        <f t="shared" si="114"/>
        <v>NO</v>
      </c>
      <c r="BH228" s="88"/>
      <c r="BI228" s="9"/>
      <c r="BJ228" s="694" t="str">
        <f t="shared" si="128"/>
        <v/>
      </c>
      <c r="BK228" s="694" t="str">
        <f t="shared" si="128"/>
        <v/>
      </c>
      <c r="BL228" s="694" t="str">
        <f t="shared" si="129"/>
        <v/>
      </c>
      <c r="BM228" s="694" t="str">
        <f t="shared" si="129"/>
        <v/>
      </c>
      <c r="BN228" s="88"/>
      <c r="BO228" s="195"/>
      <c r="BP228" s="195"/>
      <c r="BQ228" s="195"/>
      <c r="BR228" s="195"/>
      <c r="BS228" s="195"/>
      <c r="BT228" s="195"/>
      <c r="BU228" s="195"/>
      <c r="BV228" s="195"/>
      <c r="BW228" s="195"/>
      <c r="BX228" s="195"/>
    </row>
    <row r="229" spans="1:76" s="124" customFormat="1" ht="15">
      <c r="A229" s="187">
        <v>820</v>
      </c>
      <c r="B229" s="187" t="s">
        <v>576</v>
      </c>
      <c r="C229" s="187" t="s">
        <v>479</v>
      </c>
      <c r="D229" s="187" t="s">
        <v>579</v>
      </c>
      <c r="E229" s="187" t="s">
        <v>385</v>
      </c>
      <c r="F229" s="187" t="s">
        <v>386</v>
      </c>
      <c r="G229" s="187" t="s">
        <v>387</v>
      </c>
      <c r="H229" s="187" t="b">
        <v>0</v>
      </c>
      <c r="I229" s="187" t="s">
        <v>388</v>
      </c>
      <c r="J229" s="187" t="s">
        <v>389</v>
      </c>
      <c r="K229" s="187" t="b">
        <v>1</v>
      </c>
      <c r="L229" s="187">
        <v>2.2000000000000002</v>
      </c>
      <c r="M229" s="187">
        <v>0.3</v>
      </c>
      <c r="N229" s="187">
        <v>10.68</v>
      </c>
      <c r="O229" s="187">
        <v>4.3</v>
      </c>
      <c r="P229" s="187">
        <v>7.3</v>
      </c>
      <c r="Q229" s="187"/>
      <c r="R229" s="187"/>
      <c r="S229" s="187"/>
      <c r="T229" s="187"/>
      <c r="U229" s="187">
        <v>37.1</v>
      </c>
      <c r="V229" s="187">
        <v>2.2999999999999998</v>
      </c>
      <c r="W229" s="188">
        <v>39968</v>
      </c>
      <c r="X229" s="691">
        <f t="shared" si="99"/>
        <v>1.9300499999999998</v>
      </c>
      <c r="Y229" s="691">
        <f t="shared" si="107"/>
        <v>4.5212599999999998</v>
      </c>
      <c r="Z229" s="189"/>
      <c r="AA229" s="190">
        <f t="shared" si="115"/>
        <v>2009</v>
      </c>
      <c r="AB229" s="191">
        <f t="shared" si="116"/>
        <v>1.1398668428279062</v>
      </c>
      <c r="AC229" s="192">
        <f>IF(AB229="","",AB229*SFAssumptions!$C$3)</f>
        <v>292.61897878293314</v>
      </c>
      <c r="AD229" s="193">
        <f t="shared" si="117"/>
        <v>9.9467720000000011</v>
      </c>
      <c r="AE229" s="194">
        <f>IF(AD229="","",AD229*SFAssumptions!$C$3)</f>
        <v>2553.4686644676003</v>
      </c>
      <c r="AF229" s="192">
        <f t="shared" si="106"/>
        <v>2.2000000000000002</v>
      </c>
      <c r="AG229" s="192">
        <f t="shared" si="118"/>
        <v>4.5212599999999998</v>
      </c>
      <c r="AH229" s="192">
        <f t="shared" si="119"/>
        <v>1.9300499999999998</v>
      </c>
      <c r="AI229" s="692">
        <f ca="1">IF(AC229="","",AC229*SFAssumptions!$C$8/'SavingsData&amp;Analysis'!AF229)</f>
        <v>502.37455398549668</v>
      </c>
      <c r="AJ229" s="692">
        <f ca="1">IF(OR(AE229="",AF229=""),"",AE229*SFAssumptions!$C$8/AF229)</f>
        <v>4383.849901887058</v>
      </c>
      <c r="AK229" s="191">
        <f t="shared" si="120"/>
        <v>0.95652173913043492</v>
      </c>
      <c r="AL229" s="692">
        <f>IF(AK229="","",AK229*SFAssumptions!$C$3)</f>
        <v>245.55185217391309</v>
      </c>
      <c r="AM229" s="193">
        <f t="shared" si="121"/>
        <v>9.4600000000000009</v>
      </c>
      <c r="AN229" s="194">
        <f>IF(AM229="","",AM229*SFAssumptions!$C$3)</f>
        <v>2428.507818</v>
      </c>
      <c r="AO229" s="693">
        <f t="shared" si="122"/>
        <v>4.3</v>
      </c>
      <c r="AP229" s="693">
        <f t="shared" si="123"/>
        <v>2.2999999999999998</v>
      </c>
      <c r="AQ229" s="692">
        <f ca="1">IF(AL229="","",AL229*SFAssumptions!$C$8/'SavingsData&amp;Analysis'!AF229)</f>
        <v>421.56869909552512</v>
      </c>
      <c r="AR229" s="692">
        <f ca="1">IF(OR(AN229="",AF229=""),"",AN229*SFAssumptions!$C$8/AF229)</f>
        <v>4169.3144340547424</v>
      </c>
      <c r="AS229" s="190" t="str">
        <f>IF(OR(AG229="",AH229=""),"No",IF(AND(G229="Horizontal",AH229&gt;='Eff. Standards &amp; Certifications'!$B$21,AG229&lt;='Eff. Standards &amp; Certifications'!$C$21),"Consider",IF(AND(G229="Vertical",AH229&gt;='Eff. Standards &amp; Certifications'!$B$20,AG229&lt;='Eff. Standards &amp; Certifications'!$C$20),"Consider","No")))</f>
        <v>Consider</v>
      </c>
      <c r="AT229" s="190" t="str">
        <f t="shared" si="108"/>
        <v>Residential</v>
      </c>
      <c r="AU229" s="190"/>
      <c r="AV229" s="190" t="str">
        <f t="shared" si="127"/>
        <v>NO</v>
      </c>
      <c r="AW229" s="190" t="str">
        <f t="shared" si="127"/>
        <v>YES</v>
      </c>
      <c r="AX229" s="190" t="str">
        <f t="shared" si="124"/>
        <v>YES</v>
      </c>
      <c r="AY229" s="190" t="str">
        <f t="shared" si="109"/>
        <v>NO</v>
      </c>
      <c r="AZ229" s="190" t="str">
        <f t="shared" si="109"/>
        <v>YES</v>
      </c>
      <c r="BA229" s="190" t="str">
        <f t="shared" si="125"/>
        <v>YES</v>
      </c>
      <c r="BB229" s="190" t="str">
        <f t="shared" si="110"/>
        <v>NO</v>
      </c>
      <c r="BC229" s="190" t="str">
        <f t="shared" si="111"/>
        <v>NO</v>
      </c>
      <c r="BD229" s="190" t="str">
        <f t="shared" si="126"/>
        <v>NO</v>
      </c>
      <c r="BE229" s="190" t="str">
        <f t="shared" si="112"/>
        <v>NO</v>
      </c>
      <c r="BF229" s="190" t="str">
        <f t="shared" si="113"/>
        <v>NO</v>
      </c>
      <c r="BG229" s="190" t="str">
        <f t="shared" si="114"/>
        <v>NO</v>
      </c>
      <c r="BH229" s="88"/>
      <c r="BI229" s="9"/>
      <c r="BJ229" s="694" t="str">
        <f t="shared" si="128"/>
        <v/>
      </c>
      <c r="BK229" s="694">
        <f t="shared" si="128"/>
        <v>1.9300499999999998</v>
      </c>
      <c r="BL229" s="694" t="str">
        <f t="shared" si="129"/>
        <v/>
      </c>
      <c r="BM229" s="694">
        <f t="shared" si="129"/>
        <v>4.5212599999999998</v>
      </c>
      <c r="BN229" s="88"/>
      <c r="BO229" s="195"/>
      <c r="BP229" s="195"/>
      <c r="BQ229" s="195"/>
      <c r="BR229" s="195"/>
      <c r="BS229" s="195"/>
      <c r="BT229" s="195"/>
      <c r="BU229" s="195"/>
      <c r="BV229" s="195"/>
      <c r="BW229" s="195"/>
      <c r="BX229" s="195"/>
    </row>
    <row r="230" spans="1:76" s="124" customFormat="1" ht="15">
      <c r="A230" s="187">
        <v>1536</v>
      </c>
      <c r="B230" s="187" t="s">
        <v>576</v>
      </c>
      <c r="C230" s="187" t="s">
        <v>479</v>
      </c>
      <c r="D230" s="187" t="s">
        <v>580</v>
      </c>
      <c r="E230" s="187" t="s">
        <v>392</v>
      </c>
      <c r="F230" s="187" t="s">
        <v>386</v>
      </c>
      <c r="G230" s="187" t="s">
        <v>393</v>
      </c>
      <c r="H230" s="187" t="b">
        <v>0</v>
      </c>
      <c r="I230" s="187" t="s">
        <v>388</v>
      </c>
      <c r="J230" s="187" t="s">
        <v>389</v>
      </c>
      <c r="K230" s="187" t="b">
        <v>1</v>
      </c>
      <c r="L230" s="187">
        <v>2.4</v>
      </c>
      <c r="M230" s="187">
        <v>0.95</v>
      </c>
      <c r="N230" s="187">
        <v>4.18</v>
      </c>
      <c r="O230" s="187">
        <v>12.8</v>
      </c>
      <c r="P230" s="187">
        <v>2.57</v>
      </c>
      <c r="Q230" s="187"/>
      <c r="R230" s="187"/>
      <c r="S230" s="187"/>
      <c r="T230" s="187"/>
      <c r="U230" s="187">
        <v>45</v>
      </c>
      <c r="V230" s="187">
        <v>1.32</v>
      </c>
      <c r="W230" s="188">
        <v>39121</v>
      </c>
      <c r="X230" s="691">
        <f t="shared" si="99"/>
        <v>0.89049999999999996</v>
      </c>
      <c r="Y230" s="691">
        <f t="shared" si="107"/>
        <v>13.186020000000001</v>
      </c>
      <c r="Z230" s="189"/>
      <c r="AA230" s="190">
        <f t="shared" si="115"/>
        <v>2007</v>
      </c>
      <c r="AB230" s="191">
        <f t="shared" si="116"/>
        <v>2.6951151038742278</v>
      </c>
      <c r="AC230" s="192">
        <f>IF(AB230="","",AB230*SFAssumptions!$C$3)</f>
        <v>691.87189219539584</v>
      </c>
      <c r="AD230" s="193">
        <f t="shared" si="117"/>
        <v>31.646447999999999</v>
      </c>
      <c r="AE230" s="194">
        <f>IF(AD230="","",AD230*SFAssumptions!$C$3)</f>
        <v>8124.0640993584002</v>
      </c>
      <c r="AF230" s="192">
        <f t="shared" si="106"/>
        <v>2.4</v>
      </c>
      <c r="AG230" s="192">
        <f t="shared" si="118"/>
        <v>13.186020000000001</v>
      </c>
      <c r="AH230" s="192">
        <f t="shared" si="119"/>
        <v>0.89049999999999996</v>
      </c>
      <c r="AI230" s="692">
        <f ca="1">IF(AC230="","",AC230*SFAssumptions!$C$8/'SavingsData&amp;Analysis'!AF230)</f>
        <v>1088.8354945757526</v>
      </c>
      <c r="AJ230" s="692">
        <f ca="1">IF(OR(AE230="",AF230=""),"",AE230*SFAssumptions!$C$8/AF230)</f>
        <v>12785.270584589423</v>
      </c>
      <c r="AK230" s="191">
        <f t="shared" si="120"/>
        <v>1.8181818181818181</v>
      </c>
      <c r="AL230" s="692">
        <f>IF(AK230="","",AK230*SFAssumptions!$C$3)</f>
        <v>466.75145454545452</v>
      </c>
      <c r="AM230" s="193">
        <f t="shared" si="121"/>
        <v>30.72</v>
      </c>
      <c r="AN230" s="194">
        <f>IF(AM230="","",AM230*SFAssumptions!$C$3)</f>
        <v>7886.2325759999994</v>
      </c>
      <c r="AO230" s="693">
        <f t="shared" si="122"/>
        <v>12.8</v>
      </c>
      <c r="AP230" s="693">
        <f t="shared" si="123"/>
        <v>1.32</v>
      </c>
      <c r="AQ230" s="692">
        <f ca="1">IF(AL230="","",AL230*SFAssumptions!$C$8/'SavingsData&amp;Analysis'!AF230)</f>
        <v>734.55152115129374</v>
      </c>
      <c r="AR230" s="692">
        <f ca="1">IF(OR(AN230="",AF230=""),"",AN230*SFAssumptions!$C$8/AF230)</f>
        <v>12410.982501372258</v>
      </c>
      <c r="AS230" s="190" t="str">
        <f>IF(OR(AG230="",AH230=""),"No",IF(AND(G230="Horizontal",AH230&gt;='Eff. Standards &amp; Certifications'!$B$21,AG230&lt;='Eff. Standards &amp; Certifications'!$C$21),"Consider",IF(AND(G230="Vertical",AH230&gt;='Eff. Standards &amp; Certifications'!$B$20,AG230&lt;='Eff. Standards &amp; Certifications'!$C$20),"Consider","No")))</f>
        <v>No</v>
      </c>
      <c r="AT230" s="190" t="str">
        <f t="shared" si="108"/>
        <v>Residential</v>
      </c>
      <c r="AU230" s="190"/>
      <c r="AV230" s="190" t="str">
        <f t="shared" si="127"/>
        <v>NO</v>
      </c>
      <c r="AW230" s="190" t="str">
        <f t="shared" si="127"/>
        <v>NO</v>
      </c>
      <c r="AX230" s="190" t="str">
        <f t="shared" si="124"/>
        <v>NO</v>
      </c>
      <c r="AY230" s="190" t="str">
        <f t="shared" si="109"/>
        <v>NO</v>
      </c>
      <c r="AZ230" s="190" t="str">
        <f t="shared" si="109"/>
        <v>NO</v>
      </c>
      <c r="BA230" s="190" t="str">
        <f t="shared" si="125"/>
        <v>NO</v>
      </c>
      <c r="BB230" s="190" t="str">
        <f t="shared" si="110"/>
        <v>NO</v>
      </c>
      <c r="BC230" s="190" t="str">
        <f t="shared" si="111"/>
        <v>NO</v>
      </c>
      <c r="BD230" s="190" t="str">
        <f t="shared" si="126"/>
        <v>NO</v>
      </c>
      <c r="BE230" s="190" t="str">
        <f t="shared" si="112"/>
        <v>NO</v>
      </c>
      <c r="BF230" s="190" t="str">
        <f t="shared" si="113"/>
        <v>NO</v>
      </c>
      <c r="BG230" s="190" t="str">
        <f t="shared" si="114"/>
        <v>NO</v>
      </c>
      <c r="BH230" s="88"/>
      <c r="BI230" s="9"/>
      <c r="BJ230" s="694" t="str">
        <f t="shared" si="128"/>
        <v/>
      </c>
      <c r="BK230" s="694" t="str">
        <f t="shared" si="128"/>
        <v/>
      </c>
      <c r="BL230" s="694" t="str">
        <f t="shared" si="129"/>
        <v/>
      </c>
      <c r="BM230" s="694" t="str">
        <f t="shared" si="129"/>
        <v/>
      </c>
      <c r="BN230" s="88"/>
      <c r="BO230" s="195"/>
      <c r="BP230" s="195"/>
      <c r="BQ230" s="195"/>
      <c r="BR230" s="195"/>
      <c r="BS230" s="195"/>
      <c r="BT230" s="195"/>
      <c r="BU230" s="195"/>
      <c r="BV230" s="195"/>
      <c r="BW230" s="195"/>
      <c r="BX230" s="195"/>
    </row>
    <row r="231" spans="1:76" s="124" customFormat="1" ht="15">
      <c r="A231" s="187">
        <v>4898</v>
      </c>
      <c r="B231" s="187" t="s">
        <v>576</v>
      </c>
      <c r="C231" s="187" t="s">
        <v>459</v>
      </c>
      <c r="D231" s="187" t="s">
        <v>581</v>
      </c>
      <c r="E231" s="187" t="s">
        <v>385</v>
      </c>
      <c r="F231" s="187" t="s">
        <v>386</v>
      </c>
      <c r="G231" s="187" t="s">
        <v>387</v>
      </c>
      <c r="H231" s="187" t="b">
        <v>0</v>
      </c>
      <c r="I231" s="187" t="s">
        <v>388</v>
      </c>
      <c r="J231" s="187" t="s">
        <v>389</v>
      </c>
      <c r="K231" s="187" t="b">
        <v>1</v>
      </c>
      <c r="L231" s="187">
        <v>3.5</v>
      </c>
      <c r="M231" s="187">
        <v>0.36</v>
      </c>
      <c r="N231" s="187">
        <v>11.38</v>
      </c>
      <c r="O231" s="187">
        <v>3.3</v>
      </c>
      <c r="P231" s="187">
        <v>9.6</v>
      </c>
      <c r="Q231" s="187"/>
      <c r="R231" s="187"/>
      <c r="S231" s="187"/>
      <c r="T231" s="187"/>
      <c r="U231" s="187">
        <v>37.299999999999997</v>
      </c>
      <c r="V231" s="187">
        <v>2.5</v>
      </c>
      <c r="W231" s="188">
        <v>40632</v>
      </c>
      <c r="X231" s="691">
        <f t="shared" si="99"/>
        <v>2.1129499999999997</v>
      </c>
      <c r="Y231" s="691">
        <f t="shared" si="107"/>
        <v>3.4970599999999998</v>
      </c>
      <c r="Z231" s="189"/>
      <c r="AA231" s="190">
        <f t="shared" si="115"/>
        <v>2011</v>
      </c>
      <c r="AB231" s="191">
        <f t="shared" si="116"/>
        <v>1.6564518800728842</v>
      </c>
      <c r="AC231" s="192">
        <f>IF(AB231="","",AB231*SFAssumptions!$C$3)</f>
        <v>425.23322842471435</v>
      </c>
      <c r="AD231" s="193">
        <f t="shared" si="117"/>
        <v>12.239709999999999</v>
      </c>
      <c r="AE231" s="194">
        <f>IF(AD231="","",AD231*SFAssumptions!$C$3)</f>
        <v>3142.0963451429998</v>
      </c>
      <c r="AF231" s="192">
        <f t="shared" si="106"/>
        <v>3.5</v>
      </c>
      <c r="AG231" s="192">
        <f t="shared" si="118"/>
        <v>3.4970599999999998</v>
      </c>
      <c r="AH231" s="192">
        <f t="shared" si="119"/>
        <v>2.1129499999999997</v>
      </c>
      <c r="AI231" s="692">
        <f ca="1">IF(AC231="","",AC231*SFAssumptions!$C$8/'SavingsData&amp;Analysis'!AF231)</f>
        <v>458.8882879006639</v>
      </c>
      <c r="AJ231" s="692">
        <f ca="1">IF(OR(AE231="",AF231=""),"",AE231*SFAssumptions!$C$8/AF231)</f>
        <v>3390.7773801756925</v>
      </c>
      <c r="AK231" s="191">
        <f t="shared" si="120"/>
        <v>1.4</v>
      </c>
      <c r="AL231" s="692">
        <f>IF(AK231="","",AK231*SFAssumptions!$C$3)</f>
        <v>359.39861999999999</v>
      </c>
      <c r="AM231" s="193">
        <f t="shared" si="121"/>
        <v>11.549999999999999</v>
      </c>
      <c r="AN231" s="194">
        <f>IF(AM231="","",AM231*SFAssumptions!$C$3)</f>
        <v>2965.0386149999999</v>
      </c>
      <c r="AO231" s="693">
        <f t="shared" si="122"/>
        <v>3.3</v>
      </c>
      <c r="AP231" s="693">
        <f t="shared" si="123"/>
        <v>2.5</v>
      </c>
      <c r="AQ231" s="692">
        <f ca="1">IF(AL231="","",AL231*SFAssumptions!$C$8/'SavingsData&amp;Analysis'!AF231)</f>
        <v>387.84320316788308</v>
      </c>
      <c r="AR231" s="692">
        <f ca="1">IF(OR(AN231="",AF231=""),"",AN231*SFAssumptions!$C$8/AF231)</f>
        <v>3199.7064261350351</v>
      </c>
      <c r="AS231" s="190" t="str">
        <f>IF(OR(AG231="",AH231=""),"No",IF(AND(G231="Horizontal",AH231&gt;='Eff. Standards &amp; Certifications'!$B$21,AG231&lt;='Eff. Standards &amp; Certifications'!$C$21),"Consider",IF(AND(G231="Vertical",AH231&gt;='Eff. Standards &amp; Certifications'!$B$20,AG231&lt;='Eff. Standards &amp; Certifications'!$C$20),"Consider","No")))</f>
        <v>Consider</v>
      </c>
      <c r="AT231" s="190" t="str">
        <f t="shared" si="108"/>
        <v>Residential</v>
      </c>
      <c r="AU231" s="190"/>
      <c r="AV231" s="190" t="str">
        <f t="shared" si="127"/>
        <v>NO</v>
      </c>
      <c r="AW231" s="190" t="str">
        <f t="shared" si="127"/>
        <v>YES</v>
      </c>
      <c r="AX231" s="190" t="str">
        <f t="shared" si="124"/>
        <v>YES</v>
      </c>
      <c r="AY231" s="190" t="str">
        <f t="shared" si="109"/>
        <v>NO</v>
      </c>
      <c r="AZ231" s="190" t="str">
        <f t="shared" si="109"/>
        <v>YES</v>
      </c>
      <c r="BA231" s="190" t="str">
        <f t="shared" si="125"/>
        <v>YES</v>
      </c>
      <c r="BB231" s="190" t="str">
        <f t="shared" si="110"/>
        <v>NO</v>
      </c>
      <c r="BC231" s="190" t="str">
        <f t="shared" si="111"/>
        <v>NO</v>
      </c>
      <c r="BD231" s="190" t="str">
        <f t="shared" si="126"/>
        <v>NO</v>
      </c>
      <c r="BE231" s="190" t="str">
        <f t="shared" si="112"/>
        <v>NO</v>
      </c>
      <c r="BF231" s="190" t="str">
        <f t="shared" si="113"/>
        <v>NO</v>
      </c>
      <c r="BG231" s="190" t="str">
        <f t="shared" si="114"/>
        <v>NO</v>
      </c>
      <c r="BH231" s="88"/>
      <c r="BI231" s="9"/>
      <c r="BJ231" s="694" t="str">
        <f t="shared" si="128"/>
        <v/>
      </c>
      <c r="BK231" s="694">
        <f t="shared" si="128"/>
        <v>2.1129499999999997</v>
      </c>
      <c r="BL231" s="694" t="str">
        <f t="shared" si="129"/>
        <v/>
      </c>
      <c r="BM231" s="694">
        <f t="shared" si="129"/>
        <v>3.4970599999999998</v>
      </c>
      <c r="BN231" s="88"/>
      <c r="BO231" s="195"/>
      <c r="BP231" s="195"/>
      <c r="BQ231" s="195"/>
      <c r="BR231" s="195"/>
      <c r="BS231" s="195"/>
      <c r="BT231" s="195"/>
      <c r="BU231" s="195"/>
      <c r="BV231" s="195"/>
      <c r="BW231" s="195"/>
      <c r="BX231" s="195"/>
    </row>
    <row r="232" spans="1:76" s="124" customFormat="1" ht="15">
      <c r="A232" s="187">
        <v>5622</v>
      </c>
      <c r="B232" s="187" t="s">
        <v>576</v>
      </c>
      <c r="C232" s="187" t="s">
        <v>459</v>
      </c>
      <c r="D232" s="187" t="s">
        <v>582</v>
      </c>
      <c r="E232" s="187" t="s">
        <v>385</v>
      </c>
      <c r="F232" s="187" t="s">
        <v>386</v>
      </c>
      <c r="G232" s="187" t="s">
        <v>387</v>
      </c>
      <c r="H232" s="187" t="b">
        <v>0</v>
      </c>
      <c r="I232" s="187" t="s">
        <v>388</v>
      </c>
      <c r="J232" s="187" t="s">
        <v>389</v>
      </c>
      <c r="K232" s="187" t="b">
        <v>0</v>
      </c>
      <c r="L232" s="187">
        <v>4.2</v>
      </c>
      <c r="M232" s="187">
        <v>0.43</v>
      </c>
      <c r="N232" s="187">
        <v>15.05</v>
      </c>
      <c r="O232" s="187">
        <v>3.6</v>
      </c>
      <c r="P232" s="187">
        <v>9.86</v>
      </c>
      <c r="Q232" s="187"/>
      <c r="R232" s="187"/>
      <c r="S232" s="187"/>
      <c r="T232" s="187"/>
      <c r="U232" s="187">
        <v>38.299999999999997</v>
      </c>
      <c r="V232" s="187">
        <v>2.4500000000000002</v>
      </c>
      <c r="W232" s="188">
        <v>41261</v>
      </c>
      <c r="X232" s="691">
        <f t="shared" si="99"/>
        <v>2.0672250000000005</v>
      </c>
      <c r="Y232" s="691">
        <f t="shared" si="107"/>
        <v>3.8043200000000001</v>
      </c>
      <c r="Z232" s="189"/>
      <c r="AA232" s="190">
        <f t="shared" si="115"/>
        <v>2012</v>
      </c>
      <c r="AB232" s="191">
        <f t="shared" si="116"/>
        <v>2.0317091753437575</v>
      </c>
      <c r="AC232" s="192">
        <f>IF(AB232="","",AB232*SFAssumptions!$C$3)</f>
        <v>521.56676704277459</v>
      </c>
      <c r="AD232" s="193">
        <f t="shared" si="117"/>
        <v>15.978144000000002</v>
      </c>
      <c r="AE232" s="194">
        <f>IF(AD232="","",AD232*SFAssumptions!$C$3)</f>
        <v>4101.8020741152004</v>
      </c>
      <c r="AF232" s="192">
        <f t="shared" si="106"/>
        <v>4.2</v>
      </c>
      <c r="AG232" s="192">
        <f t="shared" si="118"/>
        <v>3.8043200000000001</v>
      </c>
      <c r="AH232" s="192">
        <f t="shared" si="119"/>
        <v>2.0672250000000005</v>
      </c>
      <c r="AI232" s="692">
        <f ca="1">IF(AC232="","",AC232*SFAssumptions!$C$8/'SavingsData&amp;Analysis'!AF232)</f>
        <v>469.03844908982205</v>
      </c>
      <c r="AJ232" s="692">
        <f ca="1">IF(OR(AE232="",AF232=""),"",AE232*SFAssumptions!$C$8/AF232)</f>
        <v>3688.6991366891029</v>
      </c>
      <c r="AK232" s="191">
        <f t="shared" si="120"/>
        <v>1.7142857142857142</v>
      </c>
      <c r="AL232" s="692">
        <f>IF(AK232="","",AK232*SFAssumptions!$C$3)</f>
        <v>440.07994285714284</v>
      </c>
      <c r="AM232" s="193">
        <f t="shared" si="121"/>
        <v>15.120000000000001</v>
      </c>
      <c r="AN232" s="194">
        <f>IF(AM232="","",AM232*SFAssumptions!$C$3)</f>
        <v>3881.5050960000003</v>
      </c>
      <c r="AO232" s="693">
        <f t="shared" si="122"/>
        <v>3.6</v>
      </c>
      <c r="AP232" s="693">
        <f t="shared" si="123"/>
        <v>2.4500000000000002</v>
      </c>
      <c r="AQ232" s="692">
        <f ca="1">IF(AL232="","",AL232*SFAssumptions!$C$8/'SavingsData&amp;Analysis'!AF232)</f>
        <v>395.75837057947246</v>
      </c>
      <c r="AR232" s="692">
        <f ca="1">IF(OR(AN232="",AF232=""),"",AN232*SFAssumptions!$C$8/AF232)</f>
        <v>3490.5888285109477</v>
      </c>
      <c r="AS232" s="190" t="str">
        <f>IF(OR(AG232="",AH232=""),"No",IF(AND(G232="Horizontal",AH232&gt;='Eff. Standards &amp; Certifications'!$B$21,AG232&lt;='Eff. Standards &amp; Certifications'!$C$21),"Consider",IF(AND(G232="Vertical",AH232&gt;='Eff. Standards &amp; Certifications'!$B$20,AG232&lt;='Eff. Standards &amp; Certifications'!$C$20),"Consider","No")))</f>
        <v>Consider</v>
      </c>
      <c r="AT232" s="190" t="str">
        <f t="shared" si="108"/>
        <v>Residential</v>
      </c>
      <c r="AU232" s="190"/>
      <c r="AV232" s="190" t="str">
        <f t="shared" si="127"/>
        <v>NO</v>
      </c>
      <c r="AW232" s="190" t="str">
        <f t="shared" si="127"/>
        <v>YES</v>
      </c>
      <c r="AX232" s="190" t="str">
        <f t="shared" si="124"/>
        <v>YES</v>
      </c>
      <c r="AY232" s="190" t="str">
        <f t="shared" si="109"/>
        <v>NO</v>
      </c>
      <c r="AZ232" s="190" t="str">
        <f t="shared" si="109"/>
        <v>YES</v>
      </c>
      <c r="BA232" s="190" t="str">
        <f t="shared" si="125"/>
        <v>YES</v>
      </c>
      <c r="BB232" s="190" t="str">
        <f t="shared" si="110"/>
        <v>NO</v>
      </c>
      <c r="BC232" s="190" t="str">
        <f t="shared" si="111"/>
        <v>NO</v>
      </c>
      <c r="BD232" s="190" t="str">
        <f t="shared" si="126"/>
        <v>NO</v>
      </c>
      <c r="BE232" s="190" t="str">
        <f t="shared" si="112"/>
        <v>NO</v>
      </c>
      <c r="BF232" s="190" t="str">
        <f t="shared" si="113"/>
        <v>NO</v>
      </c>
      <c r="BG232" s="190" t="str">
        <f t="shared" si="114"/>
        <v>NO</v>
      </c>
      <c r="BH232" s="88"/>
      <c r="BI232" s="9"/>
      <c r="BJ232" s="694" t="str">
        <f t="shared" si="128"/>
        <v/>
      </c>
      <c r="BK232" s="694">
        <f t="shared" si="128"/>
        <v>2.0672250000000005</v>
      </c>
      <c r="BL232" s="694" t="str">
        <f t="shared" si="129"/>
        <v/>
      </c>
      <c r="BM232" s="694">
        <f t="shared" si="129"/>
        <v>3.8043200000000001</v>
      </c>
      <c r="BN232" s="88"/>
      <c r="BO232" s="195"/>
      <c r="BP232" s="195"/>
      <c r="BQ232" s="195"/>
      <c r="BR232" s="195"/>
      <c r="BS232" s="195"/>
      <c r="BT232" s="195"/>
      <c r="BU232" s="195"/>
      <c r="BV232" s="195"/>
      <c r="BW232" s="195"/>
      <c r="BX232" s="195"/>
    </row>
    <row r="233" spans="1:76" s="124" customFormat="1" ht="15">
      <c r="A233" s="187">
        <v>5980</v>
      </c>
      <c r="B233" s="187" t="s">
        <v>576</v>
      </c>
      <c r="C233" s="187" t="s">
        <v>459</v>
      </c>
      <c r="D233" s="187" t="s">
        <v>1337</v>
      </c>
      <c r="E233" s="187" t="s">
        <v>385</v>
      </c>
      <c r="F233" s="187" t="s">
        <v>386</v>
      </c>
      <c r="G233" s="187" t="s">
        <v>387</v>
      </c>
      <c r="H233" s="187" t="b">
        <v>0</v>
      </c>
      <c r="I233" s="187" t="s">
        <v>388</v>
      </c>
      <c r="J233" s="187" t="s">
        <v>389</v>
      </c>
      <c r="K233" s="187" t="b">
        <v>1</v>
      </c>
      <c r="L233" s="187">
        <v>5</v>
      </c>
      <c r="M233" s="187">
        <v>0.42</v>
      </c>
      <c r="N233" s="187">
        <v>18.07</v>
      </c>
      <c r="O233" s="187">
        <v>3.7</v>
      </c>
      <c r="P233" s="187">
        <v>11.94</v>
      </c>
      <c r="Q233" s="187"/>
      <c r="R233" s="187"/>
      <c r="S233" s="187"/>
      <c r="T233" s="187"/>
      <c r="U233" s="187">
        <v>36</v>
      </c>
      <c r="V233" s="187">
        <v>2.7</v>
      </c>
      <c r="W233" s="188">
        <v>41533</v>
      </c>
      <c r="X233" s="691">
        <f t="shared" si="99"/>
        <v>2.2958499999999997</v>
      </c>
      <c r="Y233" s="691">
        <f t="shared" si="107"/>
        <v>3.9067400000000001</v>
      </c>
      <c r="Z233" s="189"/>
      <c r="AA233" s="190">
        <f t="shared" si="115"/>
        <v>2013</v>
      </c>
      <c r="AB233" s="191">
        <f t="shared" si="116"/>
        <v>2.177842629091622</v>
      </c>
      <c r="AC233" s="192">
        <f>IF(AB233="","",AB233*SFAssumptions!$C$3)</f>
        <v>559.0811681947863</v>
      </c>
      <c r="AD233" s="193">
        <f t="shared" si="117"/>
        <v>19.5337</v>
      </c>
      <c r="AE233" s="194">
        <f>IF(AD233="","",AD233*SFAssumptions!$C$3)</f>
        <v>5014.5605882099999</v>
      </c>
      <c r="AF233" s="192">
        <f t="shared" si="106"/>
        <v>5</v>
      </c>
      <c r="AG233" s="192">
        <f t="shared" si="118"/>
        <v>3.9067400000000001</v>
      </c>
      <c r="AH233" s="192">
        <f t="shared" si="119"/>
        <v>2.2958499999999997</v>
      </c>
      <c r="AI233" s="692">
        <f ca="1">IF(AC233="","",AC233*SFAssumptions!$C$8/'SavingsData&amp;Analysis'!AF233)</f>
        <v>422.3307306312293</v>
      </c>
      <c r="AJ233" s="692">
        <f ca="1">IF(OR(AE233="",AF233=""),"",AE233*SFAssumptions!$C$8/AF233)</f>
        <v>3788.006388860239</v>
      </c>
      <c r="AK233" s="191">
        <f t="shared" si="120"/>
        <v>1.8518518518518516</v>
      </c>
      <c r="AL233" s="692">
        <f>IF(AK233="","",AK233*SFAssumptions!$C$3)</f>
        <v>475.39499999999992</v>
      </c>
      <c r="AM233" s="193">
        <f t="shared" si="121"/>
        <v>18.5</v>
      </c>
      <c r="AN233" s="194">
        <f>IF(AM233="","",AM233*SFAssumptions!$C$3)</f>
        <v>4749.1960500000005</v>
      </c>
      <c r="AO233" s="693">
        <f t="shared" si="122"/>
        <v>3.7</v>
      </c>
      <c r="AP233" s="693">
        <f t="shared" si="123"/>
        <v>2.7</v>
      </c>
      <c r="AQ233" s="692">
        <f ca="1">IF(AL233="","",AL233*SFAssumptions!$C$8/'SavingsData&amp;Analysis'!AF233)</f>
        <v>359.1140770072991</v>
      </c>
      <c r="AR233" s="692">
        <f ca="1">IF(OR(AN233="",AF233=""),"",AN233*SFAssumptions!$C$8/AF233)</f>
        <v>3587.5496293029187</v>
      </c>
      <c r="AS233" s="190" t="str">
        <f>IF(OR(AG233="",AH233=""),"No",IF(AND(G233="Horizontal",AH233&gt;='Eff. Standards &amp; Certifications'!$B$21,AG233&lt;='Eff. Standards &amp; Certifications'!$C$21),"Consider",IF(AND(G233="Vertical",AH233&gt;='Eff. Standards &amp; Certifications'!$B$20,AG233&lt;='Eff. Standards &amp; Certifications'!$C$20),"Consider","No")))</f>
        <v>Consider</v>
      </c>
      <c r="AT233" s="190" t="str">
        <f t="shared" si="108"/>
        <v>Residential</v>
      </c>
      <c r="AU233" s="190"/>
      <c r="AV233" s="190" t="str">
        <f t="shared" si="127"/>
        <v>NO</v>
      </c>
      <c r="AW233" s="190" t="str">
        <f t="shared" si="127"/>
        <v>YES</v>
      </c>
      <c r="AX233" s="190" t="str">
        <f t="shared" si="124"/>
        <v>YES</v>
      </c>
      <c r="AY233" s="190" t="str">
        <f t="shared" si="109"/>
        <v>NO</v>
      </c>
      <c r="AZ233" s="190" t="str">
        <f t="shared" si="109"/>
        <v>YES</v>
      </c>
      <c r="BA233" s="190" t="str">
        <f t="shared" si="125"/>
        <v>YES</v>
      </c>
      <c r="BB233" s="190" t="str">
        <f t="shared" si="110"/>
        <v>NO</v>
      </c>
      <c r="BC233" s="190" t="str">
        <f t="shared" si="111"/>
        <v>NO</v>
      </c>
      <c r="BD233" s="190" t="str">
        <f t="shared" si="126"/>
        <v>NO</v>
      </c>
      <c r="BE233" s="190" t="str">
        <f t="shared" si="112"/>
        <v>NO</v>
      </c>
      <c r="BF233" s="190" t="str">
        <f t="shared" si="113"/>
        <v>NO</v>
      </c>
      <c r="BG233" s="190" t="str">
        <f t="shared" si="114"/>
        <v>NO</v>
      </c>
      <c r="BH233" s="88"/>
      <c r="BI233" s="9"/>
      <c r="BJ233" s="694" t="str">
        <f t="shared" si="128"/>
        <v/>
      </c>
      <c r="BK233" s="694">
        <f t="shared" si="128"/>
        <v>2.2958499999999997</v>
      </c>
      <c r="BL233" s="694" t="str">
        <f t="shared" si="129"/>
        <v/>
      </c>
      <c r="BM233" s="694">
        <f t="shared" si="129"/>
        <v>3.9067400000000001</v>
      </c>
      <c r="BN233" s="88"/>
      <c r="BO233" s="195"/>
      <c r="BP233" s="195"/>
      <c r="BQ233" s="195"/>
      <c r="BR233" s="195"/>
      <c r="BS233" s="195"/>
      <c r="BT233" s="195"/>
      <c r="BU233" s="195"/>
      <c r="BV233" s="195"/>
      <c r="BW233" s="195"/>
      <c r="BX233" s="195"/>
    </row>
    <row r="234" spans="1:76" s="124" customFormat="1" ht="15">
      <c r="A234" s="187">
        <v>4893</v>
      </c>
      <c r="B234" s="187" t="s">
        <v>576</v>
      </c>
      <c r="C234" s="187" t="s">
        <v>459</v>
      </c>
      <c r="D234" s="187" t="s">
        <v>583</v>
      </c>
      <c r="E234" s="187" t="s">
        <v>385</v>
      </c>
      <c r="F234" s="187" t="s">
        <v>386</v>
      </c>
      <c r="G234" s="187" t="s">
        <v>387</v>
      </c>
      <c r="H234" s="187" t="b">
        <v>0</v>
      </c>
      <c r="I234" s="187" t="s">
        <v>388</v>
      </c>
      <c r="J234" s="187" t="s">
        <v>389</v>
      </c>
      <c r="K234" s="187" t="b">
        <v>1</v>
      </c>
      <c r="L234" s="187">
        <v>3.9</v>
      </c>
      <c r="M234" s="187">
        <v>0.35</v>
      </c>
      <c r="N234" s="187">
        <v>12.76</v>
      </c>
      <c r="O234" s="187">
        <v>3.3</v>
      </c>
      <c r="P234" s="187">
        <v>11.03</v>
      </c>
      <c r="Q234" s="187"/>
      <c r="R234" s="187"/>
      <c r="S234" s="187"/>
      <c r="T234" s="187"/>
      <c r="U234" s="187">
        <v>37.299999999999997</v>
      </c>
      <c r="V234" s="187">
        <v>2.58</v>
      </c>
      <c r="W234" s="188">
        <v>40632</v>
      </c>
      <c r="X234" s="691">
        <f t="shared" si="99"/>
        <v>2.1861100000000002</v>
      </c>
      <c r="Y234" s="691">
        <f t="shared" si="107"/>
        <v>3.4970599999999998</v>
      </c>
      <c r="Z234" s="189"/>
      <c r="AA234" s="190">
        <f t="shared" si="115"/>
        <v>2011</v>
      </c>
      <c r="AB234" s="191">
        <f t="shared" si="116"/>
        <v>1.7839907415454848</v>
      </c>
      <c r="AC234" s="192">
        <f>IF(AB234="","",AB234*SFAssumptions!$C$3)</f>
        <v>457.9741504315885</v>
      </c>
      <c r="AD234" s="193">
        <f t="shared" si="117"/>
        <v>13.638534</v>
      </c>
      <c r="AE234" s="194">
        <f>IF(AD234="","",AD234*SFAssumptions!$C$3)</f>
        <v>3501.1930703021999</v>
      </c>
      <c r="AF234" s="192">
        <f t="shared" si="106"/>
        <v>3.9</v>
      </c>
      <c r="AG234" s="192">
        <f t="shared" si="118"/>
        <v>3.4970599999999998</v>
      </c>
      <c r="AH234" s="192">
        <f t="shared" si="119"/>
        <v>2.1861100000000002</v>
      </c>
      <c r="AI234" s="692">
        <f ca="1">IF(AC234="","",AC234*SFAssumptions!$C$8/'SavingsData&amp;Analysis'!AF234)</f>
        <v>443.53120745054349</v>
      </c>
      <c r="AJ234" s="692">
        <f ca="1">IF(OR(AE234="",AF234=""),"",AE234*SFAssumptions!$C$8/AF234)</f>
        <v>3390.777380175693</v>
      </c>
      <c r="AK234" s="191">
        <f t="shared" si="120"/>
        <v>1.5116279069767442</v>
      </c>
      <c r="AL234" s="692">
        <f>IF(AK234="","",AK234*SFAssumptions!$C$3)</f>
        <v>388.05498837209302</v>
      </c>
      <c r="AM234" s="193">
        <f t="shared" si="121"/>
        <v>12.87</v>
      </c>
      <c r="AN234" s="194">
        <f>IF(AM234="","",AM234*SFAssumptions!$C$3)</f>
        <v>3303.9001709999998</v>
      </c>
      <c r="AO234" s="693">
        <f t="shared" si="122"/>
        <v>3.3</v>
      </c>
      <c r="AP234" s="693">
        <f t="shared" si="123"/>
        <v>2.58</v>
      </c>
      <c r="AQ234" s="692">
        <f ca="1">IF(AL234="","",AL234*SFAssumptions!$C$8/'SavingsData&amp;Analysis'!AF234)</f>
        <v>375.81705733322002</v>
      </c>
      <c r="AR234" s="692">
        <f ca="1">IF(OR(AN234="",AF234=""),"",AN234*SFAssumptions!$C$8/AF234)</f>
        <v>3199.7064261350351</v>
      </c>
      <c r="AS234" s="190" t="str">
        <f>IF(OR(AG234="",AH234=""),"No",IF(AND(G234="Horizontal",AH234&gt;='Eff. Standards &amp; Certifications'!$B$21,AG234&lt;='Eff. Standards &amp; Certifications'!$C$21),"Consider",IF(AND(G234="Vertical",AH234&gt;='Eff. Standards &amp; Certifications'!$B$20,AG234&lt;='Eff. Standards &amp; Certifications'!$C$20),"Consider","No")))</f>
        <v>Consider</v>
      </c>
      <c r="AT234" s="190" t="str">
        <f t="shared" si="108"/>
        <v>Residential</v>
      </c>
      <c r="AU234" s="190"/>
      <c r="AV234" s="190" t="str">
        <f t="shared" si="127"/>
        <v>NO</v>
      </c>
      <c r="AW234" s="190" t="str">
        <f t="shared" si="127"/>
        <v>YES</v>
      </c>
      <c r="AX234" s="190" t="str">
        <f t="shared" si="124"/>
        <v>YES</v>
      </c>
      <c r="AY234" s="190" t="str">
        <f t="shared" si="109"/>
        <v>NO</v>
      </c>
      <c r="AZ234" s="190" t="str">
        <f t="shared" si="109"/>
        <v>YES</v>
      </c>
      <c r="BA234" s="190" t="str">
        <f t="shared" si="125"/>
        <v>YES</v>
      </c>
      <c r="BB234" s="190" t="str">
        <f t="shared" si="110"/>
        <v>NO</v>
      </c>
      <c r="BC234" s="190" t="str">
        <f t="shared" si="111"/>
        <v>NO</v>
      </c>
      <c r="BD234" s="190" t="str">
        <f t="shared" si="126"/>
        <v>NO</v>
      </c>
      <c r="BE234" s="190" t="str">
        <f t="shared" si="112"/>
        <v>NO</v>
      </c>
      <c r="BF234" s="190" t="str">
        <f t="shared" si="113"/>
        <v>NO</v>
      </c>
      <c r="BG234" s="190" t="str">
        <f t="shared" si="114"/>
        <v>NO</v>
      </c>
      <c r="BH234" s="88"/>
      <c r="BI234" s="9"/>
      <c r="BJ234" s="694" t="str">
        <f t="shared" si="128"/>
        <v/>
      </c>
      <c r="BK234" s="694">
        <f t="shared" si="128"/>
        <v>2.1861100000000002</v>
      </c>
      <c r="BL234" s="694" t="str">
        <f t="shared" si="129"/>
        <v/>
      </c>
      <c r="BM234" s="694">
        <f t="shared" si="129"/>
        <v>3.4970599999999998</v>
      </c>
      <c r="BN234" s="88"/>
      <c r="BO234" s="195"/>
      <c r="BP234" s="195"/>
      <c r="BQ234" s="195"/>
      <c r="BR234" s="195"/>
      <c r="BS234" s="195"/>
      <c r="BT234" s="195"/>
      <c r="BU234" s="195"/>
      <c r="BV234" s="195"/>
      <c r="BW234" s="195"/>
      <c r="BX234" s="195"/>
    </row>
    <row r="235" spans="1:76" s="124" customFormat="1" ht="15">
      <c r="A235" s="187">
        <v>4912</v>
      </c>
      <c r="B235" s="187" t="s">
        <v>576</v>
      </c>
      <c r="C235" s="187" t="s">
        <v>459</v>
      </c>
      <c r="D235" s="187" t="s">
        <v>584</v>
      </c>
      <c r="E235" s="187" t="s">
        <v>385</v>
      </c>
      <c r="F235" s="187" t="s">
        <v>386</v>
      </c>
      <c r="G235" s="187" t="s">
        <v>387</v>
      </c>
      <c r="H235" s="187" t="b">
        <v>0</v>
      </c>
      <c r="I235" s="187" t="s">
        <v>388</v>
      </c>
      <c r="J235" s="187" t="s">
        <v>389</v>
      </c>
      <c r="K235" s="187" t="b">
        <v>1</v>
      </c>
      <c r="L235" s="187">
        <v>3.4</v>
      </c>
      <c r="M235" s="187">
        <v>0.4</v>
      </c>
      <c r="N235" s="187">
        <v>12.16</v>
      </c>
      <c r="O235" s="187">
        <v>3.6</v>
      </c>
      <c r="P235" s="187">
        <v>8.48</v>
      </c>
      <c r="Q235" s="187"/>
      <c r="R235" s="187"/>
      <c r="S235" s="187"/>
      <c r="T235" s="187"/>
      <c r="U235" s="187">
        <v>37.1</v>
      </c>
      <c r="V235" s="187">
        <v>2.41</v>
      </c>
      <c r="W235" s="188">
        <v>40632</v>
      </c>
      <c r="X235" s="691">
        <f t="shared" si="99"/>
        <v>2.0306449999999998</v>
      </c>
      <c r="Y235" s="691">
        <f t="shared" si="107"/>
        <v>3.8043200000000001</v>
      </c>
      <c r="Z235" s="189"/>
      <c r="AA235" s="190">
        <f t="shared" si="115"/>
        <v>2011</v>
      </c>
      <c r="AB235" s="191">
        <f t="shared" si="116"/>
        <v>1.6743448510202426</v>
      </c>
      <c r="AC235" s="192">
        <f>IF(AB235="","",AB235*SFAssumptions!$C$3)</f>
        <v>429.82659204341485</v>
      </c>
      <c r="AD235" s="193">
        <f t="shared" si="117"/>
        <v>12.934688</v>
      </c>
      <c r="AE235" s="194">
        <f>IF(AD235="","",AD235*SFAssumptions!$C$3)</f>
        <v>3320.5064409503998</v>
      </c>
      <c r="AF235" s="192">
        <f t="shared" si="106"/>
        <v>3.4</v>
      </c>
      <c r="AG235" s="192">
        <f t="shared" si="118"/>
        <v>3.8043200000000001</v>
      </c>
      <c r="AH235" s="192">
        <f t="shared" si="119"/>
        <v>2.0306449999999998</v>
      </c>
      <c r="AI235" s="692">
        <f ca="1">IF(AC235="","",AC235*SFAssumptions!$C$8/'SavingsData&amp;Analysis'!AF235)</f>
        <v>477.48769869657565</v>
      </c>
      <c r="AJ235" s="692">
        <f ca="1">IF(OR(AE235="",AF235=""),"",AE235*SFAssumptions!$C$8/AF235)</f>
        <v>3688.699136689102</v>
      </c>
      <c r="AK235" s="191">
        <f t="shared" si="120"/>
        <v>1.4107883817427385</v>
      </c>
      <c r="AL235" s="692">
        <f>IF(AK235="","",AK235*SFAssumptions!$C$3)</f>
        <v>362.16814107883818</v>
      </c>
      <c r="AM235" s="193">
        <f t="shared" si="121"/>
        <v>12.24</v>
      </c>
      <c r="AN235" s="194">
        <f>IF(AM235="","",AM235*SFAssumptions!$C$3)</f>
        <v>3142.1707919999999</v>
      </c>
      <c r="AO235" s="693">
        <f t="shared" si="122"/>
        <v>3.6</v>
      </c>
      <c r="AP235" s="693">
        <f t="shared" si="123"/>
        <v>2.41</v>
      </c>
      <c r="AQ235" s="692">
        <f ca="1">IF(AL235="","",AL235*SFAssumptions!$C$8/'SavingsData&amp;Analysis'!AF235)</f>
        <v>402.32697424054265</v>
      </c>
      <c r="AR235" s="692">
        <f ca="1">IF(OR(AN235="",AF235=""),"",AN235*SFAssumptions!$C$8/AF235)</f>
        <v>3490.5888285109477</v>
      </c>
      <c r="AS235" s="190" t="str">
        <f>IF(OR(AG235="",AH235=""),"No",IF(AND(G235="Horizontal",AH235&gt;='Eff. Standards &amp; Certifications'!$B$21,AG235&lt;='Eff. Standards &amp; Certifications'!$C$21),"Consider",IF(AND(G235="Vertical",AH235&gt;='Eff. Standards &amp; Certifications'!$B$20,AG235&lt;='Eff. Standards &amp; Certifications'!$C$20),"Consider","No")))</f>
        <v>Consider</v>
      </c>
      <c r="AT235" s="190" t="str">
        <f t="shared" si="108"/>
        <v>Residential</v>
      </c>
      <c r="AU235" s="190"/>
      <c r="AV235" s="190" t="str">
        <f t="shared" si="127"/>
        <v>NO</v>
      </c>
      <c r="AW235" s="190" t="str">
        <f t="shared" si="127"/>
        <v>YES</v>
      </c>
      <c r="AX235" s="190" t="str">
        <f t="shared" si="124"/>
        <v>YES</v>
      </c>
      <c r="AY235" s="190" t="str">
        <f t="shared" si="109"/>
        <v>NO</v>
      </c>
      <c r="AZ235" s="190" t="str">
        <f t="shared" si="109"/>
        <v>YES</v>
      </c>
      <c r="BA235" s="190" t="str">
        <f t="shared" si="125"/>
        <v>YES</v>
      </c>
      <c r="BB235" s="190" t="str">
        <f t="shared" si="110"/>
        <v>NO</v>
      </c>
      <c r="BC235" s="190" t="str">
        <f t="shared" si="111"/>
        <v>NO</v>
      </c>
      <c r="BD235" s="190" t="str">
        <f t="shared" si="126"/>
        <v>NO</v>
      </c>
      <c r="BE235" s="190" t="str">
        <f t="shared" si="112"/>
        <v>NO</v>
      </c>
      <c r="BF235" s="190" t="str">
        <f t="shared" si="113"/>
        <v>NO</v>
      </c>
      <c r="BG235" s="190" t="str">
        <f t="shared" si="114"/>
        <v>NO</v>
      </c>
      <c r="BH235" s="88"/>
      <c r="BI235" s="9"/>
      <c r="BJ235" s="694" t="str">
        <f t="shared" si="128"/>
        <v/>
      </c>
      <c r="BK235" s="694">
        <f t="shared" si="128"/>
        <v>2.0306449999999998</v>
      </c>
      <c r="BL235" s="694" t="str">
        <f t="shared" si="129"/>
        <v/>
      </c>
      <c r="BM235" s="694">
        <f t="shared" si="129"/>
        <v>3.8043200000000001</v>
      </c>
      <c r="BN235" s="88"/>
      <c r="BO235" s="195"/>
      <c r="BP235" s="195"/>
      <c r="BQ235" s="195"/>
      <c r="BR235" s="195"/>
      <c r="BS235" s="195"/>
      <c r="BT235" s="195"/>
      <c r="BU235" s="195"/>
      <c r="BV235" s="195"/>
      <c r="BW235" s="195"/>
      <c r="BX235" s="195"/>
    </row>
    <row r="236" spans="1:76" s="124" customFormat="1" ht="15">
      <c r="A236" s="187">
        <v>5196</v>
      </c>
      <c r="B236" s="187" t="s">
        <v>576</v>
      </c>
      <c r="C236" s="187" t="s">
        <v>459</v>
      </c>
      <c r="D236" s="187" t="s">
        <v>585</v>
      </c>
      <c r="E236" s="187" t="s">
        <v>385</v>
      </c>
      <c r="F236" s="187" t="s">
        <v>386</v>
      </c>
      <c r="G236" s="187" t="s">
        <v>387</v>
      </c>
      <c r="H236" s="187" t="b">
        <v>0</v>
      </c>
      <c r="I236" s="187" t="s">
        <v>388</v>
      </c>
      <c r="J236" s="187" t="s">
        <v>389</v>
      </c>
      <c r="K236" s="187" t="b">
        <v>1</v>
      </c>
      <c r="L236" s="187">
        <v>3.5</v>
      </c>
      <c r="M236" s="187">
        <v>0.4</v>
      </c>
      <c r="N236" s="187">
        <v>12.16</v>
      </c>
      <c r="O236" s="187">
        <v>3.5</v>
      </c>
      <c r="P236" s="187">
        <v>8.5399999999999991</v>
      </c>
      <c r="Q236" s="187"/>
      <c r="R236" s="187"/>
      <c r="S236" s="187"/>
      <c r="T236" s="187"/>
      <c r="U236" s="187">
        <v>37.1</v>
      </c>
      <c r="V236" s="187">
        <v>2.4300000000000002</v>
      </c>
      <c r="W236" s="188">
        <v>40826</v>
      </c>
      <c r="X236" s="691">
        <f t="shared" si="99"/>
        <v>2.0489350000000002</v>
      </c>
      <c r="Y236" s="691">
        <f t="shared" si="107"/>
        <v>3.7018999999999997</v>
      </c>
      <c r="Z236" s="189"/>
      <c r="AA236" s="190">
        <f t="shared" si="115"/>
        <v>2011</v>
      </c>
      <c r="AB236" s="191">
        <f t="shared" si="116"/>
        <v>1.7082045062434874</v>
      </c>
      <c r="AC236" s="192">
        <f>IF(AB236="","",AB236*SFAssumptions!$C$3)</f>
        <v>438.51881587263625</v>
      </c>
      <c r="AD236" s="193">
        <f t="shared" si="117"/>
        <v>12.95665</v>
      </c>
      <c r="AE236" s="194">
        <f>IF(AD236="","",AD236*SFAssumptions!$C$3)</f>
        <v>3326.1443784449998</v>
      </c>
      <c r="AF236" s="192">
        <f t="shared" si="106"/>
        <v>3.5</v>
      </c>
      <c r="AG236" s="192">
        <f t="shared" si="118"/>
        <v>3.7018999999999997</v>
      </c>
      <c r="AH236" s="192">
        <f t="shared" si="119"/>
        <v>2.0489350000000002</v>
      </c>
      <c r="AI236" s="692">
        <f ca="1">IF(AC236="","",AC236*SFAssumptions!$C$8/'SavingsData&amp;Analysis'!AF236)</f>
        <v>473.22536240520446</v>
      </c>
      <c r="AJ236" s="692">
        <f ca="1">IF(OR(AE236="",AF236=""),"",AE236*SFAssumptions!$C$8/AF236)</f>
        <v>3589.3918845179655</v>
      </c>
      <c r="AK236" s="191">
        <f t="shared" si="120"/>
        <v>1.4403292181069958</v>
      </c>
      <c r="AL236" s="692">
        <f>IF(AK236="","",AK236*SFAssumptions!$C$3)</f>
        <v>369.75166666666667</v>
      </c>
      <c r="AM236" s="193">
        <f t="shared" si="121"/>
        <v>12.25</v>
      </c>
      <c r="AN236" s="194">
        <f>IF(AM236="","",AM236*SFAssumptions!$C$3)</f>
        <v>3144.7379249999999</v>
      </c>
      <c r="AO236" s="693">
        <f t="shared" si="122"/>
        <v>3.5</v>
      </c>
      <c r="AP236" s="693">
        <f t="shared" si="123"/>
        <v>2.4300000000000002</v>
      </c>
      <c r="AQ236" s="692">
        <f ca="1">IF(AL236="","",AL236*SFAssumptions!$C$8/'SavingsData&amp;Analysis'!AF236)</f>
        <v>399.01564111922124</v>
      </c>
      <c r="AR236" s="692">
        <f ca="1">IF(OR(AN236="",AF236=""),"",AN236*SFAssumptions!$C$8/AF236)</f>
        <v>3393.6280277189767</v>
      </c>
      <c r="AS236" s="190" t="str">
        <f>IF(OR(AG236="",AH236=""),"No",IF(AND(G236="Horizontal",AH236&gt;='Eff. Standards &amp; Certifications'!$B$21,AG236&lt;='Eff. Standards &amp; Certifications'!$C$21),"Consider",IF(AND(G236="Vertical",AH236&gt;='Eff. Standards &amp; Certifications'!$B$20,AG236&lt;='Eff. Standards &amp; Certifications'!$C$20),"Consider","No")))</f>
        <v>Consider</v>
      </c>
      <c r="AT236" s="190" t="str">
        <f t="shared" si="108"/>
        <v>Residential</v>
      </c>
      <c r="AU236" s="190"/>
      <c r="AV236" s="190" t="str">
        <f t="shared" si="127"/>
        <v>NO</v>
      </c>
      <c r="AW236" s="190" t="str">
        <f t="shared" si="127"/>
        <v>YES</v>
      </c>
      <c r="AX236" s="190" t="str">
        <f t="shared" si="124"/>
        <v>YES</v>
      </c>
      <c r="AY236" s="190" t="str">
        <f t="shared" si="109"/>
        <v>NO</v>
      </c>
      <c r="AZ236" s="190" t="str">
        <f t="shared" si="109"/>
        <v>YES</v>
      </c>
      <c r="BA236" s="190" t="str">
        <f t="shared" si="125"/>
        <v>YES</v>
      </c>
      <c r="BB236" s="190" t="str">
        <f t="shared" si="110"/>
        <v>NO</v>
      </c>
      <c r="BC236" s="190" t="str">
        <f t="shared" si="111"/>
        <v>NO</v>
      </c>
      <c r="BD236" s="190" t="str">
        <f t="shared" si="126"/>
        <v>NO</v>
      </c>
      <c r="BE236" s="190" t="str">
        <f t="shared" si="112"/>
        <v>NO</v>
      </c>
      <c r="BF236" s="190" t="str">
        <f t="shared" si="113"/>
        <v>NO</v>
      </c>
      <c r="BG236" s="190" t="str">
        <f t="shared" si="114"/>
        <v>NO</v>
      </c>
      <c r="BH236" s="88"/>
      <c r="BI236" s="9"/>
      <c r="BJ236" s="694" t="str">
        <f t="shared" si="128"/>
        <v/>
      </c>
      <c r="BK236" s="694">
        <f t="shared" si="128"/>
        <v>2.0489350000000002</v>
      </c>
      <c r="BL236" s="694" t="str">
        <f t="shared" si="129"/>
        <v/>
      </c>
      <c r="BM236" s="694">
        <f t="shared" si="129"/>
        <v>3.7018999999999997</v>
      </c>
      <c r="BN236" s="88"/>
      <c r="BO236" s="195"/>
      <c r="BP236" s="195"/>
      <c r="BQ236" s="195"/>
      <c r="BR236" s="195"/>
      <c r="BS236" s="195"/>
      <c r="BT236" s="195"/>
      <c r="BU236" s="195"/>
      <c r="BV236" s="195"/>
      <c r="BW236" s="195"/>
      <c r="BX236" s="195"/>
    </row>
    <row r="237" spans="1:76" s="124" customFormat="1" ht="15">
      <c r="A237" s="187">
        <v>4911</v>
      </c>
      <c r="B237" s="187" t="s">
        <v>576</v>
      </c>
      <c r="C237" s="187" t="s">
        <v>459</v>
      </c>
      <c r="D237" s="187" t="s">
        <v>586</v>
      </c>
      <c r="E237" s="187" t="s">
        <v>385</v>
      </c>
      <c r="F237" s="187" t="s">
        <v>386</v>
      </c>
      <c r="G237" s="187" t="s">
        <v>387</v>
      </c>
      <c r="H237" s="187" t="b">
        <v>0</v>
      </c>
      <c r="I237" s="187" t="s">
        <v>388</v>
      </c>
      <c r="J237" s="187" t="s">
        <v>389</v>
      </c>
      <c r="K237" s="187" t="b">
        <v>1</v>
      </c>
      <c r="L237" s="187">
        <v>3.4</v>
      </c>
      <c r="M237" s="187">
        <v>0.41</v>
      </c>
      <c r="N237" s="187">
        <v>11.92</v>
      </c>
      <c r="O237" s="187">
        <v>3.5</v>
      </c>
      <c r="P237" s="187">
        <v>8.44</v>
      </c>
      <c r="Q237" s="187"/>
      <c r="R237" s="187"/>
      <c r="S237" s="187"/>
      <c r="T237" s="187"/>
      <c r="U237" s="187">
        <v>38.299999999999997</v>
      </c>
      <c r="V237" s="187">
        <v>2.4500000000000002</v>
      </c>
      <c r="W237" s="188">
        <v>40632</v>
      </c>
      <c r="X237" s="691">
        <f t="shared" si="99"/>
        <v>2.0672250000000005</v>
      </c>
      <c r="Y237" s="691">
        <f t="shared" si="107"/>
        <v>3.7018999999999997</v>
      </c>
      <c r="Z237" s="189"/>
      <c r="AA237" s="190">
        <f t="shared" si="115"/>
        <v>2011</v>
      </c>
      <c r="AB237" s="191">
        <f t="shared" si="116"/>
        <v>1.6447169514687559</v>
      </c>
      <c r="AC237" s="192">
        <f>IF(AB237="","",AB237*SFAssumptions!$C$3)</f>
        <v>422.22071617748418</v>
      </c>
      <c r="AD237" s="193">
        <f t="shared" si="117"/>
        <v>12.586459999999999</v>
      </c>
      <c r="AE237" s="194">
        <f>IF(AD237="","",AD237*SFAssumptions!$C$3)</f>
        <v>3231.1116819179997</v>
      </c>
      <c r="AF237" s="192">
        <f t="shared" si="106"/>
        <v>3.4</v>
      </c>
      <c r="AG237" s="192">
        <f t="shared" si="118"/>
        <v>3.7018999999999997</v>
      </c>
      <c r="AH237" s="192">
        <f t="shared" si="119"/>
        <v>2.0672250000000005</v>
      </c>
      <c r="AI237" s="692">
        <f ca="1">IF(AC237="","",AC237*SFAssumptions!$C$8/'SavingsData&amp;Analysis'!AF237)</f>
        <v>469.03844908982205</v>
      </c>
      <c r="AJ237" s="692">
        <f ca="1">IF(OR(AE237="",AF237=""),"",AE237*SFAssumptions!$C$8/AF237)</f>
        <v>3589.3918845179655</v>
      </c>
      <c r="AK237" s="191">
        <f t="shared" si="120"/>
        <v>1.3877551020408161</v>
      </c>
      <c r="AL237" s="692">
        <f>IF(AK237="","",AK237*SFAssumptions!$C$3)</f>
        <v>356.25519183673464</v>
      </c>
      <c r="AM237" s="193">
        <f t="shared" si="121"/>
        <v>11.9</v>
      </c>
      <c r="AN237" s="194">
        <f>IF(AM237="","",AM237*SFAssumptions!$C$3)</f>
        <v>3054.8882699999999</v>
      </c>
      <c r="AO237" s="693">
        <f t="shared" si="122"/>
        <v>3.5</v>
      </c>
      <c r="AP237" s="693">
        <f t="shared" si="123"/>
        <v>2.4500000000000002</v>
      </c>
      <c r="AQ237" s="692">
        <f ca="1">IF(AL237="","",AL237*SFAssumptions!$C$8/'SavingsData&amp;Analysis'!AF237)</f>
        <v>395.75837057947246</v>
      </c>
      <c r="AR237" s="692">
        <f ca="1">IF(OR(AN237="",AF237=""),"",AN237*SFAssumptions!$C$8/AF237)</f>
        <v>3393.6280277189771</v>
      </c>
      <c r="AS237" s="190" t="str">
        <f>IF(OR(AG237="",AH237=""),"No",IF(AND(G237="Horizontal",AH237&gt;='Eff. Standards &amp; Certifications'!$B$21,AG237&lt;='Eff. Standards &amp; Certifications'!$C$21),"Consider",IF(AND(G237="Vertical",AH237&gt;='Eff. Standards &amp; Certifications'!$B$20,AG237&lt;='Eff. Standards &amp; Certifications'!$C$20),"Consider","No")))</f>
        <v>Consider</v>
      </c>
      <c r="AT237" s="190" t="str">
        <f t="shared" si="108"/>
        <v>Residential</v>
      </c>
      <c r="AU237" s="190"/>
      <c r="AV237" s="190" t="str">
        <f t="shared" si="127"/>
        <v>NO</v>
      </c>
      <c r="AW237" s="190" t="str">
        <f t="shared" si="127"/>
        <v>YES</v>
      </c>
      <c r="AX237" s="190" t="str">
        <f t="shared" si="124"/>
        <v>YES</v>
      </c>
      <c r="AY237" s="190" t="str">
        <f t="shared" si="109"/>
        <v>NO</v>
      </c>
      <c r="AZ237" s="190" t="str">
        <f t="shared" si="109"/>
        <v>YES</v>
      </c>
      <c r="BA237" s="190" t="str">
        <f t="shared" si="125"/>
        <v>YES</v>
      </c>
      <c r="BB237" s="190" t="str">
        <f t="shared" si="110"/>
        <v>NO</v>
      </c>
      <c r="BC237" s="190" t="str">
        <f t="shared" si="111"/>
        <v>NO</v>
      </c>
      <c r="BD237" s="190" t="str">
        <f t="shared" si="126"/>
        <v>NO</v>
      </c>
      <c r="BE237" s="190" t="str">
        <f t="shared" si="112"/>
        <v>NO</v>
      </c>
      <c r="BF237" s="190" t="str">
        <f t="shared" si="113"/>
        <v>NO</v>
      </c>
      <c r="BG237" s="190" t="str">
        <f t="shared" si="114"/>
        <v>NO</v>
      </c>
      <c r="BH237" s="88"/>
      <c r="BI237" s="9"/>
      <c r="BJ237" s="694" t="str">
        <f t="shared" si="128"/>
        <v/>
      </c>
      <c r="BK237" s="694">
        <f t="shared" si="128"/>
        <v>2.0672250000000005</v>
      </c>
      <c r="BL237" s="694" t="str">
        <f t="shared" si="129"/>
        <v/>
      </c>
      <c r="BM237" s="694">
        <f t="shared" si="129"/>
        <v>3.7018999999999997</v>
      </c>
      <c r="BN237" s="88"/>
      <c r="BO237" s="195"/>
      <c r="BP237" s="195"/>
      <c r="BQ237" s="195"/>
      <c r="BR237" s="195"/>
      <c r="BS237" s="195"/>
      <c r="BT237" s="195"/>
      <c r="BU237" s="195"/>
      <c r="BV237" s="195"/>
      <c r="BW237" s="195"/>
      <c r="BX237" s="195"/>
    </row>
    <row r="238" spans="1:76" s="124" customFormat="1" ht="15">
      <c r="A238" s="187">
        <v>4910</v>
      </c>
      <c r="B238" s="187" t="s">
        <v>576</v>
      </c>
      <c r="C238" s="187" t="s">
        <v>459</v>
      </c>
      <c r="D238" s="187" t="s">
        <v>587</v>
      </c>
      <c r="E238" s="187" t="s">
        <v>385</v>
      </c>
      <c r="F238" s="187" t="s">
        <v>386</v>
      </c>
      <c r="G238" s="187" t="s">
        <v>387</v>
      </c>
      <c r="H238" s="187" t="b">
        <v>0</v>
      </c>
      <c r="I238" s="187" t="s">
        <v>388</v>
      </c>
      <c r="J238" s="187" t="s">
        <v>389</v>
      </c>
      <c r="K238" s="187" t="b">
        <v>1</v>
      </c>
      <c r="L238" s="187">
        <v>3.7</v>
      </c>
      <c r="M238" s="187">
        <v>0.35</v>
      </c>
      <c r="N238" s="187">
        <v>12.16</v>
      </c>
      <c r="O238" s="187">
        <v>3.3</v>
      </c>
      <c r="P238" s="187">
        <v>10.64</v>
      </c>
      <c r="Q238" s="187"/>
      <c r="R238" s="187"/>
      <c r="S238" s="187"/>
      <c r="T238" s="187"/>
      <c r="U238" s="187">
        <v>39.299999999999997</v>
      </c>
      <c r="V238" s="187">
        <v>2.46</v>
      </c>
      <c r="W238" s="188">
        <v>40632</v>
      </c>
      <c r="X238" s="691">
        <f t="shared" si="99"/>
        <v>2.0763699999999998</v>
      </c>
      <c r="Y238" s="691">
        <f t="shared" si="107"/>
        <v>3.4970599999999998</v>
      </c>
      <c r="Z238" s="189"/>
      <c r="AA238" s="190">
        <f t="shared" si="115"/>
        <v>2011</v>
      </c>
      <c r="AB238" s="191">
        <f t="shared" si="116"/>
        <v>1.7819560097670457</v>
      </c>
      <c r="AC238" s="192">
        <f>IF(AB238="","",AB238*SFAssumptions!$C$3)</f>
        <v>457.45180772213052</v>
      </c>
      <c r="AD238" s="193">
        <f t="shared" si="117"/>
        <v>12.939121999999999</v>
      </c>
      <c r="AE238" s="194">
        <f>IF(AD238="","",AD238*SFAssumptions!$C$3)</f>
        <v>3321.6447077225998</v>
      </c>
      <c r="AF238" s="192">
        <f t="shared" si="106"/>
        <v>3.7</v>
      </c>
      <c r="AG238" s="192">
        <f t="shared" si="118"/>
        <v>3.4970599999999998</v>
      </c>
      <c r="AH238" s="192">
        <f t="shared" si="119"/>
        <v>2.0763699999999998</v>
      </c>
      <c r="AI238" s="692">
        <f ca="1">IF(AC238="","",AC238*SFAssumptions!$C$8/'SavingsData&amp;Analysis'!AF238)</f>
        <v>466.9726531975071</v>
      </c>
      <c r="AJ238" s="692">
        <f ca="1">IF(OR(AE238="",AF238=""),"",AE238*SFAssumptions!$C$8/AF238)</f>
        <v>3390.7773801756925</v>
      </c>
      <c r="AK238" s="191">
        <f t="shared" si="120"/>
        <v>1.5040650406504066</v>
      </c>
      <c r="AL238" s="692">
        <f>IF(AK238="","",AK238*SFAssumptions!$C$3)</f>
        <v>386.11350000000004</v>
      </c>
      <c r="AM238" s="193">
        <f t="shared" si="121"/>
        <v>12.209999999999999</v>
      </c>
      <c r="AN238" s="194">
        <f>IF(AM238="","",AM238*SFAssumptions!$C$3)</f>
        <v>3134.4693929999999</v>
      </c>
      <c r="AO238" s="693">
        <f t="shared" si="122"/>
        <v>3.3</v>
      </c>
      <c r="AP238" s="693">
        <f t="shared" si="123"/>
        <v>2.46</v>
      </c>
      <c r="AQ238" s="692">
        <f ca="1">IF(AL238="","",AL238*SFAssumptions!$C$8/'SavingsData&amp;Analysis'!AF238)</f>
        <v>394.14959671532836</v>
      </c>
      <c r="AR238" s="692">
        <f ca="1">IF(OR(AN238="",AF238=""),"",AN238*SFAssumptions!$C$8/AF238)</f>
        <v>3199.7064261350351</v>
      </c>
      <c r="AS238" s="190" t="str">
        <f>IF(OR(AG238="",AH238=""),"No",IF(AND(G238="Horizontal",AH238&gt;='Eff. Standards &amp; Certifications'!$B$21,AG238&lt;='Eff. Standards &amp; Certifications'!$C$21),"Consider",IF(AND(G238="Vertical",AH238&gt;='Eff. Standards &amp; Certifications'!$B$20,AG238&lt;='Eff. Standards &amp; Certifications'!$C$20),"Consider","No")))</f>
        <v>Consider</v>
      </c>
      <c r="AT238" s="190" t="str">
        <f t="shared" si="108"/>
        <v>Residential</v>
      </c>
      <c r="AU238" s="190"/>
      <c r="AV238" s="190" t="str">
        <f t="shared" si="127"/>
        <v>NO</v>
      </c>
      <c r="AW238" s="190" t="str">
        <f t="shared" si="127"/>
        <v>YES</v>
      </c>
      <c r="AX238" s="190" t="str">
        <f t="shared" si="124"/>
        <v>YES</v>
      </c>
      <c r="AY238" s="190" t="str">
        <f t="shared" si="109"/>
        <v>NO</v>
      </c>
      <c r="AZ238" s="190" t="str">
        <f t="shared" si="109"/>
        <v>YES</v>
      </c>
      <c r="BA238" s="190" t="str">
        <f t="shared" si="125"/>
        <v>YES</v>
      </c>
      <c r="BB238" s="190" t="str">
        <f t="shared" si="110"/>
        <v>NO</v>
      </c>
      <c r="BC238" s="190" t="str">
        <f t="shared" si="111"/>
        <v>NO</v>
      </c>
      <c r="BD238" s="190" t="str">
        <f t="shared" si="126"/>
        <v>NO</v>
      </c>
      <c r="BE238" s="190" t="str">
        <f t="shared" si="112"/>
        <v>NO</v>
      </c>
      <c r="BF238" s="190" t="str">
        <f t="shared" si="113"/>
        <v>NO</v>
      </c>
      <c r="BG238" s="190" t="str">
        <f t="shared" si="114"/>
        <v>NO</v>
      </c>
      <c r="BH238" s="88"/>
      <c r="BI238" s="9"/>
      <c r="BJ238" s="694" t="str">
        <f t="shared" si="128"/>
        <v/>
      </c>
      <c r="BK238" s="694">
        <f t="shared" si="128"/>
        <v>2.0763699999999998</v>
      </c>
      <c r="BL238" s="694" t="str">
        <f t="shared" si="129"/>
        <v/>
      </c>
      <c r="BM238" s="694">
        <f t="shared" si="129"/>
        <v>3.4970599999999998</v>
      </c>
      <c r="BN238" s="88"/>
      <c r="BO238" s="195"/>
      <c r="BP238" s="195"/>
      <c r="BQ238" s="195"/>
      <c r="BR238" s="195"/>
      <c r="BS238" s="195"/>
      <c r="BT238" s="195"/>
      <c r="BU238" s="195"/>
      <c r="BV238" s="195"/>
      <c r="BW238" s="195"/>
      <c r="BX238" s="195"/>
    </row>
    <row r="239" spans="1:76" s="124" customFormat="1" ht="15">
      <c r="A239" s="187">
        <v>5267</v>
      </c>
      <c r="B239" s="187" t="s">
        <v>576</v>
      </c>
      <c r="C239" s="187" t="s">
        <v>459</v>
      </c>
      <c r="D239" s="187" t="s">
        <v>588</v>
      </c>
      <c r="E239" s="187" t="s">
        <v>385</v>
      </c>
      <c r="F239" s="187" t="s">
        <v>386</v>
      </c>
      <c r="G239" s="187" t="s">
        <v>387</v>
      </c>
      <c r="H239" s="187" t="b">
        <v>0</v>
      </c>
      <c r="I239" s="187" t="s">
        <v>388</v>
      </c>
      <c r="J239" s="187" t="s">
        <v>389</v>
      </c>
      <c r="K239" s="187" t="b">
        <v>1</v>
      </c>
      <c r="L239" s="187">
        <v>3.9</v>
      </c>
      <c r="M239" s="187">
        <v>0.4</v>
      </c>
      <c r="N239" s="187">
        <v>12.53</v>
      </c>
      <c r="O239" s="187">
        <v>3.4</v>
      </c>
      <c r="P239" s="187">
        <v>9.61</v>
      </c>
      <c r="Q239" s="187"/>
      <c r="R239" s="187"/>
      <c r="S239" s="187"/>
      <c r="T239" s="187"/>
      <c r="U239" s="187">
        <v>35.700000000000003</v>
      </c>
      <c r="V239" s="187">
        <v>2.58</v>
      </c>
      <c r="W239" s="188">
        <v>40914</v>
      </c>
      <c r="X239" s="691">
        <f t="shared" si="99"/>
        <v>2.1861100000000002</v>
      </c>
      <c r="Y239" s="691">
        <f t="shared" si="107"/>
        <v>3.5994799999999998</v>
      </c>
      <c r="Z239" s="189"/>
      <c r="AA239" s="190">
        <f t="shared" si="115"/>
        <v>2012</v>
      </c>
      <c r="AB239" s="191">
        <f t="shared" si="116"/>
        <v>1.7839907415454848</v>
      </c>
      <c r="AC239" s="192">
        <f>IF(AB239="","",AB239*SFAssumptions!$C$3)</f>
        <v>457.9741504315885</v>
      </c>
      <c r="AD239" s="193">
        <f t="shared" si="117"/>
        <v>14.037971999999998</v>
      </c>
      <c r="AE239" s="194">
        <f>IF(AD239="","",AD239*SFAssumptions!$C$3)</f>
        <v>3603.7341174275994</v>
      </c>
      <c r="AF239" s="192">
        <f t="shared" si="106"/>
        <v>3.9</v>
      </c>
      <c r="AG239" s="192">
        <f t="shared" si="118"/>
        <v>3.5994799999999998</v>
      </c>
      <c r="AH239" s="192">
        <f t="shared" si="119"/>
        <v>2.1861100000000002</v>
      </c>
      <c r="AI239" s="692">
        <f ca="1">IF(AC239="","",AC239*SFAssumptions!$C$8/'SavingsData&amp;Analysis'!AF239)</f>
        <v>443.53120745054349</v>
      </c>
      <c r="AJ239" s="692">
        <f ca="1">IF(OR(AE239="",AF239=""),"",AE239*SFAssumptions!$C$8/AF239)</f>
        <v>3490.0846323468286</v>
      </c>
      <c r="AK239" s="191">
        <f t="shared" si="120"/>
        <v>1.5116279069767442</v>
      </c>
      <c r="AL239" s="692">
        <f>IF(AK239="","",AK239*SFAssumptions!$C$3)</f>
        <v>388.05498837209302</v>
      </c>
      <c r="AM239" s="193">
        <f t="shared" si="121"/>
        <v>13.26</v>
      </c>
      <c r="AN239" s="194">
        <f>IF(AM239="","",AM239*SFAssumptions!$C$3)</f>
        <v>3404.0183579999998</v>
      </c>
      <c r="AO239" s="693">
        <f t="shared" si="122"/>
        <v>3.4</v>
      </c>
      <c r="AP239" s="693">
        <f t="shared" si="123"/>
        <v>2.58</v>
      </c>
      <c r="AQ239" s="692">
        <f ca="1">IF(AL239="","",AL239*SFAssumptions!$C$8/'SavingsData&amp;Analysis'!AF239)</f>
        <v>375.81705733322002</v>
      </c>
      <c r="AR239" s="692">
        <f ca="1">IF(OR(AN239="",AF239=""),"",AN239*SFAssumptions!$C$8/AF239)</f>
        <v>3296.6672269270057</v>
      </c>
      <c r="AS239" s="190" t="str">
        <f>IF(OR(AG239="",AH239=""),"No",IF(AND(G239="Horizontal",AH239&gt;='Eff. Standards &amp; Certifications'!$B$21,AG239&lt;='Eff. Standards &amp; Certifications'!$C$21),"Consider",IF(AND(G239="Vertical",AH239&gt;='Eff. Standards &amp; Certifications'!$B$20,AG239&lt;='Eff. Standards &amp; Certifications'!$C$20),"Consider","No")))</f>
        <v>Consider</v>
      </c>
      <c r="AT239" s="190" t="str">
        <f t="shared" si="108"/>
        <v>Residential</v>
      </c>
      <c r="AU239" s="190"/>
      <c r="AV239" s="190" t="str">
        <f t="shared" si="127"/>
        <v>NO</v>
      </c>
      <c r="AW239" s="190" t="str">
        <f t="shared" si="127"/>
        <v>YES</v>
      </c>
      <c r="AX239" s="190" t="str">
        <f t="shared" si="124"/>
        <v>YES</v>
      </c>
      <c r="AY239" s="190" t="str">
        <f t="shared" si="109"/>
        <v>NO</v>
      </c>
      <c r="AZ239" s="190" t="str">
        <f t="shared" si="109"/>
        <v>YES</v>
      </c>
      <c r="BA239" s="190" t="str">
        <f t="shared" si="125"/>
        <v>YES</v>
      </c>
      <c r="BB239" s="190" t="str">
        <f t="shared" si="110"/>
        <v>NO</v>
      </c>
      <c r="BC239" s="190" t="str">
        <f t="shared" si="111"/>
        <v>NO</v>
      </c>
      <c r="BD239" s="190" t="str">
        <f t="shared" si="126"/>
        <v>NO</v>
      </c>
      <c r="BE239" s="190" t="str">
        <f t="shared" si="112"/>
        <v>NO</v>
      </c>
      <c r="BF239" s="190" t="str">
        <f t="shared" si="113"/>
        <v>NO</v>
      </c>
      <c r="BG239" s="190" t="str">
        <f t="shared" si="114"/>
        <v>NO</v>
      </c>
      <c r="BH239" s="88"/>
      <c r="BI239" s="9"/>
      <c r="BJ239" s="694" t="str">
        <f t="shared" si="128"/>
        <v/>
      </c>
      <c r="BK239" s="694">
        <f t="shared" si="128"/>
        <v>2.1861100000000002</v>
      </c>
      <c r="BL239" s="694" t="str">
        <f t="shared" si="129"/>
        <v/>
      </c>
      <c r="BM239" s="694">
        <f t="shared" si="129"/>
        <v>3.5994799999999998</v>
      </c>
      <c r="BN239" s="88"/>
      <c r="BO239" s="195"/>
      <c r="BP239" s="195"/>
      <c r="BQ239" s="195"/>
      <c r="BR239" s="195"/>
      <c r="BS239" s="195"/>
      <c r="BT239" s="195"/>
      <c r="BU239" s="195"/>
      <c r="BV239" s="195"/>
      <c r="BW239" s="195"/>
      <c r="BX239" s="195"/>
    </row>
    <row r="240" spans="1:76" s="124" customFormat="1" ht="15">
      <c r="A240" s="187">
        <v>5833</v>
      </c>
      <c r="B240" s="187" t="s">
        <v>576</v>
      </c>
      <c r="C240" s="187" t="s">
        <v>459</v>
      </c>
      <c r="D240" s="187" t="s">
        <v>589</v>
      </c>
      <c r="E240" s="187" t="s">
        <v>385</v>
      </c>
      <c r="F240" s="187" t="s">
        <v>386</v>
      </c>
      <c r="G240" s="187" t="s">
        <v>387</v>
      </c>
      <c r="H240" s="187" t="b">
        <v>0</v>
      </c>
      <c r="I240" s="187" t="s">
        <v>388</v>
      </c>
      <c r="J240" s="187" t="s">
        <v>389</v>
      </c>
      <c r="K240" s="187" t="b">
        <v>1</v>
      </c>
      <c r="L240" s="187">
        <v>3.6</v>
      </c>
      <c r="M240" s="187">
        <v>0.23</v>
      </c>
      <c r="N240" s="187">
        <v>10.69</v>
      </c>
      <c r="O240" s="187">
        <v>3</v>
      </c>
      <c r="P240" s="187">
        <v>15.23</v>
      </c>
      <c r="Q240" s="187"/>
      <c r="R240" s="187"/>
      <c r="S240" s="187"/>
      <c r="T240" s="187"/>
      <c r="U240" s="187">
        <v>32.299999999999997</v>
      </c>
      <c r="V240" s="187">
        <v>3.14</v>
      </c>
      <c r="W240" s="188">
        <v>41390</v>
      </c>
      <c r="X240" s="691">
        <f t="shared" si="99"/>
        <v>2.6982299999999997</v>
      </c>
      <c r="Y240" s="691">
        <f t="shared" si="107"/>
        <v>3.1898</v>
      </c>
      <c r="Z240" s="189"/>
      <c r="AA240" s="190">
        <f t="shared" si="115"/>
        <v>2013</v>
      </c>
      <c r="AB240" s="191">
        <f t="shared" si="116"/>
        <v>1.3342079807874052</v>
      </c>
      <c r="AC240" s="192">
        <f>IF(AB240="","",AB240*SFAssumptions!$C$3)</f>
        <v>342.50893363427139</v>
      </c>
      <c r="AD240" s="193">
        <f t="shared" si="117"/>
        <v>11.483280000000001</v>
      </c>
      <c r="AE240" s="194">
        <f>IF(AD240="","",AD240*SFAssumptions!$C$3)</f>
        <v>2947.9107036240002</v>
      </c>
      <c r="AF240" s="192">
        <f t="shared" si="106"/>
        <v>3.6</v>
      </c>
      <c r="AG240" s="192">
        <f t="shared" si="118"/>
        <v>3.1898</v>
      </c>
      <c r="AH240" s="192">
        <f t="shared" si="119"/>
        <v>2.6982299999999997</v>
      </c>
      <c r="AI240" s="692">
        <f ca="1">IF(AC240="","",AC240*SFAssumptions!$C$8/'SavingsData&amp;Analysis'!AF240)</f>
        <v>359.34965066718104</v>
      </c>
      <c r="AJ240" s="692">
        <f ca="1">IF(OR(AE240="",AF240=""),"",AE240*SFAssumptions!$C$8/AF240)</f>
        <v>3092.8556236622835</v>
      </c>
      <c r="AK240" s="191">
        <f t="shared" si="120"/>
        <v>1.1464968152866242</v>
      </c>
      <c r="AL240" s="692">
        <f>IF(AK240="","",AK240*SFAssumptions!$C$3)</f>
        <v>294.32098089171973</v>
      </c>
      <c r="AM240" s="193">
        <f t="shared" si="121"/>
        <v>10.8</v>
      </c>
      <c r="AN240" s="194">
        <f>IF(AM240="","",AM240*SFAssumptions!$C$3)</f>
        <v>2772.5036400000004</v>
      </c>
      <c r="AO240" s="693">
        <f t="shared" si="122"/>
        <v>3</v>
      </c>
      <c r="AP240" s="693">
        <f t="shared" si="123"/>
        <v>3.14</v>
      </c>
      <c r="AQ240" s="692">
        <f ca="1">IF(AL240="","",AL240*SFAssumptions!$C$8/'SavingsData&amp;Analysis'!AF240)</f>
        <v>308.79235921009797</v>
      </c>
      <c r="AR240" s="692">
        <f ca="1">IF(OR(AN240="",AF240=""),"",AN240*SFAssumptions!$C$8/AF240)</f>
        <v>2908.8240237591231</v>
      </c>
      <c r="AS240" s="190" t="str">
        <f>IF(OR(AG240="",AH240=""),"No",IF(AND(G240="Horizontal",AH240&gt;='Eff. Standards &amp; Certifications'!$B$21,AG240&lt;='Eff. Standards &amp; Certifications'!$C$21),"Consider",IF(AND(G240="Vertical",AH240&gt;='Eff. Standards &amp; Certifications'!$B$20,AG240&lt;='Eff. Standards &amp; Certifications'!$C$20),"Consider","No")))</f>
        <v>Consider</v>
      </c>
      <c r="AT240" s="190" t="str">
        <f t="shared" si="108"/>
        <v>Residential</v>
      </c>
      <c r="AU240" s="190"/>
      <c r="AV240" s="190" t="str">
        <f t="shared" si="127"/>
        <v>NO</v>
      </c>
      <c r="AW240" s="190" t="str">
        <f t="shared" si="127"/>
        <v>YES</v>
      </c>
      <c r="AX240" s="190" t="str">
        <f t="shared" si="124"/>
        <v>YES</v>
      </c>
      <c r="AY240" s="190" t="str">
        <f t="shared" si="109"/>
        <v>NO</v>
      </c>
      <c r="AZ240" s="190" t="str">
        <f t="shared" si="109"/>
        <v>NO</v>
      </c>
      <c r="BA240" s="190" t="str">
        <f t="shared" si="125"/>
        <v>NO</v>
      </c>
      <c r="BB240" s="190" t="str">
        <f t="shared" si="110"/>
        <v>NO</v>
      </c>
      <c r="BC240" s="190" t="str">
        <f t="shared" si="111"/>
        <v>YES</v>
      </c>
      <c r="BD240" s="190" t="str">
        <f t="shared" si="126"/>
        <v>YES</v>
      </c>
      <c r="BE240" s="190" t="str">
        <f t="shared" si="112"/>
        <v>YES</v>
      </c>
      <c r="BF240" s="190" t="str">
        <f t="shared" si="113"/>
        <v>NO</v>
      </c>
      <c r="BG240" s="190" t="str">
        <f t="shared" si="114"/>
        <v>NO</v>
      </c>
      <c r="BH240" s="88"/>
      <c r="BI240" s="9"/>
      <c r="BJ240" s="694" t="str">
        <f t="shared" si="128"/>
        <v/>
      </c>
      <c r="BK240" s="694">
        <f t="shared" si="128"/>
        <v>2.6982299999999997</v>
      </c>
      <c r="BL240" s="694" t="str">
        <f t="shared" si="129"/>
        <v/>
      </c>
      <c r="BM240" s="694">
        <f t="shared" si="129"/>
        <v>3.1898</v>
      </c>
      <c r="BN240" s="88"/>
      <c r="BO240" s="195"/>
      <c r="BP240" s="195"/>
      <c r="BQ240" s="195"/>
      <c r="BR240" s="195"/>
      <c r="BS240" s="195"/>
      <c r="BT240" s="195"/>
      <c r="BU240" s="195"/>
      <c r="BV240" s="195"/>
      <c r="BW240" s="195"/>
      <c r="BX240" s="195"/>
    </row>
    <row r="241" spans="1:76" s="124" customFormat="1" ht="15">
      <c r="A241" s="187">
        <v>5830</v>
      </c>
      <c r="B241" s="187" t="s">
        <v>576</v>
      </c>
      <c r="C241" s="187" t="s">
        <v>459</v>
      </c>
      <c r="D241" s="187" t="s">
        <v>590</v>
      </c>
      <c r="E241" s="187" t="s">
        <v>385</v>
      </c>
      <c r="F241" s="187" t="s">
        <v>386</v>
      </c>
      <c r="G241" s="187" t="s">
        <v>387</v>
      </c>
      <c r="H241" s="187" t="b">
        <v>0</v>
      </c>
      <c r="I241" s="187" t="s">
        <v>388</v>
      </c>
      <c r="J241" s="187" t="s">
        <v>389</v>
      </c>
      <c r="K241" s="187" t="b">
        <v>1</v>
      </c>
      <c r="L241" s="187">
        <v>4</v>
      </c>
      <c r="M241" s="187">
        <v>0.23</v>
      </c>
      <c r="N241" s="187">
        <v>11.48</v>
      </c>
      <c r="O241" s="187">
        <v>2.9</v>
      </c>
      <c r="P241" s="187">
        <v>16.940000000000001</v>
      </c>
      <c r="Q241" s="187"/>
      <c r="R241" s="187"/>
      <c r="S241" s="187"/>
      <c r="T241" s="187"/>
      <c r="U241" s="187">
        <v>30.9</v>
      </c>
      <c r="V241" s="187">
        <v>3.35</v>
      </c>
      <c r="W241" s="188">
        <v>41390</v>
      </c>
      <c r="X241" s="691">
        <f t="shared" si="99"/>
        <v>2.8902749999999999</v>
      </c>
      <c r="Y241" s="691">
        <f t="shared" si="107"/>
        <v>3.08738</v>
      </c>
      <c r="Z241" s="189"/>
      <c r="AA241" s="190">
        <f t="shared" si="115"/>
        <v>2013</v>
      </c>
      <c r="AB241" s="191">
        <f t="shared" si="116"/>
        <v>1.3839513541099031</v>
      </c>
      <c r="AC241" s="192">
        <f>IF(AB241="","",AB241*SFAssumptions!$C$3)</f>
        <v>355.27871915302177</v>
      </c>
      <c r="AD241" s="193">
        <f t="shared" si="117"/>
        <v>12.34952</v>
      </c>
      <c r="AE241" s="194">
        <f>IF(AD241="","",AD241*SFAssumptions!$C$3)</f>
        <v>3170.2860326160003</v>
      </c>
      <c r="AF241" s="192">
        <f t="shared" si="106"/>
        <v>4</v>
      </c>
      <c r="AG241" s="192">
        <f t="shared" si="118"/>
        <v>3.08738</v>
      </c>
      <c r="AH241" s="192">
        <f t="shared" si="119"/>
        <v>2.8902749999999999</v>
      </c>
      <c r="AI241" s="692">
        <f ca="1">IF(AC241="","",AC241*SFAssumptions!$C$8/'SavingsData&amp;Analysis'!AF241)</f>
        <v>335.47257887907125</v>
      </c>
      <c r="AJ241" s="692">
        <f ca="1">IF(OR(AE241="",AF241=""),"",AE241*SFAssumptions!$C$8/AF241)</f>
        <v>2993.5483714911475</v>
      </c>
      <c r="AK241" s="191">
        <f t="shared" si="120"/>
        <v>1.1940298507462686</v>
      </c>
      <c r="AL241" s="692">
        <f>IF(AK241="","",AK241*SFAssumptions!$C$3)</f>
        <v>306.52334328358205</v>
      </c>
      <c r="AM241" s="193">
        <f t="shared" si="121"/>
        <v>11.6</v>
      </c>
      <c r="AN241" s="194">
        <f>IF(AM241="","",AM241*SFAssumptions!$C$3)</f>
        <v>2977.87428</v>
      </c>
      <c r="AO241" s="693">
        <f t="shared" si="122"/>
        <v>2.9</v>
      </c>
      <c r="AP241" s="693">
        <f t="shared" si="123"/>
        <v>3.35</v>
      </c>
      <c r="AQ241" s="692">
        <f ca="1">IF(AL241="","",AL241*SFAssumptions!$C$8/'SavingsData&amp;Analysis'!AF241)</f>
        <v>289.43522624468881</v>
      </c>
      <c r="AR241" s="692">
        <f ca="1">IF(OR(AN241="",AF241=""),"",AN241*SFAssumptions!$C$8/AF241)</f>
        <v>2811.8632229671521</v>
      </c>
      <c r="AS241" s="190" t="str">
        <f>IF(OR(AG241="",AH241=""),"No",IF(AND(G241="Horizontal",AH241&gt;='Eff. Standards &amp; Certifications'!$B$21,AG241&lt;='Eff. Standards &amp; Certifications'!$C$21),"Consider",IF(AND(G241="Vertical",AH241&gt;='Eff. Standards &amp; Certifications'!$B$20,AG241&lt;='Eff. Standards &amp; Certifications'!$C$20),"Consider","No")))</f>
        <v>Consider</v>
      </c>
      <c r="AT241" s="190" t="str">
        <f t="shared" si="108"/>
        <v>Residential</v>
      </c>
      <c r="AU241" s="190"/>
      <c r="AV241" s="190" t="str">
        <f t="shared" si="127"/>
        <v>NO</v>
      </c>
      <c r="AW241" s="190" t="str">
        <f t="shared" si="127"/>
        <v>YES</v>
      </c>
      <c r="AX241" s="190" t="str">
        <f t="shared" si="124"/>
        <v>YES</v>
      </c>
      <c r="AY241" s="190" t="str">
        <f t="shared" si="109"/>
        <v>NO</v>
      </c>
      <c r="AZ241" s="190" t="str">
        <f t="shared" si="109"/>
        <v>NO</v>
      </c>
      <c r="BA241" s="190" t="str">
        <f t="shared" si="125"/>
        <v>NO</v>
      </c>
      <c r="BB241" s="190" t="str">
        <f t="shared" si="110"/>
        <v>NO</v>
      </c>
      <c r="BC241" s="190" t="str">
        <f t="shared" si="111"/>
        <v>YES</v>
      </c>
      <c r="BD241" s="190" t="str">
        <f t="shared" si="126"/>
        <v>YES</v>
      </c>
      <c r="BE241" s="190" t="str">
        <f t="shared" si="112"/>
        <v>NO</v>
      </c>
      <c r="BF241" s="190" t="str">
        <f t="shared" si="113"/>
        <v>YES</v>
      </c>
      <c r="BG241" s="190" t="str">
        <f t="shared" si="114"/>
        <v>NO</v>
      </c>
      <c r="BH241" s="88"/>
      <c r="BI241" s="9"/>
      <c r="BJ241" s="694" t="str">
        <f t="shared" si="128"/>
        <v/>
      </c>
      <c r="BK241" s="694">
        <f t="shared" si="128"/>
        <v>2.8902749999999999</v>
      </c>
      <c r="BL241" s="694" t="str">
        <f t="shared" si="129"/>
        <v/>
      </c>
      <c r="BM241" s="694">
        <f t="shared" si="129"/>
        <v>3.08738</v>
      </c>
      <c r="BN241" s="88"/>
      <c r="BO241" s="195"/>
      <c r="BP241" s="195"/>
      <c r="BQ241" s="195"/>
      <c r="BR241" s="195"/>
      <c r="BS241" s="195"/>
      <c r="BT241" s="195"/>
      <c r="BU241" s="195"/>
      <c r="BV241" s="195"/>
      <c r="BW241" s="195"/>
      <c r="BX241" s="195"/>
    </row>
    <row r="242" spans="1:76" s="124" customFormat="1" ht="15">
      <c r="A242" s="187">
        <v>5827</v>
      </c>
      <c r="B242" s="187" t="s">
        <v>576</v>
      </c>
      <c r="C242" s="187" t="s">
        <v>459</v>
      </c>
      <c r="D242" s="187" t="s">
        <v>591</v>
      </c>
      <c r="E242" s="187" t="s">
        <v>385</v>
      </c>
      <c r="F242" s="187" t="s">
        <v>386</v>
      </c>
      <c r="G242" s="187" t="s">
        <v>387</v>
      </c>
      <c r="H242" s="187" t="b">
        <v>0</v>
      </c>
      <c r="I242" s="187" t="s">
        <v>388</v>
      </c>
      <c r="J242" s="187" t="s">
        <v>389</v>
      </c>
      <c r="K242" s="187" t="b">
        <v>1</v>
      </c>
      <c r="L242" s="187">
        <v>4.3</v>
      </c>
      <c r="M242" s="187">
        <v>0.23</v>
      </c>
      <c r="N242" s="187">
        <v>12.41</v>
      </c>
      <c r="O242" s="187">
        <v>2.9</v>
      </c>
      <c r="P242" s="187">
        <v>18.97</v>
      </c>
      <c r="Q242" s="187"/>
      <c r="R242" s="187"/>
      <c r="S242" s="187"/>
      <c r="T242" s="187"/>
      <c r="U242" s="187">
        <v>32.1</v>
      </c>
      <c r="V242" s="187">
        <v>3.32</v>
      </c>
      <c r="W242" s="188">
        <v>41390</v>
      </c>
      <c r="X242" s="691">
        <f t="shared" si="99"/>
        <v>2.8628399999999994</v>
      </c>
      <c r="Y242" s="691">
        <f t="shared" si="107"/>
        <v>3.08738</v>
      </c>
      <c r="Z242" s="189"/>
      <c r="AA242" s="190">
        <f t="shared" si="115"/>
        <v>2013</v>
      </c>
      <c r="AB242" s="191">
        <f t="shared" si="116"/>
        <v>1.5020050020259605</v>
      </c>
      <c r="AC242" s="192">
        <f>IF(AB242="","",AB242*SFAssumptions!$C$3)</f>
        <v>385.58466068659101</v>
      </c>
      <c r="AD242" s="193">
        <f t="shared" si="117"/>
        <v>13.275734</v>
      </c>
      <c r="AE242" s="194">
        <f>IF(AD242="","",AD242*SFAssumptions!$C$3)</f>
        <v>3408.0574850622002</v>
      </c>
      <c r="AF242" s="192">
        <f t="shared" si="106"/>
        <v>4.3</v>
      </c>
      <c r="AG242" s="192">
        <f t="shared" si="118"/>
        <v>3.08738</v>
      </c>
      <c r="AH242" s="192">
        <f t="shared" si="119"/>
        <v>2.8628399999999994</v>
      </c>
      <c r="AI242" s="692">
        <f ca="1">IF(AC242="","",AC242*SFAssumptions!$C$8/'SavingsData&amp;Analysis'!AF242)</f>
        <v>338.68745997670419</v>
      </c>
      <c r="AJ242" s="692">
        <f ca="1">IF(OR(AE242="",AF242=""),"",AE242*SFAssumptions!$C$8/AF242)</f>
        <v>2993.5483714911475</v>
      </c>
      <c r="AK242" s="191">
        <f t="shared" si="120"/>
        <v>1.2951807228915664</v>
      </c>
      <c r="AL242" s="692">
        <f>IF(AK242="","",AK242*SFAssumptions!$C$3)</f>
        <v>332.49011746987958</v>
      </c>
      <c r="AM242" s="193">
        <f t="shared" si="121"/>
        <v>12.469999999999999</v>
      </c>
      <c r="AN242" s="194">
        <f>IF(AM242="","",AM242*SFAssumptions!$C$3)</f>
        <v>3201.2148509999997</v>
      </c>
      <c r="AO242" s="693">
        <f t="shared" si="122"/>
        <v>2.9</v>
      </c>
      <c r="AP242" s="693">
        <f t="shared" si="123"/>
        <v>3.32</v>
      </c>
      <c r="AQ242" s="692">
        <f ca="1">IF(AL242="","",AL242*SFAssumptions!$C$8/'SavingsData&amp;Analysis'!AF242)</f>
        <v>292.05060479509274</v>
      </c>
      <c r="AR242" s="692">
        <f ca="1">IF(OR(AN242="",AF242=""),"",AN242*SFAssumptions!$C$8/AF242)</f>
        <v>2811.8632229671521</v>
      </c>
      <c r="AS242" s="190" t="str">
        <f>IF(OR(AG242="",AH242=""),"No",IF(AND(G242="Horizontal",AH242&gt;='Eff. Standards &amp; Certifications'!$B$21,AG242&lt;='Eff. Standards &amp; Certifications'!$C$21),"Consider",IF(AND(G242="Vertical",AH242&gt;='Eff. Standards &amp; Certifications'!$B$20,AG242&lt;='Eff. Standards &amp; Certifications'!$C$20),"Consider","No")))</f>
        <v>Consider</v>
      </c>
      <c r="AT242" s="190" t="str">
        <f t="shared" si="108"/>
        <v>Residential</v>
      </c>
      <c r="AU242" s="190"/>
      <c r="AV242" s="190" t="str">
        <f t="shared" si="127"/>
        <v>NO</v>
      </c>
      <c r="AW242" s="190" t="str">
        <f t="shared" si="127"/>
        <v>YES</v>
      </c>
      <c r="AX242" s="190" t="str">
        <f t="shared" si="124"/>
        <v>YES</v>
      </c>
      <c r="AY242" s="190" t="str">
        <f t="shared" si="109"/>
        <v>NO</v>
      </c>
      <c r="AZ242" s="190" t="str">
        <f t="shared" si="109"/>
        <v>NO</v>
      </c>
      <c r="BA242" s="190" t="str">
        <f t="shared" si="125"/>
        <v>NO</v>
      </c>
      <c r="BB242" s="190" t="str">
        <f t="shared" si="110"/>
        <v>NO</v>
      </c>
      <c r="BC242" s="190" t="str">
        <f t="shared" si="111"/>
        <v>YES</v>
      </c>
      <c r="BD242" s="190" t="str">
        <f t="shared" si="126"/>
        <v>YES</v>
      </c>
      <c r="BE242" s="190" t="str">
        <f t="shared" si="112"/>
        <v>NO</v>
      </c>
      <c r="BF242" s="190" t="str">
        <f t="shared" si="113"/>
        <v>YES</v>
      </c>
      <c r="BG242" s="190" t="str">
        <f t="shared" si="114"/>
        <v>NO</v>
      </c>
      <c r="BH242" s="88"/>
      <c r="BI242" s="9"/>
      <c r="BJ242" s="694" t="str">
        <f t="shared" si="128"/>
        <v/>
      </c>
      <c r="BK242" s="694">
        <f t="shared" si="128"/>
        <v>2.8628399999999994</v>
      </c>
      <c r="BL242" s="694" t="str">
        <f t="shared" si="129"/>
        <v/>
      </c>
      <c r="BM242" s="694">
        <f t="shared" si="129"/>
        <v>3.08738</v>
      </c>
      <c r="BN242" s="88"/>
      <c r="BO242" s="195"/>
      <c r="BP242" s="195"/>
      <c r="BQ242" s="195"/>
      <c r="BR242" s="195"/>
      <c r="BS242" s="195"/>
      <c r="BT242" s="195"/>
      <c r="BU242" s="195"/>
      <c r="BV242" s="195"/>
      <c r="BW242" s="195"/>
      <c r="BX242" s="195"/>
    </row>
    <row r="243" spans="1:76" s="124" customFormat="1" ht="15">
      <c r="A243" s="187">
        <v>5824</v>
      </c>
      <c r="B243" s="187" t="s">
        <v>576</v>
      </c>
      <c r="C243" s="187" t="s">
        <v>459</v>
      </c>
      <c r="D243" s="187" t="s">
        <v>592</v>
      </c>
      <c r="E243" s="187" t="s">
        <v>385</v>
      </c>
      <c r="F243" s="187" t="s">
        <v>386</v>
      </c>
      <c r="G243" s="187" t="s">
        <v>387</v>
      </c>
      <c r="H243" s="187" t="b">
        <v>0</v>
      </c>
      <c r="I243" s="187" t="s">
        <v>388</v>
      </c>
      <c r="J243" s="187" t="s">
        <v>389</v>
      </c>
      <c r="K243" s="187" t="b">
        <v>1</v>
      </c>
      <c r="L243" s="187">
        <v>4.5</v>
      </c>
      <c r="M243" s="187">
        <v>0.23</v>
      </c>
      <c r="N243" s="187">
        <v>12.04</v>
      </c>
      <c r="O243" s="187">
        <v>2.7</v>
      </c>
      <c r="P243" s="187">
        <v>19.73</v>
      </c>
      <c r="Q243" s="187"/>
      <c r="R243" s="187"/>
      <c r="S243" s="187"/>
      <c r="T243" s="187"/>
      <c r="U243" s="187">
        <v>31.2</v>
      </c>
      <c r="V243" s="187">
        <v>3.42</v>
      </c>
      <c r="W243" s="188">
        <v>41390</v>
      </c>
      <c r="X243" s="691">
        <f t="shared" si="99"/>
        <v>2.9542899999999994</v>
      </c>
      <c r="Y243" s="691">
        <f t="shared" si="107"/>
        <v>2.8825400000000001</v>
      </c>
      <c r="Z243" s="189"/>
      <c r="AA243" s="190">
        <f t="shared" si="115"/>
        <v>2013</v>
      </c>
      <c r="AB243" s="191">
        <f t="shared" si="116"/>
        <v>1.5232086220377827</v>
      </c>
      <c r="AC243" s="192">
        <f>IF(AB243="","",AB243*SFAssumptions!$C$3)</f>
        <v>391.02791195177196</v>
      </c>
      <c r="AD243" s="193">
        <f t="shared" si="117"/>
        <v>12.97143</v>
      </c>
      <c r="AE243" s="194">
        <f>IF(AD243="","",AD243*SFAssumptions!$C$3)</f>
        <v>3329.9386010190001</v>
      </c>
      <c r="AF243" s="192">
        <f t="shared" si="106"/>
        <v>4.5</v>
      </c>
      <c r="AG243" s="192">
        <f t="shared" si="118"/>
        <v>2.8825400000000001</v>
      </c>
      <c r="AH243" s="192">
        <f t="shared" si="119"/>
        <v>2.9542899999999994</v>
      </c>
      <c r="AI243" s="692">
        <f ca="1">IF(AC243="","",AC243*SFAssumptions!$C$8/'SavingsData&amp;Analysis'!AF243)</f>
        <v>328.20339503559501</v>
      </c>
      <c r="AJ243" s="692">
        <f ca="1">IF(OR(AE243="",AF243=""),"",AE243*SFAssumptions!$C$8/AF243)</f>
        <v>2794.9338671488745</v>
      </c>
      <c r="AK243" s="191">
        <f t="shared" si="120"/>
        <v>1.3157894736842106</v>
      </c>
      <c r="AL243" s="692">
        <f>IF(AK243="","",AK243*SFAssumptions!$C$3)</f>
        <v>337.78065789473686</v>
      </c>
      <c r="AM243" s="193">
        <f t="shared" si="121"/>
        <v>12.15</v>
      </c>
      <c r="AN243" s="194">
        <f>IF(AM243="","",AM243*SFAssumptions!$C$3)</f>
        <v>3119.0665950000002</v>
      </c>
      <c r="AO243" s="693">
        <f t="shared" si="122"/>
        <v>2.7</v>
      </c>
      <c r="AP243" s="693">
        <f t="shared" si="123"/>
        <v>3.42</v>
      </c>
      <c r="AQ243" s="692">
        <f ca="1">IF(AL243="","",AL243*SFAssumptions!$C$8/'SavingsData&amp;Analysis'!AF243)</f>
        <v>283.51111342681514</v>
      </c>
      <c r="AR243" s="692">
        <f ca="1">IF(OR(AN243="",AF243=""),"",AN243*SFAssumptions!$C$8/AF243)</f>
        <v>2617.941621383211</v>
      </c>
      <c r="AS243" s="190" t="str">
        <f>IF(OR(AG243="",AH243=""),"No",IF(AND(G243="Horizontal",AH243&gt;='Eff. Standards &amp; Certifications'!$B$21,AG243&lt;='Eff. Standards &amp; Certifications'!$C$21),"Consider",IF(AND(G243="Vertical",AH243&gt;='Eff. Standards &amp; Certifications'!$B$20,AG243&lt;='Eff. Standards &amp; Certifications'!$C$20),"Consider","No")))</f>
        <v>Consider</v>
      </c>
      <c r="AT243" s="190" t="str">
        <f t="shared" si="108"/>
        <v>Residential</v>
      </c>
      <c r="AU243" s="190"/>
      <c r="AV243" s="190" t="str">
        <f t="shared" ref="AV243:AW262" si="130">IF(AND($G243=AV$18,$AS243="Consider",$AT243="Residential",$AH243&gt;=AV$3,$AH243&lt;=AV$4,$AG243&gt;=AV$5,$AG243&lt;=AV$6),"YES","NO")</f>
        <v>NO</v>
      </c>
      <c r="AW243" s="190" t="str">
        <f t="shared" si="130"/>
        <v>YES</v>
      </c>
      <c r="AX243" s="190" t="str">
        <f t="shared" si="124"/>
        <v>YES</v>
      </c>
      <c r="AY243" s="190" t="str">
        <f t="shared" si="109"/>
        <v>NO</v>
      </c>
      <c r="AZ243" s="190" t="str">
        <f t="shared" si="109"/>
        <v>NO</v>
      </c>
      <c r="BA243" s="190" t="str">
        <f t="shared" si="125"/>
        <v>NO</v>
      </c>
      <c r="BB243" s="190" t="str">
        <f t="shared" si="110"/>
        <v>NO</v>
      </c>
      <c r="BC243" s="190" t="str">
        <f t="shared" si="111"/>
        <v>YES</v>
      </c>
      <c r="BD243" s="190" t="str">
        <f t="shared" si="126"/>
        <v>YES</v>
      </c>
      <c r="BE243" s="190" t="str">
        <f t="shared" si="112"/>
        <v>NO</v>
      </c>
      <c r="BF243" s="190" t="str">
        <f t="shared" si="113"/>
        <v>NO</v>
      </c>
      <c r="BG243" s="190" t="str">
        <f t="shared" si="114"/>
        <v>YES</v>
      </c>
      <c r="BH243" s="88"/>
      <c r="BI243" s="9"/>
      <c r="BJ243" s="694" t="str">
        <f t="shared" ref="BJ243:BK262" si="131">IF(AND($G243=BJ$21,$AT243="Residential",$AS243="Consider"),$X243,"")</f>
        <v/>
      </c>
      <c r="BK243" s="694">
        <f t="shared" si="131"/>
        <v>2.9542899999999994</v>
      </c>
      <c r="BL243" s="694" t="str">
        <f t="shared" ref="BL243:BM262" si="132">IF(AND($G243=BL$21,$AT243="Residential",$AS243="Consider"),$Y243,"")</f>
        <v/>
      </c>
      <c r="BM243" s="694">
        <f t="shared" si="132"/>
        <v>2.8825400000000001</v>
      </c>
      <c r="BN243" s="88"/>
      <c r="BO243" s="195"/>
      <c r="BP243" s="195"/>
      <c r="BQ243" s="195"/>
      <c r="BR243" s="195"/>
      <c r="BS243" s="195"/>
      <c r="BT243" s="195"/>
      <c r="BU243" s="195"/>
      <c r="BV243" s="195"/>
      <c r="BW243" s="195"/>
      <c r="BX243" s="195"/>
    </row>
    <row r="244" spans="1:76" s="124" customFormat="1" ht="15">
      <c r="A244" s="187">
        <v>6195</v>
      </c>
      <c r="B244" s="187" t="s">
        <v>576</v>
      </c>
      <c r="C244" s="187" t="s">
        <v>459</v>
      </c>
      <c r="D244" s="187" t="s">
        <v>1338</v>
      </c>
      <c r="E244" s="187" t="s">
        <v>385</v>
      </c>
      <c r="F244" s="187" t="s">
        <v>386</v>
      </c>
      <c r="G244" s="187" t="s">
        <v>387</v>
      </c>
      <c r="H244" s="187" t="b">
        <v>0</v>
      </c>
      <c r="I244" s="187" t="s">
        <v>388</v>
      </c>
      <c r="J244" s="187" t="s">
        <v>389</v>
      </c>
      <c r="K244" s="187" t="b">
        <v>1</v>
      </c>
      <c r="L244" s="187">
        <v>3.6</v>
      </c>
      <c r="M244" s="187">
        <v>0.24</v>
      </c>
      <c r="N244" s="187">
        <v>11.75</v>
      </c>
      <c r="O244" s="187">
        <v>3.3</v>
      </c>
      <c r="P244" s="187">
        <v>14.9</v>
      </c>
      <c r="Q244" s="187"/>
      <c r="R244" s="187"/>
      <c r="S244" s="187"/>
      <c r="T244" s="187"/>
      <c r="U244" s="187">
        <v>32.1</v>
      </c>
      <c r="V244" s="187">
        <v>3.14</v>
      </c>
      <c r="W244" s="188">
        <v>41712</v>
      </c>
      <c r="X244" s="691">
        <f t="shared" ref="X244:X307" si="133">IF($V244="","",IF($G244="Horizontal",V244*slope_FrontLoad_MEF+int_FrontLoad_MEF,IF($G244="Vertical",V244*slope_TopLoad_MEF+int_TopLoad_MEF,"")))</f>
        <v>2.6982299999999997</v>
      </c>
      <c r="Y244" s="691">
        <f t="shared" si="107"/>
        <v>3.4970599999999998</v>
      </c>
      <c r="Z244" s="189"/>
      <c r="AA244" s="190">
        <f t="shared" si="115"/>
        <v>2014</v>
      </c>
      <c r="AB244" s="191">
        <f t="shared" si="116"/>
        <v>1.3342079807874052</v>
      </c>
      <c r="AC244" s="192">
        <f>IF(AB244="","",AB244*SFAssumptions!$C$3)</f>
        <v>342.50893363427139</v>
      </c>
      <c r="AD244" s="193">
        <f t="shared" si="117"/>
        <v>12.589416</v>
      </c>
      <c r="AE244" s="194">
        <f>IF(AD244="","",AD244*SFAssumptions!$C$3)</f>
        <v>3231.8705264328</v>
      </c>
      <c r="AF244" s="192">
        <f t="shared" si="106"/>
        <v>3.6</v>
      </c>
      <c r="AG244" s="192">
        <f t="shared" si="118"/>
        <v>3.4970599999999998</v>
      </c>
      <c r="AH244" s="192">
        <f t="shared" si="119"/>
        <v>2.6982299999999997</v>
      </c>
      <c r="AI244" s="692">
        <f ca="1">IF(AC244="","",AC244*SFAssumptions!$C$8/'SavingsData&amp;Analysis'!AF244)</f>
        <v>359.34965066718104</v>
      </c>
      <c r="AJ244" s="692">
        <f ca="1">IF(OR(AE244="",AF244=""),"",AE244*SFAssumptions!$C$8/AF244)</f>
        <v>3390.777380175693</v>
      </c>
      <c r="AK244" s="191">
        <f t="shared" si="120"/>
        <v>1.1464968152866242</v>
      </c>
      <c r="AL244" s="692">
        <f>IF(AK244="","",AK244*SFAssumptions!$C$3)</f>
        <v>294.32098089171973</v>
      </c>
      <c r="AM244" s="193">
        <f t="shared" si="121"/>
        <v>11.879999999999999</v>
      </c>
      <c r="AN244" s="194">
        <f>IF(AM244="","",AM244*SFAssumptions!$C$3)</f>
        <v>3049.7540039999999</v>
      </c>
      <c r="AO244" s="693">
        <f t="shared" si="122"/>
        <v>3.3</v>
      </c>
      <c r="AP244" s="693">
        <f t="shared" si="123"/>
        <v>3.14</v>
      </c>
      <c r="AQ244" s="692">
        <f ca="1">IF(AL244="","",AL244*SFAssumptions!$C$8/'SavingsData&amp;Analysis'!AF244)</f>
        <v>308.79235921009797</v>
      </c>
      <c r="AR244" s="692">
        <f ca="1">IF(OR(AN244="",AF244=""),"",AN244*SFAssumptions!$C$8/AF244)</f>
        <v>3199.7064261350351</v>
      </c>
      <c r="AS244" s="190" t="str">
        <f>IF(OR(AG244="",AH244=""),"No",IF(AND(G244="Horizontal",AH244&gt;='Eff. Standards &amp; Certifications'!$B$21,AG244&lt;='Eff. Standards &amp; Certifications'!$C$21),"Consider",IF(AND(G244="Vertical",AH244&gt;='Eff. Standards &amp; Certifications'!$B$20,AG244&lt;='Eff. Standards &amp; Certifications'!$C$20),"Consider","No")))</f>
        <v>Consider</v>
      </c>
      <c r="AT244" s="190" t="str">
        <f t="shared" si="108"/>
        <v>Residential</v>
      </c>
      <c r="AU244" s="190"/>
      <c r="AV244" s="190" t="str">
        <f t="shared" si="130"/>
        <v>NO</v>
      </c>
      <c r="AW244" s="190" t="str">
        <f t="shared" si="130"/>
        <v>YES</v>
      </c>
      <c r="AX244" s="190" t="str">
        <f t="shared" si="124"/>
        <v>YES</v>
      </c>
      <c r="AY244" s="190" t="str">
        <f t="shared" si="109"/>
        <v>NO</v>
      </c>
      <c r="AZ244" s="190" t="str">
        <f t="shared" si="109"/>
        <v>NO</v>
      </c>
      <c r="BA244" s="190" t="str">
        <f t="shared" si="125"/>
        <v>NO</v>
      </c>
      <c r="BB244" s="190" t="str">
        <f t="shared" si="110"/>
        <v>NO</v>
      </c>
      <c r="BC244" s="190" t="str">
        <f t="shared" si="111"/>
        <v>YES</v>
      </c>
      <c r="BD244" s="190" t="str">
        <f t="shared" si="126"/>
        <v>YES</v>
      </c>
      <c r="BE244" s="190" t="str">
        <f t="shared" si="112"/>
        <v>YES</v>
      </c>
      <c r="BF244" s="190" t="str">
        <f t="shared" si="113"/>
        <v>NO</v>
      </c>
      <c r="BG244" s="190" t="str">
        <f t="shared" si="114"/>
        <v>NO</v>
      </c>
      <c r="BH244" s="88"/>
      <c r="BI244" s="9"/>
      <c r="BJ244" s="694" t="str">
        <f t="shared" si="131"/>
        <v/>
      </c>
      <c r="BK244" s="694">
        <f t="shared" si="131"/>
        <v>2.6982299999999997</v>
      </c>
      <c r="BL244" s="694" t="str">
        <f t="shared" si="132"/>
        <v/>
      </c>
      <c r="BM244" s="694">
        <f t="shared" si="132"/>
        <v>3.4970599999999998</v>
      </c>
      <c r="BN244" s="88"/>
      <c r="BO244" s="195"/>
      <c r="BP244" s="195"/>
      <c r="BQ244" s="195"/>
      <c r="BR244" s="195"/>
      <c r="BS244" s="195"/>
      <c r="BT244" s="195"/>
      <c r="BU244" s="195"/>
      <c r="BV244" s="195"/>
      <c r="BW244" s="195"/>
      <c r="BX244" s="195"/>
    </row>
    <row r="245" spans="1:76" s="124" customFormat="1" ht="15">
      <c r="A245" s="187">
        <v>6197</v>
      </c>
      <c r="B245" s="187" t="s">
        <v>576</v>
      </c>
      <c r="C245" s="187" t="s">
        <v>459</v>
      </c>
      <c r="D245" s="187" t="s">
        <v>1339</v>
      </c>
      <c r="E245" s="187" t="s">
        <v>385</v>
      </c>
      <c r="F245" s="187" t="s">
        <v>386</v>
      </c>
      <c r="G245" s="187" t="s">
        <v>387</v>
      </c>
      <c r="H245" s="187" t="b">
        <v>0</v>
      </c>
      <c r="I245" s="187" t="s">
        <v>388</v>
      </c>
      <c r="J245" s="187" t="s">
        <v>389</v>
      </c>
      <c r="K245" s="187" t="b">
        <v>1</v>
      </c>
      <c r="L245" s="187">
        <v>4</v>
      </c>
      <c r="M245" s="187">
        <v>0.23</v>
      </c>
      <c r="N245" s="187">
        <v>11.87</v>
      </c>
      <c r="O245" s="187">
        <v>3</v>
      </c>
      <c r="P245" s="187">
        <v>17.02</v>
      </c>
      <c r="Q245" s="187"/>
      <c r="R245" s="187"/>
      <c r="S245" s="187"/>
      <c r="T245" s="187"/>
      <c r="U245" s="187">
        <v>32.5</v>
      </c>
      <c r="V245" s="187">
        <v>3.2</v>
      </c>
      <c r="W245" s="188">
        <v>41712</v>
      </c>
      <c r="X245" s="691">
        <f t="shared" si="133"/>
        <v>2.7530999999999999</v>
      </c>
      <c r="Y245" s="691">
        <f t="shared" si="107"/>
        <v>3.1898</v>
      </c>
      <c r="Z245" s="189"/>
      <c r="AA245" s="190">
        <f t="shared" si="115"/>
        <v>2014</v>
      </c>
      <c r="AB245" s="191">
        <f t="shared" si="116"/>
        <v>1.4529076313973339</v>
      </c>
      <c r="AC245" s="192">
        <f>IF(AB245="","",AB245*SFAssumptions!$C$3)</f>
        <v>372.98071265119319</v>
      </c>
      <c r="AD245" s="193">
        <f t="shared" si="117"/>
        <v>12.7592</v>
      </c>
      <c r="AE245" s="194">
        <f>IF(AD245="","",AD245*SFAssumptions!$C$3)</f>
        <v>3275.4563373599999</v>
      </c>
      <c r="AF245" s="192">
        <f t="shared" si="106"/>
        <v>4</v>
      </c>
      <c r="AG245" s="192">
        <f t="shared" si="118"/>
        <v>3.1898</v>
      </c>
      <c r="AH245" s="192">
        <f t="shared" si="119"/>
        <v>2.7530999999999999</v>
      </c>
      <c r="AI245" s="692">
        <f ca="1">IF(AC245="","",AC245*SFAssumptions!$C$8/'SavingsData&amp;Analysis'!AF245)</f>
        <v>352.18771854262747</v>
      </c>
      <c r="AJ245" s="692">
        <f ca="1">IF(OR(AE245="",AF245=""),"",AE245*SFAssumptions!$C$8/AF245)</f>
        <v>3092.8556236622835</v>
      </c>
      <c r="AK245" s="191">
        <f t="shared" si="120"/>
        <v>1.25</v>
      </c>
      <c r="AL245" s="692">
        <f>IF(AK245="","",AK245*SFAssumptions!$C$3)</f>
        <v>320.89162499999998</v>
      </c>
      <c r="AM245" s="193">
        <f t="shared" si="121"/>
        <v>12</v>
      </c>
      <c r="AN245" s="194">
        <f>IF(AM245="","",AM245*SFAssumptions!$C$3)</f>
        <v>3080.5596</v>
      </c>
      <c r="AO245" s="693">
        <f t="shared" si="122"/>
        <v>3</v>
      </c>
      <c r="AP245" s="693">
        <f t="shared" si="123"/>
        <v>3.2</v>
      </c>
      <c r="AQ245" s="692">
        <f ca="1">IF(AL245="","",AL245*SFAssumptions!$C$8/'SavingsData&amp;Analysis'!AF245)</f>
        <v>303.00250247490862</v>
      </c>
      <c r="AR245" s="692">
        <f ca="1">IF(OR(AN245="",AF245=""),"",AN245*SFAssumptions!$C$8/AF245)</f>
        <v>2908.8240237591231</v>
      </c>
      <c r="AS245" s="190" t="str">
        <f>IF(OR(AG245="",AH245=""),"No",IF(AND(G245="Horizontal",AH245&gt;='Eff. Standards &amp; Certifications'!$B$21,AG245&lt;='Eff. Standards &amp; Certifications'!$C$21),"Consider",IF(AND(G245="Vertical",AH245&gt;='Eff. Standards &amp; Certifications'!$B$20,AG245&lt;='Eff. Standards &amp; Certifications'!$C$20),"Consider","No")))</f>
        <v>Consider</v>
      </c>
      <c r="AT245" s="190" t="str">
        <f t="shared" si="108"/>
        <v>Residential</v>
      </c>
      <c r="AU245" s="190"/>
      <c r="AV245" s="190" t="str">
        <f t="shared" si="130"/>
        <v>NO</v>
      </c>
      <c r="AW245" s="190" t="str">
        <f t="shared" si="130"/>
        <v>YES</v>
      </c>
      <c r="AX245" s="190" t="str">
        <f t="shared" si="124"/>
        <v>YES</v>
      </c>
      <c r="AY245" s="190" t="str">
        <f t="shared" si="109"/>
        <v>NO</v>
      </c>
      <c r="AZ245" s="190" t="str">
        <f t="shared" si="109"/>
        <v>NO</v>
      </c>
      <c r="BA245" s="190" t="str">
        <f t="shared" si="125"/>
        <v>NO</v>
      </c>
      <c r="BB245" s="190" t="str">
        <f t="shared" si="110"/>
        <v>NO</v>
      </c>
      <c r="BC245" s="190" t="str">
        <f t="shared" si="111"/>
        <v>YES</v>
      </c>
      <c r="BD245" s="190" t="str">
        <f t="shared" si="126"/>
        <v>YES</v>
      </c>
      <c r="BE245" s="190" t="str">
        <f t="shared" si="112"/>
        <v>YES</v>
      </c>
      <c r="BF245" s="190" t="str">
        <f t="shared" si="113"/>
        <v>NO</v>
      </c>
      <c r="BG245" s="190" t="str">
        <f t="shared" si="114"/>
        <v>NO</v>
      </c>
      <c r="BH245" s="88"/>
      <c r="BI245" s="9"/>
      <c r="BJ245" s="694" t="str">
        <f t="shared" si="131"/>
        <v/>
      </c>
      <c r="BK245" s="694">
        <f t="shared" si="131"/>
        <v>2.7530999999999999</v>
      </c>
      <c r="BL245" s="694" t="str">
        <f t="shared" si="132"/>
        <v/>
      </c>
      <c r="BM245" s="694">
        <f t="shared" si="132"/>
        <v>3.1898</v>
      </c>
      <c r="BN245" s="88"/>
      <c r="BO245" s="195"/>
      <c r="BP245" s="195"/>
      <c r="BQ245" s="195"/>
      <c r="BR245" s="195"/>
      <c r="BS245" s="195"/>
      <c r="BT245" s="195"/>
      <c r="BU245" s="195"/>
      <c r="BV245" s="195"/>
      <c r="BW245" s="195"/>
      <c r="BX245" s="195"/>
    </row>
    <row r="246" spans="1:76" s="124" customFormat="1" ht="15">
      <c r="A246" s="187">
        <v>663</v>
      </c>
      <c r="B246" s="187" t="s">
        <v>576</v>
      </c>
      <c r="C246" s="187" t="s">
        <v>557</v>
      </c>
      <c r="D246" s="187" t="s">
        <v>593</v>
      </c>
      <c r="E246" s="187" t="s">
        <v>385</v>
      </c>
      <c r="F246" s="187" t="s">
        <v>386</v>
      </c>
      <c r="G246" s="187" t="s">
        <v>387</v>
      </c>
      <c r="H246" s="187" t="b">
        <v>0</v>
      </c>
      <c r="I246" s="187" t="s">
        <v>388</v>
      </c>
      <c r="J246" s="187" t="s">
        <v>389</v>
      </c>
      <c r="K246" s="187" t="b">
        <v>1</v>
      </c>
      <c r="L246" s="187">
        <v>2.2000000000000002</v>
      </c>
      <c r="M246" s="187">
        <v>0.48</v>
      </c>
      <c r="N246" s="187">
        <v>12.72</v>
      </c>
      <c r="O246" s="187">
        <v>5.9</v>
      </c>
      <c r="P246" s="187">
        <v>4.46</v>
      </c>
      <c r="Q246" s="187"/>
      <c r="R246" s="187"/>
      <c r="S246" s="187"/>
      <c r="T246" s="187"/>
      <c r="U246" s="187">
        <v>41.2</v>
      </c>
      <c r="V246" s="187">
        <v>1.8</v>
      </c>
      <c r="W246" s="188">
        <v>40092</v>
      </c>
      <c r="X246" s="691">
        <f t="shared" si="133"/>
        <v>1.4727999999999999</v>
      </c>
      <c r="Y246" s="691">
        <f t="shared" si="107"/>
        <v>6.1599800000000009</v>
      </c>
      <c r="Z246" s="189"/>
      <c r="AA246" s="190">
        <f t="shared" si="115"/>
        <v>2009</v>
      </c>
      <c r="AB246" s="191">
        <f t="shared" si="116"/>
        <v>1.4937533948940795</v>
      </c>
      <c r="AC246" s="192">
        <f>IF(AB246="","",AB246*SFAssumptions!$C$3)</f>
        <v>383.46636338946234</v>
      </c>
      <c r="AD246" s="193">
        <f t="shared" si="117"/>
        <v>13.551956000000002</v>
      </c>
      <c r="AE246" s="194">
        <f>IF(AD246="","",AD246*SFAssumptions!$C$3)</f>
        <v>3478.9673462148007</v>
      </c>
      <c r="AF246" s="192">
        <f t="shared" si="106"/>
        <v>2.2000000000000002</v>
      </c>
      <c r="AG246" s="192">
        <f t="shared" si="118"/>
        <v>6.1599800000000009</v>
      </c>
      <c r="AH246" s="192">
        <f t="shared" si="119"/>
        <v>1.4727999999999999</v>
      </c>
      <c r="AI246" s="692">
        <f ca="1">IF(AC246="","",AC246*SFAssumptions!$C$8/'SavingsData&amp;Analysis'!AF246)</f>
        <v>658.3432970666131</v>
      </c>
      <c r="AJ246" s="692">
        <f ca="1">IF(OR(AE246="",AF246=""),"",AE246*SFAssumptions!$C$8/AF246)</f>
        <v>5972.7659366252419</v>
      </c>
      <c r="AK246" s="191">
        <f t="shared" si="120"/>
        <v>1.2222222222222223</v>
      </c>
      <c r="AL246" s="692">
        <f>IF(AK246="","",AK246*SFAssumptions!$C$3)</f>
        <v>313.76070000000004</v>
      </c>
      <c r="AM246" s="193">
        <f t="shared" si="121"/>
        <v>12.980000000000002</v>
      </c>
      <c r="AN246" s="194">
        <f>IF(AM246="","",AM246*SFAssumptions!$C$3)</f>
        <v>3332.1386340000008</v>
      </c>
      <c r="AO246" s="693">
        <f t="shared" si="122"/>
        <v>5.9</v>
      </c>
      <c r="AP246" s="693">
        <f t="shared" si="123"/>
        <v>1.8</v>
      </c>
      <c r="AQ246" s="692">
        <f ca="1">IF(AL246="","",AL246*SFAssumptions!$C$8/'SavingsData&amp;Analysis'!AF246)</f>
        <v>538.67111551094877</v>
      </c>
      <c r="AR246" s="692">
        <f ca="1">IF(OR(AN246="",AF246=""),"",AN246*SFAssumptions!$C$8/AF246)</f>
        <v>5720.6872467262756</v>
      </c>
      <c r="AS246" s="190" t="str">
        <f>IF(OR(AG246="",AH246=""),"No",IF(AND(G246="Horizontal",AH246&gt;='Eff. Standards &amp; Certifications'!$B$21,AG246&lt;='Eff. Standards &amp; Certifications'!$C$21),"Consider",IF(AND(G246="Vertical",AH246&gt;='Eff. Standards &amp; Certifications'!$B$20,AG246&lt;='Eff. Standards &amp; Certifications'!$C$20),"Consider","No")))</f>
        <v>No</v>
      </c>
      <c r="AT246" s="190" t="str">
        <f t="shared" si="108"/>
        <v>Residential</v>
      </c>
      <c r="AU246" s="190"/>
      <c r="AV246" s="190" t="str">
        <f t="shared" si="130"/>
        <v>NO</v>
      </c>
      <c r="AW246" s="190" t="str">
        <f t="shared" si="130"/>
        <v>NO</v>
      </c>
      <c r="AX246" s="190" t="str">
        <f t="shared" si="124"/>
        <v>NO</v>
      </c>
      <c r="AY246" s="190" t="str">
        <f t="shared" si="109"/>
        <v>NO</v>
      </c>
      <c r="AZ246" s="190" t="str">
        <f t="shared" si="109"/>
        <v>NO</v>
      </c>
      <c r="BA246" s="190" t="str">
        <f t="shared" si="125"/>
        <v>NO</v>
      </c>
      <c r="BB246" s="190" t="str">
        <f t="shared" si="110"/>
        <v>NO</v>
      </c>
      <c r="BC246" s="190" t="str">
        <f t="shared" si="111"/>
        <v>NO</v>
      </c>
      <c r="BD246" s="190" t="str">
        <f t="shared" si="126"/>
        <v>NO</v>
      </c>
      <c r="BE246" s="190" t="str">
        <f t="shared" si="112"/>
        <v>NO</v>
      </c>
      <c r="BF246" s="190" t="str">
        <f t="shared" si="113"/>
        <v>NO</v>
      </c>
      <c r="BG246" s="190" t="str">
        <f t="shared" si="114"/>
        <v>NO</v>
      </c>
      <c r="BH246" s="88"/>
      <c r="BI246" s="9"/>
      <c r="BJ246" s="694" t="str">
        <f t="shared" si="131"/>
        <v/>
      </c>
      <c r="BK246" s="694" t="str">
        <f t="shared" si="131"/>
        <v/>
      </c>
      <c r="BL246" s="694" t="str">
        <f t="shared" si="132"/>
        <v/>
      </c>
      <c r="BM246" s="694" t="str">
        <f t="shared" si="132"/>
        <v/>
      </c>
      <c r="BN246" s="88"/>
      <c r="BO246" s="195"/>
      <c r="BP246" s="195"/>
      <c r="BQ246" s="195"/>
      <c r="BR246" s="195"/>
      <c r="BS246" s="195"/>
      <c r="BT246" s="195"/>
      <c r="BU246" s="195"/>
      <c r="BV246" s="195"/>
      <c r="BW246" s="195"/>
      <c r="BX246" s="195"/>
    </row>
    <row r="247" spans="1:76" s="124" customFormat="1" ht="15">
      <c r="A247" s="187">
        <v>2920</v>
      </c>
      <c r="B247" s="187" t="s">
        <v>576</v>
      </c>
      <c r="C247" s="187" t="s">
        <v>557</v>
      </c>
      <c r="D247" s="187" t="s">
        <v>594</v>
      </c>
      <c r="E247" s="187" t="s">
        <v>385</v>
      </c>
      <c r="F247" s="187" t="s">
        <v>386</v>
      </c>
      <c r="G247" s="187" t="s">
        <v>387</v>
      </c>
      <c r="H247" s="187" t="b">
        <v>0</v>
      </c>
      <c r="I247" s="187" t="s">
        <v>388</v>
      </c>
      <c r="J247" s="187" t="s">
        <v>389</v>
      </c>
      <c r="K247" s="187" t="b">
        <v>1</v>
      </c>
      <c r="L247" s="187">
        <v>2.8</v>
      </c>
      <c r="M247" s="187">
        <v>0.55000000000000004</v>
      </c>
      <c r="N247" s="187">
        <v>13.02</v>
      </c>
      <c r="O247" s="187">
        <v>4.7</v>
      </c>
      <c r="P247" s="187">
        <v>5.16</v>
      </c>
      <c r="Q247" s="187"/>
      <c r="R247" s="187"/>
      <c r="S247" s="187"/>
      <c r="T247" s="187"/>
      <c r="U247" s="187">
        <v>46</v>
      </c>
      <c r="V247" s="187">
        <v>1.81</v>
      </c>
      <c r="W247" s="188">
        <v>39356</v>
      </c>
      <c r="X247" s="691">
        <f t="shared" si="133"/>
        <v>1.4819450000000001</v>
      </c>
      <c r="Y247" s="691">
        <f t="shared" si="107"/>
        <v>4.9309400000000005</v>
      </c>
      <c r="Z247" s="189"/>
      <c r="AA247" s="190">
        <f t="shared" si="115"/>
        <v>2007</v>
      </c>
      <c r="AB247" s="191">
        <f t="shared" si="116"/>
        <v>1.8894088512056788</v>
      </c>
      <c r="AC247" s="192">
        <f>IF(AB247="","",AB247*SFAssumptions!$C$3)</f>
        <v>485.03638124221879</v>
      </c>
      <c r="AD247" s="193">
        <f t="shared" si="117"/>
        <v>13.806632</v>
      </c>
      <c r="AE247" s="194">
        <f>IF(AD247="","",AD247*SFAssumptions!$C$3)</f>
        <v>3544.3460626056003</v>
      </c>
      <c r="AF247" s="192">
        <f t="shared" si="106"/>
        <v>2.8</v>
      </c>
      <c r="AG247" s="192">
        <f t="shared" si="118"/>
        <v>4.9309400000000005</v>
      </c>
      <c r="AH247" s="192">
        <f t="shared" si="119"/>
        <v>1.4819450000000001</v>
      </c>
      <c r="AI247" s="692">
        <f ca="1">IF(AC247="","",AC247*SFAssumptions!$C$8/'SavingsData&amp;Analysis'!AF247)</f>
        <v>654.28069727264347</v>
      </c>
      <c r="AJ247" s="692">
        <f ca="1">IF(OR(AE247="",AF247=""),"",AE247*SFAssumptions!$C$8/AF247)</f>
        <v>4781.078910571604</v>
      </c>
      <c r="AK247" s="191">
        <f t="shared" si="120"/>
        <v>1.5469613259668507</v>
      </c>
      <c r="AL247" s="692">
        <f>IF(AK247="","",AK247*SFAssumptions!$C$3)</f>
        <v>397.12554696132594</v>
      </c>
      <c r="AM247" s="193">
        <f t="shared" si="121"/>
        <v>13.16</v>
      </c>
      <c r="AN247" s="194">
        <f>IF(AM247="","",AM247*SFAssumptions!$C$3)</f>
        <v>3378.3470280000001</v>
      </c>
      <c r="AO247" s="693">
        <f t="shared" si="122"/>
        <v>4.7</v>
      </c>
      <c r="AP247" s="693">
        <f t="shared" si="123"/>
        <v>1.81</v>
      </c>
      <c r="AQ247" s="692">
        <f ca="1">IF(AL247="","",AL247*SFAssumptions!$C$8/'SavingsData&amp;Analysis'!AF247)</f>
        <v>535.69503199983842</v>
      </c>
      <c r="AR247" s="692">
        <f ca="1">IF(OR(AN247="",AF247=""),"",AN247*SFAssumptions!$C$8/AF247)</f>
        <v>4557.1576372226264</v>
      </c>
      <c r="AS247" s="190" t="str">
        <f>IF(OR(AG247="",AH247=""),"No",IF(AND(G247="Horizontal",AH247&gt;='Eff. Standards &amp; Certifications'!$B$21,AG247&lt;='Eff. Standards &amp; Certifications'!$C$21),"Consider",IF(AND(G247="Vertical",AH247&gt;='Eff. Standards &amp; Certifications'!$B$20,AG247&lt;='Eff. Standards &amp; Certifications'!$C$20),"Consider","No")))</f>
        <v>No</v>
      </c>
      <c r="AT247" s="190" t="str">
        <f t="shared" si="108"/>
        <v>Residential</v>
      </c>
      <c r="AU247" s="190"/>
      <c r="AV247" s="190" t="str">
        <f t="shared" si="130"/>
        <v>NO</v>
      </c>
      <c r="AW247" s="190" t="str">
        <f t="shared" si="130"/>
        <v>NO</v>
      </c>
      <c r="AX247" s="190" t="str">
        <f t="shared" si="124"/>
        <v>NO</v>
      </c>
      <c r="AY247" s="190" t="str">
        <f t="shared" si="109"/>
        <v>NO</v>
      </c>
      <c r="AZ247" s="190" t="str">
        <f t="shared" si="109"/>
        <v>NO</v>
      </c>
      <c r="BA247" s="190" t="str">
        <f t="shared" si="125"/>
        <v>NO</v>
      </c>
      <c r="BB247" s="190" t="str">
        <f t="shared" si="110"/>
        <v>NO</v>
      </c>
      <c r="BC247" s="190" t="str">
        <f t="shared" si="111"/>
        <v>NO</v>
      </c>
      <c r="BD247" s="190" t="str">
        <f t="shared" si="126"/>
        <v>NO</v>
      </c>
      <c r="BE247" s="190" t="str">
        <f t="shared" si="112"/>
        <v>NO</v>
      </c>
      <c r="BF247" s="190" t="str">
        <f t="shared" si="113"/>
        <v>NO</v>
      </c>
      <c r="BG247" s="190" t="str">
        <f t="shared" si="114"/>
        <v>NO</v>
      </c>
      <c r="BH247" s="88"/>
      <c r="BI247" s="9"/>
      <c r="BJ247" s="694" t="str">
        <f t="shared" si="131"/>
        <v/>
      </c>
      <c r="BK247" s="694" t="str">
        <f t="shared" si="131"/>
        <v/>
      </c>
      <c r="BL247" s="694" t="str">
        <f t="shared" si="132"/>
        <v/>
      </c>
      <c r="BM247" s="694" t="str">
        <f t="shared" si="132"/>
        <v/>
      </c>
      <c r="BN247" s="88"/>
      <c r="BO247" s="195"/>
      <c r="BP247" s="195"/>
      <c r="BQ247" s="195"/>
      <c r="BR247" s="195"/>
      <c r="BS247" s="195"/>
      <c r="BT247" s="195"/>
      <c r="BU247" s="195"/>
      <c r="BV247" s="195"/>
      <c r="BW247" s="195"/>
      <c r="BX247" s="195"/>
    </row>
    <row r="248" spans="1:76" s="124" customFormat="1" ht="15">
      <c r="A248" s="187">
        <v>1033</v>
      </c>
      <c r="B248" s="187" t="s">
        <v>576</v>
      </c>
      <c r="C248" s="187" t="s">
        <v>557</v>
      </c>
      <c r="D248" s="187" t="s">
        <v>595</v>
      </c>
      <c r="E248" s="187" t="s">
        <v>385</v>
      </c>
      <c r="F248" s="187" t="s">
        <v>386</v>
      </c>
      <c r="G248" s="187" t="s">
        <v>387</v>
      </c>
      <c r="H248" s="187" t="b">
        <v>0</v>
      </c>
      <c r="I248" s="187" t="s">
        <v>388</v>
      </c>
      <c r="J248" s="187" t="s">
        <v>389</v>
      </c>
      <c r="K248" s="187" t="b">
        <v>1</v>
      </c>
      <c r="L248" s="187">
        <v>3.3</v>
      </c>
      <c r="M248" s="187">
        <v>0.64</v>
      </c>
      <c r="N248" s="187"/>
      <c r="O248" s="187"/>
      <c r="P248" s="187">
        <v>5.19</v>
      </c>
      <c r="Q248" s="187"/>
      <c r="R248" s="187"/>
      <c r="S248" s="187"/>
      <c r="T248" s="187"/>
      <c r="U248" s="187">
        <v>43.3</v>
      </c>
      <c r="V248" s="187">
        <v>1.83</v>
      </c>
      <c r="W248" s="188">
        <v>38401</v>
      </c>
      <c r="X248" s="691">
        <f t="shared" si="133"/>
        <v>1.500235</v>
      </c>
      <c r="Y248" s="691" t="str">
        <f t="shared" si="107"/>
        <v/>
      </c>
      <c r="Z248" s="189"/>
      <c r="AA248" s="190">
        <f t="shared" si="115"/>
        <v>2005</v>
      </c>
      <c r="AB248" s="191">
        <f t="shared" si="116"/>
        <v>2.1996553873226525</v>
      </c>
      <c r="AC248" s="192">
        <f>IF(AB248="","",AB248*SFAssumptions!$C$3)</f>
        <v>564.68079334237632</v>
      </c>
      <c r="AD248" s="193" t="str">
        <f t="shared" si="117"/>
        <v/>
      </c>
      <c r="AE248" s="194" t="str">
        <f>IF(AD248="","",AD248*SFAssumptions!$C$3)</f>
        <v/>
      </c>
      <c r="AF248" s="192">
        <f t="shared" si="106"/>
        <v>3.3</v>
      </c>
      <c r="AG248" s="192" t="str">
        <f t="shared" si="118"/>
        <v/>
      </c>
      <c r="AH248" s="192">
        <f t="shared" si="119"/>
        <v>1.500235</v>
      </c>
      <c r="AI248" s="692">
        <f ca="1">IF(AC248="","",AC248*SFAssumptions!$C$8/'SavingsData&amp;Analysis'!AF248)</f>
        <v>646.30408430659702</v>
      </c>
      <c r="AJ248" s="692" t="str">
        <f>IF(OR(AE248="",AF248=""),"",AE248*SFAssumptions!$C$8/AF248)</f>
        <v/>
      </c>
      <c r="AK248" s="191">
        <f t="shared" si="120"/>
        <v>1.8032786885245899</v>
      </c>
      <c r="AL248" s="692">
        <f>IF(AK248="","",AK248*SFAssumptions!$C$3)</f>
        <v>462.92562295081962</v>
      </c>
      <c r="AM248" s="193" t="str">
        <f t="shared" si="121"/>
        <v/>
      </c>
      <c r="AN248" s="194" t="str">
        <f>IF(AM248="","",AM248*SFAssumptions!$C$3)</f>
        <v/>
      </c>
      <c r="AO248" s="693" t="str">
        <f t="shared" si="122"/>
        <v/>
      </c>
      <c r="AP248" s="693">
        <f t="shared" si="123"/>
        <v>1.83</v>
      </c>
      <c r="AQ248" s="692">
        <f ca="1">IF(AL248="","",AL248*SFAssumptions!$C$8/'SavingsData&amp;Analysis'!AF248)</f>
        <v>529.84044148617909</v>
      </c>
      <c r="AR248" s="692" t="str">
        <f>IF(OR(AN248="",AF248=""),"",AN248*SFAssumptions!$C$8/AF248)</f>
        <v/>
      </c>
      <c r="AS248" s="190" t="str">
        <f>IF(OR(AG248="",AH248=""),"No",IF(AND(G248="Horizontal",AH248&gt;='Eff. Standards &amp; Certifications'!$B$21,AG248&lt;='Eff. Standards &amp; Certifications'!$C$21),"Consider",IF(AND(G248="Vertical",AH248&gt;='Eff. Standards &amp; Certifications'!$B$20,AG248&lt;='Eff. Standards &amp; Certifications'!$C$20),"Consider","No")))</f>
        <v>No</v>
      </c>
      <c r="AT248" s="190" t="str">
        <f t="shared" si="108"/>
        <v>Residential</v>
      </c>
      <c r="AU248" s="190"/>
      <c r="AV248" s="190" t="str">
        <f t="shared" si="130"/>
        <v>NO</v>
      </c>
      <c r="AW248" s="190" t="str">
        <f t="shared" si="130"/>
        <v>NO</v>
      </c>
      <c r="AX248" s="190" t="str">
        <f t="shared" si="124"/>
        <v>NO</v>
      </c>
      <c r="AY248" s="190" t="str">
        <f t="shared" si="109"/>
        <v>NO</v>
      </c>
      <c r="AZ248" s="190" t="str">
        <f t="shared" si="109"/>
        <v>NO</v>
      </c>
      <c r="BA248" s="190" t="str">
        <f t="shared" si="125"/>
        <v>NO</v>
      </c>
      <c r="BB248" s="190" t="str">
        <f t="shared" si="110"/>
        <v>NO</v>
      </c>
      <c r="BC248" s="190" t="str">
        <f t="shared" si="111"/>
        <v>NO</v>
      </c>
      <c r="BD248" s="190" t="str">
        <f t="shared" si="126"/>
        <v>NO</v>
      </c>
      <c r="BE248" s="190" t="str">
        <f t="shared" si="112"/>
        <v>NO</v>
      </c>
      <c r="BF248" s="190" t="str">
        <f t="shared" si="113"/>
        <v>NO</v>
      </c>
      <c r="BG248" s="190" t="str">
        <f t="shared" si="114"/>
        <v>NO</v>
      </c>
      <c r="BH248" s="88"/>
      <c r="BI248" s="9"/>
      <c r="BJ248" s="694" t="str">
        <f t="shared" si="131"/>
        <v/>
      </c>
      <c r="BK248" s="694" t="str">
        <f t="shared" si="131"/>
        <v/>
      </c>
      <c r="BL248" s="694" t="str">
        <f t="shared" si="132"/>
        <v/>
      </c>
      <c r="BM248" s="694" t="str">
        <f t="shared" si="132"/>
        <v/>
      </c>
      <c r="BN248" s="88"/>
      <c r="BO248" s="195"/>
      <c r="BP248" s="195"/>
      <c r="BQ248" s="195"/>
      <c r="BR248" s="195"/>
      <c r="BS248" s="195"/>
      <c r="BT248" s="195"/>
      <c r="BU248" s="195"/>
      <c r="BV248" s="195"/>
      <c r="BW248" s="195"/>
      <c r="BX248" s="195"/>
    </row>
    <row r="249" spans="1:76" s="124" customFormat="1" ht="15">
      <c r="A249" s="187">
        <v>1032</v>
      </c>
      <c r="B249" s="187" t="s">
        <v>576</v>
      </c>
      <c r="C249" s="187" t="s">
        <v>557</v>
      </c>
      <c r="D249" s="187" t="s">
        <v>596</v>
      </c>
      <c r="E249" s="187" t="s">
        <v>385</v>
      </c>
      <c r="F249" s="187" t="s">
        <v>386</v>
      </c>
      <c r="G249" s="187" t="s">
        <v>387</v>
      </c>
      <c r="H249" s="187" t="b">
        <v>0</v>
      </c>
      <c r="I249" s="187" t="s">
        <v>388</v>
      </c>
      <c r="J249" s="187" t="s">
        <v>389</v>
      </c>
      <c r="K249" s="187" t="b">
        <v>1</v>
      </c>
      <c r="L249" s="187">
        <v>3.3</v>
      </c>
      <c r="M249" s="187">
        <v>0.68</v>
      </c>
      <c r="N249" s="187">
        <v>0</v>
      </c>
      <c r="O249" s="187"/>
      <c r="P249" s="187">
        <v>4.87</v>
      </c>
      <c r="Q249" s="187"/>
      <c r="R249" s="187"/>
      <c r="S249" s="187"/>
      <c r="T249" s="187"/>
      <c r="U249" s="187">
        <v>44.2</v>
      </c>
      <c r="V249" s="187">
        <v>1.84</v>
      </c>
      <c r="W249" s="188">
        <v>38342</v>
      </c>
      <c r="X249" s="691">
        <f t="shared" si="133"/>
        <v>1.5093799999999999</v>
      </c>
      <c r="Y249" s="691" t="str">
        <f t="shared" si="107"/>
        <v/>
      </c>
      <c r="Z249" s="189"/>
      <c r="AA249" s="190">
        <f t="shared" si="115"/>
        <v>2004</v>
      </c>
      <c r="AB249" s="191">
        <f t="shared" si="116"/>
        <v>2.186328161231764</v>
      </c>
      <c r="AC249" s="192">
        <f>IF(AB249="","",AB249*SFAssumptions!$C$3)</f>
        <v>561.25951715273823</v>
      </c>
      <c r="AD249" s="193" t="str">
        <f t="shared" si="117"/>
        <v/>
      </c>
      <c r="AE249" s="194" t="str">
        <f>IF(AD249="","",AD249*SFAssumptions!$C$3)</f>
        <v/>
      </c>
      <c r="AF249" s="192">
        <f t="shared" si="106"/>
        <v>3.3</v>
      </c>
      <c r="AG249" s="192" t="str">
        <f t="shared" si="118"/>
        <v/>
      </c>
      <c r="AH249" s="192">
        <f t="shared" si="119"/>
        <v>1.5093799999999999</v>
      </c>
      <c r="AI249" s="692">
        <f ca="1">IF(AC249="","",AC249*SFAssumptions!$C$8/'SavingsData&amp;Analysis'!AF249)</f>
        <v>642.38827062748123</v>
      </c>
      <c r="AJ249" s="692" t="str">
        <f>IF(OR(AE249="",AF249=""),"",AE249*SFAssumptions!$C$8/AF249)</f>
        <v/>
      </c>
      <c r="AK249" s="191">
        <f t="shared" si="120"/>
        <v>1.793478260869565</v>
      </c>
      <c r="AL249" s="692">
        <f>IF(AK249="","",AK249*SFAssumptions!$C$3)</f>
        <v>460.40972282608692</v>
      </c>
      <c r="AM249" s="193" t="str">
        <f t="shared" si="121"/>
        <v/>
      </c>
      <c r="AN249" s="194" t="str">
        <f>IF(AM249="","",AM249*SFAssumptions!$C$3)</f>
        <v/>
      </c>
      <c r="AO249" s="693" t="str">
        <f t="shared" si="122"/>
        <v/>
      </c>
      <c r="AP249" s="693">
        <f t="shared" si="123"/>
        <v>1.84</v>
      </c>
      <c r="AQ249" s="692">
        <f ca="1">IF(AL249="","",AL249*SFAssumptions!$C$8/'SavingsData&amp;Analysis'!AF249)</f>
        <v>526.96087386940633</v>
      </c>
      <c r="AR249" s="692" t="str">
        <f>IF(OR(AN249="",AF249=""),"",AN249*SFAssumptions!$C$8/AF249)</f>
        <v/>
      </c>
      <c r="AS249" s="190" t="str">
        <f>IF(OR(AG249="",AH249=""),"No",IF(AND(G249="Horizontal",AH249&gt;='Eff. Standards &amp; Certifications'!$B$21,AG249&lt;='Eff. Standards &amp; Certifications'!$C$21),"Consider",IF(AND(G249="Vertical",AH249&gt;='Eff. Standards &amp; Certifications'!$B$20,AG249&lt;='Eff. Standards &amp; Certifications'!$C$20),"Consider","No")))</f>
        <v>No</v>
      </c>
      <c r="AT249" s="190" t="str">
        <f t="shared" si="108"/>
        <v>Residential</v>
      </c>
      <c r="AU249" s="190"/>
      <c r="AV249" s="190" t="str">
        <f t="shared" si="130"/>
        <v>NO</v>
      </c>
      <c r="AW249" s="190" t="str">
        <f t="shared" si="130"/>
        <v>NO</v>
      </c>
      <c r="AX249" s="190" t="str">
        <f t="shared" si="124"/>
        <v>NO</v>
      </c>
      <c r="AY249" s="190" t="str">
        <f t="shared" si="109"/>
        <v>NO</v>
      </c>
      <c r="AZ249" s="190" t="str">
        <f t="shared" si="109"/>
        <v>NO</v>
      </c>
      <c r="BA249" s="190" t="str">
        <f t="shared" si="125"/>
        <v>NO</v>
      </c>
      <c r="BB249" s="190" t="str">
        <f t="shared" si="110"/>
        <v>NO</v>
      </c>
      <c r="BC249" s="190" t="str">
        <f t="shared" si="111"/>
        <v>NO</v>
      </c>
      <c r="BD249" s="190" t="str">
        <f t="shared" si="126"/>
        <v>NO</v>
      </c>
      <c r="BE249" s="190" t="str">
        <f t="shared" si="112"/>
        <v>NO</v>
      </c>
      <c r="BF249" s="190" t="str">
        <f t="shared" si="113"/>
        <v>NO</v>
      </c>
      <c r="BG249" s="190" t="str">
        <f t="shared" si="114"/>
        <v>NO</v>
      </c>
      <c r="BH249" s="88"/>
      <c r="BI249" s="9"/>
      <c r="BJ249" s="694" t="str">
        <f t="shared" si="131"/>
        <v/>
      </c>
      <c r="BK249" s="694" t="str">
        <f t="shared" si="131"/>
        <v/>
      </c>
      <c r="BL249" s="694" t="str">
        <f t="shared" si="132"/>
        <v/>
      </c>
      <c r="BM249" s="694" t="str">
        <f t="shared" si="132"/>
        <v/>
      </c>
      <c r="BN249" s="88"/>
      <c r="BO249" s="195"/>
      <c r="BP249" s="195"/>
      <c r="BQ249" s="195"/>
      <c r="BR249" s="195"/>
      <c r="BS249" s="195"/>
      <c r="BT249" s="195"/>
      <c r="BU249" s="195"/>
      <c r="BV249" s="195"/>
      <c r="BW249" s="195"/>
      <c r="BX249" s="195"/>
    </row>
    <row r="250" spans="1:76" s="124" customFormat="1" ht="15">
      <c r="A250" s="187">
        <v>5378</v>
      </c>
      <c r="B250" s="187" t="s">
        <v>576</v>
      </c>
      <c r="C250" s="187" t="s">
        <v>597</v>
      </c>
      <c r="D250" s="187" t="s">
        <v>598</v>
      </c>
      <c r="E250" s="187" t="s">
        <v>392</v>
      </c>
      <c r="F250" s="187" t="s">
        <v>386</v>
      </c>
      <c r="G250" s="187" t="s">
        <v>393</v>
      </c>
      <c r="H250" s="187" t="b">
        <v>0</v>
      </c>
      <c r="I250" s="187" t="s">
        <v>388</v>
      </c>
      <c r="J250" s="187" t="s">
        <v>389</v>
      </c>
      <c r="K250" s="187" t="b">
        <v>1</v>
      </c>
      <c r="L250" s="187">
        <v>4.0999999999999996</v>
      </c>
      <c r="M250" s="187">
        <v>0.41</v>
      </c>
      <c r="N250" s="187">
        <v>15.26</v>
      </c>
      <c r="O250" s="187">
        <v>3.7</v>
      </c>
      <c r="P250" s="187">
        <v>9.9499999999999993</v>
      </c>
      <c r="Q250" s="187"/>
      <c r="R250" s="187"/>
      <c r="S250" s="187"/>
      <c r="T250" s="187"/>
      <c r="U250" s="187">
        <v>38.9</v>
      </c>
      <c r="V250" s="187">
        <v>2.41</v>
      </c>
      <c r="W250" s="188">
        <v>41010</v>
      </c>
      <c r="X250" s="691">
        <f t="shared" si="133"/>
        <v>1.9695999999999998</v>
      </c>
      <c r="Y250" s="691">
        <f t="shared" si="107"/>
        <v>4.18703</v>
      </c>
      <c r="Z250" s="189"/>
      <c r="AA250" s="190">
        <f t="shared" si="115"/>
        <v>2012</v>
      </c>
      <c r="AB250" s="191">
        <f t="shared" si="116"/>
        <v>2.0816409423233142</v>
      </c>
      <c r="AC250" s="192">
        <f>IF(AB250="","",AB250*SFAssumptions!$C$3)</f>
        <v>534.38491571892769</v>
      </c>
      <c r="AD250" s="193">
        <f t="shared" si="117"/>
        <v>17.166822999999997</v>
      </c>
      <c r="AE250" s="194">
        <f>IF(AD250="","",AD250*SFAssumptions!$C$3)</f>
        <v>4406.9517828458993</v>
      </c>
      <c r="AF250" s="192">
        <f t="shared" si="106"/>
        <v>4.0999999999999996</v>
      </c>
      <c r="AG250" s="192">
        <f t="shared" si="118"/>
        <v>4.18703</v>
      </c>
      <c r="AH250" s="192">
        <f t="shared" si="119"/>
        <v>1.9695999999999998</v>
      </c>
      <c r="AI250" s="692">
        <f ca="1">IF(AC250="","",AC250*SFAssumptions!$C$8/'SavingsData&amp;Analysis'!AF250)</f>
        <v>492.28676275371026</v>
      </c>
      <c r="AJ250" s="692">
        <f ca="1">IF(OR(AE250="",AF250=""),"",AE250*SFAssumptions!$C$8/AF250)</f>
        <v>4059.7778174000528</v>
      </c>
      <c r="AK250" s="191">
        <f t="shared" si="120"/>
        <v>1.701244813278008</v>
      </c>
      <c r="AL250" s="692">
        <f>IF(AK250="","",AK250*SFAssumptions!$C$3)</f>
        <v>436.73217012448129</v>
      </c>
      <c r="AM250" s="193">
        <f t="shared" si="121"/>
        <v>15.17</v>
      </c>
      <c r="AN250" s="194">
        <f>IF(AM250="","",AM250*SFAssumptions!$C$3)</f>
        <v>3894.3407609999999</v>
      </c>
      <c r="AO250" s="693">
        <f t="shared" si="122"/>
        <v>3.7</v>
      </c>
      <c r="AP250" s="693">
        <f t="shared" si="123"/>
        <v>2.41</v>
      </c>
      <c r="AQ250" s="692">
        <f ca="1">IF(AL250="","",AL250*SFAssumptions!$C$8/'SavingsData&amp;Analysis'!AF250)</f>
        <v>402.3269742405426</v>
      </c>
      <c r="AR250" s="692">
        <f ca="1">IF(OR(AN250="",AF250=""),"",AN250*SFAssumptions!$C$8/AF250)</f>
        <v>3587.5496293029187</v>
      </c>
      <c r="AS250" s="190" t="str">
        <f>IF(OR(AG250="",AH250=""),"No",IF(AND(G250="Horizontal",AH250&gt;='Eff. Standards &amp; Certifications'!$B$21,AG250&lt;='Eff. Standards &amp; Certifications'!$C$21),"Consider",IF(AND(G250="Vertical",AH250&gt;='Eff. Standards &amp; Certifications'!$B$20,AG250&lt;='Eff. Standards &amp; Certifications'!$C$20),"Consider","No")))</f>
        <v>Consider</v>
      </c>
      <c r="AT250" s="190" t="str">
        <f t="shared" si="108"/>
        <v>Residential</v>
      </c>
      <c r="AU250" s="190"/>
      <c r="AV250" s="190" t="str">
        <f t="shared" si="130"/>
        <v>YES</v>
      </c>
      <c r="AW250" s="190" t="str">
        <f t="shared" si="130"/>
        <v>NO</v>
      </c>
      <c r="AX250" s="190" t="str">
        <f t="shared" si="124"/>
        <v>YES</v>
      </c>
      <c r="AY250" s="190" t="str">
        <f t="shared" si="109"/>
        <v>YES</v>
      </c>
      <c r="AZ250" s="190" t="str">
        <f t="shared" si="109"/>
        <v>NO</v>
      </c>
      <c r="BA250" s="190" t="str">
        <f t="shared" si="125"/>
        <v>YES</v>
      </c>
      <c r="BB250" s="190" t="str">
        <f t="shared" si="110"/>
        <v>NO</v>
      </c>
      <c r="BC250" s="190" t="str">
        <f t="shared" si="111"/>
        <v>NO</v>
      </c>
      <c r="BD250" s="190" t="str">
        <f t="shared" si="126"/>
        <v>NO</v>
      </c>
      <c r="BE250" s="190" t="str">
        <f t="shared" si="112"/>
        <v>NO</v>
      </c>
      <c r="BF250" s="190" t="str">
        <f t="shared" si="113"/>
        <v>NO</v>
      </c>
      <c r="BG250" s="190" t="str">
        <f t="shared" si="114"/>
        <v>NO</v>
      </c>
      <c r="BH250" s="88"/>
      <c r="BI250" s="9"/>
      <c r="BJ250" s="694">
        <f t="shared" si="131"/>
        <v>1.9695999999999998</v>
      </c>
      <c r="BK250" s="694" t="str">
        <f t="shared" si="131"/>
        <v/>
      </c>
      <c r="BL250" s="694">
        <f t="shared" si="132"/>
        <v>4.18703</v>
      </c>
      <c r="BM250" s="694" t="str">
        <f t="shared" si="132"/>
        <v/>
      </c>
      <c r="BN250" s="88"/>
      <c r="BO250" s="195"/>
      <c r="BP250" s="195"/>
      <c r="BQ250" s="195"/>
      <c r="BR250" s="195"/>
      <c r="BS250" s="195"/>
      <c r="BT250" s="195"/>
      <c r="BU250" s="195"/>
      <c r="BV250" s="195"/>
      <c r="BW250" s="195"/>
      <c r="BX250" s="195"/>
    </row>
    <row r="251" spans="1:76" s="124" customFormat="1" ht="15">
      <c r="A251" s="187">
        <v>5427</v>
      </c>
      <c r="B251" s="187" t="s">
        <v>576</v>
      </c>
      <c r="C251" s="187" t="s">
        <v>597</v>
      </c>
      <c r="D251" s="187" t="s">
        <v>599</v>
      </c>
      <c r="E251" s="187" t="s">
        <v>392</v>
      </c>
      <c r="F251" s="187" t="s">
        <v>386</v>
      </c>
      <c r="G251" s="187" t="s">
        <v>393</v>
      </c>
      <c r="H251" s="187" t="b">
        <v>0</v>
      </c>
      <c r="I251" s="187" t="s">
        <v>388</v>
      </c>
      <c r="J251" s="187" t="s">
        <v>389</v>
      </c>
      <c r="K251" s="187" t="b">
        <v>1</v>
      </c>
      <c r="L251" s="187">
        <v>4.7</v>
      </c>
      <c r="M251" s="187">
        <v>0.51</v>
      </c>
      <c r="N251" s="187">
        <v>17.66</v>
      </c>
      <c r="O251" s="187">
        <v>3.8</v>
      </c>
      <c r="P251" s="187">
        <v>9.17</v>
      </c>
      <c r="Q251" s="187"/>
      <c r="R251" s="187"/>
      <c r="S251" s="187"/>
      <c r="T251" s="187"/>
      <c r="U251" s="187">
        <v>35.299999999999997</v>
      </c>
      <c r="V251" s="187">
        <v>2.57</v>
      </c>
      <c r="W251" s="188">
        <v>41078</v>
      </c>
      <c r="X251" s="691">
        <f t="shared" si="133"/>
        <v>2.1279999999999997</v>
      </c>
      <c r="Y251" s="691">
        <f t="shared" si="107"/>
        <v>4.28592</v>
      </c>
      <c r="Z251" s="189"/>
      <c r="AA251" s="190">
        <f t="shared" si="115"/>
        <v>2012</v>
      </c>
      <c r="AB251" s="191">
        <f t="shared" si="116"/>
        <v>2.2086466165413539</v>
      </c>
      <c r="AC251" s="192">
        <f>IF(AB251="","",AB251*SFAssumptions!$C$3)</f>
        <v>566.98896146616551</v>
      </c>
      <c r="AD251" s="193">
        <f t="shared" si="117"/>
        <v>20.143824000000002</v>
      </c>
      <c r="AE251" s="194">
        <f>IF(AD251="","",AD251*SFAssumptions!$C$3)</f>
        <v>5171.1875336592002</v>
      </c>
      <c r="AF251" s="192">
        <f t="shared" si="106"/>
        <v>4.7</v>
      </c>
      <c r="AG251" s="192">
        <f t="shared" si="118"/>
        <v>4.28592</v>
      </c>
      <c r="AH251" s="192">
        <f t="shared" si="119"/>
        <v>2.1279999999999997</v>
      </c>
      <c r="AI251" s="692">
        <f ca="1">IF(AC251="","",AC251*SFAssumptions!$C$8/'SavingsData&amp;Analysis'!AF251)</f>
        <v>455.64286086452438</v>
      </c>
      <c r="AJ251" s="692">
        <f ca="1">IF(OR(AE251="",AF251=""),"",AE251*SFAssumptions!$C$8/AF251)</f>
        <v>4155.6623533032334</v>
      </c>
      <c r="AK251" s="191">
        <f t="shared" si="120"/>
        <v>1.8287937743190663</v>
      </c>
      <c r="AL251" s="692">
        <f>IF(AK251="","",AK251*SFAssumptions!$C$3)</f>
        <v>469.47568482490277</v>
      </c>
      <c r="AM251" s="193">
        <f t="shared" si="121"/>
        <v>17.86</v>
      </c>
      <c r="AN251" s="194">
        <f>IF(AM251="","",AM251*SFAssumptions!$C$3)</f>
        <v>4584.8995379999997</v>
      </c>
      <c r="AO251" s="693">
        <f t="shared" si="122"/>
        <v>3.8</v>
      </c>
      <c r="AP251" s="693">
        <f t="shared" si="123"/>
        <v>2.57</v>
      </c>
      <c r="AQ251" s="692">
        <f ca="1">IF(AL251="","",AL251*SFAssumptions!$C$8/'SavingsData&amp;Analysis'!AF251)</f>
        <v>377.27938051350492</v>
      </c>
      <c r="AR251" s="692">
        <f ca="1">IF(OR(AN251="",AF251=""),"",AN251*SFAssumptions!$C$8/AF251)</f>
        <v>3684.5104300948883</v>
      </c>
      <c r="AS251" s="190" t="str">
        <f>IF(OR(AG251="",AH251=""),"No",IF(AND(G251="Horizontal",AH251&gt;='Eff. Standards &amp; Certifications'!$B$21,AG251&lt;='Eff. Standards &amp; Certifications'!$C$21),"Consider",IF(AND(G251="Vertical",AH251&gt;='Eff. Standards &amp; Certifications'!$B$20,AG251&lt;='Eff. Standards &amp; Certifications'!$C$20),"Consider","No")))</f>
        <v>Consider</v>
      </c>
      <c r="AT251" s="190" t="str">
        <f t="shared" si="108"/>
        <v>Residential</v>
      </c>
      <c r="AU251" s="190"/>
      <c r="AV251" s="190" t="str">
        <f t="shared" si="130"/>
        <v>YES</v>
      </c>
      <c r="AW251" s="190" t="str">
        <f t="shared" si="130"/>
        <v>NO</v>
      </c>
      <c r="AX251" s="190" t="str">
        <f t="shared" si="124"/>
        <v>YES</v>
      </c>
      <c r="AY251" s="190" t="str">
        <f t="shared" si="109"/>
        <v>NO</v>
      </c>
      <c r="AZ251" s="190" t="str">
        <f t="shared" si="109"/>
        <v>NO</v>
      </c>
      <c r="BA251" s="190" t="str">
        <f t="shared" si="125"/>
        <v>NO</v>
      </c>
      <c r="BB251" s="190" t="str">
        <f t="shared" si="110"/>
        <v>YES</v>
      </c>
      <c r="BC251" s="190" t="str">
        <f t="shared" si="111"/>
        <v>NO</v>
      </c>
      <c r="BD251" s="190" t="str">
        <f t="shared" si="126"/>
        <v>YES</v>
      </c>
      <c r="BE251" s="190" t="str">
        <f t="shared" si="112"/>
        <v>NO</v>
      </c>
      <c r="BF251" s="190" t="str">
        <f t="shared" si="113"/>
        <v>NO</v>
      </c>
      <c r="BG251" s="190" t="str">
        <f t="shared" si="114"/>
        <v>NO</v>
      </c>
      <c r="BH251" s="88"/>
      <c r="BI251" s="9"/>
      <c r="BJ251" s="694">
        <f t="shared" si="131"/>
        <v>2.1279999999999997</v>
      </c>
      <c r="BK251" s="694" t="str">
        <f t="shared" si="131"/>
        <v/>
      </c>
      <c r="BL251" s="694">
        <f t="shared" si="132"/>
        <v>4.28592</v>
      </c>
      <c r="BM251" s="694" t="str">
        <f t="shared" si="132"/>
        <v/>
      </c>
      <c r="BN251" s="88"/>
      <c r="BO251" s="195"/>
      <c r="BP251" s="195"/>
      <c r="BQ251" s="195"/>
      <c r="BR251" s="195"/>
      <c r="BS251" s="195"/>
      <c r="BT251" s="195"/>
      <c r="BU251" s="195"/>
      <c r="BV251" s="195"/>
      <c r="BW251" s="195"/>
      <c r="BX251" s="195"/>
    </row>
    <row r="252" spans="1:76" s="124" customFormat="1" ht="15">
      <c r="A252" s="187">
        <v>5426</v>
      </c>
      <c r="B252" s="187" t="s">
        <v>576</v>
      </c>
      <c r="C252" s="187" t="s">
        <v>597</v>
      </c>
      <c r="D252" s="187" t="s">
        <v>600</v>
      </c>
      <c r="E252" s="187" t="s">
        <v>392</v>
      </c>
      <c r="F252" s="187" t="s">
        <v>386</v>
      </c>
      <c r="G252" s="187" t="s">
        <v>393</v>
      </c>
      <c r="H252" s="187" t="b">
        <v>0</v>
      </c>
      <c r="I252" s="187" t="s">
        <v>388</v>
      </c>
      <c r="J252" s="187" t="s">
        <v>389</v>
      </c>
      <c r="K252" s="187" t="b">
        <v>1</v>
      </c>
      <c r="L252" s="187">
        <v>4.8</v>
      </c>
      <c r="M252" s="187">
        <v>0.51</v>
      </c>
      <c r="N252" s="187">
        <v>18.28</v>
      </c>
      <c r="O252" s="187">
        <v>3.9</v>
      </c>
      <c r="P252" s="187">
        <v>9.39</v>
      </c>
      <c r="Q252" s="187"/>
      <c r="R252" s="187"/>
      <c r="S252" s="187"/>
      <c r="T252" s="187"/>
      <c r="U252" s="187">
        <v>34.9</v>
      </c>
      <c r="V252" s="187">
        <v>2.61</v>
      </c>
      <c r="W252" s="188">
        <v>41078</v>
      </c>
      <c r="X252" s="691">
        <f t="shared" si="133"/>
        <v>2.1675999999999997</v>
      </c>
      <c r="Y252" s="691">
        <f t="shared" si="107"/>
        <v>4.3848099999999999</v>
      </c>
      <c r="Z252" s="189"/>
      <c r="AA252" s="190">
        <f t="shared" si="115"/>
        <v>2012</v>
      </c>
      <c r="AB252" s="191">
        <f t="shared" si="116"/>
        <v>2.2144307067724673</v>
      </c>
      <c r="AC252" s="192">
        <f>IF(AB252="","",AB252*SFAssumptions!$C$3)</f>
        <v>568.47381435689249</v>
      </c>
      <c r="AD252" s="193">
        <f t="shared" si="117"/>
        <v>21.047087999999999</v>
      </c>
      <c r="AE252" s="194">
        <f>IF(AD252="","",AD252*SFAssumptions!$C$3)</f>
        <v>5403.0674158703996</v>
      </c>
      <c r="AF252" s="192">
        <f t="shared" si="106"/>
        <v>4.8</v>
      </c>
      <c r="AG252" s="192">
        <f t="shared" si="118"/>
        <v>4.3848099999999999</v>
      </c>
      <c r="AH252" s="192">
        <f t="shared" si="119"/>
        <v>2.1675999999999997</v>
      </c>
      <c r="AI252" s="692">
        <f ca="1">IF(AC252="","",AC252*SFAssumptions!$C$8/'SavingsData&amp;Analysis'!AF252)</f>
        <v>447.31869713955888</v>
      </c>
      <c r="AJ252" s="692">
        <f ca="1">IF(OR(AE252="",AF252=""),"",AE252*SFAssumptions!$C$8/AF252)</f>
        <v>4251.5468892064137</v>
      </c>
      <c r="AK252" s="191">
        <f t="shared" si="120"/>
        <v>1.8390804597701149</v>
      </c>
      <c r="AL252" s="692">
        <f>IF(AK252="","",AK252*SFAssumptions!$C$3)</f>
        <v>472.11641379310345</v>
      </c>
      <c r="AM252" s="193">
        <f t="shared" si="121"/>
        <v>18.72</v>
      </c>
      <c r="AN252" s="194">
        <f>IF(AM252="","",AM252*SFAssumptions!$C$3)</f>
        <v>4805.6729759999998</v>
      </c>
      <c r="AO252" s="693">
        <f t="shared" si="122"/>
        <v>3.9</v>
      </c>
      <c r="AP252" s="693">
        <f t="shared" si="123"/>
        <v>2.61</v>
      </c>
      <c r="AQ252" s="692">
        <f ca="1">IF(AL252="","",AL252*SFAssumptions!$C$8/'SavingsData&amp;Analysis'!AF252)</f>
        <v>371.4973210420336</v>
      </c>
      <c r="AR252" s="692">
        <f ca="1">IF(OR(AN252="",AF252=""),"",AN252*SFAssumptions!$C$8/AF252)</f>
        <v>3781.4712308868602</v>
      </c>
      <c r="AS252" s="190" t="str">
        <f>IF(OR(AG252="",AH252=""),"No",IF(AND(G252="Horizontal",AH252&gt;='Eff. Standards &amp; Certifications'!$B$21,AG252&lt;='Eff. Standards &amp; Certifications'!$C$21),"Consider",IF(AND(G252="Vertical",AH252&gt;='Eff. Standards &amp; Certifications'!$B$20,AG252&lt;='Eff. Standards &amp; Certifications'!$C$20),"Consider","No")))</f>
        <v>Consider</v>
      </c>
      <c r="AT252" s="190" t="str">
        <f t="shared" si="108"/>
        <v>Residential</v>
      </c>
      <c r="AU252" s="190"/>
      <c r="AV252" s="190" t="str">
        <f t="shared" si="130"/>
        <v>YES</v>
      </c>
      <c r="AW252" s="190" t="str">
        <f t="shared" si="130"/>
        <v>NO</v>
      </c>
      <c r="AX252" s="190" t="str">
        <f t="shared" si="124"/>
        <v>YES</v>
      </c>
      <c r="AY252" s="190" t="str">
        <f t="shared" si="109"/>
        <v>YES</v>
      </c>
      <c r="AZ252" s="190" t="str">
        <f t="shared" si="109"/>
        <v>NO</v>
      </c>
      <c r="BA252" s="190" t="str">
        <f t="shared" si="125"/>
        <v>YES</v>
      </c>
      <c r="BB252" s="190" t="str">
        <f t="shared" si="110"/>
        <v>NO</v>
      </c>
      <c r="BC252" s="190" t="str">
        <f t="shared" si="111"/>
        <v>NO</v>
      </c>
      <c r="BD252" s="190" t="str">
        <f t="shared" si="126"/>
        <v>NO</v>
      </c>
      <c r="BE252" s="190" t="str">
        <f t="shared" si="112"/>
        <v>NO</v>
      </c>
      <c r="BF252" s="190" t="str">
        <f t="shared" si="113"/>
        <v>NO</v>
      </c>
      <c r="BG252" s="190" t="str">
        <f t="shared" si="114"/>
        <v>NO</v>
      </c>
      <c r="BH252" s="88"/>
      <c r="BI252" s="9"/>
      <c r="BJ252" s="694">
        <f t="shared" si="131"/>
        <v>2.1675999999999997</v>
      </c>
      <c r="BK252" s="694" t="str">
        <f t="shared" si="131"/>
        <v/>
      </c>
      <c r="BL252" s="694">
        <f t="shared" si="132"/>
        <v>4.3848099999999999</v>
      </c>
      <c r="BM252" s="694" t="str">
        <f t="shared" si="132"/>
        <v/>
      </c>
      <c r="BN252" s="88"/>
      <c r="BO252" s="195"/>
      <c r="BP252" s="195"/>
      <c r="BQ252" s="195"/>
      <c r="BR252" s="195"/>
      <c r="BS252" s="195"/>
      <c r="BT252" s="195"/>
      <c r="BU252" s="195"/>
      <c r="BV252" s="195"/>
      <c r="BW252" s="195"/>
      <c r="BX252" s="195"/>
    </row>
    <row r="253" spans="1:76" s="124" customFormat="1" ht="15">
      <c r="A253" s="187">
        <v>6142</v>
      </c>
      <c r="B253" s="187" t="s">
        <v>576</v>
      </c>
      <c r="C253" s="187" t="s">
        <v>597</v>
      </c>
      <c r="D253" s="187" t="s">
        <v>1340</v>
      </c>
      <c r="E253" s="187" t="s">
        <v>392</v>
      </c>
      <c r="F253" s="187" t="s">
        <v>386</v>
      </c>
      <c r="G253" s="187" t="s">
        <v>393</v>
      </c>
      <c r="H253" s="187" t="b">
        <v>0</v>
      </c>
      <c r="I253" s="187" t="s">
        <v>388</v>
      </c>
      <c r="J253" s="187" t="s">
        <v>389</v>
      </c>
      <c r="K253" s="187" t="b">
        <v>1</v>
      </c>
      <c r="L253" s="187">
        <v>4.8</v>
      </c>
      <c r="M253" s="187">
        <v>0.42</v>
      </c>
      <c r="N253" s="187">
        <v>17.899999999999999</v>
      </c>
      <c r="O253" s="187">
        <v>3.7</v>
      </c>
      <c r="P253" s="187">
        <v>11.65</v>
      </c>
      <c r="Q253" s="187"/>
      <c r="R253" s="187"/>
      <c r="S253" s="187"/>
      <c r="T253" s="187"/>
      <c r="U253" s="187">
        <v>36.4</v>
      </c>
      <c r="V253" s="187">
        <v>2.66</v>
      </c>
      <c r="W253" s="188">
        <v>41661</v>
      </c>
      <c r="X253" s="691">
        <f t="shared" si="133"/>
        <v>2.2170999999999998</v>
      </c>
      <c r="Y253" s="691">
        <f t="shared" si="107"/>
        <v>4.18703</v>
      </c>
      <c r="Z253" s="189"/>
      <c r="AA253" s="190">
        <f t="shared" si="115"/>
        <v>2014</v>
      </c>
      <c r="AB253" s="191">
        <f t="shared" si="116"/>
        <v>2.1649903026476029</v>
      </c>
      <c r="AC253" s="192">
        <f>IF(AB253="","",AB253*SFAssumptions!$C$3)</f>
        <v>555.78180506066485</v>
      </c>
      <c r="AD253" s="193">
        <f t="shared" si="117"/>
        <v>20.097743999999999</v>
      </c>
      <c r="AE253" s="194">
        <f>IF(AD253="","",AD253*SFAssumptions!$C$3)</f>
        <v>5159.3581847952</v>
      </c>
      <c r="AF253" s="192">
        <f t="shared" si="106"/>
        <v>4.8</v>
      </c>
      <c r="AG253" s="192">
        <f t="shared" si="118"/>
        <v>4.18703</v>
      </c>
      <c r="AH253" s="192">
        <f t="shared" si="119"/>
        <v>2.2170999999999998</v>
      </c>
      <c r="AI253" s="692">
        <f ca="1">IF(AC253="","",AC253*SFAssumptions!$C$8/'SavingsData&amp;Analysis'!AF253)</f>
        <v>437.33165302408901</v>
      </c>
      <c r="AJ253" s="692">
        <f ca="1">IF(OR(AE253="",AF253=""),"",AE253*SFAssumptions!$C$8/AF253)</f>
        <v>4059.7778174000537</v>
      </c>
      <c r="AK253" s="191">
        <f t="shared" si="120"/>
        <v>1.8045112781954886</v>
      </c>
      <c r="AL253" s="692">
        <f>IF(AK253="","",AK253*SFAssumptions!$C$3)</f>
        <v>463.24204511278191</v>
      </c>
      <c r="AM253" s="193">
        <f t="shared" si="121"/>
        <v>17.760000000000002</v>
      </c>
      <c r="AN253" s="194">
        <f>IF(AM253="","",AM253*SFAssumptions!$C$3)</f>
        <v>4559.2282080000004</v>
      </c>
      <c r="AO253" s="693">
        <f t="shared" si="122"/>
        <v>3.7</v>
      </c>
      <c r="AP253" s="693">
        <f t="shared" si="123"/>
        <v>2.66</v>
      </c>
      <c r="AQ253" s="692">
        <f ca="1">IF(AL253="","",AL253*SFAssumptions!$C$8/'SavingsData&amp;Analysis'!AF253)</f>
        <v>364.51428869161941</v>
      </c>
      <c r="AR253" s="692">
        <f ca="1">IF(OR(AN253="",AF253=""),"",AN253*SFAssumptions!$C$8/AF253)</f>
        <v>3587.5496293029187</v>
      </c>
      <c r="AS253" s="190" t="str">
        <f>IF(OR(AG253="",AH253=""),"No",IF(AND(G253="Horizontal",AH253&gt;='Eff. Standards &amp; Certifications'!$B$21,AG253&lt;='Eff. Standards &amp; Certifications'!$C$21),"Consider",IF(AND(G253="Vertical",AH253&gt;='Eff. Standards &amp; Certifications'!$B$20,AG253&lt;='Eff. Standards &amp; Certifications'!$C$20),"Consider","No")))</f>
        <v>Consider</v>
      </c>
      <c r="AT253" s="190" t="str">
        <f t="shared" si="108"/>
        <v>Residential</v>
      </c>
      <c r="AU253" s="190"/>
      <c r="AV253" s="190" t="str">
        <f t="shared" si="130"/>
        <v>YES</v>
      </c>
      <c r="AW253" s="190" t="str">
        <f t="shared" si="130"/>
        <v>NO</v>
      </c>
      <c r="AX253" s="190" t="str">
        <f t="shared" si="124"/>
        <v>YES</v>
      </c>
      <c r="AY253" s="190" t="str">
        <f t="shared" si="109"/>
        <v>NO</v>
      </c>
      <c r="AZ253" s="190" t="str">
        <f t="shared" si="109"/>
        <v>NO</v>
      </c>
      <c r="BA253" s="190" t="str">
        <f t="shared" si="125"/>
        <v>NO</v>
      </c>
      <c r="BB253" s="190" t="str">
        <f t="shared" si="110"/>
        <v>YES</v>
      </c>
      <c r="BC253" s="190" t="str">
        <f t="shared" si="111"/>
        <v>NO</v>
      </c>
      <c r="BD253" s="190" t="str">
        <f t="shared" si="126"/>
        <v>YES</v>
      </c>
      <c r="BE253" s="190" t="str">
        <f t="shared" si="112"/>
        <v>NO</v>
      </c>
      <c r="BF253" s="190" t="str">
        <f t="shared" si="113"/>
        <v>NO</v>
      </c>
      <c r="BG253" s="190" t="str">
        <f t="shared" si="114"/>
        <v>NO</v>
      </c>
      <c r="BH253" s="88"/>
      <c r="BI253" s="9"/>
      <c r="BJ253" s="694">
        <f t="shared" si="131"/>
        <v>2.2170999999999998</v>
      </c>
      <c r="BK253" s="694" t="str">
        <f t="shared" si="131"/>
        <v/>
      </c>
      <c r="BL253" s="694">
        <f t="shared" si="132"/>
        <v>4.18703</v>
      </c>
      <c r="BM253" s="694" t="str">
        <f t="shared" si="132"/>
        <v/>
      </c>
      <c r="BN253" s="88"/>
      <c r="BO253" s="195"/>
      <c r="BP253" s="195"/>
      <c r="BQ253" s="195"/>
      <c r="BR253" s="195"/>
      <c r="BS253" s="195"/>
      <c r="BT253" s="195"/>
      <c r="BU253" s="195"/>
      <c r="BV253" s="195"/>
      <c r="BW253" s="195"/>
      <c r="BX253" s="195"/>
    </row>
    <row r="254" spans="1:76" s="124" customFormat="1" ht="15">
      <c r="A254" s="187">
        <v>4793</v>
      </c>
      <c r="B254" s="187" t="s">
        <v>576</v>
      </c>
      <c r="C254" s="187" t="s">
        <v>597</v>
      </c>
      <c r="D254" s="187" t="s">
        <v>601</v>
      </c>
      <c r="E254" s="187" t="s">
        <v>385</v>
      </c>
      <c r="F254" s="187" t="s">
        <v>386</v>
      </c>
      <c r="G254" s="187" t="s">
        <v>387</v>
      </c>
      <c r="H254" s="187" t="b">
        <v>0</v>
      </c>
      <c r="I254" s="187" t="s">
        <v>388</v>
      </c>
      <c r="J254" s="187" t="s">
        <v>389</v>
      </c>
      <c r="K254" s="187" t="b">
        <v>1</v>
      </c>
      <c r="L254" s="187">
        <v>4.7</v>
      </c>
      <c r="M254" s="187">
        <v>0.63</v>
      </c>
      <c r="N254" s="187">
        <v>18.57</v>
      </c>
      <c r="O254" s="187">
        <v>4</v>
      </c>
      <c r="P254" s="187">
        <v>7.39</v>
      </c>
      <c r="Q254" s="187"/>
      <c r="R254" s="187"/>
      <c r="S254" s="187"/>
      <c r="T254" s="187"/>
      <c r="U254" s="187">
        <v>35.299999999999997</v>
      </c>
      <c r="V254" s="187">
        <v>2.41</v>
      </c>
      <c r="W254" s="188">
        <v>40611</v>
      </c>
      <c r="X254" s="691">
        <f t="shared" si="133"/>
        <v>2.0306449999999998</v>
      </c>
      <c r="Y254" s="691">
        <f t="shared" si="107"/>
        <v>4.2140000000000004</v>
      </c>
      <c r="Z254" s="189"/>
      <c r="AA254" s="190">
        <f t="shared" si="115"/>
        <v>2011</v>
      </c>
      <c r="AB254" s="191">
        <f t="shared" si="116"/>
        <v>2.3145355293515117</v>
      </c>
      <c r="AC254" s="192">
        <f>IF(AB254="","",AB254*SFAssumptions!$C$3)</f>
        <v>594.17205370707347</v>
      </c>
      <c r="AD254" s="193">
        <f t="shared" si="117"/>
        <v>19.805800000000001</v>
      </c>
      <c r="AE254" s="194">
        <f>IF(AD254="","",AD254*SFAssumptions!$C$3)</f>
        <v>5084.4122771400007</v>
      </c>
      <c r="AF254" s="192">
        <f t="shared" si="106"/>
        <v>4.7</v>
      </c>
      <c r="AG254" s="192">
        <f t="shared" si="118"/>
        <v>4.2140000000000004</v>
      </c>
      <c r="AH254" s="192">
        <f t="shared" si="119"/>
        <v>2.0306449999999998</v>
      </c>
      <c r="AI254" s="692">
        <f ca="1">IF(AC254="","",AC254*SFAssumptions!$C$8/'SavingsData&amp;Analysis'!AF254)</f>
        <v>477.48769869657559</v>
      </c>
      <c r="AJ254" s="692">
        <f ca="1">IF(OR(AE254="",AF254=""),"",AE254*SFAssumptions!$C$8/AF254)</f>
        <v>4085.9281453736485</v>
      </c>
      <c r="AK254" s="191">
        <f t="shared" si="120"/>
        <v>1.950207468879668</v>
      </c>
      <c r="AL254" s="692">
        <f>IF(AK254="","",AK254*SFAssumptions!$C$3)</f>
        <v>500.64419502074691</v>
      </c>
      <c r="AM254" s="193">
        <f t="shared" si="121"/>
        <v>18.8</v>
      </c>
      <c r="AN254" s="194">
        <f>IF(AM254="","",AM254*SFAssumptions!$C$3)</f>
        <v>4826.2100399999999</v>
      </c>
      <c r="AO254" s="693">
        <f t="shared" si="122"/>
        <v>4</v>
      </c>
      <c r="AP254" s="693">
        <f t="shared" si="123"/>
        <v>2.41</v>
      </c>
      <c r="AQ254" s="692">
        <f ca="1">IF(AL254="","",AL254*SFAssumptions!$C$8/'SavingsData&amp;Analysis'!AF254)</f>
        <v>402.32697424054265</v>
      </c>
      <c r="AR254" s="692">
        <f ca="1">IF(OR(AN254="",AF254=""),"",AN254*SFAssumptions!$C$8/AF254)</f>
        <v>3878.4320316788308</v>
      </c>
      <c r="AS254" s="190" t="str">
        <f>IF(OR(AG254="",AH254=""),"No",IF(AND(G254="Horizontal",AH254&gt;='Eff. Standards &amp; Certifications'!$B$21,AG254&lt;='Eff. Standards &amp; Certifications'!$C$21),"Consider",IF(AND(G254="Vertical",AH254&gt;='Eff. Standards &amp; Certifications'!$B$20,AG254&lt;='Eff. Standards &amp; Certifications'!$C$20),"Consider","No")))</f>
        <v>Consider</v>
      </c>
      <c r="AT254" s="190" t="str">
        <f t="shared" si="108"/>
        <v>Residential</v>
      </c>
      <c r="AU254" s="190"/>
      <c r="AV254" s="190" t="str">
        <f t="shared" si="130"/>
        <v>NO</v>
      </c>
      <c r="AW254" s="190" t="str">
        <f t="shared" si="130"/>
        <v>YES</v>
      </c>
      <c r="AX254" s="190" t="str">
        <f t="shared" si="124"/>
        <v>YES</v>
      </c>
      <c r="AY254" s="190" t="str">
        <f t="shared" si="109"/>
        <v>NO</v>
      </c>
      <c r="AZ254" s="190" t="str">
        <f t="shared" si="109"/>
        <v>YES</v>
      </c>
      <c r="BA254" s="190" t="str">
        <f t="shared" si="125"/>
        <v>YES</v>
      </c>
      <c r="BB254" s="190" t="str">
        <f t="shared" si="110"/>
        <v>NO</v>
      </c>
      <c r="BC254" s="190" t="str">
        <f t="shared" si="111"/>
        <v>NO</v>
      </c>
      <c r="BD254" s="190" t="str">
        <f t="shared" si="126"/>
        <v>NO</v>
      </c>
      <c r="BE254" s="190" t="str">
        <f t="shared" si="112"/>
        <v>NO</v>
      </c>
      <c r="BF254" s="190" t="str">
        <f t="shared" si="113"/>
        <v>NO</v>
      </c>
      <c r="BG254" s="190" t="str">
        <f t="shared" si="114"/>
        <v>NO</v>
      </c>
      <c r="BH254" s="88"/>
      <c r="BI254" s="9"/>
      <c r="BJ254" s="694" t="str">
        <f t="shared" si="131"/>
        <v/>
      </c>
      <c r="BK254" s="694">
        <f t="shared" si="131"/>
        <v>2.0306449999999998</v>
      </c>
      <c r="BL254" s="694" t="str">
        <f t="shared" si="132"/>
        <v/>
      </c>
      <c r="BM254" s="694">
        <f t="shared" si="132"/>
        <v>4.2140000000000004</v>
      </c>
      <c r="BN254" s="88"/>
      <c r="BO254" s="195"/>
      <c r="BP254" s="195"/>
      <c r="BQ254" s="195"/>
      <c r="BR254" s="195"/>
      <c r="BS254" s="195"/>
      <c r="BT254" s="195"/>
      <c r="BU254" s="195"/>
      <c r="BV254" s="195"/>
      <c r="BW254" s="195"/>
      <c r="BX254" s="195"/>
    </row>
    <row r="255" spans="1:76" s="124" customFormat="1" ht="15">
      <c r="A255" s="187">
        <v>6166</v>
      </c>
      <c r="B255" s="187" t="s">
        <v>576</v>
      </c>
      <c r="C255" s="187" t="s">
        <v>597</v>
      </c>
      <c r="D255" s="187" t="s">
        <v>1341</v>
      </c>
      <c r="E255" s="187" t="s">
        <v>392</v>
      </c>
      <c r="F255" s="187" t="s">
        <v>386</v>
      </c>
      <c r="G255" s="187" t="s">
        <v>393</v>
      </c>
      <c r="H255" s="187" t="b">
        <v>0</v>
      </c>
      <c r="I255" s="187" t="s">
        <v>388</v>
      </c>
      <c r="J255" s="187" t="s">
        <v>389</v>
      </c>
      <c r="K255" s="187" t="b">
        <v>1</v>
      </c>
      <c r="L255" s="187">
        <v>5.7</v>
      </c>
      <c r="M255" s="187">
        <v>0.42</v>
      </c>
      <c r="N255" s="187">
        <v>20.88</v>
      </c>
      <c r="O255" s="187">
        <v>3.7</v>
      </c>
      <c r="P255" s="187">
        <v>13.6</v>
      </c>
      <c r="Q255" s="187"/>
      <c r="R255" s="187"/>
      <c r="S255" s="187"/>
      <c r="T255" s="187"/>
      <c r="U255" s="187">
        <v>34.5</v>
      </c>
      <c r="V255" s="187">
        <v>2.88</v>
      </c>
      <c r="W255" s="188">
        <v>41682</v>
      </c>
      <c r="X255" s="691">
        <f t="shared" si="133"/>
        <v>2.4348999999999998</v>
      </c>
      <c r="Y255" s="691">
        <f t="shared" si="107"/>
        <v>4.18703</v>
      </c>
      <c r="Z255" s="189"/>
      <c r="AA255" s="190">
        <f t="shared" si="115"/>
        <v>2014</v>
      </c>
      <c r="AB255" s="191">
        <f t="shared" si="116"/>
        <v>2.3409585609265271</v>
      </c>
      <c r="AC255" s="192">
        <f>IF(AB255="","",AB255*SFAssumptions!$C$3)</f>
        <v>600.9551973386998</v>
      </c>
      <c r="AD255" s="193">
        <f t="shared" si="117"/>
        <v>23.866071000000002</v>
      </c>
      <c r="AE255" s="194">
        <f>IF(AD255="","",AD255*SFAssumptions!$C$3)</f>
        <v>6126.7378444443002</v>
      </c>
      <c r="AF255" s="192">
        <f t="shared" si="106"/>
        <v>5.7</v>
      </c>
      <c r="AG255" s="192">
        <f t="shared" si="118"/>
        <v>4.18703</v>
      </c>
      <c r="AH255" s="192">
        <f t="shared" si="119"/>
        <v>2.4348999999999998</v>
      </c>
      <c r="AI255" s="692">
        <f ca="1">IF(AC255="","",AC255*SFAssumptions!$C$8/'SavingsData&amp;Analysis'!AF255)</f>
        <v>398.21266085658868</v>
      </c>
      <c r="AJ255" s="692">
        <f ca="1">IF(OR(AE255="",AF255=""),"",AE255*SFAssumptions!$C$8/AF255)</f>
        <v>4059.7778174000537</v>
      </c>
      <c r="AK255" s="191">
        <f t="shared" si="120"/>
        <v>1.9791666666666667</v>
      </c>
      <c r="AL255" s="692">
        <f>IF(AK255="","",AK255*SFAssumptions!$C$3)</f>
        <v>508.07840625</v>
      </c>
      <c r="AM255" s="193">
        <f t="shared" si="121"/>
        <v>21.090000000000003</v>
      </c>
      <c r="AN255" s="194">
        <f>IF(AM255="","",AM255*SFAssumptions!$C$3)</f>
        <v>5414.0834970000005</v>
      </c>
      <c r="AO255" s="693">
        <f t="shared" si="122"/>
        <v>3.7</v>
      </c>
      <c r="AP255" s="693">
        <f t="shared" si="123"/>
        <v>2.88</v>
      </c>
      <c r="AQ255" s="692">
        <f ca="1">IF(AL255="","",AL255*SFAssumptions!$C$8/'SavingsData&amp;Analysis'!AF255)</f>
        <v>336.66944719434292</v>
      </c>
      <c r="AR255" s="692">
        <f ca="1">IF(OR(AN255="",AF255=""),"",AN255*SFAssumptions!$C$8/AF255)</f>
        <v>3587.5496293029191</v>
      </c>
      <c r="AS255" s="190" t="str">
        <f>IF(OR(AG255="",AH255=""),"No",IF(AND(G255="Horizontal",AH255&gt;='Eff. Standards &amp; Certifications'!$B$21,AG255&lt;='Eff. Standards &amp; Certifications'!$C$21),"Consider",IF(AND(G255="Vertical",AH255&gt;='Eff. Standards &amp; Certifications'!$B$20,AG255&lt;='Eff. Standards &amp; Certifications'!$C$20),"Consider","No")))</f>
        <v>Consider</v>
      </c>
      <c r="AT255" s="190" t="str">
        <f t="shared" si="108"/>
        <v>Residential</v>
      </c>
      <c r="AU255" s="190"/>
      <c r="AV255" s="190" t="str">
        <f t="shared" si="130"/>
        <v>YES</v>
      </c>
      <c r="AW255" s="190" t="str">
        <f t="shared" si="130"/>
        <v>NO</v>
      </c>
      <c r="AX255" s="190" t="str">
        <f t="shared" si="124"/>
        <v>YES</v>
      </c>
      <c r="AY255" s="190" t="str">
        <f t="shared" si="109"/>
        <v>NO</v>
      </c>
      <c r="AZ255" s="190" t="str">
        <f t="shared" si="109"/>
        <v>NO</v>
      </c>
      <c r="BA255" s="190" t="str">
        <f t="shared" si="125"/>
        <v>NO</v>
      </c>
      <c r="BB255" s="190" t="str">
        <f t="shared" si="110"/>
        <v>YES</v>
      </c>
      <c r="BC255" s="190" t="str">
        <f t="shared" si="111"/>
        <v>NO</v>
      </c>
      <c r="BD255" s="190" t="str">
        <f t="shared" si="126"/>
        <v>YES</v>
      </c>
      <c r="BE255" s="190" t="str">
        <f t="shared" si="112"/>
        <v>NO</v>
      </c>
      <c r="BF255" s="190" t="str">
        <f t="shared" si="113"/>
        <v>NO</v>
      </c>
      <c r="BG255" s="190" t="str">
        <f t="shared" si="114"/>
        <v>NO</v>
      </c>
      <c r="BH255" s="88"/>
      <c r="BI255" s="9"/>
      <c r="BJ255" s="694">
        <f t="shared" si="131"/>
        <v>2.4348999999999998</v>
      </c>
      <c r="BK255" s="694" t="str">
        <f t="shared" si="131"/>
        <v/>
      </c>
      <c r="BL255" s="694">
        <f t="shared" si="132"/>
        <v>4.18703</v>
      </c>
      <c r="BM255" s="694" t="str">
        <f t="shared" si="132"/>
        <v/>
      </c>
      <c r="BN255" s="88"/>
      <c r="BO255" s="195"/>
      <c r="BP255" s="195"/>
      <c r="BQ255" s="195"/>
      <c r="BR255" s="195"/>
      <c r="BS255" s="195"/>
      <c r="BT255" s="195"/>
      <c r="BU255" s="195"/>
      <c r="BV255" s="195"/>
      <c r="BW255" s="195"/>
      <c r="BX255" s="195"/>
    </row>
    <row r="256" spans="1:76" s="124" customFormat="1" ht="15">
      <c r="A256" s="187">
        <v>3279</v>
      </c>
      <c r="B256" s="187" t="s">
        <v>576</v>
      </c>
      <c r="C256" s="187" t="s">
        <v>597</v>
      </c>
      <c r="D256" s="187" t="s">
        <v>602</v>
      </c>
      <c r="E256" s="187" t="s">
        <v>385</v>
      </c>
      <c r="F256" s="187" t="s">
        <v>386</v>
      </c>
      <c r="G256" s="187" t="s">
        <v>387</v>
      </c>
      <c r="H256" s="187" t="b">
        <v>0</v>
      </c>
      <c r="I256" s="187" t="s">
        <v>388</v>
      </c>
      <c r="J256" s="187" t="s">
        <v>389</v>
      </c>
      <c r="K256" s="187" t="b">
        <v>1</v>
      </c>
      <c r="L256" s="187">
        <v>1.8</v>
      </c>
      <c r="M256" s="187">
        <v>0.4</v>
      </c>
      <c r="N256" s="187">
        <v>11.7</v>
      </c>
      <c r="O256" s="187">
        <v>6.3</v>
      </c>
      <c r="P256" s="187">
        <v>4.7</v>
      </c>
      <c r="Q256" s="187"/>
      <c r="R256" s="187"/>
      <c r="S256" s="187"/>
      <c r="T256" s="187"/>
      <c r="U256" s="187">
        <v>42.9</v>
      </c>
      <c r="V256" s="187">
        <v>1.81</v>
      </c>
      <c r="W256" s="188">
        <v>39506</v>
      </c>
      <c r="X256" s="691">
        <f t="shared" si="133"/>
        <v>1.4819450000000001</v>
      </c>
      <c r="Y256" s="691">
        <f t="shared" si="107"/>
        <v>6.5696599999999998</v>
      </c>
      <c r="Z256" s="189"/>
      <c r="AA256" s="190">
        <f t="shared" si="115"/>
        <v>2008</v>
      </c>
      <c r="AB256" s="191">
        <f t="shared" si="116"/>
        <v>1.2146199757750793</v>
      </c>
      <c r="AC256" s="192">
        <f>IF(AB256="","",AB256*SFAssumptions!$C$3)</f>
        <v>311.80910222714067</v>
      </c>
      <c r="AD256" s="193">
        <f t="shared" si="117"/>
        <v>11.825388</v>
      </c>
      <c r="AE256" s="194">
        <f>IF(AD256="","",AD256*SFAssumptions!$C$3)</f>
        <v>3035.7343772603999</v>
      </c>
      <c r="AF256" s="192">
        <f t="shared" si="106"/>
        <v>1.8</v>
      </c>
      <c r="AG256" s="192">
        <f t="shared" si="118"/>
        <v>6.5696599999999998</v>
      </c>
      <c r="AH256" s="192">
        <f t="shared" si="119"/>
        <v>1.4819450000000001</v>
      </c>
      <c r="AI256" s="692">
        <f ca="1">IF(AC256="","",AC256*SFAssumptions!$C$8/'SavingsData&amp;Analysis'!AF256)</f>
        <v>654.28069727264347</v>
      </c>
      <c r="AJ256" s="692">
        <f ca="1">IF(OR(AE256="",AF256=""),"",AE256*SFAssumptions!$C$8/AF256)</f>
        <v>6369.9949453097861</v>
      </c>
      <c r="AK256" s="191">
        <f t="shared" si="120"/>
        <v>0.99447513812154698</v>
      </c>
      <c r="AL256" s="692">
        <f>IF(AK256="","",AK256*SFAssumptions!$C$3)</f>
        <v>255.29499447513814</v>
      </c>
      <c r="AM256" s="193">
        <f t="shared" si="121"/>
        <v>11.34</v>
      </c>
      <c r="AN256" s="194">
        <f>IF(AM256="","",AM256*SFAssumptions!$C$3)</f>
        <v>2911.1288220000001</v>
      </c>
      <c r="AO256" s="693">
        <f t="shared" si="122"/>
        <v>6.3</v>
      </c>
      <c r="AP256" s="693">
        <f t="shared" si="123"/>
        <v>1.81</v>
      </c>
      <c r="AQ256" s="692">
        <f ca="1">IF(AL256="","",AL256*SFAssumptions!$C$8/'SavingsData&amp;Analysis'!AF256)</f>
        <v>535.69503199983853</v>
      </c>
      <c r="AR256" s="692">
        <f ca="1">IF(OR(AN256="",AF256=""),"",AN256*SFAssumptions!$C$8/AF256)</f>
        <v>6108.5304498941587</v>
      </c>
      <c r="AS256" s="190" t="str">
        <f>IF(OR(AG256="",AH256=""),"No",IF(AND(G256="Horizontal",AH256&gt;='Eff. Standards &amp; Certifications'!$B$21,AG256&lt;='Eff. Standards &amp; Certifications'!$C$21),"Consider",IF(AND(G256="Vertical",AH256&gt;='Eff. Standards &amp; Certifications'!$B$20,AG256&lt;='Eff. Standards &amp; Certifications'!$C$20),"Consider","No")))</f>
        <v>No</v>
      </c>
      <c r="AT256" s="190" t="str">
        <f t="shared" si="108"/>
        <v>Residential</v>
      </c>
      <c r="AU256" s="190"/>
      <c r="AV256" s="190" t="str">
        <f t="shared" si="130"/>
        <v>NO</v>
      </c>
      <c r="AW256" s="190" t="str">
        <f t="shared" si="130"/>
        <v>NO</v>
      </c>
      <c r="AX256" s="190" t="str">
        <f t="shared" si="124"/>
        <v>NO</v>
      </c>
      <c r="AY256" s="190" t="str">
        <f t="shared" si="109"/>
        <v>NO</v>
      </c>
      <c r="AZ256" s="190" t="str">
        <f t="shared" si="109"/>
        <v>NO</v>
      </c>
      <c r="BA256" s="190" t="str">
        <f t="shared" si="125"/>
        <v>NO</v>
      </c>
      <c r="BB256" s="190" t="str">
        <f t="shared" si="110"/>
        <v>NO</v>
      </c>
      <c r="BC256" s="190" t="str">
        <f t="shared" si="111"/>
        <v>NO</v>
      </c>
      <c r="BD256" s="190" t="str">
        <f t="shared" si="126"/>
        <v>NO</v>
      </c>
      <c r="BE256" s="190" t="str">
        <f t="shared" si="112"/>
        <v>NO</v>
      </c>
      <c r="BF256" s="190" t="str">
        <f t="shared" si="113"/>
        <v>NO</v>
      </c>
      <c r="BG256" s="190" t="str">
        <f t="shared" si="114"/>
        <v>NO</v>
      </c>
      <c r="BH256" s="88"/>
      <c r="BI256" s="9"/>
      <c r="BJ256" s="694" t="str">
        <f t="shared" si="131"/>
        <v/>
      </c>
      <c r="BK256" s="694" t="str">
        <f t="shared" si="131"/>
        <v/>
      </c>
      <c r="BL256" s="694" t="str">
        <f t="shared" si="132"/>
        <v/>
      </c>
      <c r="BM256" s="694" t="str">
        <f t="shared" si="132"/>
        <v/>
      </c>
      <c r="BN256" s="88"/>
      <c r="BO256" s="195"/>
      <c r="BP256" s="195"/>
      <c r="BQ256" s="195"/>
      <c r="BR256" s="195"/>
      <c r="BS256" s="195"/>
      <c r="BT256" s="195"/>
      <c r="BU256" s="195"/>
      <c r="BV256" s="195"/>
      <c r="BW256" s="195"/>
      <c r="BX256" s="195"/>
    </row>
    <row r="257" spans="1:76" s="124" customFormat="1" ht="15">
      <c r="A257" s="187">
        <v>3419</v>
      </c>
      <c r="B257" s="187" t="s">
        <v>576</v>
      </c>
      <c r="C257" s="187" t="s">
        <v>597</v>
      </c>
      <c r="D257" s="187" t="s">
        <v>603</v>
      </c>
      <c r="E257" s="187" t="s">
        <v>385</v>
      </c>
      <c r="F257" s="187" t="s">
        <v>386</v>
      </c>
      <c r="G257" s="187" t="s">
        <v>387</v>
      </c>
      <c r="H257" s="187" t="b">
        <v>0</v>
      </c>
      <c r="I257" s="187" t="s">
        <v>388</v>
      </c>
      <c r="J257" s="187" t="s">
        <v>389</v>
      </c>
      <c r="K257" s="187" t="b">
        <v>1</v>
      </c>
      <c r="L257" s="187">
        <v>3.1</v>
      </c>
      <c r="M257" s="187">
        <v>0.55000000000000004</v>
      </c>
      <c r="N257" s="187">
        <v>12.51</v>
      </c>
      <c r="O257" s="187">
        <v>4</v>
      </c>
      <c r="P257" s="187">
        <v>5.69</v>
      </c>
      <c r="Q257" s="187"/>
      <c r="R257" s="187"/>
      <c r="S257" s="187"/>
      <c r="T257" s="187"/>
      <c r="U257" s="187">
        <v>38.700000000000003</v>
      </c>
      <c r="V257" s="187">
        <v>2.04</v>
      </c>
      <c r="W257" s="188">
        <v>39668</v>
      </c>
      <c r="X257" s="691">
        <f t="shared" si="133"/>
        <v>1.69228</v>
      </c>
      <c r="Y257" s="691">
        <f t="shared" si="107"/>
        <v>4.2140000000000004</v>
      </c>
      <c r="Z257" s="189"/>
      <c r="AA257" s="190">
        <f t="shared" si="115"/>
        <v>2008</v>
      </c>
      <c r="AB257" s="191">
        <f t="shared" si="116"/>
        <v>1.8318481575153049</v>
      </c>
      <c r="AC257" s="192">
        <f>IF(AB257="","",AB257*SFAssumptions!$C$3)</f>
        <v>470.25978561467372</v>
      </c>
      <c r="AD257" s="193">
        <f t="shared" si="117"/>
        <v>13.063400000000001</v>
      </c>
      <c r="AE257" s="194">
        <f>IF(AD257="","",AD257*SFAssumptions!$C$3)</f>
        <v>3353.5485232200003</v>
      </c>
      <c r="AF257" s="192">
        <f t="shared" si="106"/>
        <v>3.1</v>
      </c>
      <c r="AG257" s="192">
        <f t="shared" si="118"/>
        <v>4.2140000000000004</v>
      </c>
      <c r="AH257" s="192">
        <f t="shared" si="119"/>
        <v>1.69228</v>
      </c>
      <c r="AI257" s="692">
        <f ca="1">IF(AC257="","",AC257*SFAssumptions!$C$8/'SavingsData&amp;Analysis'!AF257)</f>
        <v>572.95956219993604</v>
      </c>
      <c r="AJ257" s="692">
        <f ca="1">IF(OR(AE257="",AF257=""),"",AE257*SFAssumptions!$C$8/AF257)</f>
        <v>4085.9281453736485</v>
      </c>
      <c r="AK257" s="191">
        <f t="shared" si="120"/>
        <v>1.5196078431372548</v>
      </c>
      <c r="AL257" s="692">
        <f>IF(AK257="","",AK257*SFAssumptions!$C$3)</f>
        <v>390.10354411764706</v>
      </c>
      <c r="AM257" s="193">
        <f t="shared" si="121"/>
        <v>12.4</v>
      </c>
      <c r="AN257" s="194">
        <f>IF(AM257="","",AM257*SFAssumptions!$C$3)</f>
        <v>3183.2449200000001</v>
      </c>
      <c r="AO257" s="693">
        <f t="shared" si="122"/>
        <v>4</v>
      </c>
      <c r="AP257" s="693">
        <f t="shared" si="123"/>
        <v>2.04</v>
      </c>
      <c r="AQ257" s="692">
        <f ca="1">IF(AL257="","",AL257*SFAssumptions!$C$8/'SavingsData&amp;Analysis'!AF257)</f>
        <v>475.29804309789586</v>
      </c>
      <c r="AR257" s="692">
        <f ca="1">IF(OR(AN257="",AF257=""),"",AN257*SFAssumptions!$C$8/AF257)</f>
        <v>3878.4320316788308</v>
      </c>
      <c r="AS257" s="190" t="str">
        <f>IF(OR(AG257="",AH257=""),"No",IF(AND(G257="Horizontal",AH257&gt;='Eff. Standards &amp; Certifications'!$B$21,AG257&lt;='Eff. Standards &amp; Certifications'!$C$21),"Consider",IF(AND(G257="Vertical",AH257&gt;='Eff. Standards &amp; Certifications'!$B$20,AG257&lt;='Eff. Standards &amp; Certifications'!$C$20),"Consider","No")))</f>
        <v>No</v>
      </c>
      <c r="AT257" s="190" t="str">
        <f t="shared" si="108"/>
        <v>Residential</v>
      </c>
      <c r="AU257" s="190"/>
      <c r="AV257" s="190" t="str">
        <f t="shared" si="130"/>
        <v>NO</v>
      </c>
      <c r="AW257" s="190" t="str">
        <f t="shared" si="130"/>
        <v>NO</v>
      </c>
      <c r="AX257" s="190" t="str">
        <f t="shared" si="124"/>
        <v>NO</v>
      </c>
      <c r="AY257" s="190" t="str">
        <f t="shared" si="109"/>
        <v>NO</v>
      </c>
      <c r="AZ257" s="190" t="str">
        <f t="shared" si="109"/>
        <v>NO</v>
      </c>
      <c r="BA257" s="190" t="str">
        <f t="shared" si="125"/>
        <v>NO</v>
      </c>
      <c r="BB257" s="190" t="str">
        <f t="shared" si="110"/>
        <v>NO</v>
      </c>
      <c r="BC257" s="190" t="str">
        <f t="shared" si="111"/>
        <v>NO</v>
      </c>
      <c r="BD257" s="190" t="str">
        <f t="shared" si="126"/>
        <v>NO</v>
      </c>
      <c r="BE257" s="190" t="str">
        <f t="shared" si="112"/>
        <v>NO</v>
      </c>
      <c r="BF257" s="190" t="str">
        <f t="shared" si="113"/>
        <v>NO</v>
      </c>
      <c r="BG257" s="190" t="str">
        <f t="shared" si="114"/>
        <v>NO</v>
      </c>
      <c r="BH257" s="88"/>
      <c r="BI257" s="9"/>
      <c r="BJ257" s="694" t="str">
        <f t="shared" si="131"/>
        <v/>
      </c>
      <c r="BK257" s="694" t="str">
        <f t="shared" si="131"/>
        <v/>
      </c>
      <c r="BL257" s="694" t="str">
        <f t="shared" si="132"/>
        <v/>
      </c>
      <c r="BM257" s="694" t="str">
        <f t="shared" si="132"/>
        <v/>
      </c>
      <c r="BN257" s="88"/>
      <c r="BO257" s="195"/>
      <c r="BP257" s="195"/>
      <c r="BQ257" s="195"/>
      <c r="BR257" s="195"/>
      <c r="BS257" s="195"/>
      <c r="BT257" s="195"/>
      <c r="BU257" s="195"/>
      <c r="BV257" s="195"/>
      <c r="BW257" s="195"/>
      <c r="BX257" s="195"/>
    </row>
    <row r="258" spans="1:76" s="124" customFormat="1" ht="15">
      <c r="A258" s="187">
        <v>56</v>
      </c>
      <c r="B258" s="187" t="s">
        <v>576</v>
      </c>
      <c r="C258" s="187" t="s">
        <v>597</v>
      </c>
      <c r="D258" s="187" t="s">
        <v>604</v>
      </c>
      <c r="E258" s="187" t="s">
        <v>385</v>
      </c>
      <c r="F258" s="187" t="s">
        <v>386</v>
      </c>
      <c r="G258" s="187" t="s">
        <v>393</v>
      </c>
      <c r="H258" s="187" t="b">
        <v>0</v>
      </c>
      <c r="I258" s="187" t="s">
        <v>388</v>
      </c>
      <c r="J258" s="187" t="s">
        <v>389</v>
      </c>
      <c r="K258" s="187" t="b">
        <v>0</v>
      </c>
      <c r="L258" s="187">
        <v>3.3</v>
      </c>
      <c r="M258" s="187">
        <v>0.53</v>
      </c>
      <c r="N258" s="187">
        <v>1.74</v>
      </c>
      <c r="O258" s="187">
        <v>3.9</v>
      </c>
      <c r="P258" s="187">
        <v>5.8</v>
      </c>
      <c r="Q258" s="187"/>
      <c r="R258" s="187"/>
      <c r="S258" s="187"/>
      <c r="T258" s="187"/>
      <c r="U258" s="187">
        <v>45.7</v>
      </c>
      <c r="V258" s="187">
        <v>2.0099999999999998</v>
      </c>
      <c r="W258" s="188">
        <v>39022</v>
      </c>
      <c r="X258" s="691">
        <f t="shared" si="133"/>
        <v>1.5735999999999999</v>
      </c>
      <c r="Y258" s="691">
        <f t="shared" si="107"/>
        <v>4.3848099999999999</v>
      </c>
      <c r="Z258" s="189"/>
      <c r="AA258" s="190">
        <f t="shared" si="115"/>
        <v>2006</v>
      </c>
      <c r="AB258" s="191">
        <f t="shared" si="116"/>
        <v>2.0971021860701575</v>
      </c>
      <c r="AC258" s="192">
        <f>IF(AB258="","",AB258*SFAssumptions!$C$3)</f>
        <v>538.35402262328421</v>
      </c>
      <c r="AD258" s="193">
        <f t="shared" si="117"/>
        <v>14.469872999999998</v>
      </c>
      <c r="AE258" s="194">
        <f>IF(AD258="","",AD258*SFAssumptions!$C$3)</f>
        <v>3714.6088484108996</v>
      </c>
      <c r="AF258" s="192">
        <f t="shared" si="106"/>
        <v>3.3</v>
      </c>
      <c r="AG258" s="192">
        <f t="shared" si="118"/>
        <v>4.3848099999999999</v>
      </c>
      <c r="AH258" s="192">
        <f t="shared" si="119"/>
        <v>1.5735999999999999</v>
      </c>
      <c r="AI258" s="692">
        <f ca="1">IF(AC258="","",AC258*SFAssumptions!$C$8/'SavingsData&amp;Analysis'!AF258)</f>
        <v>616.17184031501506</v>
      </c>
      <c r="AJ258" s="692">
        <f ca="1">IF(OR(AE258="",AF258=""),"",AE258*SFAssumptions!$C$8/AF258)</f>
        <v>4251.5468892064127</v>
      </c>
      <c r="AK258" s="191">
        <f t="shared" si="120"/>
        <v>1.6417910447761195</v>
      </c>
      <c r="AL258" s="692">
        <f>IF(AK258="","",AK258*SFAssumptions!$C$3)</f>
        <v>421.4695970149254</v>
      </c>
      <c r="AM258" s="193">
        <f t="shared" si="121"/>
        <v>12.87</v>
      </c>
      <c r="AN258" s="194">
        <f>IF(AM258="","",AM258*SFAssumptions!$C$3)</f>
        <v>3303.9001709999998</v>
      </c>
      <c r="AO258" s="693">
        <f t="shared" si="122"/>
        <v>3.9</v>
      </c>
      <c r="AP258" s="693">
        <f t="shared" si="123"/>
        <v>2.0099999999999998</v>
      </c>
      <c r="AQ258" s="692">
        <f ca="1">IF(AL258="","",AL258*SFAssumptions!$C$8/'SavingsData&amp;Analysis'!AF258)</f>
        <v>482.39204374114814</v>
      </c>
      <c r="AR258" s="692">
        <f ca="1">IF(OR(AN258="",AF258=""),"",AN258*SFAssumptions!$C$8/AF258)</f>
        <v>3781.4712308868598</v>
      </c>
      <c r="AS258" s="190" t="str">
        <f>IF(OR(AG258="",AH258=""),"No",IF(AND(G258="Horizontal",AH258&gt;='Eff. Standards &amp; Certifications'!$B$21,AG258&lt;='Eff. Standards &amp; Certifications'!$C$21),"Consider",IF(AND(G258="Vertical",AH258&gt;='Eff. Standards &amp; Certifications'!$B$20,AG258&lt;='Eff. Standards &amp; Certifications'!$C$20),"Consider","No")))</f>
        <v>Consider</v>
      </c>
      <c r="AT258" s="190" t="str">
        <f t="shared" si="108"/>
        <v>Residential</v>
      </c>
      <c r="AU258" s="190"/>
      <c r="AV258" s="190" t="str">
        <f t="shared" si="130"/>
        <v>YES</v>
      </c>
      <c r="AW258" s="190" t="str">
        <f t="shared" si="130"/>
        <v>NO</v>
      </c>
      <c r="AX258" s="190" t="str">
        <f t="shared" si="124"/>
        <v>YES</v>
      </c>
      <c r="AY258" s="190" t="str">
        <f t="shared" si="109"/>
        <v>YES</v>
      </c>
      <c r="AZ258" s="190" t="str">
        <f t="shared" si="109"/>
        <v>NO</v>
      </c>
      <c r="BA258" s="190" t="str">
        <f t="shared" si="125"/>
        <v>YES</v>
      </c>
      <c r="BB258" s="190" t="str">
        <f t="shared" si="110"/>
        <v>NO</v>
      </c>
      <c r="BC258" s="190" t="str">
        <f t="shared" si="111"/>
        <v>NO</v>
      </c>
      <c r="BD258" s="190" t="str">
        <f t="shared" si="126"/>
        <v>NO</v>
      </c>
      <c r="BE258" s="190" t="str">
        <f t="shared" si="112"/>
        <v>NO</v>
      </c>
      <c r="BF258" s="190" t="str">
        <f t="shared" si="113"/>
        <v>NO</v>
      </c>
      <c r="BG258" s="190" t="str">
        <f t="shared" si="114"/>
        <v>NO</v>
      </c>
      <c r="BH258" s="88"/>
      <c r="BI258" s="9"/>
      <c r="BJ258" s="694">
        <f t="shared" si="131"/>
        <v>1.5735999999999999</v>
      </c>
      <c r="BK258" s="694" t="str">
        <f t="shared" si="131"/>
        <v/>
      </c>
      <c r="BL258" s="694">
        <f t="shared" si="132"/>
        <v>4.3848099999999999</v>
      </c>
      <c r="BM258" s="694" t="str">
        <f t="shared" si="132"/>
        <v/>
      </c>
      <c r="BN258" s="88"/>
      <c r="BO258" s="195"/>
      <c r="BP258" s="195"/>
      <c r="BQ258" s="195"/>
      <c r="BR258" s="195"/>
      <c r="BS258" s="195"/>
      <c r="BT258" s="195"/>
      <c r="BU258" s="195"/>
      <c r="BV258" s="195"/>
      <c r="BW258" s="195"/>
      <c r="BX258" s="195"/>
    </row>
    <row r="259" spans="1:76" s="124" customFormat="1" ht="15">
      <c r="A259" s="187">
        <v>652</v>
      </c>
      <c r="B259" s="187" t="s">
        <v>576</v>
      </c>
      <c r="C259" s="187" t="s">
        <v>597</v>
      </c>
      <c r="D259" s="187" t="s">
        <v>605</v>
      </c>
      <c r="E259" s="187" t="s">
        <v>385</v>
      </c>
      <c r="F259" s="187" t="s">
        <v>386</v>
      </c>
      <c r="G259" s="187" t="s">
        <v>387</v>
      </c>
      <c r="H259" s="187" t="b">
        <v>0</v>
      </c>
      <c r="I259" s="187" t="s">
        <v>388</v>
      </c>
      <c r="J259" s="187" t="s">
        <v>389</v>
      </c>
      <c r="K259" s="187" t="b">
        <v>1</v>
      </c>
      <c r="L259" s="187">
        <v>3.5</v>
      </c>
      <c r="M259" s="187">
        <v>0.37</v>
      </c>
      <c r="N259" s="187">
        <v>13.09</v>
      </c>
      <c r="O259" s="187">
        <v>3.8</v>
      </c>
      <c r="P259" s="187">
        <v>9.36</v>
      </c>
      <c r="Q259" s="187"/>
      <c r="R259" s="187"/>
      <c r="S259" s="187"/>
      <c r="T259" s="187"/>
      <c r="U259" s="187">
        <v>35.1</v>
      </c>
      <c r="V259" s="187">
        <v>2.61</v>
      </c>
      <c r="W259" s="188">
        <v>40050</v>
      </c>
      <c r="X259" s="691">
        <f t="shared" si="133"/>
        <v>2.2135449999999999</v>
      </c>
      <c r="Y259" s="691">
        <f t="shared" si="107"/>
        <v>4.0091599999999996</v>
      </c>
      <c r="Z259" s="189"/>
      <c r="AA259" s="190">
        <f t="shared" si="115"/>
        <v>2009</v>
      </c>
      <c r="AB259" s="191">
        <f t="shared" si="116"/>
        <v>1.5811740895260771</v>
      </c>
      <c r="AC259" s="192">
        <f>IF(AB259="","",AB259*SFAssumptions!$C$3)</f>
        <v>405.9084183967347</v>
      </c>
      <c r="AD259" s="193">
        <f t="shared" si="117"/>
        <v>14.032059999999998</v>
      </c>
      <c r="AE259" s="194">
        <f>IF(AD259="","",AD259*SFAssumptions!$C$3)</f>
        <v>3602.2164283979996</v>
      </c>
      <c r="AF259" s="192">
        <f t="shared" si="106"/>
        <v>3.5</v>
      </c>
      <c r="AG259" s="192">
        <f t="shared" si="118"/>
        <v>4.0091599999999996</v>
      </c>
      <c r="AH259" s="192">
        <f t="shared" si="119"/>
        <v>2.2135449999999999</v>
      </c>
      <c r="AI259" s="692">
        <f ca="1">IF(AC259="","",AC259*SFAssumptions!$C$8/'SavingsData&amp;Analysis'!AF259)</f>
        <v>438.03401689132488</v>
      </c>
      <c r="AJ259" s="692">
        <f ca="1">IF(OR(AE259="",AF259=""),"",AE259*SFAssumptions!$C$8/AF259)</f>
        <v>3887.3136410313746</v>
      </c>
      <c r="AK259" s="191">
        <f t="shared" si="120"/>
        <v>1.3409961685823755</v>
      </c>
      <c r="AL259" s="692">
        <f>IF(AK259="","",AK259*SFAssumptions!$C$3)</f>
        <v>344.25155172413793</v>
      </c>
      <c r="AM259" s="193">
        <f t="shared" si="121"/>
        <v>13.299999999999999</v>
      </c>
      <c r="AN259" s="194">
        <f>IF(AM259="","",AM259*SFAssumptions!$C$3)</f>
        <v>3414.2868899999999</v>
      </c>
      <c r="AO259" s="693">
        <f t="shared" si="122"/>
        <v>3.8</v>
      </c>
      <c r="AP259" s="693">
        <f t="shared" si="123"/>
        <v>2.61</v>
      </c>
      <c r="AQ259" s="692">
        <f ca="1">IF(AL259="","",AL259*SFAssumptions!$C$8/'SavingsData&amp;Analysis'!AF259)</f>
        <v>371.49732104203355</v>
      </c>
      <c r="AR259" s="692">
        <f ca="1">IF(OR(AN259="",AF259=""),"",AN259*SFAssumptions!$C$8/AF259)</f>
        <v>3684.5104300948888</v>
      </c>
      <c r="AS259" s="190" t="str">
        <f>IF(OR(AG259="",AH259=""),"No",IF(AND(G259="Horizontal",AH259&gt;='Eff. Standards &amp; Certifications'!$B$21,AG259&lt;='Eff. Standards &amp; Certifications'!$C$21),"Consider",IF(AND(G259="Vertical",AH259&gt;='Eff. Standards &amp; Certifications'!$B$20,AG259&lt;='Eff. Standards &amp; Certifications'!$C$20),"Consider","No")))</f>
        <v>Consider</v>
      </c>
      <c r="AT259" s="190" t="str">
        <f t="shared" si="108"/>
        <v>Residential</v>
      </c>
      <c r="AU259" s="190"/>
      <c r="AV259" s="190" t="str">
        <f t="shared" si="130"/>
        <v>NO</v>
      </c>
      <c r="AW259" s="190" t="str">
        <f t="shared" si="130"/>
        <v>YES</v>
      </c>
      <c r="AX259" s="190" t="str">
        <f t="shared" si="124"/>
        <v>YES</v>
      </c>
      <c r="AY259" s="190" t="str">
        <f t="shared" si="109"/>
        <v>NO</v>
      </c>
      <c r="AZ259" s="190" t="str">
        <f t="shared" si="109"/>
        <v>YES</v>
      </c>
      <c r="BA259" s="190" t="str">
        <f t="shared" si="125"/>
        <v>YES</v>
      </c>
      <c r="BB259" s="190" t="str">
        <f t="shared" si="110"/>
        <v>NO</v>
      </c>
      <c r="BC259" s="190" t="str">
        <f t="shared" si="111"/>
        <v>NO</v>
      </c>
      <c r="BD259" s="190" t="str">
        <f t="shared" si="126"/>
        <v>NO</v>
      </c>
      <c r="BE259" s="190" t="str">
        <f t="shared" si="112"/>
        <v>NO</v>
      </c>
      <c r="BF259" s="190" t="str">
        <f t="shared" si="113"/>
        <v>NO</v>
      </c>
      <c r="BG259" s="190" t="str">
        <f t="shared" si="114"/>
        <v>NO</v>
      </c>
      <c r="BH259" s="88"/>
      <c r="BI259" s="9"/>
      <c r="BJ259" s="694" t="str">
        <f t="shared" si="131"/>
        <v/>
      </c>
      <c r="BK259" s="694">
        <f t="shared" si="131"/>
        <v>2.2135449999999999</v>
      </c>
      <c r="BL259" s="694" t="str">
        <f t="shared" si="132"/>
        <v/>
      </c>
      <c r="BM259" s="694">
        <f t="shared" si="132"/>
        <v>4.0091599999999996</v>
      </c>
      <c r="BN259" s="88"/>
      <c r="BO259" s="195"/>
      <c r="BP259" s="195"/>
      <c r="BQ259" s="195"/>
      <c r="BR259" s="195"/>
      <c r="BS259" s="195"/>
      <c r="BT259" s="195"/>
      <c r="BU259" s="195"/>
      <c r="BV259" s="195"/>
      <c r="BW259" s="195"/>
      <c r="BX259" s="195"/>
    </row>
    <row r="260" spans="1:76" s="124" customFormat="1" ht="15">
      <c r="A260" s="187">
        <v>4895</v>
      </c>
      <c r="B260" s="187" t="s">
        <v>576</v>
      </c>
      <c r="C260" s="187" t="s">
        <v>597</v>
      </c>
      <c r="D260" s="187" t="s">
        <v>606</v>
      </c>
      <c r="E260" s="187" t="s">
        <v>385</v>
      </c>
      <c r="F260" s="187" t="s">
        <v>386</v>
      </c>
      <c r="G260" s="187" t="s">
        <v>387</v>
      </c>
      <c r="H260" s="187" t="b">
        <v>0</v>
      </c>
      <c r="I260" s="187" t="s">
        <v>388</v>
      </c>
      <c r="J260" s="187" t="s">
        <v>389</v>
      </c>
      <c r="K260" s="187" t="b">
        <v>1</v>
      </c>
      <c r="L260" s="187">
        <v>3.4</v>
      </c>
      <c r="M260" s="187">
        <v>0.41</v>
      </c>
      <c r="N260" s="187">
        <v>11.25</v>
      </c>
      <c r="O260" s="187">
        <v>3.3</v>
      </c>
      <c r="P260" s="187">
        <v>8.44</v>
      </c>
      <c r="Q260" s="187"/>
      <c r="R260" s="187"/>
      <c r="S260" s="187"/>
      <c r="T260" s="187"/>
      <c r="U260" s="187">
        <v>37.799999999999997</v>
      </c>
      <c r="V260" s="187">
        <v>2.4700000000000002</v>
      </c>
      <c r="W260" s="188">
        <v>40632</v>
      </c>
      <c r="X260" s="691">
        <f t="shared" si="133"/>
        <v>2.085515</v>
      </c>
      <c r="Y260" s="691">
        <f t="shared" si="107"/>
        <v>3.4970599999999998</v>
      </c>
      <c r="Z260" s="189"/>
      <c r="AA260" s="190">
        <f t="shared" si="115"/>
        <v>2011</v>
      </c>
      <c r="AB260" s="191">
        <f t="shared" si="116"/>
        <v>1.630292757424425</v>
      </c>
      <c r="AC260" s="192">
        <f>IF(AB260="","",AB260*SFAssumptions!$C$3)</f>
        <v>418.51783372452365</v>
      </c>
      <c r="AD260" s="193">
        <f t="shared" si="117"/>
        <v>11.890003999999999</v>
      </c>
      <c r="AE260" s="194">
        <f>IF(AD260="","",AD260*SFAssumptions!$C$3)</f>
        <v>3052.3221638532</v>
      </c>
      <c r="AF260" s="192">
        <f t="shared" si="106"/>
        <v>3.4</v>
      </c>
      <c r="AG260" s="192">
        <f t="shared" si="118"/>
        <v>3.4970599999999998</v>
      </c>
      <c r="AH260" s="192">
        <f t="shared" si="119"/>
        <v>2.085515</v>
      </c>
      <c r="AI260" s="692">
        <f ca="1">IF(AC260="","",AC260*SFAssumptions!$C$8/'SavingsData&amp;Analysis'!AF260)</f>
        <v>464.92497436830115</v>
      </c>
      <c r="AJ260" s="692">
        <f ca="1">IF(OR(AE260="",AF260=""),"",AE260*SFAssumptions!$C$8/AF260)</f>
        <v>3390.777380175693</v>
      </c>
      <c r="AK260" s="191">
        <f t="shared" si="120"/>
        <v>1.3765182186234817</v>
      </c>
      <c r="AL260" s="692">
        <f>IF(AK260="","",AK260*SFAssumptions!$C$3)</f>
        <v>353.37053441295546</v>
      </c>
      <c r="AM260" s="193">
        <f t="shared" si="121"/>
        <v>11.219999999999999</v>
      </c>
      <c r="AN260" s="194">
        <f>IF(AM260="","",AM260*SFAssumptions!$C$3)</f>
        <v>2880.323226</v>
      </c>
      <c r="AO260" s="693">
        <f t="shared" si="122"/>
        <v>3.3</v>
      </c>
      <c r="AP260" s="693">
        <f t="shared" si="123"/>
        <v>2.4700000000000002</v>
      </c>
      <c r="AQ260" s="692">
        <f ca="1">IF(AL260="","",AL260*SFAssumptions!$C$8/'SavingsData&amp;Analysis'!AF260)</f>
        <v>392.5538493602055</v>
      </c>
      <c r="AR260" s="692">
        <f ca="1">IF(OR(AN260="",AF260=""),"",AN260*SFAssumptions!$C$8/AF260)</f>
        <v>3199.7064261350351</v>
      </c>
      <c r="AS260" s="190" t="str">
        <f>IF(OR(AG260="",AH260=""),"No",IF(AND(G260="Horizontal",AH260&gt;='Eff. Standards &amp; Certifications'!$B$21,AG260&lt;='Eff. Standards &amp; Certifications'!$C$21),"Consider",IF(AND(G260="Vertical",AH260&gt;='Eff. Standards &amp; Certifications'!$B$20,AG260&lt;='Eff. Standards &amp; Certifications'!$C$20),"Consider","No")))</f>
        <v>Consider</v>
      </c>
      <c r="AT260" s="190" t="str">
        <f t="shared" si="108"/>
        <v>Residential</v>
      </c>
      <c r="AU260" s="190"/>
      <c r="AV260" s="190" t="str">
        <f t="shared" si="130"/>
        <v>NO</v>
      </c>
      <c r="AW260" s="190" t="str">
        <f t="shared" si="130"/>
        <v>YES</v>
      </c>
      <c r="AX260" s="190" t="str">
        <f t="shared" si="124"/>
        <v>YES</v>
      </c>
      <c r="AY260" s="190" t="str">
        <f t="shared" si="109"/>
        <v>NO</v>
      </c>
      <c r="AZ260" s="190" t="str">
        <f t="shared" si="109"/>
        <v>YES</v>
      </c>
      <c r="BA260" s="190" t="str">
        <f t="shared" si="125"/>
        <v>YES</v>
      </c>
      <c r="BB260" s="190" t="str">
        <f t="shared" si="110"/>
        <v>NO</v>
      </c>
      <c r="BC260" s="190" t="str">
        <f t="shared" si="111"/>
        <v>NO</v>
      </c>
      <c r="BD260" s="190" t="str">
        <f t="shared" si="126"/>
        <v>NO</v>
      </c>
      <c r="BE260" s="190" t="str">
        <f t="shared" si="112"/>
        <v>NO</v>
      </c>
      <c r="BF260" s="190" t="str">
        <f t="shared" si="113"/>
        <v>NO</v>
      </c>
      <c r="BG260" s="190" t="str">
        <f t="shared" si="114"/>
        <v>NO</v>
      </c>
      <c r="BH260" s="88"/>
      <c r="BI260" s="9"/>
      <c r="BJ260" s="694" t="str">
        <f t="shared" si="131"/>
        <v/>
      </c>
      <c r="BK260" s="694">
        <f t="shared" si="131"/>
        <v>2.085515</v>
      </c>
      <c r="BL260" s="694" t="str">
        <f t="shared" si="132"/>
        <v/>
      </c>
      <c r="BM260" s="694">
        <f t="shared" si="132"/>
        <v>3.4970599999999998</v>
      </c>
      <c r="BN260" s="88"/>
      <c r="BO260" s="195"/>
      <c r="BP260" s="195"/>
      <c r="BQ260" s="195"/>
      <c r="BR260" s="195"/>
      <c r="BS260" s="195"/>
      <c r="BT260" s="195"/>
      <c r="BU260" s="195"/>
      <c r="BV260" s="195"/>
      <c r="BW260" s="195"/>
      <c r="BX260" s="195"/>
    </row>
    <row r="261" spans="1:76" s="124" customFormat="1" ht="15">
      <c r="A261" s="187">
        <v>3396</v>
      </c>
      <c r="B261" s="187" t="s">
        <v>576</v>
      </c>
      <c r="C261" s="187" t="s">
        <v>597</v>
      </c>
      <c r="D261" s="187" t="s">
        <v>607</v>
      </c>
      <c r="E261" s="187" t="s">
        <v>385</v>
      </c>
      <c r="F261" s="187" t="s">
        <v>386</v>
      </c>
      <c r="G261" s="187" t="s">
        <v>387</v>
      </c>
      <c r="H261" s="187" t="b">
        <v>0</v>
      </c>
      <c r="I261" s="187" t="s">
        <v>388</v>
      </c>
      <c r="J261" s="187" t="s">
        <v>389</v>
      </c>
      <c r="K261" s="187" t="b">
        <v>1</v>
      </c>
      <c r="L261" s="187">
        <v>3.4</v>
      </c>
      <c r="M261" s="187">
        <v>0.33</v>
      </c>
      <c r="N261" s="187">
        <v>11.01</v>
      </c>
      <c r="O261" s="187">
        <v>3.2</v>
      </c>
      <c r="P261" s="187">
        <v>10.39</v>
      </c>
      <c r="Q261" s="187"/>
      <c r="R261" s="187"/>
      <c r="S261" s="187"/>
      <c r="T261" s="187"/>
      <c r="U261" s="187">
        <v>35.299999999999997</v>
      </c>
      <c r="V261" s="187">
        <v>2.65</v>
      </c>
      <c r="W261" s="188">
        <v>39955</v>
      </c>
      <c r="X261" s="691">
        <f t="shared" si="133"/>
        <v>2.2501249999999997</v>
      </c>
      <c r="Y261" s="691">
        <f t="shared" si="107"/>
        <v>3.3946400000000003</v>
      </c>
      <c r="Z261" s="189"/>
      <c r="AA261" s="190">
        <f t="shared" si="115"/>
        <v>2009</v>
      </c>
      <c r="AB261" s="191">
        <f t="shared" si="116"/>
        <v>1.5110271651574914</v>
      </c>
      <c r="AC261" s="192">
        <f>IF(AB261="","",AB261*SFAssumptions!$C$3)</f>
        <v>387.90076995722461</v>
      </c>
      <c r="AD261" s="193">
        <f t="shared" si="117"/>
        <v>11.541776</v>
      </c>
      <c r="AE261" s="194">
        <f>IF(AD261="","",AD261*SFAssumptions!$C$3)</f>
        <v>2962.9274048208003</v>
      </c>
      <c r="AF261" s="192">
        <f t="shared" si="106"/>
        <v>3.4</v>
      </c>
      <c r="AG261" s="192">
        <f t="shared" si="118"/>
        <v>3.3946400000000003</v>
      </c>
      <c r="AH261" s="192">
        <f t="shared" si="119"/>
        <v>2.2501249999999997</v>
      </c>
      <c r="AI261" s="692">
        <f ca="1">IF(AC261="","",AC261*SFAssumptions!$C$8/'SavingsData&amp;Analysis'!AF261)</f>
        <v>430.91295280027003</v>
      </c>
      <c r="AJ261" s="692">
        <f ca="1">IF(OR(AE261="",AF261=""),"",AE261*SFAssumptions!$C$8/AF261)</f>
        <v>3291.470128004557</v>
      </c>
      <c r="AK261" s="191">
        <f t="shared" si="120"/>
        <v>1.2830188679245282</v>
      </c>
      <c r="AL261" s="692">
        <f>IF(AK261="","",AK261*SFAssumptions!$C$3)</f>
        <v>329.36800754716978</v>
      </c>
      <c r="AM261" s="193">
        <f t="shared" si="121"/>
        <v>10.88</v>
      </c>
      <c r="AN261" s="194">
        <f>IF(AM261="","",AM261*SFAssumptions!$C$3)</f>
        <v>2793.0407040000005</v>
      </c>
      <c r="AO261" s="693">
        <f t="shared" si="122"/>
        <v>3.2</v>
      </c>
      <c r="AP261" s="693">
        <f t="shared" si="123"/>
        <v>2.65</v>
      </c>
      <c r="AQ261" s="692">
        <f ca="1">IF(AL261="","",AL261*SFAssumptions!$C$8/'SavingsData&amp;Analysis'!AF261)</f>
        <v>365.88981430932364</v>
      </c>
      <c r="AR261" s="692">
        <f ca="1">IF(OR(AN261="",AF261=""),"",AN261*SFAssumptions!$C$8/AF261)</f>
        <v>3102.7456253430651</v>
      </c>
      <c r="AS261" s="190" t="str">
        <f>IF(OR(AG261="",AH261=""),"No",IF(AND(G261="Horizontal",AH261&gt;='Eff. Standards &amp; Certifications'!$B$21,AG261&lt;='Eff. Standards &amp; Certifications'!$C$21),"Consider",IF(AND(G261="Vertical",AH261&gt;='Eff. Standards &amp; Certifications'!$B$20,AG261&lt;='Eff. Standards &amp; Certifications'!$C$20),"Consider","No")))</f>
        <v>Consider</v>
      </c>
      <c r="AT261" s="190" t="str">
        <f t="shared" si="108"/>
        <v>Residential</v>
      </c>
      <c r="AU261" s="190"/>
      <c r="AV261" s="190" t="str">
        <f t="shared" si="130"/>
        <v>NO</v>
      </c>
      <c r="AW261" s="190" t="str">
        <f t="shared" si="130"/>
        <v>YES</v>
      </c>
      <c r="AX261" s="190" t="str">
        <f t="shared" si="124"/>
        <v>YES</v>
      </c>
      <c r="AY261" s="190" t="str">
        <f t="shared" si="109"/>
        <v>NO</v>
      </c>
      <c r="AZ261" s="190" t="str">
        <f t="shared" si="109"/>
        <v>YES</v>
      </c>
      <c r="BA261" s="190" t="str">
        <f t="shared" si="125"/>
        <v>YES</v>
      </c>
      <c r="BB261" s="190" t="str">
        <f t="shared" si="110"/>
        <v>NO</v>
      </c>
      <c r="BC261" s="190" t="str">
        <f t="shared" si="111"/>
        <v>NO</v>
      </c>
      <c r="BD261" s="190" t="str">
        <f t="shared" si="126"/>
        <v>NO</v>
      </c>
      <c r="BE261" s="190" t="str">
        <f t="shared" si="112"/>
        <v>NO</v>
      </c>
      <c r="BF261" s="190" t="str">
        <f t="shared" si="113"/>
        <v>NO</v>
      </c>
      <c r="BG261" s="190" t="str">
        <f t="shared" si="114"/>
        <v>NO</v>
      </c>
      <c r="BH261" s="88"/>
      <c r="BI261" s="9"/>
      <c r="BJ261" s="694" t="str">
        <f t="shared" si="131"/>
        <v/>
      </c>
      <c r="BK261" s="694">
        <f t="shared" si="131"/>
        <v>2.2501249999999997</v>
      </c>
      <c r="BL261" s="694" t="str">
        <f t="shared" si="132"/>
        <v/>
      </c>
      <c r="BM261" s="694">
        <f t="shared" si="132"/>
        <v>3.3946400000000003</v>
      </c>
      <c r="BN261" s="88"/>
      <c r="BO261" s="195"/>
      <c r="BP261" s="195"/>
      <c r="BQ261" s="195"/>
      <c r="BR261" s="195"/>
      <c r="BS261" s="195"/>
      <c r="BT261" s="195"/>
      <c r="BU261" s="195"/>
      <c r="BV261" s="195"/>
      <c r="BW261" s="195"/>
      <c r="BX261" s="195"/>
    </row>
    <row r="262" spans="1:76" s="124" customFormat="1" ht="15">
      <c r="A262" s="187">
        <v>5095</v>
      </c>
      <c r="B262" s="187" t="s">
        <v>576</v>
      </c>
      <c r="C262" s="187" t="s">
        <v>597</v>
      </c>
      <c r="D262" s="187" t="s">
        <v>608</v>
      </c>
      <c r="E262" s="187" t="s">
        <v>385</v>
      </c>
      <c r="F262" s="187" t="s">
        <v>386</v>
      </c>
      <c r="G262" s="187" t="s">
        <v>387</v>
      </c>
      <c r="H262" s="187" t="b">
        <v>0</v>
      </c>
      <c r="I262" s="187" t="s">
        <v>388</v>
      </c>
      <c r="J262" s="187" t="s">
        <v>389</v>
      </c>
      <c r="K262" s="187" t="b">
        <v>1</v>
      </c>
      <c r="L262" s="187">
        <v>3.5</v>
      </c>
      <c r="M262" s="187">
        <v>0.25</v>
      </c>
      <c r="N262" s="187">
        <v>11.03</v>
      </c>
      <c r="O262" s="187">
        <v>3.2</v>
      </c>
      <c r="P262" s="187">
        <v>13.86</v>
      </c>
      <c r="Q262" s="187"/>
      <c r="R262" s="187"/>
      <c r="S262" s="187"/>
      <c r="T262" s="187"/>
      <c r="U262" s="187">
        <v>36</v>
      </c>
      <c r="V262" s="187">
        <v>2.8</v>
      </c>
      <c r="W262" s="188">
        <v>40672</v>
      </c>
      <c r="X262" s="691">
        <f t="shared" si="133"/>
        <v>2.3872999999999998</v>
      </c>
      <c r="Y262" s="691">
        <f t="shared" si="107"/>
        <v>3.3946400000000003</v>
      </c>
      <c r="Z262" s="189"/>
      <c r="AA262" s="190">
        <f t="shared" si="115"/>
        <v>2011</v>
      </c>
      <c r="AB262" s="191">
        <f t="shared" si="116"/>
        <v>1.4660914003267291</v>
      </c>
      <c r="AC262" s="192">
        <f>IF(AB262="","",AB262*SFAssumptions!$C$3)</f>
        <v>376.36516147949573</v>
      </c>
      <c r="AD262" s="193">
        <f t="shared" si="117"/>
        <v>11.881240000000002</v>
      </c>
      <c r="AE262" s="194">
        <f>IF(AD262="","",AD262*SFAssumptions!$C$3)</f>
        <v>3050.0723284920005</v>
      </c>
      <c r="AF262" s="192">
        <f t="shared" si="106"/>
        <v>3.5</v>
      </c>
      <c r="AG262" s="192">
        <f t="shared" si="118"/>
        <v>3.3946400000000003</v>
      </c>
      <c r="AH262" s="192">
        <f t="shared" si="119"/>
        <v>2.3872999999999998</v>
      </c>
      <c r="AI262" s="692">
        <f ca="1">IF(AC262="","",AC262*SFAssumptions!$C$8/'SavingsData&amp;Analysis'!AF262)</f>
        <v>406.15256059971847</v>
      </c>
      <c r="AJ262" s="692">
        <f ca="1">IF(OR(AE262="",AF262=""),"",AE262*SFAssumptions!$C$8/AF262)</f>
        <v>3291.470128004557</v>
      </c>
      <c r="AK262" s="191">
        <f t="shared" si="120"/>
        <v>1.25</v>
      </c>
      <c r="AL262" s="692">
        <f>IF(AK262="","",AK262*SFAssumptions!$C$3)</f>
        <v>320.89162499999998</v>
      </c>
      <c r="AM262" s="193">
        <f t="shared" si="121"/>
        <v>11.200000000000001</v>
      </c>
      <c r="AN262" s="194">
        <f>IF(AM262="","",AM262*SFAssumptions!$C$3)</f>
        <v>2875.1889600000004</v>
      </c>
      <c r="AO262" s="693">
        <f t="shared" si="122"/>
        <v>3.2</v>
      </c>
      <c r="AP262" s="693">
        <f t="shared" si="123"/>
        <v>2.8</v>
      </c>
      <c r="AQ262" s="692">
        <f ca="1">IF(AL262="","",AL262*SFAssumptions!$C$8/'SavingsData&amp;Analysis'!AF262)</f>
        <v>346.28857425703842</v>
      </c>
      <c r="AR262" s="692">
        <f ca="1">IF(OR(AN262="",AF262=""),"",AN262*SFAssumptions!$C$8/AF262)</f>
        <v>3102.7456253430651</v>
      </c>
      <c r="AS262" s="190" t="str">
        <f>IF(OR(AG262="",AH262=""),"No",IF(AND(G262="Horizontal",AH262&gt;='Eff. Standards &amp; Certifications'!$B$21,AG262&lt;='Eff. Standards &amp; Certifications'!$C$21),"Consider",IF(AND(G262="Vertical",AH262&gt;='Eff. Standards &amp; Certifications'!$B$20,AG262&lt;='Eff. Standards &amp; Certifications'!$C$20),"Consider","No")))</f>
        <v>Consider</v>
      </c>
      <c r="AT262" s="190" t="str">
        <f t="shared" si="108"/>
        <v>Residential</v>
      </c>
      <c r="AU262" s="190"/>
      <c r="AV262" s="190" t="str">
        <f t="shared" si="130"/>
        <v>NO</v>
      </c>
      <c r="AW262" s="190" t="str">
        <f t="shared" si="130"/>
        <v>YES</v>
      </c>
      <c r="AX262" s="190" t="str">
        <f t="shared" si="124"/>
        <v>YES</v>
      </c>
      <c r="AY262" s="190" t="str">
        <f t="shared" si="109"/>
        <v>NO</v>
      </c>
      <c r="AZ262" s="190" t="str">
        <f t="shared" si="109"/>
        <v>NO</v>
      </c>
      <c r="BA262" s="190" t="str">
        <f t="shared" si="125"/>
        <v>NO</v>
      </c>
      <c r="BB262" s="190" t="str">
        <f t="shared" si="110"/>
        <v>NO</v>
      </c>
      <c r="BC262" s="190" t="str">
        <f t="shared" si="111"/>
        <v>YES</v>
      </c>
      <c r="BD262" s="190" t="str">
        <f t="shared" si="126"/>
        <v>YES</v>
      </c>
      <c r="BE262" s="190" t="str">
        <f t="shared" si="112"/>
        <v>YES</v>
      </c>
      <c r="BF262" s="190" t="str">
        <f t="shared" si="113"/>
        <v>NO</v>
      </c>
      <c r="BG262" s="190" t="str">
        <f t="shared" si="114"/>
        <v>NO</v>
      </c>
      <c r="BH262" s="88"/>
      <c r="BI262" s="9"/>
      <c r="BJ262" s="694" t="str">
        <f t="shared" si="131"/>
        <v/>
      </c>
      <c r="BK262" s="694">
        <f t="shared" si="131"/>
        <v>2.3872999999999998</v>
      </c>
      <c r="BL262" s="694" t="str">
        <f t="shared" si="132"/>
        <v/>
      </c>
      <c r="BM262" s="694">
        <f t="shared" si="132"/>
        <v>3.3946400000000003</v>
      </c>
      <c r="BN262" s="88"/>
      <c r="BO262" s="195"/>
      <c r="BP262" s="195"/>
      <c r="BQ262" s="195"/>
      <c r="BR262" s="195"/>
      <c r="BS262" s="195"/>
      <c r="BT262" s="195"/>
      <c r="BU262" s="195"/>
      <c r="BV262" s="195"/>
      <c r="BW262" s="195"/>
      <c r="BX262" s="195"/>
    </row>
    <row r="263" spans="1:76" s="124" customFormat="1" ht="15">
      <c r="A263" s="187">
        <v>1408</v>
      </c>
      <c r="B263" s="187" t="s">
        <v>576</v>
      </c>
      <c r="C263" s="187" t="s">
        <v>597</v>
      </c>
      <c r="D263" s="187" t="s">
        <v>609</v>
      </c>
      <c r="E263" s="187" t="s">
        <v>385</v>
      </c>
      <c r="F263" s="187" t="s">
        <v>386</v>
      </c>
      <c r="G263" s="187" t="s">
        <v>393</v>
      </c>
      <c r="H263" s="187" t="b">
        <v>0</v>
      </c>
      <c r="I263" s="187" t="s">
        <v>388</v>
      </c>
      <c r="J263" s="187" t="s">
        <v>389</v>
      </c>
      <c r="K263" s="187" t="b">
        <v>0</v>
      </c>
      <c r="L263" s="187">
        <v>3.3</v>
      </c>
      <c r="M263" s="187">
        <v>0.54</v>
      </c>
      <c r="N263" s="187">
        <v>1.74</v>
      </c>
      <c r="O263" s="187">
        <v>4</v>
      </c>
      <c r="P263" s="187">
        <v>5.8</v>
      </c>
      <c r="Q263" s="187"/>
      <c r="R263" s="187"/>
      <c r="S263" s="187"/>
      <c r="T263" s="187"/>
      <c r="U263" s="187">
        <v>45.7</v>
      </c>
      <c r="V263" s="187">
        <v>1.97</v>
      </c>
      <c r="W263" s="188">
        <v>38763</v>
      </c>
      <c r="X263" s="691">
        <f t="shared" si="133"/>
        <v>1.5339999999999998</v>
      </c>
      <c r="Y263" s="691">
        <f t="shared" si="107"/>
        <v>4.4836999999999998</v>
      </c>
      <c r="Z263" s="189"/>
      <c r="AA263" s="190">
        <f t="shared" si="115"/>
        <v>2006</v>
      </c>
      <c r="AB263" s="191">
        <f t="shared" si="116"/>
        <v>2.1512385919165582</v>
      </c>
      <c r="AC263" s="192">
        <f>IF(AB263="","",AB263*SFAssumptions!$C$3)</f>
        <v>552.25155801825304</v>
      </c>
      <c r="AD263" s="193">
        <f t="shared" si="117"/>
        <v>14.796209999999999</v>
      </c>
      <c r="AE263" s="194">
        <f>IF(AD263="","",AD263*SFAssumptions!$C$3)</f>
        <v>3798.3838965929995</v>
      </c>
      <c r="AF263" s="192">
        <f t="shared" si="106"/>
        <v>3.3</v>
      </c>
      <c r="AG263" s="192">
        <f t="shared" si="118"/>
        <v>4.4836999999999998</v>
      </c>
      <c r="AH263" s="192">
        <f t="shared" si="119"/>
        <v>1.5339999999999998</v>
      </c>
      <c r="AI263" s="692">
        <f ca="1">IF(AC263="","",AC263*SFAssumptions!$C$8/'SavingsData&amp;Analysis'!AF263)</f>
        <v>632.07823202067016</v>
      </c>
      <c r="AJ263" s="692">
        <f ca="1">IF(OR(AE263="",AF263=""),"",AE263*SFAssumptions!$C$8/AF263)</f>
        <v>4347.431425109593</v>
      </c>
      <c r="AK263" s="191">
        <f t="shared" si="120"/>
        <v>1.6751269035532994</v>
      </c>
      <c r="AL263" s="692">
        <f>IF(AK263="","",AK263*SFAssumptions!$C$3)</f>
        <v>430.02735532994922</v>
      </c>
      <c r="AM263" s="193">
        <f t="shared" si="121"/>
        <v>13.2</v>
      </c>
      <c r="AN263" s="194">
        <f>IF(AM263="","",AM263*SFAssumptions!$C$3)</f>
        <v>3388.6155599999997</v>
      </c>
      <c r="AO263" s="693">
        <f t="shared" si="122"/>
        <v>4</v>
      </c>
      <c r="AP263" s="693">
        <f t="shared" si="123"/>
        <v>1.97</v>
      </c>
      <c r="AQ263" s="692">
        <f ca="1">IF(AL263="","",AL263*SFAssumptions!$C$8/'SavingsData&amp;Analysis'!AF263)</f>
        <v>492.18680605061303</v>
      </c>
      <c r="AR263" s="692">
        <f ca="1">IF(OR(AN263="",AF263=""),"",AN263*SFAssumptions!$C$8/AF263)</f>
        <v>3878.4320316788308</v>
      </c>
      <c r="AS263" s="190" t="str">
        <f>IF(OR(AG263="",AH263=""),"No",IF(AND(G263="Horizontal",AH263&gt;='Eff. Standards &amp; Certifications'!$B$21,AG263&lt;='Eff. Standards &amp; Certifications'!$C$21),"Consider",IF(AND(G263="Vertical",AH263&gt;='Eff. Standards &amp; Certifications'!$B$20,AG263&lt;='Eff. Standards &amp; Certifications'!$C$20),"Consider","No")))</f>
        <v>Consider</v>
      </c>
      <c r="AT263" s="190" t="str">
        <f t="shared" si="108"/>
        <v>Residential</v>
      </c>
      <c r="AU263" s="190"/>
      <c r="AV263" s="190" t="str">
        <f t="shared" ref="AV263:AW282" si="134">IF(AND($G263=AV$18,$AS263="Consider",$AT263="Residential",$AH263&gt;=AV$3,$AH263&lt;=AV$4,$AG263&gt;=AV$5,$AG263&lt;=AV$6),"YES","NO")</f>
        <v>YES</v>
      </c>
      <c r="AW263" s="190" t="str">
        <f t="shared" si="134"/>
        <v>NO</v>
      </c>
      <c r="AX263" s="190" t="str">
        <f t="shared" si="124"/>
        <v>YES</v>
      </c>
      <c r="AY263" s="190" t="str">
        <f t="shared" si="109"/>
        <v>YES</v>
      </c>
      <c r="AZ263" s="190" t="str">
        <f t="shared" si="109"/>
        <v>NO</v>
      </c>
      <c r="BA263" s="190" t="str">
        <f t="shared" si="125"/>
        <v>YES</v>
      </c>
      <c r="BB263" s="190" t="str">
        <f t="shared" si="110"/>
        <v>NO</v>
      </c>
      <c r="BC263" s="190" t="str">
        <f t="shared" si="111"/>
        <v>NO</v>
      </c>
      <c r="BD263" s="190" t="str">
        <f t="shared" si="126"/>
        <v>NO</v>
      </c>
      <c r="BE263" s="190" t="str">
        <f t="shared" si="112"/>
        <v>NO</v>
      </c>
      <c r="BF263" s="190" t="str">
        <f t="shared" si="113"/>
        <v>NO</v>
      </c>
      <c r="BG263" s="190" t="str">
        <f t="shared" si="114"/>
        <v>NO</v>
      </c>
      <c r="BH263" s="88"/>
      <c r="BI263" s="9"/>
      <c r="BJ263" s="694">
        <f t="shared" ref="BJ263:BK282" si="135">IF(AND($G263=BJ$21,$AT263="Residential",$AS263="Consider"),$X263,"")</f>
        <v>1.5339999999999998</v>
      </c>
      <c r="BK263" s="694" t="str">
        <f t="shared" si="135"/>
        <v/>
      </c>
      <c r="BL263" s="694">
        <f t="shared" ref="BL263:BM282" si="136">IF(AND($G263=BL$21,$AT263="Residential",$AS263="Consider"),$Y263,"")</f>
        <v>4.4836999999999998</v>
      </c>
      <c r="BM263" s="694" t="str">
        <f t="shared" si="136"/>
        <v/>
      </c>
      <c r="BN263" s="88"/>
      <c r="BO263" s="195"/>
      <c r="BP263" s="195"/>
      <c r="BQ263" s="195"/>
      <c r="BR263" s="195"/>
      <c r="BS263" s="195"/>
      <c r="BT263" s="195"/>
      <c r="BU263" s="195"/>
      <c r="BV263" s="195"/>
      <c r="BW263" s="195"/>
      <c r="BX263" s="195"/>
    </row>
    <row r="264" spans="1:76" s="124" customFormat="1" ht="15">
      <c r="A264" s="187">
        <v>1407</v>
      </c>
      <c r="B264" s="187" t="s">
        <v>576</v>
      </c>
      <c r="C264" s="187" t="s">
        <v>597</v>
      </c>
      <c r="D264" s="187" t="s">
        <v>610</v>
      </c>
      <c r="E264" s="187" t="s">
        <v>385</v>
      </c>
      <c r="F264" s="187" t="s">
        <v>386</v>
      </c>
      <c r="G264" s="187" t="s">
        <v>393</v>
      </c>
      <c r="H264" s="187" t="b">
        <v>0</v>
      </c>
      <c r="I264" s="187" t="s">
        <v>388</v>
      </c>
      <c r="J264" s="187" t="s">
        <v>389</v>
      </c>
      <c r="K264" s="187" t="b">
        <v>0</v>
      </c>
      <c r="L264" s="187">
        <v>3.3</v>
      </c>
      <c r="M264" s="187">
        <v>0.56000000000000005</v>
      </c>
      <c r="N264" s="187">
        <v>1.68</v>
      </c>
      <c r="O264" s="187">
        <v>3.9</v>
      </c>
      <c r="P264" s="187">
        <v>5.93</v>
      </c>
      <c r="Q264" s="187"/>
      <c r="R264" s="187"/>
      <c r="S264" s="187"/>
      <c r="T264" s="187"/>
      <c r="U264" s="187">
        <v>44</v>
      </c>
      <c r="V264" s="187">
        <v>2.06</v>
      </c>
      <c r="W264" s="188">
        <v>38763</v>
      </c>
      <c r="X264" s="691">
        <f t="shared" si="133"/>
        <v>1.6231</v>
      </c>
      <c r="Y264" s="691">
        <f t="shared" si="107"/>
        <v>4.3848099999999999</v>
      </c>
      <c r="Z264" s="189"/>
      <c r="AA264" s="190">
        <f t="shared" si="115"/>
        <v>2006</v>
      </c>
      <c r="AB264" s="191">
        <f t="shared" si="116"/>
        <v>2.0331464481547656</v>
      </c>
      <c r="AC264" s="192">
        <f>IF(AB264="","",AB264*SFAssumptions!$C$3)</f>
        <v>521.93573408908878</v>
      </c>
      <c r="AD264" s="193">
        <f t="shared" si="117"/>
        <v>14.469872999999998</v>
      </c>
      <c r="AE264" s="194">
        <f>IF(AD264="","",AD264*SFAssumptions!$C$3)</f>
        <v>3714.6088484108996</v>
      </c>
      <c r="AF264" s="192">
        <f t="shared" si="106"/>
        <v>3.3</v>
      </c>
      <c r="AG264" s="192">
        <f t="shared" si="118"/>
        <v>4.3848099999999999</v>
      </c>
      <c r="AH264" s="192">
        <f t="shared" si="119"/>
        <v>1.6231</v>
      </c>
      <c r="AI264" s="692">
        <f ca="1">IF(AC264="","",AC264*SFAssumptions!$C$8/'SavingsData&amp;Analysis'!AF264)</f>
        <v>597.3803264861732</v>
      </c>
      <c r="AJ264" s="692">
        <f ca="1">IF(OR(AE264="",AF264=""),"",AE264*SFAssumptions!$C$8/AF264)</f>
        <v>4251.5468892064127</v>
      </c>
      <c r="AK264" s="191">
        <f t="shared" si="120"/>
        <v>1.6019417475728155</v>
      </c>
      <c r="AL264" s="692">
        <f>IF(AK264="","",AK264*SFAssumptions!$C$3)</f>
        <v>411.23975242718444</v>
      </c>
      <c r="AM264" s="193">
        <f t="shared" si="121"/>
        <v>12.87</v>
      </c>
      <c r="AN264" s="194">
        <f>IF(AM264="","",AM264*SFAssumptions!$C$3)</f>
        <v>3303.9001709999998</v>
      </c>
      <c r="AO264" s="693">
        <f t="shared" si="122"/>
        <v>3.9</v>
      </c>
      <c r="AP264" s="693">
        <f t="shared" si="123"/>
        <v>2.06</v>
      </c>
      <c r="AQ264" s="692">
        <f ca="1">IF(AL264="","",AL264*SFAssumptions!$C$8/'SavingsData&amp;Analysis'!AF264)</f>
        <v>470.68349899014936</v>
      </c>
      <c r="AR264" s="692">
        <f ca="1">IF(OR(AN264="",AF264=""),"",AN264*SFAssumptions!$C$8/AF264)</f>
        <v>3781.4712308868598</v>
      </c>
      <c r="AS264" s="190" t="str">
        <f>IF(OR(AG264="",AH264=""),"No",IF(AND(G264="Horizontal",AH264&gt;='Eff. Standards &amp; Certifications'!$B$21,AG264&lt;='Eff. Standards &amp; Certifications'!$C$21),"Consider",IF(AND(G264="Vertical",AH264&gt;='Eff. Standards &amp; Certifications'!$B$20,AG264&lt;='Eff. Standards &amp; Certifications'!$C$20),"Consider","No")))</f>
        <v>Consider</v>
      </c>
      <c r="AT264" s="190" t="str">
        <f t="shared" si="108"/>
        <v>Residential</v>
      </c>
      <c r="AU264" s="190"/>
      <c r="AV264" s="190" t="str">
        <f t="shared" si="134"/>
        <v>YES</v>
      </c>
      <c r="AW264" s="190" t="str">
        <f t="shared" si="134"/>
        <v>NO</v>
      </c>
      <c r="AX264" s="190" t="str">
        <f t="shared" si="124"/>
        <v>YES</v>
      </c>
      <c r="AY264" s="190" t="str">
        <f t="shared" si="109"/>
        <v>YES</v>
      </c>
      <c r="AZ264" s="190" t="str">
        <f t="shared" si="109"/>
        <v>NO</v>
      </c>
      <c r="BA264" s="190" t="str">
        <f t="shared" si="125"/>
        <v>YES</v>
      </c>
      <c r="BB264" s="190" t="str">
        <f t="shared" si="110"/>
        <v>NO</v>
      </c>
      <c r="BC264" s="190" t="str">
        <f t="shared" si="111"/>
        <v>NO</v>
      </c>
      <c r="BD264" s="190" t="str">
        <f t="shared" si="126"/>
        <v>NO</v>
      </c>
      <c r="BE264" s="190" t="str">
        <f t="shared" si="112"/>
        <v>NO</v>
      </c>
      <c r="BF264" s="190" t="str">
        <f t="shared" si="113"/>
        <v>NO</v>
      </c>
      <c r="BG264" s="190" t="str">
        <f t="shared" si="114"/>
        <v>NO</v>
      </c>
      <c r="BH264" s="88"/>
      <c r="BI264" s="9"/>
      <c r="BJ264" s="694">
        <f t="shared" si="135"/>
        <v>1.6231</v>
      </c>
      <c r="BK264" s="694" t="str">
        <f t="shared" si="135"/>
        <v/>
      </c>
      <c r="BL264" s="694">
        <f t="shared" si="136"/>
        <v>4.3848099999999999</v>
      </c>
      <c r="BM264" s="694" t="str">
        <f t="shared" si="136"/>
        <v/>
      </c>
      <c r="BN264" s="88"/>
      <c r="BO264" s="195"/>
      <c r="BP264" s="195"/>
      <c r="BQ264" s="195"/>
      <c r="BR264" s="195"/>
      <c r="BS264" s="195"/>
      <c r="BT264" s="195"/>
      <c r="BU264" s="195"/>
      <c r="BV264" s="195"/>
      <c r="BW264" s="195"/>
      <c r="BX264" s="195"/>
    </row>
    <row r="265" spans="1:76" s="124" customFormat="1" ht="15">
      <c r="A265" s="187">
        <v>3293</v>
      </c>
      <c r="B265" s="187" t="s">
        <v>576</v>
      </c>
      <c r="C265" s="187" t="s">
        <v>597</v>
      </c>
      <c r="D265" s="187" t="s">
        <v>611</v>
      </c>
      <c r="E265" s="187" t="s">
        <v>385</v>
      </c>
      <c r="F265" s="187" t="s">
        <v>386</v>
      </c>
      <c r="G265" s="187" t="s">
        <v>387</v>
      </c>
      <c r="H265" s="187" t="b">
        <v>0</v>
      </c>
      <c r="I265" s="187" t="s">
        <v>388</v>
      </c>
      <c r="J265" s="187" t="s">
        <v>389</v>
      </c>
      <c r="K265" s="187" t="b">
        <v>1</v>
      </c>
      <c r="L265" s="187">
        <v>3.4</v>
      </c>
      <c r="M265" s="187">
        <v>0.41</v>
      </c>
      <c r="N265" s="187">
        <v>12.63</v>
      </c>
      <c r="O265" s="187">
        <v>3.7</v>
      </c>
      <c r="P265" s="187">
        <v>8.35</v>
      </c>
      <c r="Q265" s="187"/>
      <c r="R265" s="187"/>
      <c r="S265" s="187"/>
      <c r="T265" s="187"/>
      <c r="U265" s="187">
        <v>39.1</v>
      </c>
      <c r="V265" s="187">
        <v>2.2999999999999998</v>
      </c>
      <c r="W265" s="188">
        <v>39527</v>
      </c>
      <c r="X265" s="691">
        <f t="shared" si="133"/>
        <v>1.9300499999999998</v>
      </c>
      <c r="Y265" s="691">
        <f t="shared" si="107"/>
        <v>3.9067400000000001</v>
      </c>
      <c r="Z265" s="189"/>
      <c r="AA265" s="190">
        <f t="shared" si="115"/>
        <v>2008</v>
      </c>
      <c r="AB265" s="191">
        <f t="shared" si="116"/>
        <v>1.7616123934613095</v>
      </c>
      <c r="AC265" s="192">
        <f>IF(AB265="","",AB265*SFAssumptions!$C$3)</f>
        <v>452.22933084635116</v>
      </c>
      <c r="AD265" s="193">
        <f t="shared" si="117"/>
        <v>13.282916</v>
      </c>
      <c r="AE265" s="194">
        <f>IF(AD265="","",AD265*SFAssumptions!$C$3)</f>
        <v>3409.9011999827999</v>
      </c>
      <c r="AF265" s="192">
        <f t="shared" si="106"/>
        <v>3.4</v>
      </c>
      <c r="AG265" s="192">
        <f t="shared" si="118"/>
        <v>3.9067400000000001</v>
      </c>
      <c r="AH265" s="192">
        <f t="shared" si="119"/>
        <v>1.9300499999999998</v>
      </c>
      <c r="AI265" s="692">
        <f ca="1">IF(AC265="","",AC265*SFAssumptions!$C$8/'SavingsData&amp;Analysis'!AF265)</f>
        <v>502.37455398549662</v>
      </c>
      <c r="AJ265" s="692">
        <f ca="1">IF(OR(AE265="",AF265=""),"",AE265*SFAssumptions!$C$8/AF265)</f>
        <v>3788.006388860239</v>
      </c>
      <c r="AK265" s="191">
        <f t="shared" si="120"/>
        <v>1.4782608695652175</v>
      </c>
      <c r="AL265" s="692">
        <f>IF(AK265="","",AK265*SFAssumptions!$C$3)</f>
        <v>379.48922608695653</v>
      </c>
      <c r="AM265" s="193">
        <f t="shared" si="121"/>
        <v>12.58</v>
      </c>
      <c r="AN265" s="194">
        <f>IF(AM265="","",AM265*SFAssumptions!$C$3)</f>
        <v>3229.4533139999999</v>
      </c>
      <c r="AO265" s="693">
        <f t="shared" si="122"/>
        <v>3.7</v>
      </c>
      <c r="AP265" s="693">
        <f t="shared" si="123"/>
        <v>2.2999999999999998</v>
      </c>
      <c r="AQ265" s="692">
        <f ca="1">IF(AL265="","",AL265*SFAssumptions!$C$8/'SavingsData&amp;Analysis'!AF265)</f>
        <v>421.56869909552512</v>
      </c>
      <c r="AR265" s="692">
        <f ca="1">IF(OR(AN265="",AF265=""),"",AN265*SFAssumptions!$C$8/AF265)</f>
        <v>3587.5496293029182</v>
      </c>
      <c r="AS265" s="190" t="str">
        <f>IF(OR(AG265="",AH265=""),"No",IF(AND(G265="Horizontal",AH265&gt;='Eff. Standards &amp; Certifications'!$B$21,AG265&lt;='Eff. Standards &amp; Certifications'!$C$21),"Consider",IF(AND(G265="Vertical",AH265&gt;='Eff. Standards &amp; Certifications'!$B$20,AG265&lt;='Eff. Standards &amp; Certifications'!$C$20),"Consider","No")))</f>
        <v>Consider</v>
      </c>
      <c r="AT265" s="190" t="str">
        <f t="shared" si="108"/>
        <v>Residential</v>
      </c>
      <c r="AU265" s="190"/>
      <c r="AV265" s="190" t="str">
        <f t="shared" si="134"/>
        <v>NO</v>
      </c>
      <c r="AW265" s="190" t="str">
        <f t="shared" si="134"/>
        <v>YES</v>
      </c>
      <c r="AX265" s="190" t="str">
        <f t="shared" si="124"/>
        <v>YES</v>
      </c>
      <c r="AY265" s="190" t="str">
        <f t="shared" si="109"/>
        <v>NO</v>
      </c>
      <c r="AZ265" s="190" t="str">
        <f t="shared" si="109"/>
        <v>YES</v>
      </c>
      <c r="BA265" s="190" t="str">
        <f t="shared" si="125"/>
        <v>YES</v>
      </c>
      <c r="BB265" s="190" t="str">
        <f t="shared" si="110"/>
        <v>NO</v>
      </c>
      <c r="BC265" s="190" t="str">
        <f t="shared" si="111"/>
        <v>NO</v>
      </c>
      <c r="BD265" s="190" t="str">
        <f t="shared" si="126"/>
        <v>NO</v>
      </c>
      <c r="BE265" s="190" t="str">
        <f t="shared" si="112"/>
        <v>NO</v>
      </c>
      <c r="BF265" s="190" t="str">
        <f t="shared" si="113"/>
        <v>NO</v>
      </c>
      <c r="BG265" s="190" t="str">
        <f t="shared" si="114"/>
        <v>NO</v>
      </c>
      <c r="BH265" s="88"/>
      <c r="BI265" s="9"/>
      <c r="BJ265" s="694" t="str">
        <f t="shared" si="135"/>
        <v/>
      </c>
      <c r="BK265" s="694">
        <f t="shared" si="135"/>
        <v>1.9300499999999998</v>
      </c>
      <c r="BL265" s="694" t="str">
        <f t="shared" si="136"/>
        <v/>
      </c>
      <c r="BM265" s="694">
        <f t="shared" si="136"/>
        <v>3.9067400000000001</v>
      </c>
      <c r="BN265" s="88"/>
      <c r="BO265" s="195"/>
      <c r="BP265" s="195"/>
      <c r="BQ265" s="195"/>
      <c r="BR265" s="195"/>
      <c r="BS265" s="195"/>
      <c r="BT265" s="195"/>
      <c r="BU265" s="195"/>
      <c r="BV265" s="195"/>
      <c r="BW265" s="195"/>
      <c r="BX265" s="195"/>
    </row>
    <row r="266" spans="1:76" s="124" customFormat="1" ht="15">
      <c r="A266" s="187">
        <v>4904</v>
      </c>
      <c r="B266" s="187" t="s">
        <v>576</v>
      </c>
      <c r="C266" s="187" t="s">
        <v>597</v>
      </c>
      <c r="D266" s="187" t="s">
        <v>612</v>
      </c>
      <c r="E266" s="187" t="s">
        <v>385</v>
      </c>
      <c r="F266" s="187" t="s">
        <v>386</v>
      </c>
      <c r="G266" s="187" t="s">
        <v>387</v>
      </c>
      <c r="H266" s="187" t="b">
        <v>0</v>
      </c>
      <c r="I266" s="187" t="s">
        <v>388</v>
      </c>
      <c r="J266" s="187" t="s">
        <v>389</v>
      </c>
      <c r="K266" s="187" t="b">
        <v>1</v>
      </c>
      <c r="L266" s="187">
        <v>3.7</v>
      </c>
      <c r="M266" s="187">
        <v>0.28999999999999998</v>
      </c>
      <c r="N266" s="187">
        <v>11.41</v>
      </c>
      <c r="O266" s="187">
        <v>3.1</v>
      </c>
      <c r="P266" s="187">
        <v>12.54</v>
      </c>
      <c r="Q266" s="187"/>
      <c r="R266" s="187"/>
      <c r="S266" s="187"/>
      <c r="T266" s="187"/>
      <c r="U266" s="187">
        <v>35.9</v>
      </c>
      <c r="V266" s="187">
        <v>2.76</v>
      </c>
      <c r="W266" s="188">
        <v>40632</v>
      </c>
      <c r="X266" s="691">
        <f t="shared" si="133"/>
        <v>2.3507199999999999</v>
      </c>
      <c r="Y266" s="691">
        <f t="shared" si="107"/>
        <v>3.2922199999999999</v>
      </c>
      <c r="Z266" s="189"/>
      <c r="AA266" s="190">
        <f t="shared" si="115"/>
        <v>2011</v>
      </c>
      <c r="AB266" s="191">
        <f t="shared" si="116"/>
        <v>1.5739858426354481</v>
      </c>
      <c r="AC266" s="192">
        <f>IF(AB266="","",AB266*SFAssumptions!$C$3)</f>
        <v>404.06309981622655</v>
      </c>
      <c r="AD266" s="193">
        <f t="shared" si="117"/>
        <v>12.181214000000001</v>
      </c>
      <c r="AE266" s="194">
        <f>IF(AD266="","",AD266*SFAssumptions!$C$3)</f>
        <v>3127.0796439462001</v>
      </c>
      <c r="AF266" s="192">
        <f t="shared" si="106"/>
        <v>3.7</v>
      </c>
      <c r="AG266" s="192">
        <f t="shared" si="118"/>
        <v>3.2922199999999999</v>
      </c>
      <c r="AH266" s="192">
        <f t="shared" si="119"/>
        <v>2.3507199999999999</v>
      </c>
      <c r="AI266" s="692">
        <f ca="1">IF(AC266="","",AC266*SFAssumptions!$C$8/'SavingsData&amp;Analysis'!AF266)</f>
        <v>412.47277766799436</v>
      </c>
      <c r="AJ266" s="692">
        <f ca="1">IF(OR(AE266="",AF266=""),"",AE266*SFAssumptions!$C$8/AF266)</f>
        <v>3192.16287583342</v>
      </c>
      <c r="AK266" s="191">
        <f t="shared" si="120"/>
        <v>1.3405797101449277</v>
      </c>
      <c r="AL266" s="692">
        <f>IF(AK266="","",AK266*SFAssumptions!$C$3)</f>
        <v>344.14464130434789</v>
      </c>
      <c r="AM266" s="193">
        <f t="shared" si="121"/>
        <v>11.47</v>
      </c>
      <c r="AN266" s="194">
        <f>IF(AM266="","",AM266*SFAssumptions!$C$3)</f>
        <v>2944.5015510000003</v>
      </c>
      <c r="AO266" s="693">
        <f t="shared" si="122"/>
        <v>3.1</v>
      </c>
      <c r="AP266" s="693">
        <f t="shared" si="123"/>
        <v>2.76</v>
      </c>
      <c r="AQ266" s="692">
        <f ca="1">IF(AL266="","",AL266*SFAssumptions!$C$8/'SavingsData&amp;Analysis'!AF266)</f>
        <v>351.30724924627094</v>
      </c>
      <c r="AR266" s="692">
        <f ca="1">IF(OR(AN266="",AF266=""),"",AN266*SFAssumptions!$C$8/AF266)</f>
        <v>3005.7848245510936</v>
      </c>
      <c r="AS266" s="190" t="str">
        <f>IF(OR(AG266="",AH266=""),"No",IF(AND(G266="Horizontal",AH266&gt;='Eff. Standards &amp; Certifications'!$B$21,AG266&lt;='Eff. Standards &amp; Certifications'!$C$21),"Consider",IF(AND(G266="Vertical",AH266&gt;='Eff. Standards &amp; Certifications'!$B$20,AG266&lt;='Eff. Standards &amp; Certifications'!$C$20),"Consider","No")))</f>
        <v>Consider</v>
      </c>
      <c r="AT266" s="190" t="str">
        <f t="shared" si="108"/>
        <v>Residential</v>
      </c>
      <c r="AU266" s="190"/>
      <c r="AV266" s="190" t="str">
        <f t="shared" si="134"/>
        <v>NO</v>
      </c>
      <c r="AW266" s="190" t="str">
        <f t="shared" si="134"/>
        <v>YES</v>
      </c>
      <c r="AX266" s="190" t="str">
        <f t="shared" si="124"/>
        <v>YES</v>
      </c>
      <c r="AY266" s="190" t="str">
        <f t="shared" si="109"/>
        <v>NO</v>
      </c>
      <c r="AZ266" s="190" t="str">
        <f t="shared" si="109"/>
        <v>YES</v>
      </c>
      <c r="BA266" s="190" t="str">
        <f t="shared" si="125"/>
        <v>YES</v>
      </c>
      <c r="BB266" s="190" t="str">
        <f t="shared" si="110"/>
        <v>NO</v>
      </c>
      <c r="BC266" s="190" t="str">
        <f t="shared" si="111"/>
        <v>NO</v>
      </c>
      <c r="BD266" s="190" t="str">
        <f t="shared" si="126"/>
        <v>NO</v>
      </c>
      <c r="BE266" s="190" t="str">
        <f t="shared" si="112"/>
        <v>NO</v>
      </c>
      <c r="BF266" s="190" t="str">
        <f t="shared" si="113"/>
        <v>NO</v>
      </c>
      <c r="BG266" s="190" t="str">
        <f t="shared" si="114"/>
        <v>NO</v>
      </c>
      <c r="BH266" s="88"/>
      <c r="BI266" s="9"/>
      <c r="BJ266" s="694" t="str">
        <f t="shared" si="135"/>
        <v/>
      </c>
      <c r="BK266" s="694">
        <f t="shared" si="135"/>
        <v>2.3507199999999999</v>
      </c>
      <c r="BL266" s="694" t="str">
        <f t="shared" si="136"/>
        <v/>
      </c>
      <c r="BM266" s="694">
        <f t="shared" si="136"/>
        <v>3.2922199999999999</v>
      </c>
      <c r="BN266" s="88"/>
      <c r="BO266" s="195"/>
      <c r="BP266" s="195"/>
      <c r="BQ266" s="195"/>
      <c r="BR266" s="195"/>
      <c r="BS266" s="195"/>
      <c r="BT266" s="195"/>
      <c r="BU266" s="195"/>
      <c r="BV266" s="195"/>
      <c r="BW266" s="195"/>
      <c r="BX266" s="195"/>
    </row>
    <row r="267" spans="1:76" s="124" customFormat="1" ht="15">
      <c r="A267" s="187">
        <v>3306</v>
      </c>
      <c r="B267" s="187" t="s">
        <v>576</v>
      </c>
      <c r="C267" s="187" t="s">
        <v>597</v>
      </c>
      <c r="D267" s="187" t="s">
        <v>613</v>
      </c>
      <c r="E267" s="187" t="s">
        <v>385</v>
      </c>
      <c r="F267" s="187" t="s">
        <v>386</v>
      </c>
      <c r="G267" s="187" t="s">
        <v>387</v>
      </c>
      <c r="H267" s="187" t="b">
        <v>0</v>
      </c>
      <c r="I267" s="187" t="s">
        <v>388</v>
      </c>
      <c r="J267" s="187" t="s">
        <v>389</v>
      </c>
      <c r="K267" s="187" t="b">
        <v>1</v>
      </c>
      <c r="L267" s="187">
        <v>3.4</v>
      </c>
      <c r="M267" s="187">
        <v>0.54</v>
      </c>
      <c r="N267" s="187">
        <v>12.4</v>
      </c>
      <c r="O267" s="187">
        <v>3.6</v>
      </c>
      <c r="P267" s="187">
        <v>6.4</v>
      </c>
      <c r="Q267" s="187"/>
      <c r="R267" s="187"/>
      <c r="S267" s="187"/>
      <c r="T267" s="187"/>
      <c r="U267" s="187">
        <v>32.9</v>
      </c>
      <c r="V267" s="187">
        <v>2.4</v>
      </c>
      <c r="W267" s="188">
        <v>39547</v>
      </c>
      <c r="X267" s="691">
        <f t="shared" si="133"/>
        <v>2.0214999999999996</v>
      </c>
      <c r="Y267" s="691">
        <f t="shared" si="107"/>
        <v>3.8043200000000001</v>
      </c>
      <c r="Z267" s="189"/>
      <c r="AA267" s="190">
        <f t="shared" si="115"/>
        <v>2008</v>
      </c>
      <c r="AB267" s="191">
        <f t="shared" si="116"/>
        <v>1.6819193668068269</v>
      </c>
      <c r="AC267" s="192">
        <f>IF(AB267="","",AB267*SFAssumptions!$C$3)</f>
        <v>431.771070986891</v>
      </c>
      <c r="AD267" s="193">
        <f t="shared" si="117"/>
        <v>12.934688</v>
      </c>
      <c r="AE267" s="194">
        <f>IF(AD267="","",AD267*SFAssumptions!$C$3)</f>
        <v>3320.5064409503998</v>
      </c>
      <c r="AF267" s="192">
        <f t="shared" si="106"/>
        <v>3.4</v>
      </c>
      <c r="AG267" s="192">
        <f t="shared" si="118"/>
        <v>3.8043200000000001</v>
      </c>
      <c r="AH267" s="192">
        <f t="shared" si="119"/>
        <v>2.0214999999999996</v>
      </c>
      <c r="AI267" s="692">
        <f ca="1">IF(AC267="","",AC267*SFAssumptions!$C$8/'SavingsData&amp;Analysis'!AF267)</f>
        <v>479.64779021504222</v>
      </c>
      <c r="AJ267" s="692">
        <f ca="1">IF(OR(AE267="",AF267=""),"",AE267*SFAssumptions!$C$8/AF267)</f>
        <v>3688.699136689102</v>
      </c>
      <c r="AK267" s="191">
        <f t="shared" si="120"/>
        <v>1.4166666666666667</v>
      </c>
      <c r="AL267" s="692">
        <f>IF(AK267="","",AK267*SFAssumptions!$C$3)</f>
        <v>363.67717500000003</v>
      </c>
      <c r="AM267" s="193">
        <f t="shared" si="121"/>
        <v>12.24</v>
      </c>
      <c r="AN267" s="194">
        <f>IF(AM267="","",AM267*SFAssumptions!$C$3)</f>
        <v>3142.1707919999999</v>
      </c>
      <c r="AO267" s="693">
        <f t="shared" si="122"/>
        <v>3.6</v>
      </c>
      <c r="AP267" s="693">
        <f t="shared" si="123"/>
        <v>2.4</v>
      </c>
      <c r="AQ267" s="692">
        <f ca="1">IF(AL267="","",AL267*SFAssumptions!$C$8/'SavingsData&amp;Analysis'!AF267)</f>
        <v>404.00333663321157</v>
      </c>
      <c r="AR267" s="692">
        <f ca="1">IF(OR(AN267="",AF267=""),"",AN267*SFAssumptions!$C$8/AF267)</f>
        <v>3490.5888285109477</v>
      </c>
      <c r="AS267" s="190" t="str">
        <f>IF(OR(AG267="",AH267=""),"No",IF(AND(G267="Horizontal",AH267&gt;='Eff. Standards &amp; Certifications'!$B$21,AG267&lt;='Eff. Standards &amp; Certifications'!$C$21),"Consider",IF(AND(G267="Vertical",AH267&gt;='Eff. Standards &amp; Certifications'!$B$20,AG267&lt;='Eff. Standards &amp; Certifications'!$C$20),"Consider","No")))</f>
        <v>Consider</v>
      </c>
      <c r="AT267" s="190" t="str">
        <f t="shared" si="108"/>
        <v>Residential</v>
      </c>
      <c r="AU267" s="190"/>
      <c r="AV267" s="190" t="str">
        <f t="shared" si="134"/>
        <v>NO</v>
      </c>
      <c r="AW267" s="190" t="str">
        <f t="shared" si="134"/>
        <v>YES</v>
      </c>
      <c r="AX267" s="190" t="str">
        <f t="shared" si="124"/>
        <v>YES</v>
      </c>
      <c r="AY267" s="190" t="str">
        <f t="shared" si="109"/>
        <v>NO</v>
      </c>
      <c r="AZ267" s="190" t="str">
        <f t="shared" si="109"/>
        <v>YES</v>
      </c>
      <c r="BA267" s="190" t="str">
        <f t="shared" si="125"/>
        <v>YES</v>
      </c>
      <c r="BB267" s="190" t="str">
        <f t="shared" si="110"/>
        <v>NO</v>
      </c>
      <c r="BC267" s="190" t="str">
        <f t="shared" si="111"/>
        <v>NO</v>
      </c>
      <c r="BD267" s="190" t="str">
        <f t="shared" si="126"/>
        <v>NO</v>
      </c>
      <c r="BE267" s="190" t="str">
        <f t="shared" si="112"/>
        <v>NO</v>
      </c>
      <c r="BF267" s="190" t="str">
        <f t="shared" si="113"/>
        <v>NO</v>
      </c>
      <c r="BG267" s="190" t="str">
        <f t="shared" si="114"/>
        <v>NO</v>
      </c>
      <c r="BH267" s="88"/>
      <c r="BI267" s="9"/>
      <c r="BJ267" s="694" t="str">
        <f t="shared" si="135"/>
        <v/>
      </c>
      <c r="BK267" s="694">
        <f t="shared" si="135"/>
        <v>2.0214999999999996</v>
      </c>
      <c r="BL267" s="694" t="str">
        <f t="shared" si="136"/>
        <v/>
      </c>
      <c r="BM267" s="694">
        <f t="shared" si="136"/>
        <v>3.8043200000000001</v>
      </c>
      <c r="BN267" s="88"/>
      <c r="BO267" s="195"/>
      <c r="BP267" s="195"/>
      <c r="BQ267" s="195"/>
      <c r="BR267" s="195"/>
      <c r="BS267" s="195"/>
      <c r="BT267" s="195"/>
      <c r="BU267" s="195"/>
      <c r="BV267" s="195"/>
      <c r="BW267" s="195"/>
      <c r="BX267" s="195"/>
    </row>
    <row r="268" spans="1:76" s="124" customFormat="1" ht="15">
      <c r="A268" s="187">
        <v>3294</v>
      </c>
      <c r="B268" s="187" t="s">
        <v>576</v>
      </c>
      <c r="C268" s="187" t="s">
        <v>597</v>
      </c>
      <c r="D268" s="187" t="s">
        <v>614</v>
      </c>
      <c r="E268" s="187" t="s">
        <v>385</v>
      </c>
      <c r="F268" s="187" t="s">
        <v>386</v>
      </c>
      <c r="G268" s="187" t="s">
        <v>387</v>
      </c>
      <c r="H268" s="187" t="b">
        <v>0</v>
      </c>
      <c r="I268" s="187" t="s">
        <v>388</v>
      </c>
      <c r="J268" s="187" t="s">
        <v>389</v>
      </c>
      <c r="K268" s="187" t="b">
        <v>1</v>
      </c>
      <c r="L268" s="187">
        <v>3.4</v>
      </c>
      <c r="M268" s="187">
        <v>0.38</v>
      </c>
      <c r="N268" s="187">
        <v>12.21</v>
      </c>
      <c r="O268" s="187">
        <v>3.6</v>
      </c>
      <c r="P268" s="187">
        <v>8.93</v>
      </c>
      <c r="Q268" s="187"/>
      <c r="R268" s="187"/>
      <c r="S268" s="187"/>
      <c r="T268" s="187"/>
      <c r="U268" s="187">
        <v>34.5</v>
      </c>
      <c r="V268" s="187">
        <v>2.59</v>
      </c>
      <c r="W268" s="188">
        <v>39527</v>
      </c>
      <c r="X268" s="691">
        <f t="shared" si="133"/>
        <v>2.1952549999999995</v>
      </c>
      <c r="Y268" s="691">
        <f t="shared" si="107"/>
        <v>3.8043200000000001</v>
      </c>
      <c r="Z268" s="189"/>
      <c r="AA268" s="190">
        <f t="shared" si="115"/>
        <v>2008</v>
      </c>
      <c r="AB268" s="191">
        <f t="shared" si="116"/>
        <v>1.5487950147021647</v>
      </c>
      <c r="AC268" s="192">
        <f>IF(AB268="","",AB268*SFAssumptions!$C$3)</f>
        <v>397.59627924774122</v>
      </c>
      <c r="AD268" s="193">
        <f t="shared" si="117"/>
        <v>12.934688</v>
      </c>
      <c r="AE268" s="194">
        <f>IF(AD268="","",AD268*SFAssumptions!$C$3)</f>
        <v>3320.5064409503998</v>
      </c>
      <c r="AF268" s="192">
        <f t="shared" si="106"/>
        <v>3.4</v>
      </c>
      <c r="AG268" s="192">
        <f t="shared" si="118"/>
        <v>3.8043200000000001</v>
      </c>
      <c r="AH268" s="192">
        <f t="shared" si="119"/>
        <v>2.1952549999999995</v>
      </c>
      <c r="AI268" s="692">
        <f ca="1">IF(AC268="","",AC268*SFAssumptions!$C$8/'SavingsData&amp;Analysis'!AF268)</f>
        <v>441.68354378862949</v>
      </c>
      <c r="AJ268" s="692">
        <f ca="1">IF(OR(AE268="",AF268=""),"",AE268*SFAssumptions!$C$8/AF268)</f>
        <v>3688.699136689102</v>
      </c>
      <c r="AK268" s="191">
        <f t="shared" si="120"/>
        <v>1.3127413127413128</v>
      </c>
      <c r="AL268" s="692">
        <f>IF(AK268="","",AK268*SFAssumptions!$C$3)</f>
        <v>336.99815444015445</v>
      </c>
      <c r="AM268" s="193">
        <f t="shared" si="121"/>
        <v>12.24</v>
      </c>
      <c r="AN268" s="194">
        <f>IF(AM268="","",AM268*SFAssumptions!$C$3)</f>
        <v>3142.1707919999999</v>
      </c>
      <c r="AO268" s="693">
        <f t="shared" si="122"/>
        <v>3.6</v>
      </c>
      <c r="AP268" s="693">
        <f t="shared" si="123"/>
        <v>2.59</v>
      </c>
      <c r="AQ268" s="692">
        <f ca="1">IF(AL268="","",AL268*SFAssumptions!$C$8/'SavingsData&amp;Analysis'!AF268)</f>
        <v>374.36602622382537</v>
      </c>
      <c r="AR268" s="692">
        <f ca="1">IF(OR(AN268="",AF268=""),"",AN268*SFAssumptions!$C$8/AF268)</f>
        <v>3490.5888285109477</v>
      </c>
      <c r="AS268" s="190" t="str">
        <f>IF(OR(AG268="",AH268=""),"No",IF(AND(G268="Horizontal",AH268&gt;='Eff. Standards &amp; Certifications'!$B$21,AG268&lt;='Eff. Standards &amp; Certifications'!$C$21),"Consider",IF(AND(G268="Vertical",AH268&gt;='Eff. Standards &amp; Certifications'!$B$20,AG268&lt;='Eff. Standards &amp; Certifications'!$C$20),"Consider","No")))</f>
        <v>Consider</v>
      </c>
      <c r="AT268" s="190" t="str">
        <f t="shared" si="108"/>
        <v>Residential</v>
      </c>
      <c r="AU268" s="190"/>
      <c r="AV268" s="190" t="str">
        <f t="shared" si="134"/>
        <v>NO</v>
      </c>
      <c r="AW268" s="190" t="str">
        <f t="shared" si="134"/>
        <v>YES</v>
      </c>
      <c r="AX268" s="190" t="str">
        <f t="shared" si="124"/>
        <v>YES</v>
      </c>
      <c r="AY268" s="190" t="str">
        <f t="shared" si="109"/>
        <v>NO</v>
      </c>
      <c r="AZ268" s="190" t="str">
        <f t="shared" si="109"/>
        <v>YES</v>
      </c>
      <c r="BA268" s="190" t="str">
        <f t="shared" si="125"/>
        <v>YES</v>
      </c>
      <c r="BB268" s="190" t="str">
        <f t="shared" si="110"/>
        <v>NO</v>
      </c>
      <c r="BC268" s="190" t="str">
        <f t="shared" si="111"/>
        <v>NO</v>
      </c>
      <c r="BD268" s="190" t="str">
        <f t="shared" si="126"/>
        <v>NO</v>
      </c>
      <c r="BE268" s="190" t="str">
        <f t="shared" si="112"/>
        <v>NO</v>
      </c>
      <c r="BF268" s="190" t="str">
        <f t="shared" si="113"/>
        <v>NO</v>
      </c>
      <c r="BG268" s="190" t="str">
        <f t="shared" si="114"/>
        <v>NO</v>
      </c>
      <c r="BH268" s="88"/>
      <c r="BI268" s="9"/>
      <c r="BJ268" s="694" t="str">
        <f t="shared" si="135"/>
        <v/>
      </c>
      <c r="BK268" s="694">
        <f t="shared" si="135"/>
        <v>2.1952549999999995</v>
      </c>
      <c r="BL268" s="694" t="str">
        <f t="shared" si="136"/>
        <v/>
      </c>
      <c r="BM268" s="694">
        <f t="shared" si="136"/>
        <v>3.8043200000000001</v>
      </c>
      <c r="BN268" s="88"/>
      <c r="BO268" s="195"/>
      <c r="BP268" s="195"/>
      <c r="BQ268" s="195"/>
      <c r="BR268" s="195"/>
      <c r="BS268" s="195"/>
      <c r="BT268" s="195"/>
      <c r="BU268" s="195"/>
      <c r="BV268" s="195"/>
      <c r="BW268" s="195"/>
      <c r="BX268" s="195"/>
    </row>
    <row r="269" spans="1:76" s="124" customFormat="1" ht="15">
      <c r="A269" s="187">
        <v>5419</v>
      </c>
      <c r="B269" s="187" t="s">
        <v>576</v>
      </c>
      <c r="C269" s="187" t="s">
        <v>597</v>
      </c>
      <c r="D269" s="187" t="s">
        <v>615</v>
      </c>
      <c r="E269" s="187" t="s">
        <v>385</v>
      </c>
      <c r="F269" s="187" t="s">
        <v>386</v>
      </c>
      <c r="G269" s="187" t="s">
        <v>387</v>
      </c>
      <c r="H269" s="187" t="b">
        <v>0</v>
      </c>
      <c r="I269" s="187" t="s">
        <v>388</v>
      </c>
      <c r="J269" s="187" t="s">
        <v>389</v>
      </c>
      <c r="K269" s="187" t="b">
        <v>1</v>
      </c>
      <c r="L269" s="187">
        <v>3.6</v>
      </c>
      <c r="M269" s="187">
        <v>0.24</v>
      </c>
      <c r="N269" s="187">
        <v>10.72</v>
      </c>
      <c r="O269" s="187">
        <v>3</v>
      </c>
      <c r="P269" s="187">
        <v>15</v>
      </c>
      <c r="Q269" s="187"/>
      <c r="R269" s="187"/>
      <c r="S269" s="187"/>
      <c r="T269" s="187"/>
      <c r="U269" s="187">
        <v>32.4</v>
      </c>
      <c r="V269" s="187">
        <v>3.12</v>
      </c>
      <c r="W269" s="188">
        <v>41065</v>
      </c>
      <c r="X269" s="691">
        <f t="shared" si="133"/>
        <v>2.6799400000000002</v>
      </c>
      <c r="Y269" s="691">
        <f t="shared" si="107"/>
        <v>3.1898</v>
      </c>
      <c r="Z269" s="189"/>
      <c r="AA269" s="190">
        <f t="shared" si="115"/>
        <v>2012</v>
      </c>
      <c r="AB269" s="191">
        <f t="shared" si="116"/>
        <v>1.3433136562758867</v>
      </c>
      <c r="AC269" s="192">
        <f>IF(AB269="","",AB269*SFAssumptions!$C$3)</f>
        <v>344.84648163764859</v>
      </c>
      <c r="AD269" s="193">
        <f t="shared" si="117"/>
        <v>11.483280000000001</v>
      </c>
      <c r="AE269" s="194">
        <f>IF(AD269="","",AD269*SFAssumptions!$C$3)</f>
        <v>2947.9107036240002</v>
      </c>
      <c r="AF269" s="192">
        <f t="shared" si="106"/>
        <v>3.6</v>
      </c>
      <c r="AG269" s="192">
        <f t="shared" si="118"/>
        <v>3.1898</v>
      </c>
      <c r="AH269" s="192">
        <f t="shared" si="119"/>
        <v>2.6799400000000002</v>
      </c>
      <c r="AI269" s="692">
        <f ca="1">IF(AC269="","",AC269*SFAssumptions!$C$8/'SavingsData&amp;Analysis'!AF269)</f>
        <v>361.80213285361151</v>
      </c>
      <c r="AJ269" s="692">
        <f ca="1">IF(OR(AE269="",AF269=""),"",AE269*SFAssumptions!$C$8/AF269)</f>
        <v>3092.8556236622835</v>
      </c>
      <c r="AK269" s="191">
        <f t="shared" si="120"/>
        <v>1.1538461538461537</v>
      </c>
      <c r="AL269" s="692">
        <f>IF(AK269="","",AK269*SFAssumptions!$C$3)</f>
        <v>296.20765384615385</v>
      </c>
      <c r="AM269" s="193">
        <f t="shared" si="121"/>
        <v>10.8</v>
      </c>
      <c r="AN269" s="194">
        <f>IF(AM269="","",AM269*SFAssumptions!$C$3)</f>
        <v>2772.5036400000004</v>
      </c>
      <c r="AO269" s="693">
        <f t="shared" si="122"/>
        <v>3</v>
      </c>
      <c r="AP269" s="693">
        <f t="shared" si="123"/>
        <v>3.12</v>
      </c>
      <c r="AQ269" s="692">
        <f ca="1">IF(AL269="","",AL269*SFAssumptions!$C$8/'SavingsData&amp;Analysis'!AF269)</f>
        <v>310.77179741016272</v>
      </c>
      <c r="AR269" s="692">
        <f ca="1">IF(OR(AN269="",AF269=""),"",AN269*SFAssumptions!$C$8/AF269)</f>
        <v>2908.8240237591231</v>
      </c>
      <c r="AS269" s="190" t="str">
        <f>IF(OR(AG269="",AH269=""),"No",IF(AND(G269="Horizontal",AH269&gt;='Eff. Standards &amp; Certifications'!$B$21,AG269&lt;='Eff. Standards &amp; Certifications'!$C$21),"Consider",IF(AND(G269="Vertical",AH269&gt;='Eff. Standards &amp; Certifications'!$B$20,AG269&lt;='Eff. Standards &amp; Certifications'!$C$20),"Consider","No")))</f>
        <v>Consider</v>
      </c>
      <c r="AT269" s="190" t="str">
        <f t="shared" si="108"/>
        <v>Residential</v>
      </c>
      <c r="AU269" s="190"/>
      <c r="AV269" s="190" t="str">
        <f t="shared" si="134"/>
        <v>NO</v>
      </c>
      <c r="AW269" s="190" t="str">
        <f t="shared" si="134"/>
        <v>YES</v>
      </c>
      <c r="AX269" s="190" t="str">
        <f t="shared" si="124"/>
        <v>YES</v>
      </c>
      <c r="AY269" s="190" t="str">
        <f t="shared" si="109"/>
        <v>NO</v>
      </c>
      <c r="AZ269" s="190" t="str">
        <f t="shared" si="109"/>
        <v>NO</v>
      </c>
      <c r="BA269" s="190" t="str">
        <f t="shared" si="125"/>
        <v>NO</v>
      </c>
      <c r="BB269" s="190" t="str">
        <f t="shared" si="110"/>
        <v>NO</v>
      </c>
      <c r="BC269" s="190" t="str">
        <f t="shared" si="111"/>
        <v>YES</v>
      </c>
      <c r="BD269" s="190" t="str">
        <f t="shared" si="126"/>
        <v>YES</v>
      </c>
      <c r="BE269" s="190" t="str">
        <f t="shared" si="112"/>
        <v>YES</v>
      </c>
      <c r="BF269" s="190" t="str">
        <f t="shared" si="113"/>
        <v>NO</v>
      </c>
      <c r="BG269" s="190" t="str">
        <f t="shared" si="114"/>
        <v>NO</v>
      </c>
      <c r="BH269" s="88"/>
      <c r="BI269" s="9"/>
      <c r="BJ269" s="694" t="str">
        <f t="shared" si="135"/>
        <v/>
      </c>
      <c r="BK269" s="694">
        <f t="shared" si="135"/>
        <v>2.6799400000000002</v>
      </c>
      <c r="BL269" s="694" t="str">
        <f t="shared" si="136"/>
        <v/>
      </c>
      <c r="BM269" s="694">
        <f t="shared" si="136"/>
        <v>3.1898</v>
      </c>
      <c r="BN269" s="88"/>
      <c r="BO269" s="195"/>
      <c r="BP269" s="195"/>
      <c r="BQ269" s="195"/>
      <c r="BR269" s="195"/>
      <c r="BS269" s="195"/>
      <c r="BT269" s="195"/>
      <c r="BU269" s="195"/>
      <c r="BV269" s="195"/>
      <c r="BW269" s="195"/>
      <c r="BX269" s="195"/>
    </row>
    <row r="270" spans="1:76" s="124" customFormat="1" ht="15">
      <c r="A270" s="187">
        <v>5621</v>
      </c>
      <c r="B270" s="187" t="s">
        <v>576</v>
      </c>
      <c r="C270" s="187" t="s">
        <v>597</v>
      </c>
      <c r="D270" s="187" t="s">
        <v>616</v>
      </c>
      <c r="E270" s="187" t="s">
        <v>385</v>
      </c>
      <c r="F270" s="187" t="s">
        <v>386</v>
      </c>
      <c r="G270" s="187" t="s">
        <v>387</v>
      </c>
      <c r="H270" s="187" t="b">
        <v>0</v>
      </c>
      <c r="I270" s="187" t="s">
        <v>388</v>
      </c>
      <c r="J270" s="187" t="s">
        <v>389</v>
      </c>
      <c r="K270" s="187" t="b">
        <v>1</v>
      </c>
      <c r="L270" s="187">
        <v>3.6</v>
      </c>
      <c r="M270" s="187">
        <v>0.23</v>
      </c>
      <c r="N270" s="187">
        <v>10.67</v>
      </c>
      <c r="O270" s="187">
        <v>3</v>
      </c>
      <c r="P270" s="187">
        <v>15.2</v>
      </c>
      <c r="Q270" s="187"/>
      <c r="R270" s="187"/>
      <c r="S270" s="187"/>
      <c r="T270" s="187"/>
      <c r="U270" s="187">
        <v>32.4</v>
      </c>
      <c r="V270" s="187">
        <v>3.13</v>
      </c>
      <c r="W270" s="188">
        <v>41261</v>
      </c>
      <c r="X270" s="691">
        <f t="shared" si="133"/>
        <v>2.6890849999999995</v>
      </c>
      <c r="Y270" s="691">
        <f t="shared" si="107"/>
        <v>3.1898</v>
      </c>
      <c r="Z270" s="189"/>
      <c r="AA270" s="190">
        <f t="shared" si="115"/>
        <v>2012</v>
      </c>
      <c r="AB270" s="191">
        <f t="shared" si="116"/>
        <v>1.3387453353092225</v>
      </c>
      <c r="AC270" s="192">
        <f>IF(AB270="","",AB270*SFAssumptions!$C$3)</f>
        <v>343.673732886837</v>
      </c>
      <c r="AD270" s="193">
        <f t="shared" si="117"/>
        <v>11.483280000000001</v>
      </c>
      <c r="AE270" s="194">
        <f>IF(AD270="","",AD270*SFAssumptions!$C$3)</f>
        <v>2947.9107036240002</v>
      </c>
      <c r="AF270" s="192">
        <f t="shared" si="106"/>
        <v>3.6</v>
      </c>
      <c r="AG270" s="192">
        <f t="shared" si="118"/>
        <v>3.1898</v>
      </c>
      <c r="AH270" s="192">
        <f t="shared" si="119"/>
        <v>2.6890849999999995</v>
      </c>
      <c r="AI270" s="692">
        <f ca="1">IF(AC270="","",AC270*SFAssumptions!$C$8/'SavingsData&amp;Analysis'!AF270)</f>
        <v>360.57172157804894</v>
      </c>
      <c r="AJ270" s="692">
        <f ca="1">IF(OR(AE270="",AF270=""),"",AE270*SFAssumptions!$C$8/AF270)</f>
        <v>3092.8556236622835</v>
      </c>
      <c r="AK270" s="191">
        <f t="shared" si="120"/>
        <v>1.1501597444089458</v>
      </c>
      <c r="AL270" s="692">
        <f>IF(AK270="","",AK270*SFAssumptions!$C$3)</f>
        <v>295.261303514377</v>
      </c>
      <c r="AM270" s="193">
        <f t="shared" si="121"/>
        <v>10.8</v>
      </c>
      <c r="AN270" s="194">
        <f>IF(AM270="","",AM270*SFAssumptions!$C$3)</f>
        <v>2772.5036400000004</v>
      </c>
      <c r="AO270" s="693">
        <f t="shared" si="122"/>
        <v>3</v>
      </c>
      <c r="AP270" s="693">
        <f t="shared" si="123"/>
        <v>3.13</v>
      </c>
      <c r="AQ270" s="692">
        <f ca="1">IF(AL270="","",AL270*SFAssumptions!$C$8/'SavingsData&amp;Analysis'!AF270)</f>
        <v>309.77891626827721</v>
      </c>
      <c r="AR270" s="692">
        <f ca="1">IF(OR(AN270="",AF270=""),"",AN270*SFAssumptions!$C$8/AF270)</f>
        <v>2908.8240237591231</v>
      </c>
      <c r="AS270" s="190" t="str">
        <f>IF(OR(AG270="",AH270=""),"No",IF(AND(G270="Horizontal",AH270&gt;='Eff. Standards &amp; Certifications'!$B$21,AG270&lt;='Eff. Standards &amp; Certifications'!$C$21),"Consider",IF(AND(G270="Vertical",AH270&gt;='Eff. Standards &amp; Certifications'!$B$20,AG270&lt;='Eff. Standards &amp; Certifications'!$C$20),"Consider","No")))</f>
        <v>Consider</v>
      </c>
      <c r="AT270" s="190" t="str">
        <f t="shared" si="108"/>
        <v>Residential</v>
      </c>
      <c r="AU270" s="190"/>
      <c r="AV270" s="190" t="str">
        <f t="shared" si="134"/>
        <v>NO</v>
      </c>
      <c r="AW270" s="190" t="str">
        <f t="shared" si="134"/>
        <v>YES</v>
      </c>
      <c r="AX270" s="190" t="str">
        <f t="shared" si="124"/>
        <v>YES</v>
      </c>
      <c r="AY270" s="190" t="str">
        <f t="shared" si="109"/>
        <v>NO</v>
      </c>
      <c r="AZ270" s="190" t="str">
        <f t="shared" si="109"/>
        <v>NO</v>
      </c>
      <c r="BA270" s="190" t="str">
        <f t="shared" si="125"/>
        <v>NO</v>
      </c>
      <c r="BB270" s="190" t="str">
        <f t="shared" si="110"/>
        <v>NO</v>
      </c>
      <c r="BC270" s="190" t="str">
        <f t="shared" si="111"/>
        <v>YES</v>
      </c>
      <c r="BD270" s="190" t="str">
        <f t="shared" si="126"/>
        <v>YES</v>
      </c>
      <c r="BE270" s="190" t="str">
        <f t="shared" si="112"/>
        <v>YES</v>
      </c>
      <c r="BF270" s="190" t="str">
        <f t="shared" si="113"/>
        <v>NO</v>
      </c>
      <c r="BG270" s="190" t="str">
        <f t="shared" si="114"/>
        <v>NO</v>
      </c>
      <c r="BH270" s="88"/>
      <c r="BI270" s="9"/>
      <c r="BJ270" s="694" t="str">
        <f t="shared" si="135"/>
        <v/>
      </c>
      <c r="BK270" s="694">
        <f t="shared" si="135"/>
        <v>2.6890849999999995</v>
      </c>
      <c r="BL270" s="694" t="str">
        <f t="shared" si="136"/>
        <v/>
      </c>
      <c r="BM270" s="694">
        <f t="shared" si="136"/>
        <v>3.1898</v>
      </c>
      <c r="BN270" s="88"/>
      <c r="BO270" s="195"/>
      <c r="BP270" s="195"/>
      <c r="BQ270" s="195"/>
      <c r="BR270" s="195"/>
      <c r="BS270" s="195"/>
      <c r="BT270" s="195"/>
      <c r="BU270" s="195"/>
      <c r="BV270" s="195"/>
      <c r="BW270" s="195"/>
      <c r="BX270" s="195"/>
    </row>
    <row r="271" spans="1:76" s="124" customFormat="1" ht="15">
      <c r="A271" s="187">
        <v>5423</v>
      </c>
      <c r="B271" s="187" t="s">
        <v>576</v>
      </c>
      <c r="C271" s="187" t="s">
        <v>597</v>
      </c>
      <c r="D271" s="187" t="s">
        <v>617</v>
      </c>
      <c r="E271" s="187" t="s">
        <v>385</v>
      </c>
      <c r="F271" s="187" t="s">
        <v>386</v>
      </c>
      <c r="G271" s="187" t="s">
        <v>387</v>
      </c>
      <c r="H271" s="187" t="b">
        <v>0</v>
      </c>
      <c r="I271" s="187" t="s">
        <v>388</v>
      </c>
      <c r="J271" s="187" t="s">
        <v>389</v>
      </c>
      <c r="K271" s="187" t="b">
        <v>1</v>
      </c>
      <c r="L271" s="187">
        <v>3.9</v>
      </c>
      <c r="M271" s="187">
        <v>0.23</v>
      </c>
      <c r="N271" s="187">
        <v>11.2</v>
      </c>
      <c r="O271" s="187">
        <v>2.9</v>
      </c>
      <c r="P271" s="187">
        <v>16.829999999999998</v>
      </c>
      <c r="Q271" s="187"/>
      <c r="R271" s="187"/>
      <c r="S271" s="187"/>
      <c r="T271" s="187"/>
      <c r="U271" s="187">
        <v>31.3</v>
      </c>
      <c r="V271" s="187">
        <v>3.3</v>
      </c>
      <c r="W271" s="188">
        <v>41065</v>
      </c>
      <c r="X271" s="691">
        <f t="shared" si="133"/>
        <v>2.8445499999999999</v>
      </c>
      <c r="Y271" s="691">
        <f t="shared" si="107"/>
        <v>3.08738</v>
      </c>
      <c r="Z271" s="189"/>
      <c r="AA271" s="190">
        <f t="shared" si="115"/>
        <v>2012</v>
      </c>
      <c r="AB271" s="191">
        <f t="shared" si="116"/>
        <v>1.3710428714559422</v>
      </c>
      <c r="AC271" s="192">
        <f>IF(AB271="","",AB271*SFAssumptions!$C$3)</f>
        <v>351.96493997293072</v>
      </c>
      <c r="AD271" s="193">
        <f t="shared" si="117"/>
        <v>12.040782</v>
      </c>
      <c r="AE271" s="194">
        <f>IF(AD271="","",AD271*SFAssumptions!$C$3)</f>
        <v>3091.0288818006002</v>
      </c>
      <c r="AF271" s="192">
        <f t="shared" si="106"/>
        <v>3.9</v>
      </c>
      <c r="AG271" s="192">
        <f t="shared" si="118"/>
        <v>3.08738</v>
      </c>
      <c r="AH271" s="192">
        <f t="shared" si="119"/>
        <v>2.8445499999999999</v>
      </c>
      <c r="AI271" s="692">
        <f ca="1">IF(AC271="","",AC271*SFAssumptions!$C$8/'SavingsData&amp;Analysis'!AF271)</f>
        <v>340.8651659910031</v>
      </c>
      <c r="AJ271" s="692">
        <f ca="1">IF(OR(AE271="",AF271=""),"",AE271*SFAssumptions!$C$8/AF271)</f>
        <v>2993.548371491147</v>
      </c>
      <c r="AK271" s="191">
        <f t="shared" si="120"/>
        <v>1.1818181818181819</v>
      </c>
      <c r="AL271" s="692">
        <f>IF(AK271="","",AK271*SFAssumptions!$C$3)</f>
        <v>303.38844545454549</v>
      </c>
      <c r="AM271" s="193">
        <f t="shared" si="121"/>
        <v>11.309999999999999</v>
      </c>
      <c r="AN271" s="194">
        <f>IF(AM271="","",AM271*SFAssumptions!$C$3)</f>
        <v>2903.4274229999996</v>
      </c>
      <c r="AO271" s="693">
        <f t="shared" si="122"/>
        <v>2.9</v>
      </c>
      <c r="AP271" s="693">
        <f t="shared" si="123"/>
        <v>3.3</v>
      </c>
      <c r="AQ271" s="692">
        <f ca="1">IF(AL271="","",AL271*SFAssumptions!$C$8/'SavingsData&amp;Analysis'!AF271)</f>
        <v>293.82060846051752</v>
      </c>
      <c r="AR271" s="692">
        <f ca="1">IF(OR(AN271="",AF271=""),"",AN271*SFAssumptions!$C$8/AF271)</f>
        <v>2811.8632229671521</v>
      </c>
      <c r="AS271" s="190" t="str">
        <f>IF(OR(AG271="",AH271=""),"No",IF(AND(G271="Horizontal",AH271&gt;='Eff. Standards &amp; Certifications'!$B$21,AG271&lt;='Eff. Standards &amp; Certifications'!$C$21),"Consider",IF(AND(G271="Vertical",AH271&gt;='Eff. Standards &amp; Certifications'!$B$20,AG271&lt;='Eff. Standards &amp; Certifications'!$C$20),"Consider","No")))</f>
        <v>Consider</v>
      </c>
      <c r="AT271" s="190" t="str">
        <f t="shared" si="108"/>
        <v>Residential</v>
      </c>
      <c r="AU271" s="190"/>
      <c r="AV271" s="190" t="str">
        <f t="shared" si="134"/>
        <v>NO</v>
      </c>
      <c r="AW271" s="190" t="str">
        <f t="shared" si="134"/>
        <v>YES</v>
      </c>
      <c r="AX271" s="190" t="str">
        <f t="shared" si="124"/>
        <v>YES</v>
      </c>
      <c r="AY271" s="190" t="str">
        <f t="shared" si="109"/>
        <v>NO</v>
      </c>
      <c r="AZ271" s="190" t="str">
        <f t="shared" si="109"/>
        <v>NO</v>
      </c>
      <c r="BA271" s="190" t="str">
        <f t="shared" si="125"/>
        <v>NO</v>
      </c>
      <c r="BB271" s="190" t="str">
        <f t="shared" si="110"/>
        <v>NO</v>
      </c>
      <c r="BC271" s="190" t="str">
        <f t="shared" si="111"/>
        <v>YES</v>
      </c>
      <c r="BD271" s="190" t="str">
        <f t="shared" si="126"/>
        <v>YES</v>
      </c>
      <c r="BE271" s="190" t="str">
        <f t="shared" si="112"/>
        <v>NO</v>
      </c>
      <c r="BF271" s="190" t="str">
        <f t="shared" si="113"/>
        <v>YES</v>
      </c>
      <c r="BG271" s="190" t="str">
        <f t="shared" si="114"/>
        <v>NO</v>
      </c>
      <c r="BH271" s="88"/>
      <c r="BI271" s="9"/>
      <c r="BJ271" s="694" t="str">
        <f t="shared" si="135"/>
        <v/>
      </c>
      <c r="BK271" s="694">
        <f t="shared" si="135"/>
        <v>2.8445499999999999</v>
      </c>
      <c r="BL271" s="694" t="str">
        <f t="shared" si="136"/>
        <v/>
      </c>
      <c r="BM271" s="694">
        <f t="shared" si="136"/>
        <v>3.08738</v>
      </c>
      <c r="BN271" s="88"/>
      <c r="BO271" s="195"/>
      <c r="BP271" s="195"/>
      <c r="BQ271" s="195"/>
      <c r="BR271" s="195"/>
      <c r="BS271" s="195"/>
      <c r="BT271" s="195"/>
      <c r="BU271" s="195"/>
      <c r="BV271" s="195"/>
      <c r="BW271" s="195"/>
      <c r="BX271" s="195"/>
    </row>
    <row r="272" spans="1:76" s="124" customFormat="1" ht="15">
      <c r="A272" s="187">
        <v>5802</v>
      </c>
      <c r="B272" s="187" t="s">
        <v>576</v>
      </c>
      <c r="C272" s="187" t="s">
        <v>597</v>
      </c>
      <c r="D272" s="187" t="s">
        <v>618</v>
      </c>
      <c r="E272" s="187" t="s">
        <v>385</v>
      </c>
      <c r="F272" s="187" t="s">
        <v>386</v>
      </c>
      <c r="G272" s="187" t="s">
        <v>387</v>
      </c>
      <c r="H272" s="187" t="b">
        <v>0</v>
      </c>
      <c r="I272" s="187" t="s">
        <v>388</v>
      </c>
      <c r="J272" s="187" t="s">
        <v>389</v>
      </c>
      <c r="K272" s="187" t="b">
        <v>1</v>
      </c>
      <c r="L272" s="187">
        <v>3.9</v>
      </c>
      <c r="M272" s="187">
        <v>0.23</v>
      </c>
      <c r="N272" s="187">
        <v>11.54</v>
      </c>
      <c r="O272" s="187">
        <v>3</v>
      </c>
      <c r="P272" s="187">
        <v>16.52</v>
      </c>
      <c r="Q272" s="187"/>
      <c r="R272" s="187"/>
      <c r="S272" s="187"/>
      <c r="T272" s="187"/>
      <c r="U272" s="187">
        <v>31.2</v>
      </c>
      <c r="V272" s="187">
        <v>3.3</v>
      </c>
      <c r="W272" s="188">
        <v>41358</v>
      </c>
      <c r="X272" s="691">
        <f t="shared" si="133"/>
        <v>2.8445499999999999</v>
      </c>
      <c r="Y272" s="691">
        <f t="shared" si="107"/>
        <v>3.1898</v>
      </c>
      <c r="Z272" s="189"/>
      <c r="AA272" s="190">
        <f t="shared" si="115"/>
        <v>2013</v>
      </c>
      <c r="AB272" s="191">
        <f t="shared" si="116"/>
        <v>1.3710428714559422</v>
      </c>
      <c r="AC272" s="192">
        <f>IF(AB272="","",AB272*SFAssumptions!$C$3)</f>
        <v>351.96493997293072</v>
      </c>
      <c r="AD272" s="193">
        <f t="shared" si="117"/>
        <v>12.44022</v>
      </c>
      <c r="AE272" s="194">
        <f>IF(AD272="","",AD272*SFAssumptions!$C$3)</f>
        <v>3193.5699289260001</v>
      </c>
      <c r="AF272" s="192">
        <f t="shared" si="106"/>
        <v>3.9</v>
      </c>
      <c r="AG272" s="192">
        <f t="shared" si="118"/>
        <v>3.1898</v>
      </c>
      <c r="AH272" s="192">
        <f t="shared" si="119"/>
        <v>2.8445499999999999</v>
      </c>
      <c r="AI272" s="692">
        <f ca="1">IF(AC272="","",AC272*SFAssumptions!$C$8/'SavingsData&amp;Analysis'!AF272)</f>
        <v>340.8651659910031</v>
      </c>
      <c r="AJ272" s="692">
        <f ca="1">IF(OR(AE272="",AF272=""),"",AE272*SFAssumptions!$C$8/AF272)</f>
        <v>3092.855623662284</v>
      </c>
      <c r="AK272" s="191">
        <f t="shared" si="120"/>
        <v>1.1818181818181819</v>
      </c>
      <c r="AL272" s="692">
        <f>IF(AK272="","",AK272*SFAssumptions!$C$3)</f>
        <v>303.38844545454549</v>
      </c>
      <c r="AM272" s="193">
        <f t="shared" si="121"/>
        <v>11.7</v>
      </c>
      <c r="AN272" s="194">
        <f>IF(AM272="","",AM272*SFAssumptions!$C$3)</f>
        <v>3003.5456099999997</v>
      </c>
      <c r="AO272" s="693">
        <f t="shared" si="122"/>
        <v>3</v>
      </c>
      <c r="AP272" s="693">
        <f t="shared" si="123"/>
        <v>3.3</v>
      </c>
      <c r="AQ272" s="692">
        <f ca="1">IF(AL272="","",AL272*SFAssumptions!$C$8/'SavingsData&amp;Analysis'!AF272)</f>
        <v>293.82060846051752</v>
      </c>
      <c r="AR272" s="692">
        <f ca="1">IF(OR(AN272="",AF272=""),"",AN272*SFAssumptions!$C$8/AF272)</f>
        <v>2908.8240237591231</v>
      </c>
      <c r="AS272" s="190" t="str">
        <f>IF(OR(AG272="",AH272=""),"No",IF(AND(G272="Horizontal",AH272&gt;='Eff. Standards &amp; Certifications'!$B$21,AG272&lt;='Eff. Standards &amp; Certifications'!$C$21),"Consider",IF(AND(G272="Vertical",AH272&gt;='Eff. Standards &amp; Certifications'!$B$20,AG272&lt;='Eff. Standards &amp; Certifications'!$C$20),"Consider","No")))</f>
        <v>Consider</v>
      </c>
      <c r="AT272" s="190" t="str">
        <f t="shared" si="108"/>
        <v>Residential</v>
      </c>
      <c r="AU272" s="190"/>
      <c r="AV272" s="190" t="str">
        <f t="shared" si="134"/>
        <v>NO</v>
      </c>
      <c r="AW272" s="190" t="str">
        <f t="shared" si="134"/>
        <v>YES</v>
      </c>
      <c r="AX272" s="190" t="str">
        <f t="shared" si="124"/>
        <v>YES</v>
      </c>
      <c r="AY272" s="190" t="str">
        <f t="shared" si="109"/>
        <v>NO</v>
      </c>
      <c r="AZ272" s="190" t="str">
        <f t="shared" si="109"/>
        <v>NO</v>
      </c>
      <c r="BA272" s="190" t="str">
        <f t="shared" si="125"/>
        <v>NO</v>
      </c>
      <c r="BB272" s="190" t="str">
        <f t="shared" si="110"/>
        <v>NO</v>
      </c>
      <c r="BC272" s="190" t="str">
        <f t="shared" si="111"/>
        <v>YES</v>
      </c>
      <c r="BD272" s="190" t="str">
        <f t="shared" si="126"/>
        <v>YES</v>
      </c>
      <c r="BE272" s="190" t="str">
        <f t="shared" si="112"/>
        <v>NO</v>
      </c>
      <c r="BF272" s="190" t="str">
        <f t="shared" si="113"/>
        <v>YES</v>
      </c>
      <c r="BG272" s="190" t="str">
        <f t="shared" si="114"/>
        <v>NO</v>
      </c>
      <c r="BH272" s="88"/>
      <c r="BI272" s="9"/>
      <c r="BJ272" s="694" t="str">
        <f t="shared" si="135"/>
        <v/>
      </c>
      <c r="BK272" s="694">
        <f t="shared" si="135"/>
        <v>2.8445499999999999</v>
      </c>
      <c r="BL272" s="694" t="str">
        <f t="shared" si="136"/>
        <v/>
      </c>
      <c r="BM272" s="694">
        <f t="shared" si="136"/>
        <v>3.1898</v>
      </c>
      <c r="BN272" s="88"/>
      <c r="BO272" s="195"/>
      <c r="BP272" s="195"/>
      <c r="BQ272" s="195"/>
      <c r="BR272" s="195"/>
      <c r="BS272" s="195"/>
      <c r="BT272" s="195"/>
      <c r="BU272" s="195"/>
      <c r="BV272" s="195"/>
      <c r="BW272" s="195"/>
      <c r="BX272" s="195"/>
    </row>
    <row r="273" spans="1:76" s="124" customFormat="1" ht="15">
      <c r="A273" s="187">
        <v>658</v>
      </c>
      <c r="B273" s="187" t="s">
        <v>576</v>
      </c>
      <c r="C273" s="187" t="s">
        <v>597</v>
      </c>
      <c r="D273" s="187" t="s">
        <v>619</v>
      </c>
      <c r="E273" s="187" t="s">
        <v>385</v>
      </c>
      <c r="F273" s="187" t="s">
        <v>386</v>
      </c>
      <c r="G273" s="187" t="s">
        <v>387</v>
      </c>
      <c r="H273" s="187" t="b">
        <v>0</v>
      </c>
      <c r="I273" s="187" t="s">
        <v>388</v>
      </c>
      <c r="J273" s="187" t="s">
        <v>389</v>
      </c>
      <c r="K273" s="187" t="b">
        <v>1</v>
      </c>
      <c r="L273" s="187">
        <v>3.5</v>
      </c>
      <c r="M273" s="187">
        <v>0.28999999999999998</v>
      </c>
      <c r="N273" s="187">
        <v>10.92</v>
      </c>
      <c r="O273" s="187">
        <v>3.2</v>
      </c>
      <c r="P273" s="187">
        <v>12.08</v>
      </c>
      <c r="Q273" s="187"/>
      <c r="R273" s="187"/>
      <c r="S273" s="187"/>
      <c r="T273" s="187"/>
      <c r="U273" s="187">
        <v>34.700000000000003</v>
      </c>
      <c r="V273" s="187">
        <v>2.82</v>
      </c>
      <c r="W273" s="188">
        <v>40105</v>
      </c>
      <c r="X273" s="691">
        <f t="shared" si="133"/>
        <v>2.4055900000000001</v>
      </c>
      <c r="Y273" s="691">
        <f t="shared" si="107"/>
        <v>3.3946400000000003</v>
      </c>
      <c r="Z273" s="189"/>
      <c r="AA273" s="190">
        <f t="shared" si="115"/>
        <v>2009</v>
      </c>
      <c r="AB273" s="191">
        <f t="shared" si="116"/>
        <v>1.4549445250437523</v>
      </c>
      <c r="AC273" s="192">
        <f>IF(AB273="","",AB273*SFAssumptions!$C$3)</f>
        <v>373.50361034091429</v>
      </c>
      <c r="AD273" s="193">
        <f t="shared" si="117"/>
        <v>11.881240000000002</v>
      </c>
      <c r="AE273" s="194">
        <f>IF(AD273="","",AD273*SFAssumptions!$C$3)</f>
        <v>3050.0723284920005</v>
      </c>
      <c r="AF273" s="192">
        <f t="shared" si="106"/>
        <v>3.5</v>
      </c>
      <c r="AG273" s="192">
        <f t="shared" si="118"/>
        <v>3.3946400000000003</v>
      </c>
      <c r="AH273" s="192">
        <f t="shared" si="119"/>
        <v>2.4055900000000001</v>
      </c>
      <c r="AI273" s="692">
        <f ca="1">IF(AC273="","",AC273*SFAssumptions!$C$8/'SavingsData&amp;Analysis'!AF273)</f>
        <v>403.06453216038796</v>
      </c>
      <c r="AJ273" s="692">
        <f ca="1">IF(OR(AE273="",AF273=""),"",AE273*SFAssumptions!$C$8/AF273)</f>
        <v>3291.470128004557</v>
      </c>
      <c r="AK273" s="191">
        <f t="shared" si="120"/>
        <v>1.2411347517730498</v>
      </c>
      <c r="AL273" s="692">
        <f>IF(AK273="","",AK273*SFAssumptions!$C$3)</f>
        <v>318.61579787234047</v>
      </c>
      <c r="AM273" s="193">
        <f t="shared" si="121"/>
        <v>11.200000000000001</v>
      </c>
      <c r="AN273" s="194">
        <f>IF(AM273="","",AM273*SFAssumptions!$C$3)</f>
        <v>2875.1889600000004</v>
      </c>
      <c r="AO273" s="693">
        <f t="shared" si="122"/>
        <v>3.2</v>
      </c>
      <c r="AP273" s="693">
        <f t="shared" si="123"/>
        <v>2.82</v>
      </c>
      <c r="AQ273" s="692">
        <f ca="1">IF(AL273="","",AL273*SFAssumptions!$C$8/'SavingsData&amp;Analysis'!AF273)</f>
        <v>343.83262692188219</v>
      </c>
      <c r="AR273" s="692">
        <f ca="1">IF(OR(AN273="",AF273=""),"",AN273*SFAssumptions!$C$8/AF273)</f>
        <v>3102.7456253430651</v>
      </c>
      <c r="AS273" s="190" t="str">
        <f>IF(OR(AG273="",AH273=""),"No",IF(AND(G273="Horizontal",AH273&gt;='Eff. Standards &amp; Certifications'!$B$21,AG273&lt;='Eff. Standards &amp; Certifications'!$C$21),"Consider",IF(AND(G273="Vertical",AH273&gt;='Eff. Standards &amp; Certifications'!$B$20,AG273&lt;='Eff. Standards &amp; Certifications'!$C$20),"Consider","No")))</f>
        <v>Consider</v>
      </c>
      <c r="AT273" s="190" t="str">
        <f t="shared" si="108"/>
        <v>Residential</v>
      </c>
      <c r="AU273" s="190"/>
      <c r="AV273" s="190" t="str">
        <f t="shared" si="134"/>
        <v>NO</v>
      </c>
      <c r="AW273" s="190" t="str">
        <f t="shared" si="134"/>
        <v>YES</v>
      </c>
      <c r="AX273" s="190" t="str">
        <f t="shared" si="124"/>
        <v>YES</v>
      </c>
      <c r="AY273" s="190" t="str">
        <f t="shared" si="109"/>
        <v>NO</v>
      </c>
      <c r="AZ273" s="190" t="str">
        <f t="shared" si="109"/>
        <v>NO</v>
      </c>
      <c r="BA273" s="190" t="str">
        <f t="shared" si="125"/>
        <v>NO</v>
      </c>
      <c r="BB273" s="190" t="str">
        <f t="shared" si="110"/>
        <v>NO</v>
      </c>
      <c r="BC273" s="190" t="str">
        <f t="shared" si="111"/>
        <v>YES</v>
      </c>
      <c r="BD273" s="190" t="str">
        <f t="shared" si="126"/>
        <v>YES</v>
      </c>
      <c r="BE273" s="190" t="str">
        <f t="shared" si="112"/>
        <v>YES</v>
      </c>
      <c r="BF273" s="190" t="str">
        <f t="shared" si="113"/>
        <v>NO</v>
      </c>
      <c r="BG273" s="190" t="str">
        <f t="shared" si="114"/>
        <v>NO</v>
      </c>
      <c r="BH273" s="88"/>
      <c r="BI273" s="9"/>
      <c r="BJ273" s="694" t="str">
        <f t="shared" si="135"/>
        <v/>
      </c>
      <c r="BK273" s="694">
        <f t="shared" si="135"/>
        <v>2.4055900000000001</v>
      </c>
      <c r="BL273" s="694" t="str">
        <f t="shared" si="136"/>
        <v/>
      </c>
      <c r="BM273" s="694">
        <f t="shared" si="136"/>
        <v>3.3946400000000003</v>
      </c>
      <c r="BN273" s="88"/>
      <c r="BO273" s="195"/>
      <c r="BP273" s="195"/>
      <c r="BQ273" s="195"/>
      <c r="BR273" s="195"/>
      <c r="BS273" s="195"/>
      <c r="BT273" s="195"/>
      <c r="BU273" s="195"/>
      <c r="BV273" s="195"/>
      <c r="BW273" s="195"/>
      <c r="BX273" s="195"/>
    </row>
    <row r="274" spans="1:76" s="124" customFormat="1" ht="15">
      <c r="A274" s="187">
        <v>4900</v>
      </c>
      <c r="B274" s="187" t="s">
        <v>576</v>
      </c>
      <c r="C274" s="187" t="s">
        <v>597</v>
      </c>
      <c r="D274" s="187" t="s">
        <v>620</v>
      </c>
      <c r="E274" s="187" t="s">
        <v>385</v>
      </c>
      <c r="F274" s="187" t="s">
        <v>386</v>
      </c>
      <c r="G274" s="187" t="s">
        <v>387</v>
      </c>
      <c r="H274" s="187" t="b">
        <v>0</v>
      </c>
      <c r="I274" s="187" t="s">
        <v>388</v>
      </c>
      <c r="J274" s="187" t="s">
        <v>389</v>
      </c>
      <c r="K274" s="187" t="b">
        <v>1</v>
      </c>
      <c r="L274" s="187">
        <v>3.7</v>
      </c>
      <c r="M274" s="187">
        <v>0.3</v>
      </c>
      <c r="N274" s="187">
        <v>11.48</v>
      </c>
      <c r="O274" s="187">
        <v>3.1</v>
      </c>
      <c r="P274" s="187">
        <v>12.3</v>
      </c>
      <c r="Q274" s="187"/>
      <c r="R274" s="187"/>
      <c r="S274" s="187"/>
      <c r="T274" s="187"/>
      <c r="U274" s="187">
        <v>36.1</v>
      </c>
      <c r="V274" s="187">
        <v>2.73</v>
      </c>
      <c r="W274" s="188">
        <v>40632</v>
      </c>
      <c r="X274" s="691">
        <f t="shared" si="133"/>
        <v>2.3232850000000003</v>
      </c>
      <c r="Y274" s="691">
        <f t="shared" si="107"/>
        <v>3.2922199999999999</v>
      </c>
      <c r="Z274" s="189"/>
      <c r="AA274" s="190">
        <f t="shared" si="115"/>
        <v>2011</v>
      </c>
      <c r="AB274" s="191">
        <f t="shared" si="116"/>
        <v>1.5925725857998481</v>
      </c>
      <c r="AC274" s="192">
        <f>IF(AB274="","",AB274*SFAssumptions!$C$3)</f>
        <v>408.83456399021213</v>
      </c>
      <c r="AD274" s="193">
        <f t="shared" si="117"/>
        <v>12.181214000000001</v>
      </c>
      <c r="AE274" s="194">
        <f>IF(AD274="","",AD274*SFAssumptions!$C$3)</f>
        <v>3127.0796439462001</v>
      </c>
      <c r="AF274" s="192">
        <f t="shared" si="106"/>
        <v>3.7</v>
      </c>
      <c r="AG274" s="192">
        <f t="shared" si="118"/>
        <v>3.2922199999999999</v>
      </c>
      <c r="AH274" s="192">
        <f t="shared" si="119"/>
        <v>2.3232850000000003</v>
      </c>
      <c r="AI274" s="692">
        <f ca="1">IF(AC274="","",AC274*SFAssumptions!$C$8/'SavingsData&amp;Analysis'!AF274)</f>
        <v>417.34354929322387</v>
      </c>
      <c r="AJ274" s="692">
        <f ca="1">IF(OR(AE274="",AF274=""),"",AE274*SFAssumptions!$C$8/AF274)</f>
        <v>3192.16287583342</v>
      </c>
      <c r="AK274" s="191">
        <f t="shared" si="120"/>
        <v>1.3553113553113554</v>
      </c>
      <c r="AL274" s="692">
        <f>IF(AK274="","",AK274*SFAssumptions!$C$3)</f>
        <v>347.92645054945058</v>
      </c>
      <c r="AM274" s="193">
        <f t="shared" si="121"/>
        <v>11.47</v>
      </c>
      <c r="AN274" s="194">
        <f>IF(AM274="","",AM274*SFAssumptions!$C$3)</f>
        <v>2944.5015510000003</v>
      </c>
      <c r="AO274" s="693">
        <f t="shared" si="122"/>
        <v>3.1</v>
      </c>
      <c r="AP274" s="693">
        <f t="shared" si="123"/>
        <v>2.73</v>
      </c>
      <c r="AQ274" s="692">
        <f ca="1">IF(AL274="","",AL274*SFAssumptions!$C$8/'SavingsData&amp;Analysis'!AF274)</f>
        <v>355.1677684687574</v>
      </c>
      <c r="AR274" s="692">
        <f ca="1">IF(OR(AN274="",AF274=""),"",AN274*SFAssumptions!$C$8/AF274)</f>
        <v>3005.7848245510936</v>
      </c>
      <c r="AS274" s="190" t="str">
        <f>IF(OR(AG274="",AH274=""),"No",IF(AND(G274="Horizontal",AH274&gt;='Eff. Standards &amp; Certifications'!$B$21,AG274&lt;='Eff. Standards &amp; Certifications'!$C$21),"Consider",IF(AND(G274="Vertical",AH274&gt;='Eff. Standards &amp; Certifications'!$B$20,AG274&lt;='Eff. Standards &amp; Certifications'!$C$20),"Consider","No")))</f>
        <v>Consider</v>
      </c>
      <c r="AT274" s="190" t="str">
        <f t="shared" si="108"/>
        <v>Residential</v>
      </c>
      <c r="AU274" s="190"/>
      <c r="AV274" s="190" t="str">
        <f t="shared" si="134"/>
        <v>NO</v>
      </c>
      <c r="AW274" s="190" t="str">
        <f t="shared" si="134"/>
        <v>YES</v>
      </c>
      <c r="AX274" s="190" t="str">
        <f t="shared" si="124"/>
        <v>YES</v>
      </c>
      <c r="AY274" s="190" t="str">
        <f t="shared" si="109"/>
        <v>NO</v>
      </c>
      <c r="AZ274" s="190" t="str">
        <f t="shared" si="109"/>
        <v>YES</v>
      </c>
      <c r="BA274" s="190" t="str">
        <f t="shared" si="125"/>
        <v>YES</v>
      </c>
      <c r="BB274" s="190" t="str">
        <f t="shared" si="110"/>
        <v>NO</v>
      </c>
      <c r="BC274" s="190" t="str">
        <f t="shared" si="111"/>
        <v>NO</v>
      </c>
      <c r="BD274" s="190" t="str">
        <f t="shared" si="126"/>
        <v>NO</v>
      </c>
      <c r="BE274" s="190" t="str">
        <f t="shared" si="112"/>
        <v>NO</v>
      </c>
      <c r="BF274" s="190" t="str">
        <f t="shared" si="113"/>
        <v>NO</v>
      </c>
      <c r="BG274" s="190" t="str">
        <f t="shared" si="114"/>
        <v>NO</v>
      </c>
      <c r="BH274" s="88"/>
      <c r="BI274" s="9"/>
      <c r="BJ274" s="694" t="str">
        <f t="shared" si="135"/>
        <v/>
      </c>
      <c r="BK274" s="694">
        <f t="shared" si="135"/>
        <v>2.3232850000000003</v>
      </c>
      <c r="BL274" s="694" t="str">
        <f t="shared" si="136"/>
        <v/>
      </c>
      <c r="BM274" s="694">
        <f t="shared" si="136"/>
        <v>3.2922199999999999</v>
      </c>
      <c r="BN274" s="88"/>
      <c r="BO274" s="195"/>
      <c r="BP274" s="195"/>
      <c r="BQ274" s="195"/>
      <c r="BR274" s="195"/>
      <c r="BS274" s="195"/>
      <c r="BT274" s="195"/>
      <c r="BU274" s="195"/>
      <c r="BV274" s="195"/>
      <c r="BW274" s="195"/>
      <c r="BX274" s="195"/>
    </row>
    <row r="275" spans="1:76" s="124" customFormat="1" ht="15">
      <c r="A275" s="187">
        <v>6146</v>
      </c>
      <c r="B275" s="187" t="s">
        <v>576</v>
      </c>
      <c r="C275" s="187" t="s">
        <v>597</v>
      </c>
      <c r="D275" s="187" t="s">
        <v>1342</v>
      </c>
      <c r="E275" s="187" t="s">
        <v>385</v>
      </c>
      <c r="F275" s="187" t="s">
        <v>386</v>
      </c>
      <c r="G275" s="187" t="s">
        <v>387</v>
      </c>
      <c r="H275" s="187" t="b">
        <v>0</v>
      </c>
      <c r="I275" s="187" t="s">
        <v>388</v>
      </c>
      <c r="J275" s="187" t="s">
        <v>389</v>
      </c>
      <c r="K275" s="187" t="b">
        <v>1</v>
      </c>
      <c r="L275" s="187">
        <v>4.2</v>
      </c>
      <c r="M275" s="187">
        <v>0.24</v>
      </c>
      <c r="N275" s="187">
        <v>12.04</v>
      </c>
      <c r="O275" s="187">
        <v>2.9</v>
      </c>
      <c r="P275" s="187">
        <v>17.239999999999998</v>
      </c>
      <c r="Q275" s="187"/>
      <c r="R275" s="187"/>
      <c r="S275" s="187"/>
      <c r="T275" s="187"/>
      <c r="U275" s="187">
        <v>32.5</v>
      </c>
      <c r="V275" s="187">
        <v>3.2</v>
      </c>
      <c r="W275" s="188">
        <v>41661</v>
      </c>
      <c r="X275" s="691">
        <f t="shared" si="133"/>
        <v>2.7530999999999999</v>
      </c>
      <c r="Y275" s="691">
        <f t="shared" si="107"/>
        <v>3.08738</v>
      </c>
      <c r="Z275" s="189"/>
      <c r="AA275" s="190">
        <f t="shared" si="115"/>
        <v>2014</v>
      </c>
      <c r="AB275" s="191">
        <f t="shared" si="116"/>
        <v>1.5255530129672008</v>
      </c>
      <c r="AC275" s="192">
        <f>IF(AB275="","",AB275*SFAssumptions!$C$3)</f>
        <v>391.62974828375292</v>
      </c>
      <c r="AD275" s="193">
        <f t="shared" si="117"/>
        <v>12.966996</v>
      </c>
      <c r="AE275" s="194">
        <f>IF(AD275="","",AD275*SFAssumptions!$C$3)</f>
        <v>3328.8003342468</v>
      </c>
      <c r="AF275" s="192">
        <f t="shared" si="106"/>
        <v>4.2</v>
      </c>
      <c r="AG275" s="192">
        <f t="shared" si="118"/>
        <v>3.08738</v>
      </c>
      <c r="AH275" s="192">
        <f t="shared" si="119"/>
        <v>2.7530999999999999</v>
      </c>
      <c r="AI275" s="692">
        <f ca="1">IF(AC275="","",AC275*SFAssumptions!$C$8/'SavingsData&amp;Analysis'!AF275)</f>
        <v>352.18771854262752</v>
      </c>
      <c r="AJ275" s="692">
        <f ca="1">IF(OR(AE275="",AF275=""),"",AE275*SFAssumptions!$C$8/AF275)</f>
        <v>2993.548371491147</v>
      </c>
      <c r="AK275" s="191">
        <f t="shared" si="120"/>
        <v>1.3125</v>
      </c>
      <c r="AL275" s="692">
        <f>IF(AK275="","",AK275*SFAssumptions!$C$3)</f>
        <v>336.93620625</v>
      </c>
      <c r="AM275" s="193">
        <f t="shared" si="121"/>
        <v>12.18</v>
      </c>
      <c r="AN275" s="194">
        <f>IF(AM275="","",AM275*SFAssumptions!$C$3)</f>
        <v>3126.7679939999998</v>
      </c>
      <c r="AO275" s="693">
        <f t="shared" si="122"/>
        <v>2.9</v>
      </c>
      <c r="AP275" s="693">
        <f t="shared" si="123"/>
        <v>3.2</v>
      </c>
      <c r="AQ275" s="692">
        <f ca="1">IF(AL275="","",AL275*SFAssumptions!$C$8/'SavingsData&amp;Analysis'!AF275)</f>
        <v>303.00250247490862</v>
      </c>
      <c r="AR275" s="692">
        <f ca="1">IF(OR(AN275="",AF275=""),"",AN275*SFAssumptions!$C$8/AF275)</f>
        <v>2811.8632229671516</v>
      </c>
      <c r="AS275" s="190" t="str">
        <f>IF(OR(AG275="",AH275=""),"No",IF(AND(G275="Horizontal",AH275&gt;='Eff. Standards &amp; Certifications'!$B$21,AG275&lt;='Eff. Standards &amp; Certifications'!$C$21),"Consider",IF(AND(G275="Vertical",AH275&gt;='Eff. Standards &amp; Certifications'!$B$20,AG275&lt;='Eff. Standards &amp; Certifications'!$C$20),"Consider","No")))</f>
        <v>Consider</v>
      </c>
      <c r="AT275" s="190" t="str">
        <f t="shared" si="108"/>
        <v>Residential</v>
      </c>
      <c r="AU275" s="190"/>
      <c r="AV275" s="190" t="str">
        <f t="shared" si="134"/>
        <v>NO</v>
      </c>
      <c r="AW275" s="190" t="str">
        <f t="shared" si="134"/>
        <v>YES</v>
      </c>
      <c r="AX275" s="190" t="str">
        <f t="shared" si="124"/>
        <v>YES</v>
      </c>
      <c r="AY275" s="190" t="str">
        <f t="shared" si="109"/>
        <v>NO</v>
      </c>
      <c r="AZ275" s="190" t="str">
        <f t="shared" si="109"/>
        <v>NO</v>
      </c>
      <c r="BA275" s="190" t="str">
        <f t="shared" si="125"/>
        <v>NO</v>
      </c>
      <c r="BB275" s="190" t="str">
        <f t="shared" si="110"/>
        <v>NO</v>
      </c>
      <c r="BC275" s="190" t="str">
        <f t="shared" si="111"/>
        <v>YES</v>
      </c>
      <c r="BD275" s="190" t="str">
        <f t="shared" si="126"/>
        <v>YES</v>
      </c>
      <c r="BE275" s="190" t="str">
        <f t="shared" si="112"/>
        <v>YES</v>
      </c>
      <c r="BF275" s="190" t="str">
        <f t="shared" si="113"/>
        <v>NO</v>
      </c>
      <c r="BG275" s="190" t="str">
        <f t="shared" si="114"/>
        <v>NO</v>
      </c>
      <c r="BH275" s="88"/>
      <c r="BI275" s="9"/>
      <c r="BJ275" s="694" t="str">
        <f t="shared" si="135"/>
        <v/>
      </c>
      <c r="BK275" s="694">
        <f t="shared" si="135"/>
        <v>2.7530999999999999</v>
      </c>
      <c r="BL275" s="694" t="str">
        <f t="shared" si="136"/>
        <v/>
      </c>
      <c r="BM275" s="694">
        <f t="shared" si="136"/>
        <v>3.08738</v>
      </c>
      <c r="BN275" s="88"/>
      <c r="BO275" s="195"/>
      <c r="BP275" s="195"/>
      <c r="BQ275" s="195"/>
      <c r="BR275" s="195"/>
      <c r="BS275" s="195"/>
      <c r="BT275" s="195"/>
      <c r="BU275" s="195"/>
      <c r="BV275" s="195"/>
      <c r="BW275" s="195"/>
      <c r="BX275" s="195"/>
    </row>
    <row r="276" spans="1:76" s="124" customFormat="1" ht="15">
      <c r="A276" s="187">
        <v>4906</v>
      </c>
      <c r="B276" s="187" t="s">
        <v>576</v>
      </c>
      <c r="C276" s="187" t="s">
        <v>597</v>
      </c>
      <c r="D276" s="187" t="s">
        <v>621</v>
      </c>
      <c r="E276" s="187" t="s">
        <v>385</v>
      </c>
      <c r="F276" s="187" t="s">
        <v>386</v>
      </c>
      <c r="G276" s="187" t="s">
        <v>387</v>
      </c>
      <c r="H276" s="187" t="b">
        <v>0</v>
      </c>
      <c r="I276" s="187" t="s">
        <v>388</v>
      </c>
      <c r="J276" s="187" t="s">
        <v>389</v>
      </c>
      <c r="K276" s="187" t="b">
        <v>1</v>
      </c>
      <c r="L276" s="187">
        <v>3.9</v>
      </c>
      <c r="M276" s="187">
        <v>0.3</v>
      </c>
      <c r="N276" s="187">
        <v>12.33</v>
      </c>
      <c r="O276" s="187">
        <v>3.2</v>
      </c>
      <c r="P276" s="187">
        <v>12.86</v>
      </c>
      <c r="Q276" s="187"/>
      <c r="R276" s="187"/>
      <c r="S276" s="187"/>
      <c r="T276" s="187"/>
      <c r="U276" s="187">
        <v>35.9</v>
      </c>
      <c r="V276" s="187">
        <v>2.76</v>
      </c>
      <c r="W276" s="188">
        <v>40632</v>
      </c>
      <c r="X276" s="691">
        <f t="shared" si="133"/>
        <v>2.3507199999999999</v>
      </c>
      <c r="Y276" s="691">
        <f t="shared" si="107"/>
        <v>3.3946400000000003</v>
      </c>
      <c r="Z276" s="189"/>
      <c r="AA276" s="190">
        <f t="shared" si="115"/>
        <v>2011</v>
      </c>
      <c r="AB276" s="191">
        <f t="shared" si="116"/>
        <v>1.6590661584535802</v>
      </c>
      <c r="AC276" s="192">
        <f>IF(AB276="","",AB276*SFAssumptions!$C$3)</f>
        <v>425.9043484549415</v>
      </c>
      <c r="AD276" s="193">
        <f t="shared" si="117"/>
        <v>13.239096000000002</v>
      </c>
      <c r="AE276" s="194">
        <f>IF(AD276="","",AD276*SFAssumptions!$C$3)</f>
        <v>3398.6520231768004</v>
      </c>
      <c r="AF276" s="192">
        <f t="shared" si="106"/>
        <v>3.9</v>
      </c>
      <c r="AG276" s="192">
        <f t="shared" si="118"/>
        <v>3.3946400000000003</v>
      </c>
      <c r="AH276" s="192">
        <f t="shared" si="119"/>
        <v>2.3507199999999999</v>
      </c>
      <c r="AI276" s="692">
        <f ca="1">IF(AC276="","",AC276*SFAssumptions!$C$8/'SavingsData&amp;Analysis'!AF276)</f>
        <v>412.47277766799436</v>
      </c>
      <c r="AJ276" s="692">
        <f ca="1">IF(OR(AE276="",AF276=""),"",AE276*SFAssumptions!$C$8/AF276)</f>
        <v>3291.470128004557</v>
      </c>
      <c r="AK276" s="191">
        <f t="shared" si="120"/>
        <v>1.4130434782608696</v>
      </c>
      <c r="AL276" s="692">
        <f>IF(AK276="","",AK276*SFAssumptions!$C$3)</f>
        <v>362.74705434782612</v>
      </c>
      <c r="AM276" s="193">
        <f t="shared" si="121"/>
        <v>12.48</v>
      </c>
      <c r="AN276" s="194">
        <f>IF(AM276="","",AM276*SFAssumptions!$C$3)</f>
        <v>3203.7819840000002</v>
      </c>
      <c r="AO276" s="693">
        <f t="shared" si="122"/>
        <v>3.2</v>
      </c>
      <c r="AP276" s="693">
        <f t="shared" si="123"/>
        <v>2.76</v>
      </c>
      <c r="AQ276" s="692">
        <f ca="1">IF(AL276="","",AL276*SFAssumptions!$C$8/'SavingsData&amp;Analysis'!AF276)</f>
        <v>351.30724924627094</v>
      </c>
      <c r="AR276" s="692">
        <f ca="1">IF(OR(AN276="",AF276=""),"",AN276*SFAssumptions!$C$8/AF276)</f>
        <v>3102.7456253430651</v>
      </c>
      <c r="AS276" s="190" t="str">
        <f>IF(OR(AG276="",AH276=""),"No",IF(AND(G276="Horizontal",AH276&gt;='Eff. Standards &amp; Certifications'!$B$21,AG276&lt;='Eff. Standards &amp; Certifications'!$C$21),"Consider",IF(AND(G276="Vertical",AH276&gt;='Eff. Standards &amp; Certifications'!$B$20,AG276&lt;='Eff. Standards &amp; Certifications'!$C$20),"Consider","No")))</f>
        <v>Consider</v>
      </c>
      <c r="AT276" s="190" t="str">
        <f t="shared" si="108"/>
        <v>Residential</v>
      </c>
      <c r="AU276" s="190"/>
      <c r="AV276" s="190" t="str">
        <f t="shared" si="134"/>
        <v>NO</v>
      </c>
      <c r="AW276" s="190" t="str">
        <f t="shared" si="134"/>
        <v>YES</v>
      </c>
      <c r="AX276" s="190" t="str">
        <f t="shared" si="124"/>
        <v>YES</v>
      </c>
      <c r="AY276" s="190" t="str">
        <f t="shared" si="109"/>
        <v>NO</v>
      </c>
      <c r="AZ276" s="190" t="str">
        <f t="shared" si="109"/>
        <v>YES</v>
      </c>
      <c r="BA276" s="190" t="str">
        <f t="shared" si="125"/>
        <v>YES</v>
      </c>
      <c r="BB276" s="190" t="str">
        <f t="shared" si="110"/>
        <v>NO</v>
      </c>
      <c r="BC276" s="190" t="str">
        <f t="shared" si="111"/>
        <v>NO</v>
      </c>
      <c r="BD276" s="190" t="str">
        <f t="shared" si="126"/>
        <v>NO</v>
      </c>
      <c r="BE276" s="190" t="str">
        <f t="shared" si="112"/>
        <v>NO</v>
      </c>
      <c r="BF276" s="190" t="str">
        <f t="shared" si="113"/>
        <v>NO</v>
      </c>
      <c r="BG276" s="190" t="str">
        <f t="shared" si="114"/>
        <v>NO</v>
      </c>
      <c r="BH276" s="88"/>
      <c r="BI276" s="9"/>
      <c r="BJ276" s="694" t="str">
        <f t="shared" si="135"/>
        <v/>
      </c>
      <c r="BK276" s="694">
        <f t="shared" si="135"/>
        <v>2.3507199999999999</v>
      </c>
      <c r="BL276" s="694" t="str">
        <f t="shared" si="136"/>
        <v/>
      </c>
      <c r="BM276" s="694">
        <f t="shared" si="136"/>
        <v>3.3946400000000003</v>
      </c>
      <c r="BN276" s="88"/>
      <c r="BO276" s="195"/>
      <c r="BP276" s="195"/>
      <c r="BQ276" s="195"/>
      <c r="BR276" s="195"/>
      <c r="BS276" s="195"/>
      <c r="BT276" s="195"/>
      <c r="BU276" s="195"/>
      <c r="BV276" s="195"/>
      <c r="BW276" s="195"/>
      <c r="BX276" s="195"/>
    </row>
    <row r="277" spans="1:76" s="124" customFormat="1" ht="15">
      <c r="A277" s="187">
        <v>5126</v>
      </c>
      <c r="B277" s="187" t="s">
        <v>576</v>
      </c>
      <c r="C277" s="187" t="s">
        <v>597</v>
      </c>
      <c r="D277" s="187" t="s">
        <v>622</v>
      </c>
      <c r="E277" s="187" t="s">
        <v>385</v>
      </c>
      <c r="F277" s="187" t="s">
        <v>386</v>
      </c>
      <c r="G277" s="187" t="s">
        <v>387</v>
      </c>
      <c r="H277" s="187" t="b">
        <v>0</v>
      </c>
      <c r="I277" s="187" t="s">
        <v>388</v>
      </c>
      <c r="J277" s="187" t="s">
        <v>389</v>
      </c>
      <c r="K277" s="187" t="b">
        <v>1</v>
      </c>
      <c r="L277" s="187">
        <v>3.9</v>
      </c>
      <c r="M277" s="187">
        <v>0.24</v>
      </c>
      <c r="N277" s="187">
        <v>11.17</v>
      </c>
      <c r="O277" s="187">
        <v>2.9</v>
      </c>
      <c r="P277" s="187">
        <v>16.12</v>
      </c>
      <c r="Q277" s="187"/>
      <c r="R277" s="187"/>
      <c r="S277" s="187"/>
      <c r="T277" s="187"/>
      <c r="U277" s="187">
        <v>31.5</v>
      </c>
      <c r="V277" s="187">
        <v>3.25</v>
      </c>
      <c r="W277" s="188">
        <v>40729</v>
      </c>
      <c r="X277" s="691">
        <f t="shared" si="133"/>
        <v>2.7988249999999999</v>
      </c>
      <c r="Y277" s="691">
        <f t="shared" si="107"/>
        <v>3.08738</v>
      </c>
      <c r="Z277" s="189"/>
      <c r="AA277" s="190">
        <f t="shared" si="115"/>
        <v>2011</v>
      </c>
      <c r="AB277" s="191">
        <f t="shared" si="116"/>
        <v>1.393441890793458</v>
      </c>
      <c r="AC277" s="192">
        <f>IF(AB277="","",AB277*SFAssumptions!$C$3)</f>
        <v>357.71506614382821</v>
      </c>
      <c r="AD277" s="193">
        <f t="shared" si="117"/>
        <v>12.040782</v>
      </c>
      <c r="AE277" s="194">
        <f>IF(AD277="","",AD277*SFAssumptions!$C$3)</f>
        <v>3091.0288818006002</v>
      </c>
      <c r="AF277" s="192">
        <f t="shared" si="106"/>
        <v>3.9</v>
      </c>
      <c r="AG277" s="192">
        <f t="shared" si="118"/>
        <v>3.08738</v>
      </c>
      <c r="AH277" s="192">
        <f t="shared" si="119"/>
        <v>2.7988249999999999</v>
      </c>
      <c r="AI277" s="692">
        <f ca="1">IF(AC277="","",AC277*SFAssumptions!$C$8/'SavingsData&amp;Analysis'!AF277)</f>
        <v>346.43395279079886</v>
      </c>
      <c r="AJ277" s="692">
        <f ca="1">IF(OR(AE277="",AF277=""),"",AE277*SFAssumptions!$C$8/AF277)</f>
        <v>2993.548371491147</v>
      </c>
      <c r="AK277" s="191">
        <f t="shared" si="120"/>
        <v>1.2</v>
      </c>
      <c r="AL277" s="692">
        <f>IF(AK277="","",AK277*SFAssumptions!$C$3)</f>
        <v>308.05595999999997</v>
      </c>
      <c r="AM277" s="193">
        <f t="shared" si="121"/>
        <v>11.309999999999999</v>
      </c>
      <c r="AN277" s="194">
        <f>IF(AM277="","",AM277*SFAssumptions!$C$3)</f>
        <v>2903.4274229999996</v>
      </c>
      <c r="AO277" s="693">
        <f t="shared" si="122"/>
        <v>2.9</v>
      </c>
      <c r="AP277" s="693">
        <f t="shared" si="123"/>
        <v>3.25</v>
      </c>
      <c r="AQ277" s="692">
        <f ca="1">IF(AL277="","",AL277*SFAssumptions!$C$8/'SavingsData&amp;Analysis'!AF277)</f>
        <v>298.34092551375613</v>
      </c>
      <c r="AR277" s="692">
        <f ca="1">IF(OR(AN277="",AF277=""),"",AN277*SFAssumptions!$C$8/AF277)</f>
        <v>2811.8632229671521</v>
      </c>
      <c r="AS277" s="190" t="str">
        <f>IF(OR(AG277="",AH277=""),"No",IF(AND(G277="Horizontal",AH277&gt;='Eff. Standards &amp; Certifications'!$B$21,AG277&lt;='Eff. Standards &amp; Certifications'!$C$21),"Consider",IF(AND(G277="Vertical",AH277&gt;='Eff. Standards &amp; Certifications'!$B$20,AG277&lt;='Eff. Standards &amp; Certifications'!$C$20),"Consider","No")))</f>
        <v>Consider</v>
      </c>
      <c r="AT277" s="190" t="str">
        <f t="shared" si="108"/>
        <v>Residential</v>
      </c>
      <c r="AU277" s="190"/>
      <c r="AV277" s="190" t="str">
        <f t="shared" si="134"/>
        <v>NO</v>
      </c>
      <c r="AW277" s="190" t="str">
        <f t="shared" si="134"/>
        <v>YES</v>
      </c>
      <c r="AX277" s="190" t="str">
        <f t="shared" si="124"/>
        <v>YES</v>
      </c>
      <c r="AY277" s="190" t="str">
        <f t="shared" si="109"/>
        <v>NO</v>
      </c>
      <c r="AZ277" s="190" t="str">
        <f t="shared" si="109"/>
        <v>NO</v>
      </c>
      <c r="BA277" s="190" t="str">
        <f t="shared" si="125"/>
        <v>NO</v>
      </c>
      <c r="BB277" s="190" t="str">
        <f t="shared" si="110"/>
        <v>NO</v>
      </c>
      <c r="BC277" s="190" t="str">
        <f t="shared" si="111"/>
        <v>YES</v>
      </c>
      <c r="BD277" s="190" t="str">
        <f t="shared" si="126"/>
        <v>YES</v>
      </c>
      <c r="BE277" s="190" t="str">
        <f t="shared" si="112"/>
        <v>NO</v>
      </c>
      <c r="BF277" s="190" t="str">
        <f t="shared" si="113"/>
        <v>YES</v>
      </c>
      <c r="BG277" s="190" t="str">
        <f t="shared" si="114"/>
        <v>NO</v>
      </c>
      <c r="BH277" s="88"/>
      <c r="BI277" s="9"/>
      <c r="BJ277" s="694" t="str">
        <f t="shared" si="135"/>
        <v/>
      </c>
      <c r="BK277" s="694">
        <f t="shared" si="135"/>
        <v>2.7988249999999999</v>
      </c>
      <c r="BL277" s="694" t="str">
        <f t="shared" si="136"/>
        <v/>
      </c>
      <c r="BM277" s="694">
        <f t="shared" si="136"/>
        <v>3.08738</v>
      </c>
      <c r="BN277" s="88"/>
      <c r="BO277" s="195"/>
      <c r="BP277" s="195"/>
      <c r="BQ277" s="195"/>
      <c r="BR277" s="195"/>
      <c r="BS277" s="195"/>
      <c r="BT277" s="195"/>
      <c r="BU277" s="195"/>
      <c r="BV277" s="195"/>
      <c r="BW277" s="195"/>
      <c r="BX277" s="195"/>
    </row>
    <row r="278" spans="1:76" s="124" customFormat="1" ht="15">
      <c r="A278" s="187">
        <v>5124</v>
      </c>
      <c r="B278" s="187" t="s">
        <v>576</v>
      </c>
      <c r="C278" s="187" t="s">
        <v>597</v>
      </c>
      <c r="D278" s="187" t="s">
        <v>623</v>
      </c>
      <c r="E278" s="187" t="s">
        <v>385</v>
      </c>
      <c r="F278" s="187" t="s">
        <v>386</v>
      </c>
      <c r="G278" s="187" t="s">
        <v>387</v>
      </c>
      <c r="H278" s="187" t="b">
        <v>0</v>
      </c>
      <c r="I278" s="187" t="s">
        <v>388</v>
      </c>
      <c r="J278" s="187" t="s">
        <v>389</v>
      </c>
      <c r="K278" s="187" t="b">
        <v>1</v>
      </c>
      <c r="L278" s="187">
        <v>4.3</v>
      </c>
      <c r="M278" s="187">
        <v>0.25</v>
      </c>
      <c r="N278" s="187">
        <v>13.8</v>
      </c>
      <c r="O278" s="187">
        <v>3.2</v>
      </c>
      <c r="P278" s="187">
        <v>17.48</v>
      </c>
      <c r="Q278" s="187"/>
      <c r="R278" s="187"/>
      <c r="S278" s="187"/>
      <c r="T278" s="187"/>
      <c r="U278" s="187">
        <v>34.1</v>
      </c>
      <c r="V278" s="187">
        <v>3.02</v>
      </c>
      <c r="W278" s="188">
        <v>40729</v>
      </c>
      <c r="X278" s="691">
        <f t="shared" si="133"/>
        <v>2.5884900000000002</v>
      </c>
      <c r="Y278" s="691">
        <f t="shared" si="107"/>
        <v>3.3946400000000003</v>
      </c>
      <c r="Z278" s="189"/>
      <c r="AA278" s="190">
        <f t="shared" si="115"/>
        <v>2011</v>
      </c>
      <c r="AB278" s="191">
        <f t="shared" si="116"/>
        <v>1.6612001591661547</v>
      </c>
      <c r="AC278" s="192">
        <f>IF(AB278="","",AB278*SFAssumptions!$C$3)</f>
        <v>426.45217482006882</v>
      </c>
      <c r="AD278" s="193">
        <f t="shared" si="117"/>
        <v>14.596952</v>
      </c>
      <c r="AE278" s="194">
        <f>IF(AD278="","",AD278*SFAssumptions!$C$3)</f>
        <v>3747.2317178615999</v>
      </c>
      <c r="AF278" s="192">
        <f t="shared" ref="AF278:AF341" si="137">L278</f>
        <v>4.3</v>
      </c>
      <c r="AG278" s="192">
        <f t="shared" si="118"/>
        <v>3.3946400000000003</v>
      </c>
      <c r="AH278" s="192">
        <f t="shared" si="119"/>
        <v>2.5884900000000002</v>
      </c>
      <c r="AI278" s="692">
        <f ca="1">IF(AC278="","",AC278*SFAssumptions!$C$8/'SavingsData&amp;Analysis'!AF278)</f>
        <v>374.58441327558057</v>
      </c>
      <c r="AJ278" s="692">
        <f ca="1">IF(OR(AE278="",AF278=""),"",AE278*SFAssumptions!$C$8/AF278)</f>
        <v>3291.4701280045565</v>
      </c>
      <c r="AK278" s="191">
        <f t="shared" si="120"/>
        <v>1.423841059602649</v>
      </c>
      <c r="AL278" s="692">
        <f>IF(AK278="","",AK278*SFAssumptions!$C$3)</f>
        <v>365.51893708609271</v>
      </c>
      <c r="AM278" s="193">
        <f t="shared" si="121"/>
        <v>13.76</v>
      </c>
      <c r="AN278" s="194">
        <f>IF(AM278="","",AM278*SFAssumptions!$C$3)</f>
        <v>3532.375008</v>
      </c>
      <c r="AO278" s="693">
        <f t="shared" si="122"/>
        <v>3.2</v>
      </c>
      <c r="AP278" s="693">
        <f t="shared" si="123"/>
        <v>3.02</v>
      </c>
      <c r="AQ278" s="692">
        <f ca="1">IF(AL278="","",AL278*SFAssumptions!$C$8/'SavingsData&amp;Analysis'!AF278)</f>
        <v>321.0622542780489</v>
      </c>
      <c r="AR278" s="692">
        <f ca="1">IF(OR(AN278="",AF278=""),"",AN278*SFAssumptions!$C$8/AF278)</f>
        <v>3102.7456253430646</v>
      </c>
      <c r="AS278" s="190" t="str">
        <f>IF(OR(AG278="",AH278=""),"No",IF(AND(G278="Horizontal",AH278&gt;='Eff. Standards &amp; Certifications'!$B$21,AG278&lt;='Eff. Standards &amp; Certifications'!$C$21),"Consider",IF(AND(G278="Vertical",AH278&gt;='Eff. Standards &amp; Certifications'!$B$20,AG278&lt;='Eff. Standards &amp; Certifications'!$C$20),"Consider","No")))</f>
        <v>Consider</v>
      </c>
      <c r="AT278" s="190" t="str">
        <f t="shared" si="108"/>
        <v>Residential</v>
      </c>
      <c r="AU278" s="190"/>
      <c r="AV278" s="190" t="str">
        <f t="shared" si="134"/>
        <v>NO</v>
      </c>
      <c r="AW278" s="190" t="str">
        <f t="shared" si="134"/>
        <v>YES</v>
      </c>
      <c r="AX278" s="190" t="str">
        <f t="shared" si="124"/>
        <v>YES</v>
      </c>
      <c r="AY278" s="190" t="str">
        <f t="shared" si="109"/>
        <v>NO</v>
      </c>
      <c r="AZ278" s="190" t="str">
        <f t="shared" si="109"/>
        <v>NO</v>
      </c>
      <c r="BA278" s="190" t="str">
        <f t="shared" si="125"/>
        <v>NO</v>
      </c>
      <c r="BB278" s="190" t="str">
        <f t="shared" si="110"/>
        <v>NO</v>
      </c>
      <c r="BC278" s="190" t="str">
        <f t="shared" si="111"/>
        <v>YES</v>
      </c>
      <c r="BD278" s="190" t="str">
        <f t="shared" si="126"/>
        <v>YES</v>
      </c>
      <c r="BE278" s="190" t="str">
        <f t="shared" si="112"/>
        <v>YES</v>
      </c>
      <c r="BF278" s="190" t="str">
        <f t="shared" si="113"/>
        <v>NO</v>
      </c>
      <c r="BG278" s="190" t="str">
        <f t="shared" si="114"/>
        <v>NO</v>
      </c>
      <c r="BH278" s="88"/>
      <c r="BI278" s="9"/>
      <c r="BJ278" s="694" t="str">
        <f t="shared" si="135"/>
        <v/>
      </c>
      <c r="BK278" s="694">
        <f t="shared" si="135"/>
        <v>2.5884900000000002</v>
      </c>
      <c r="BL278" s="694" t="str">
        <f t="shared" si="136"/>
        <v/>
      </c>
      <c r="BM278" s="694">
        <f t="shared" si="136"/>
        <v>3.3946400000000003</v>
      </c>
      <c r="BN278" s="88"/>
      <c r="BO278" s="195"/>
      <c r="BP278" s="195"/>
      <c r="BQ278" s="195"/>
      <c r="BR278" s="195"/>
      <c r="BS278" s="195"/>
      <c r="BT278" s="195"/>
      <c r="BU278" s="195"/>
      <c r="BV278" s="195"/>
      <c r="BW278" s="195"/>
      <c r="BX278" s="195"/>
    </row>
    <row r="279" spans="1:76" s="124" customFormat="1" ht="15">
      <c r="A279" s="187">
        <v>5128</v>
      </c>
      <c r="B279" s="187" t="s">
        <v>576</v>
      </c>
      <c r="C279" s="187" t="s">
        <v>597</v>
      </c>
      <c r="D279" s="187" t="s">
        <v>624</v>
      </c>
      <c r="E279" s="187" t="s">
        <v>385</v>
      </c>
      <c r="F279" s="187" t="s">
        <v>386</v>
      </c>
      <c r="G279" s="187" t="s">
        <v>387</v>
      </c>
      <c r="H279" s="187" t="b">
        <v>0</v>
      </c>
      <c r="I279" s="187" t="s">
        <v>388</v>
      </c>
      <c r="J279" s="187" t="s">
        <v>389</v>
      </c>
      <c r="K279" s="187" t="b">
        <v>1</v>
      </c>
      <c r="L279" s="187">
        <v>4.3</v>
      </c>
      <c r="M279" s="187">
        <v>0.25</v>
      </c>
      <c r="N279" s="187">
        <v>12.46</v>
      </c>
      <c r="O279" s="187">
        <v>2.9</v>
      </c>
      <c r="P279" s="187">
        <v>17.440000000000001</v>
      </c>
      <c r="Q279" s="187"/>
      <c r="R279" s="187"/>
      <c r="S279" s="187"/>
      <c r="T279" s="187"/>
      <c r="U279" s="187">
        <v>34</v>
      </c>
      <c r="V279" s="187">
        <v>3.1</v>
      </c>
      <c r="W279" s="188">
        <v>40729</v>
      </c>
      <c r="X279" s="691">
        <f t="shared" si="133"/>
        <v>2.6616499999999998</v>
      </c>
      <c r="Y279" s="691">
        <f t="shared" ref="Y279:Y342" si="138">IF($O279="","",IF($G279="Horizontal",O279*slope_FrontLoad_WF+int_FrontLoad_WF,IF($G279="Vertical",O279*slope_TopLoad_WF+int_TopLoad_WF,"")))</f>
        <v>3.08738</v>
      </c>
      <c r="Z279" s="189"/>
      <c r="AA279" s="190">
        <f t="shared" si="115"/>
        <v>2011</v>
      </c>
      <c r="AB279" s="191">
        <f t="shared" si="116"/>
        <v>1.6155392331824245</v>
      </c>
      <c r="AC279" s="192">
        <f>IF(AB279="","",AB279*SFAssumptions!$C$3)</f>
        <v>414.7304078297297</v>
      </c>
      <c r="AD279" s="193">
        <f t="shared" si="117"/>
        <v>13.275734</v>
      </c>
      <c r="AE279" s="194">
        <f>IF(AD279="","",AD279*SFAssumptions!$C$3)</f>
        <v>3408.0574850622002</v>
      </c>
      <c r="AF279" s="192">
        <f t="shared" si="137"/>
        <v>4.3</v>
      </c>
      <c r="AG279" s="192">
        <f t="shared" si="118"/>
        <v>3.08738</v>
      </c>
      <c r="AH279" s="192">
        <f t="shared" si="119"/>
        <v>2.6616499999999998</v>
      </c>
      <c r="AI279" s="692">
        <f ca="1">IF(AC279="","",AC279*SFAssumptions!$C$8/'SavingsData&amp;Analysis'!AF279)</f>
        <v>364.28832037259139</v>
      </c>
      <c r="AJ279" s="692">
        <f ca="1">IF(OR(AE279="",AF279=""),"",AE279*SFAssumptions!$C$8/AF279)</f>
        <v>2993.5483714911475</v>
      </c>
      <c r="AK279" s="191">
        <f t="shared" si="120"/>
        <v>1.3870967741935483</v>
      </c>
      <c r="AL279" s="692">
        <f>IF(AK279="","",AK279*SFAssumptions!$C$3)</f>
        <v>356.08619032258059</v>
      </c>
      <c r="AM279" s="193">
        <f t="shared" si="121"/>
        <v>12.469999999999999</v>
      </c>
      <c r="AN279" s="194">
        <f>IF(AM279="","",AM279*SFAssumptions!$C$3)</f>
        <v>3201.2148509999997</v>
      </c>
      <c r="AO279" s="693">
        <f t="shared" si="122"/>
        <v>2.9</v>
      </c>
      <c r="AP279" s="693">
        <f t="shared" si="123"/>
        <v>3.1</v>
      </c>
      <c r="AQ279" s="692">
        <f ca="1">IF(AL279="","",AL279*SFAssumptions!$C$8/'SavingsData&amp;Analysis'!AF279)</f>
        <v>312.77677674829278</v>
      </c>
      <c r="AR279" s="692">
        <f ca="1">IF(OR(AN279="",AF279=""),"",AN279*SFAssumptions!$C$8/AF279)</f>
        <v>2811.8632229671521</v>
      </c>
      <c r="AS279" s="190" t="str">
        <f>IF(OR(AG279="",AH279=""),"No",IF(AND(G279="Horizontal",AH279&gt;='Eff. Standards &amp; Certifications'!$B$21,AG279&lt;='Eff. Standards &amp; Certifications'!$C$21),"Consider",IF(AND(G279="Vertical",AH279&gt;='Eff. Standards &amp; Certifications'!$B$20,AG279&lt;='Eff. Standards &amp; Certifications'!$C$20),"Consider","No")))</f>
        <v>Consider</v>
      </c>
      <c r="AT279" s="190" t="str">
        <f t="shared" ref="AT279:AT342" si="139">J279</f>
        <v>Residential</v>
      </c>
      <c r="AU279" s="190"/>
      <c r="AV279" s="190" t="str">
        <f t="shared" si="134"/>
        <v>NO</v>
      </c>
      <c r="AW279" s="190" t="str">
        <f t="shared" si="134"/>
        <v>YES</v>
      </c>
      <c r="AX279" s="190" t="str">
        <f t="shared" si="124"/>
        <v>YES</v>
      </c>
      <c r="AY279" s="190" t="str">
        <f t="shared" ref="AY279:AZ342" si="140">IF(AND($AS279="Consider",$AT279="Residential",$G279=AY$18,$AH279&gt;=BB$3,$AG279&lt;=BB$6),"NO",IF(AND($AS279="Consider",$AT279="Residential",$G279=AY$18,$AH279&gt;=AY$3,$AG279&lt;=AY$6),"YES","NO"))</f>
        <v>NO</v>
      </c>
      <c r="AZ279" s="190" t="str">
        <f t="shared" si="140"/>
        <v>NO</v>
      </c>
      <c r="BA279" s="190" t="str">
        <f t="shared" si="125"/>
        <v>NO</v>
      </c>
      <c r="BB279" s="190" t="str">
        <f t="shared" ref="BB279:BB342" si="141">IF(AND($AS279="Consider",$AT279="Residential",$G279=BB$18,$AH279&gt;=BB$3,$AG279&lt;=BB$6),"YES","NO")</f>
        <v>NO</v>
      </c>
      <c r="BC279" s="190" t="str">
        <f t="shared" ref="BC279:BC342" si="142">IF(AND($G279=BC$18,$AS279="Consider",$AT279="Residential",$AH279&gt;=BC$3,$AH279&lt;=BC$4,$AG279&gt;=BC$5,$AG279&lt;=BC$6),"YES","NO")</f>
        <v>YES</v>
      </c>
      <c r="BD279" s="190" t="str">
        <f t="shared" si="126"/>
        <v>YES</v>
      </c>
      <c r="BE279" s="190" t="str">
        <f t="shared" ref="BE279:BE342" si="143">IF(AND($AS279="Consider",$AT279="Residential",$AH279&gt;=BG$3,$AG279&lt;=BG$6),"NO",IF(AND($AS279="Consider",$AT279="Residential",$AH279&gt;=BF$3,$AG279&lt;=BF$6),"NO",IF(AND($AS279="Consider",$AT279="Residential",$AH279&gt;=BE$3,$AG279&lt;=BE$6),"YES","NO")))</f>
        <v>YES</v>
      </c>
      <c r="BF279" s="190" t="str">
        <f t="shared" ref="BF279:BF342" si="144">IF(AND($AS279="Consider",$AT279="Residential",$AH279&gt;=BG$3,$AG279&lt;=BG$6),"NO",IF(AND($AS279="Consider",$AT279="Residential",$AH279&gt;=BF$3,$AG279&lt;=BF$6),"YES","NO"))</f>
        <v>NO</v>
      </c>
      <c r="BG279" s="190" t="str">
        <f t="shared" ref="BG279:BG342" si="145">IF(AND($AS279="Consider",$AT279="Residential",$AH279&gt;=BG$3,$AG279&lt;=BG$6),"YES","NO")</f>
        <v>NO</v>
      </c>
      <c r="BH279" s="88"/>
      <c r="BI279" s="9"/>
      <c r="BJ279" s="694" t="str">
        <f t="shared" si="135"/>
        <v/>
      </c>
      <c r="BK279" s="694">
        <f t="shared" si="135"/>
        <v>2.6616499999999998</v>
      </c>
      <c r="BL279" s="694" t="str">
        <f t="shared" si="136"/>
        <v/>
      </c>
      <c r="BM279" s="694">
        <f t="shared" si="136"/>
        <v>3.08738</v>
      </c>
      <c r="BN279" s="88"/>
      <c r="BO279" s="195"/>
      <c r="BP279" s="195"/>
      <c r="BQ279" s="195"/>
      <c r="BR279" s="195"/>
      <c r="BS279" s="195"/>
      <c r="BT279" s="195"/>
      <c r="BU279" s="195"/>
      <c r="BV279" s="195"/>
      <c r="BW279" s="195"/>
      <c r="BX279" s="195"/>
    </row>
    <row r="280" spans="1:76" s="124" customFormat="1" ht="15">
      <c r="A280" s="187">
        <v>6198</v>
      </c>
      <c r="B280" s="187" t="s">
        <v>576</v>
      </c>
      <c r="C280" s="187" t="s">
        <v>597</v>
      </c>
      <c r="D280" s="187" t="s">
        <v>1343</v>
      </c>
      <c r="E280" s="187" t="s">
        <v>385</v>
      </c>
      <c r="F280" s="187" t="s">
        <v>386</v>
      </c>
      <c r="G280" s="187" t="s">
        <v>387</v>
      </c>
      <c r="H280" s="187" t="b">
        <v>0</v>
      </c>
      <c r="I280" s="187" t="s">
        <v>388</v>
      </c>
      <c r="J280" s="187" t="s">
        <v>389</v>
      </c>
      <c r="K280" s="187" t="b">
        <v>1</v>
      </c>
      <c r="L280" s="187">
        <v>5.6</v>
      </c>
      <c r="M280" s="187">
        <v>0.25</v>
      </c>
      <c r="N280" s="187">
        <v>13.88</v>
      </c>
      <c r="O280" s="187">
        <v>2.5</v>
      </c>
      <c r="P280" s="187">
        <v>21.92</v>
      </c>
      <c r="Q280" s="187"/>
      <c r="R280" s="187"/>
      <c r="S280" s="187"/>
      <c r="T280" s="187"/>
      <c r="U280" s="187">
        <v>30.4</v>
      </c>
      <c r="V280" s="187">
        <v>3.55</v>
      </c>
      <c r="W280" s="188">
        <v>41712</v>
      </c>
      <c r="X280" s="691">
        <f t="shared" si="133"/>
        <v>3.073175</v>
      </c>
      <c r="Y280" s="691">
        <f t="shared" si="138"/>
        <v>2.6777000000000002</v>
      </c>
      <c r="Z280" s="189"/>
      <c r="AA280" s="190">
        <f t="shared" ref="AA280:AA343" si="146">YEAR(W280)</f>
        <v>2014</v>
      </c>
      <c r="AB280" s="191">
        <f t="shared" ref="AB280:AB343" si="147">IF(OR(L280="",X280=""),"",L280/X280)</f>
        <v>1.8222196913615396</v>
      </c>
      <c r="AC280" s="192">
        <f>IF(AB280="","",AB280*SFAssumptions!$C$3)</f>
        <v>467.78803029440235</v>
      </c>
      <c r="AD280" s="193">
        <f t="shared" ref="AD280:AD343" si="148">IF(OR(Y280="",L280=""),"",Y280*L280)</f>
        <v>14.99512</v>
      </c>
      <c r="AE280" s="194">
        <f>IF(AD280="","",AD280*SFAssumptions!$C$3)</f>
        <v>3849.4467390959999</v>
      </c>
      <c r="AF280" s="192">
        <f t="shared" si="137"/>
        <v>5.6</v>
      </c>
      <c r="AG280" s="192">
        <f t="shared" ref="AG280:AG343" si="149">IF(Y280="","",Y280)</f>
        <v>2.6777000000000002</v>
      </c>
      <c r="AH280" s="192">
        <f t="shared" ref="AH280:AH343" si="150">IF(X280="","",X280)</f>
        <v>3.073175</v>
      </c>
      <c r="AI280" s="692">
        <f ca="1">IF(AC280="","",AC280*SFAssumptions!$C$8/'SavingsData&amp;Analysis'!AF280)</f>
        <v>315.50692945234414</v>
      </c>
      <c r="AJ280" s="692">
        <f ca="1">IF(OR(AE280="",AF280=""),"",AE280*SFAssumptions!$C$8/AF280)</f>
        <v>2596.3193628066015</v>
      </c>
      <c r="AK280" s="191">
        <f t="shared" ref="AK280:AK343" si="151">IF(OR(L280="",V280=""),"",L280/V280)</f>
        <v>1.5774647887323943</v>
      </c>
      <c r="AL280" s="692">
        <f>IF(AK280="","",AK280*SFAssumptions!$C$3)</f>
        <v>404.95619154929574</v>
      </c>
      <c r="AM280" s="193">
        <f t="shared" ref="AM280:AM343" si="152">IF(OR(L280="",O280=""),"",O280*L280)</f>
        <v>14</v>
      </c>
      <c r="AN280" s="194">
        <f>IF(AM280="","",AM280*SFAssumptions!$C$3)</f>
        <v>3593.9862000000003</v>
      </c>
      <c r="AO280" s="693">
        <f t="shared" ref="AO280:AO343" si="153">IF(O280="","",O280)</f>
        <v>2.5</v>
      </c>
      <c r="AP280" s="693">
        <f t="shared" ref="AP280:AP343" si="154">IF(V280="","",V280)</f>
        <v>3.55</v>
      </c>
      <c r="AQ280" s="692">
        <f ca="1">IF(AL280="","",AL280*SFAssumptions!$C$8/'SavingsData&amp;Analysis'!AF280)</f>
        <v>273.12901631541064</v>
      </c>
      <c r="AR280" s="692">
        <f ca="1">IF(OR(AN280="",AF280=""),"",AN280*SFAssumptions!$C$8/AF280)</f>
        <v>2424.0200197992694</v>
      </c>
      <c r="AS280" s="190" t="str">
        <f>IF(OR(AG280="",AH280=""),"No",IF(AND(G280="Horizontal",AH280&gt;='Eff. Standards &amp; Certifications'!$B$21,AG280&lt;='Eff. Standards &amp; Certifications'!$C$21),"Consider",IF(AND(G280="Vertical",AH280&gt;='Eff. Standards &amp; Certifications'!$B$20,AG280&lt;='Eff. Standards &amp; Certifications'!$C$20),"Consider","No")))</f>
        <v>Consider</v>
      </c>
      <c r="AT280" s="190" t="str">
        <f t="shared" si="139"/>
        <v>Residential</v>
      </c>
      <c r="AU280" s="190"/>
      <c r="AV280" s="190" t="str">
        <f t="shared" si="134"/>
        <v>NO</v>
      </c>
      <c r="AW280" s="190" t="str">
        <f t="shared" si="134"/>
        <v>YES</v>
      </c>
      <c r="AX280" s="190" t="str">
        <f t="shared" ref="AX280:AX343" si="155">IF(OR(AV280="YES",AW280="YES"),"YES","NO")</f>
        <v>YES</v>
      </c>
      <c r="AY280" s="190" t="str">
        <f t="shared" si="140"/>
        <v>NO</v>
      </c>
      <c r="AZ280" s="190" t="str">
        <f t="shared" si="140"/>
        <v>NO</v>
      </c>
      <c r="BA280" s="190" t="str">
        <f t="shared" ref="BA280:BA343" si="156">IF(OR(AY280="YES",AZ280="YES"),"YES","NO")</f>
        <v>NO</v>
      </c>
      <c r="BB280" s="190" t="str">
        <f t="shared" si="141"/>
        <v>NO</v>
      </c>
      <c r="BC280" s="190" t="str">
        <f t="shared" si="142"/>
        <v>YES</v>
      </c>
      <c r="BD280" s="190" t="str">
        <f t="shared" ref="BD280:BD343" si="157">IF(OR(BB280="YES",BC280="YES"),"YES","NO")</f>
        <v>YES</v>
      </c>
      <c r="BE280" s="190" t="str">
        <f t="shared" si="143"/>
        <v>NO</v>
      </c>
      <c r="BF280" s="190" t="str">
        <f t="shared" si="144"/>
        <v>NO</v>
      </c>
      <c r="BG280" s="190" t="str">
        <f t="shared" si="145"/>
        <v>YES</v>
      </c>
      <c r="BH280" s="88"/>
      <c r="BI280" s="9"/>
      <c r="BJ280" s="694" t="str">
        <f t="shared" si="135"/>
        <v/>
      </c>
      <c r="BK280" s="694">
        <f t="shared" si="135"/>
        <v>3.073175</v>
      </c>
      <c r="BL280" s="694" t="str">
        <f t="shared" si="136"/>
        <v/>
      </c>
      <c r="BM280" s="694">
        <f t="shared" si="136"/>
        <v>2.6777000000000002</v>
      </c>
      <c r="BN280" s="88"/>
      <c r="BO280" s="195"/>
      <c r="BP280" s="195"/>
      <c r="BQ280" s="195"/>
      <c r="BR280" s="195"/>
      <c r="BS280" s="195"/>
      <c r="BT280" s="195"/>
      <c r="BU280" s="195"/>
      <c r="BV280" s="195"/>
      <c r="BW280" s="195"/>
      <c r="BX280" s="195"/>
    </row>
    <row r="281" spans="1:76" s="124" customFormat="1" ht="15">
      <c r="A281" s="187">
        <v>3330</v>
      </c>
      <c r="B281" s="187" t="s">
        <v>625</v>
      </c>
      <c r="C281" s="187" t="s">
        <v>626</v>
      </c>
      <c r="D281" s="187" t="s">
        <v>627</v>
      </c>
      <c r="E281" s="187" t="s">
        <v>392</v>
      </c>
      <c r="F281" s="187" t="s">
        <v>386</v>
      </c>
      <c r="G281" s="187" t="s">
        <v>393</v>
      </c>
      <c r="H281" s="187" t="b">
        <v>0</v>
      </c>
      <c r="I281" s="187" t="s">
        <v>388</v>
      </c>
      <c r="J281" s="187" t="s">
        <v>389</v>
      </c>
      <c r="K281" s="187" t="b">
        <v>1</v>
      </c>
      <c r="L281" s="187">
        <v>3.2</v>
      </c>
      <c r="M281" s="187">
        <v>0.81</v>
      </c>
      <c r="N281" s="187">
        <v>36.090000000000003</v>
      </c>
      <c r="O281" s="187">
        <v>11.2</v>
      </c>
      <c r="P281" s="187">
        <v>3.97</v>
      </c>
      <c r="Q281" s="187"/>
      <c r="R281" s="187"/>
      <c r="S281" s="187"/>
      <c r="T281" s="187"/>
      <c r="U281" s="187">
        <v>49.9</v>
      </c>
      <c r="V281" s="187">
        <v>1.5</v>
      </c>
      <c r="W281" s="188">
        <v>39660</v>
      </c>
      <c r="X281" s="691">
        <f t="shared" si="133"/>
        <v>1.0686999999999998</v>
      </c>
      <c r="Y281" s="691">
        <f t="shared" si="138"/>
        <v>11.60378</v>
      </c>
      <c r="Z281" s="189"/>
      <c r="AA281" s="190">
        <f t="shared" si="146"/>
        <v>2008</v>
      </c>
      <c r="AB281" s="191">
        <f t="shared" si="147"/>
        <v>2.9942921306259951</v>
      </c>
      <c r="AC281" s="192">
        <f>IF(AB281="","",AB281*SFAssumptions!$C$3)</f>
        <v>768.67461401703031</v>
      </c>
      <c r="AD281" s="193">
        <f t="shared" si="148"/>
        <v>37.132096000000004</v>
      </c>
      <c r="AE281" s="194">
        <f>IF(AD281="","",AD281*SFAssumptions!$C$3)</f>
        <v>9532.302900076802</v>
      </c>
      <c r="AF281" s="192">
        <f t="shared" si="137"/>
        <v>3.2</v>
      </c>
      <c r="AG281" s="192">
        <f t="shared" si="149"/>
        <v>11.60378</v>
      </c>
      <c r="AH281" s="192">
        <f t="shared" si="150"/>
        <v>1.0686999999999998</v>
      </c>
      <c r="AI281" s="692">
        <f ca="1">IF(AC281="","",AC281*SFAssumptions!$C$8/'SavingsData&amp;Analysis'!AF281)</f>
        <v>907.27800872060254</v>
      </c>
      <c r="AJ281" s="692">
        <f ca="1">IF(OR(AE281="",AF281=""),"",AE281*SFAssumptions!$C$8/AF281)</f>
        <v>11251.118010138547</v>
      </c>
      <c r="AK281" s="191">
        <f t="shared" si="151"/>
        <v>2.1333333333333333</v>
      </c>
      <c r="AL281" s="692">
        <f>IF(AK281="","",AK281*SFAssumptions!$C$3)</f>
        <v>547.65503999999999</v>
      </c>
      <c r="AM281" s="193">
        <f t="shared" si="152"/>
        <v>35.839999999999996</v>
      </c>
      <c r="AN281" s="194">
        <f>IF(AM281="","",AM281*SFAssumptions!$C$3)</f>
        <v>9200.6046719999995</v>
      </c>
      <c r="AO281" s="693">
        <f t="shared" si="153"/>
        <v>11.2</v>
      </c>
      <c r="AP281" s="693">
        <f t="shared" si="154"/>
        <v>1.5</v>
      </c>
      <c r="AQ281" s="692">
        <f ca="1">IF(AL281="","",AL281*SFAssumptions!$C$8/'SavingsData&amp;Analysis'!AF281)</f>
        <v>646.40533861313838</v>
      </c>
      <c r="AR281" s="692">
        <f ca="1">IF(OR(AN281="",AF281=""),"",AN281*SFAssumptions!$C$8/AF281)</f>
        <v>10859.609688700724</v>
      </c>
      <c r="AS281" s="190" t="str">
        <f>IF(OR(AG281="",AH281=""),"No",IF(AND(G281="Horizontal",AH281&gt;='Eff. Standards &amp; Certifications'!$B$21,AG281&lt;='Eff. Standards &amp; Certifications'!$C$21),"Consider",IF(AND(G281="Vertical",AH281&gt;='Eff. Standards &amp; Certifications'!$B$20,AG281&lt;='Eff. Standards &amp; Certifications'!$C$20),"Consider","No")))</f>
        <v>No</v>
      </c>
      <c r="AT281" s="190" t="str">
        <f t="shared" si="139"/>
        <v>Residential</v>
      </c>
      <c r="AU281" s="190"/>
      <c r="AV281" s="190" t="str">
        <f t="shared" si="134"/>
        <v>NO</v>
      </c>
      <c r="AW281" s="190" t="str">
        <f t="shared" si="134"/>
        <v>NO</v>
      </c>
      <c r="AX281" s="190" t="str">
        <f t="shared" si="155"/>
        <v>NO</v>
      </c>
      <c r="AY281" s="190" t="str">
        <f t="shared" si="140"/>
        <v>NO</v>
      </c>
      <c r="AZ281" s="190" t="str">
        <f t="shared" si="140"/>
        <v>NO</v>
      </c>
      <c r="BA281" s="190" t="str">
        <f t="shared" si="156"/>
        <v>NO</v>
      </c>
      <c r="BB281" s="190" t="str">
        <f t="shared" si="141"/>
        <v>NO</v>
      </c>
      <c r="BC281" s="190" t="str">
        <f t="shared" si="142"/>
        <v>NO</v>
      </c>
      <c r="BD281" s="190" t="str">
        <f t="shared" si="157"/>
        <v>NO</v>
      </c>
      <c r="BE281" s="190" t="str">
        <f t="shared" si="143"/>
        <v>NO</v>
      </c>
      <c r="BF281" s="190" t="str">
        <f t="shared" si="144"/>
        <v>NO</v>
      </c>
      <c r="BG281" s="190" t="str">
        <f t="shared" si="145"/>
        <v>NO</v>
      </c>
      <c r="BH281" s="88"/>
      <c r="BI281" s="9"/>
      <c r="BJ281" s="694" t="str">
        <f t="shared" si="135"/>
        <v/>
      </c>
      <c r="BK281" s="694" t="str">
        <f t="shared" si="135"/>
        <v/>
      </c>
      <c r="BL281" s="694" t="str">
        <f t="shared" si="136"/>
        <v/>
      </c>
      <c r="BM281" s="694" t="str">
        <f t="shared" si="136"/>
        <v/>
      </c>
      <c r="BN281" s="88"/>
      <c r="BO281" s="195"/>
      <c r="BP281" s="195"/>
      <c r="BQ281" s="195"/>
      <c r="BR281" s="195"/>
      <c r="BS281" s="195"/>
      <c r="BT281" s="195"/>
      <c r="BU281" s="195"/>
      <c r="BV281" s="195"/>
      <c r="BW281" s="195"/>
      <c r="BX281" s="195"/>
    </row>
    <row r="282" spans="1:76" s="124" customFormat="1" ht="15">
      <c r="A282" s="187">
        <v>6818</v>
      </c>
      <c r="B282" s="187" t="s">
        <v>625</v>
      </c>
      <c r="C282" s="187" t="s">
        <v>626</v>
      </c>
      <c r="D282" s="187" t="s">
        <v>1344</v>
      </c>
      <c r="E282" s="187" t="s">
        <v>392</v>
      </c>
      <c r="F282" s="187" t="s">
        <v>386</v>
      </c>
      <c r="G282" s="187" t="s">
        <v>393</v>
      </c>
      <c r="H282" s="187" t="b">
        <v>0</v>
      </c>
      <c r="I282" s="187" t="s">
        <v>388</v>
      </c>
      <c r="J282" s="187" t="s">
        <v>389</v>
      </c>
      <c r="K282" s="187" t="b">
        <v>1</v>
      </c>
      <c r="L282" s="187">
        <v>3.4</v>
      </c>
      <c r="M282" s="187">
        <v>1.2</v>
      </c>
      <c r="N282" s="187">
        <v>31.83</v>
      </c>
      <c r="O282" s="187">
        <v>9.5</v>
      </c>
      <c r="P282" s="187">
        <v>2.96</v>
      </c>
      <c r="Q282" s="187"/>
      <c r="R282" s="187"/>
      <c r="S282" s="187"/>
      <c r="T282" s="187"/>
      <c r="U282" s="187">
        <v>51.6</v>
      </c>
      <c r="V282" s="187">
        <v>1.26</v>
      </c>
      <c r="W282" s="188">
        <v>41989</v>
      </c>
      <c r="X282" s="691">
        <f t="shared" si="133"/>
        <v>0.83110000000000006</v>
      </c>
      <c r="Y282" s="691">
        <f t="shared" si="138"/>
        <v>9.9226500000000009</v>
      </c>
      <c r="Z282" s="189"/>
      <c r="AA282" s="190">
        <f t="shared" si="146"/>
        <v>2014</v>
      </c>
      <c r="AB282" s="191">
        <f t="shared" si="147"/>
        <v>4.0909637829382746</v>
      </c>
      <c r="AC282" s="192">
        <f>IF(AB282="","",AB282*SFAssumptions!$C$3)</f>
        <v>1050.2048128985682</v>
      </c>
      <c r="AD282" s="193">
        <f t="shared" si="148"/>
        <v>33.737010000000005</v>
      </c>
      <c r="AE282" s="194">
        <f>IF(AD282="","",AD282*SFAssumptions!$C$3)</f>
        <v>8660.739169233002</v>
      </c>
      <c r="AF282" s="192">
        <f t="shared" si="137"/>
        <v>3.4</v>
      </c>
      <c r="AG282" s="192">
        <f t="shared" si="149"/>
        <v>9.9226500000000009</v>
      </c>
      <c r="AH282" s="192">
        <f t="shared" si="150"/>
        <v>0.83110000000000006</v>
      </c>
      <c r="AI282" s="692">
        <f ca="1">IF(AC282="","",AC282*SFAssumptions!$C$8/'SavingsData&amp;Analysis'!AF282)</f>
        <v>1166.6562482489564</v>
      </c>
      <c r="AJ282" s="692">
        <f ca="1">IF(OR(AE282="",AF282=""),"",AE282*SFAssumptions!$C$8/AF282)</f>
        <v>9621.0808997844906</v>
      </c>
      <c r="AK282" s="191">
        <f t="shared" si="151"/>
        <v>2.6984126984126982</v>
      </c>
      <c r="AL282" s="692">
        <f>IF(AK282="","",AK282*SFAssumptions!$C$3)</f>
        <v>692.71842857142849</v>
      </c>
      <c r="AM282" s="193">
        <f t="shared" si="152"/>
        <v>32.299999999999997</v>
      </c>
      <c r="AN282" s="194">
        <f>IF(AM282="","",AM282*SFAssumptions!$C$3)</f>
        <v>8291.8395899999996</v>
      </c>
      <c r="AO282" s="693">
        <f t="shared" si="153"/>
        <v>9.5</v>
      </c>
      <c r="AP282" s="693">
        <f t="shared" si="154"/>
        <v>1.26</v>
      </c>
      <c r="AQ282" s="692">
        <f ca="1">IF(AL282="","",AL282*SFAssumptions!$C$8/'SavingsData&amp;Analysis'!AF282)</f>
        <v>769.53016501564093</v>
      </c>
      <c r="AR282" s="692">
        <f ca="1">IF(OR(AN282="",AF282=""),"",AN282*SFAssumptions!$C$8/AF282)</f>
        <v>9211.2760752372233</v>
      </c>
      <c r="AS282" s="190" t="str">
        <f>IF(OR(AG282="",AH282=""),"No",IF(AND(G282="Horizontal",AH282&gt;='Eff. Standards &amp; Certifications'!$B$21,AG282&lt;='Eff. Standards &amp; Certifications'!$C$21),"Consider",IF(AND(G282="Vertical",AH282&gt;='Eff. Standards &amp; Certifications'!$B$20,AG282&lt;='Eff. Standards &amp; Certifications'!$C$20),"Consider","No")))</f>
        <v>No</v>
      </c>
      <c r="AT282" s="190" t="str">
        <f t="shared" si="139"/>
        <v>Residential</v>
      </c>
      <c r="AU282" s="190"/>
      <c r="AV282" s="190" t="str">
        <f t="shared" si="134"/>
        <v>NO</v>
      </c>
      <c r="AW282" s="190" t="str">
        <f t="shared" si="134"/>
        <v>NO</v>
      </c>
      <c r="AX282" s="190" t="str">
        <f t="shared" si="155"/>
        <v>NO</v>
      </c>
      <c r="AY282" s="190" t="str">
        <f t="shared" si="140"/>
        <v>NO</v>
      </c>
      <c r="AZ282" s="190" t="str">
        <f t="shared" si="140"/>
        <v>NO</v>
      </c>
      <c r="BA282" s="190" t="str">
        <f t="shared" si="156"/>
        <v>NO</v>
      </c>
      <c r="BB282" s="190" t="str">
        <f t="shared" si="141"/>
        <v>NO</v>
      </c>
      <c r="BC282" s="190" t="str">
        <f t="shared" si="142"/>
        <v>NO</v>
      </c>
      <c r="BD282" s="190" t="str">
        <f t="shared" si="157"/>
        <v>NO</v>
      </c>
      <c r="BE282" s="190" t="str">
        <f t="shared" si="143"/>
        <v>NO</v>
      </c>
      <c r="BF282" s="190" t="str">
        <f t="shared" si="144"/>
        <v>NO</v>
      </c>
      <c r="BG282" s="190" t="str">
        <f t="shared" si="145"/>
        <v>NO</v>
      </c>
      <c r="BH282" s="88"/>
      <c r="BI282" s="9"/>
      <c r="BJ282" s="694" t="str">
        <f t="shared" si="135"/>
        <v/>
      </c>
      <c r="BK282" s="694" t="str">
        <f t="shared" si="135"/>
        <v/>
      </c>
      <c r="BL282" s="694" t="str">
        <f t="shared" si="136"/>
        <v/>
      </c>
      <c r="BM282" s="694" t="str">
        <f t="shared" si="136"/>
        <v/>
      </c>
      <c r="BN282" s="88"/>
      <c r="BO282" s="195"/>
      <c r="BP282" s="195"/>
      <c r="BQ282" s="195"/>
      <c r="BR282" s="195"/>
      <c r="BS282" s="195"/>
      <c r="BT282" s="195"/>
      <c r="BU282" s="195"/>
      <c r="BV282" s="195"/>
      <c r="BW282" s="195"/>
      <c r="BX282" s="195"/>
    </row>
    <row r="283" spans="1:76" s="124" customFormat="1" ht="15">
      <c r="A283" s="187">
        <v>5902</v>
      </c>
      <c r="B283" s="187" t="s">
        <v>625</v>
      </c>
      <c r="C283" s="187" t="s">
        <v>558</v>
      </c>
      <c r="D283" s="187" t="s">
        <v>628</v>
      </c>
      <c r="E283" s="187" t="s">
        <v>385</v>
      </c>
      <c r="F283" s="187" t="s">
        <v>386</v>
      </c>
      <c r="G283" s="187" t="s">
        <v>387</v>
      </c>
      <c r="H283" s="187" t="b">
        <v>0</v>
      </c>
      <c r="I283" s="187" t="s">
        <v>388</v>
      </c>
      <c r="J283" s="187" t="s">
        <v>389</v>
      </c>
      <c r="K283" s="187" t="b">
        <v>1</v>
      </c>
      <c r="L283" s="187">
        <v>4.0999999999999996</v>
      </c>
      <c r="M283" s="187">
        <v>0.37</v>
      </c>
      <c r="N283" s="187">
        <v>14.35</v>
      </c>
      <c r="O283" s="187">
        <v>3.5</v>
      </c>
      <c r="P283" s="187">
        <v>11.95</v>
      </c>
      <c r="Q283" s="187"/>
      <c r="R283" s="187"/>
      <c r="S283" s="187"/>
      <c r="T283" s="187"/>
      <c r="U283" s="187">
        <v>30</v>
      </c>
      <c r="V283" s="187">
        <v>2.8</v>
      </c>
      <c r="W283" s="188">
        <v>41450</v>
      </c>
      <c r="X283" s="691">
        <f t="shared" si="133"/>
        <v>2.3872999999999998</v>
      </c>
      <c r="Y283" s="691">
        <f t="shared" si="138"/>
        <v>3.7018999999999997</v>
      </c>
      <c r="Z283" s="189"/>
      <c r="AA283" s="190">
        <f t="shared" si="146"/>
        <v>2013</v>
      </c>
      <c r="AB283" s="191">
        <f t="shared" si="147"/>
        <v>1.717421354668454</v>
      </c>
      <c r="AC283" s="192">
        <f>IF(AB283="","",AB283*SFAssumptions!$C$3)</f>
        <v>440.88490344740927</v>
      </c>
      <c r="AD283" s="193">
        <f t="shared" si="148"/>
        <v>15.177789999999998</v>
      </c>
      <c r="AE283" s="194">
        <f>IF(AD283="","",AD283*SFAssumptions!$C$3)</f>
        <v>3896.3405576069995</v>
      </c>
      <c r="AF283" s="192">
        <f t="shared" si="137"/>
        <v>4.0999999999999996</v>
      </c>
      <c r="AG283" s="192">
        <f t="shared" si="149"/>
        <v>3.7018999999999997</v>
      </c>
      <c r="AH283" s="192">
        <f t="shared" si="150"/>
        <v>2.3872999999999998</v>
      </c>
      <c r="AI283" s="692">
        <f ca="1">IF(AC283="","",AC283*SFAssumptions!$C$8/'SavingsData&amp;Analysis'!AF283)</f>
        <v>406.15256059971847</v>
      </c>
      <c r="AJ283" s="692">
        <f ca="1">IF(OR(AE283="",AF283=""),"",AE283*SFAssumptions!$C$8/AF283)</f>
        <v>3589.3918845179655</v>
      </c>
      <c r="AK283" s="191">
        <f t="shared" si="151"/>
        <v>1.4642857142857142</v>
      </c>
      <c r="AL283" s="692">
        <f>IF(AK283="","",AK283*SFAssumptions!$C$3)</f>
        <v>375.90161785714281</v>
      </c>
      <c r="AM283" s="193">
        <f t="shared" si="152"/>
        <v>14.349999999999998</v>
      </c>
      <c r="AN283" s="194">
        <f>IF(AM283="","",AM283*SFAssumptions!$C$3)</f>
        <v>3683.8358549999994</v>
      </c>
      <c r="AO283" s="693">
        <f t="shared" si="153"/>
        <v>3.5</v>
      </c>
      <c r="AP283" s="693">
        <f t="shared" si="154"/>
        <v>2.8</v>
      </c>
      <c r="AQ283" s="692">
        <f ca="1">IF(AL283="","",AL283*SFAssumptions!$C$8/'SavingsData&amp;Analysis'!AF283)</f>
        <v>346.28857425703842</v>
      </c>
      <c r="AR283" s="692">
        <f ca="1">IF(OR(AN283="",AF283=""),"",AN283*SFAssumptions!$C$8/AF283)</f>
        <v>3393.6280277189767</v>
      </c>
      <c r="AS283" s="190" t="str">
        <f>IF(OR(AG283="",AH283=""),"No",IF(AND(G283="Horizontal",AH283&gt;='Eff. Standards &amp; Certifications'!$B$21,AG283&lt;='Eff. Standards &amp; Certifications'!$C$21),"Consider",IF(AND(G283="Vertical",AH283&gt;='Eff. Standards &amp; Certifications'!$B$20,AG283&lt;='Eff. Standards &amp; Certifications'!$C$20),"Consider","No")))</f>
        <v>Consider</v>
      </c>
      <c r="AT283" s="190" t="str">
        <f t="shared" si="139"/>
        <v>Residential</v>
      </c>
      <c r="AU283" s="190"/>
      <c r="AV283" s="190" t="str">
        <f t="shared" ref="AV283:AW302" si="158">IF(AND($G283=AV$18,$AS283="Consider",$AT283="Residential",$AH283&gt;=AV$3,$AH283&lt;=AV$4,$AG283&gt;=AV$5,$AG283&lt;=AV$6),"YES","NO")</f>
        <v>NO</v>
      </c>
      <c r="AW283" s="190" t="str">
        <f t="shared" si="158"/>
        <v>YES</v>
      </c>
      <c r="AX283" s="190" t="str">
        <f t="shared" si="155"/>
        <v>YES</v>
      </c>
      <c r="AY283" s="190" t="str">
        <f t="shared" si="140"/>
        <v>NO</v>
      </c>
      <c r="AZ283" s="190" t="str">
        <f t="shared" si="140"/>
        <v>YES</v>
      </c>
      <c r="BA283" s="190" t="str">
        <f t="shared" si="156"/>
        <v>YES</v>
      </c>
      <c r="BB283" s="190" t="str">
        <f t="shared" si="141"/>
        <v>NO</v>
      </c>
      <c r="BC283" s="190" t="str">
        <f t="shared" si="142"/>
        <v>NO</v>
      </c>
      <c r="BD283" s="190" t="str">
        <f t="shared" si="157"/>
        <v>NO</v>
      </c>
      <c r="BE283" s="190" t="str">
        <f t="shared" si="143"/>
        <v>NO</v>
      </c>
      <c r="BF283" s="190" t="str">
        <f t="shared" si="144"/>
        <v>NO</v>
      </c>
      <c r="BG283" s="190" t="str">
        <f t="shared" si="145"/>
        <v>NO</v>
      </c>
      <c r="BH283" s="88"/>
      <c r="BI283" s="9"/>
      <c r="BJ283" s="694" t="str">
        <f t="shared" ref="BJ283:BK302" si="159">IF(AND($G283=BJ$21,$AT283="Residential",$AS283="Consider"),$X283,"")</f>
        <v/>
      </c>
      <c r="BK283" s="694">
        <f t="shared" si="159"/>
        <v>2.3872999999999998</v>
      </c>
      <c r="BL283" s="694" t="str">
        <f t="shared" ref="BL283:BM302" si="160">IF(AND($G283=BL$21,$AT283="Residential",$AS283="Consider"),$Y283,"")</f>
        <v/>
      </c>
      <c r="BM283" s="694">
        <f t="shared" si="160"/>
        <v>3.7018999999999997</v>
      </c>
      <c r="BN283" s="88"/>
      <c r="BO283" s="195"/>
      <c r="BP283" s="195"/>
      <c r="BQ283" s="195"/>
      <c r="BR283" s="195"/>
      <c r="BS283" s="195"/>
      <c r="BT283" s="195"/>
      <c r="BU283" s="195"/>
      <c r="BV283" s="195"/>
      <c r="BW283" s="195"/>
      <c r="BX283" s="195"/>
    </row>
    <row r="284" spans="1:76" s="124" customFormat="1" ht="15">
      <c r="A284" s="187">
        <v>6213</v>
      </c>
      <c r="B284" s="187" t="s">
        <v>625</v>
      </c>
      <c r="C284" s="187" t="s">
        <v>558</v>
      </c>
      <c r="D284" s="187" t="s">
        <v>1345</v>
      </c>
      <c r="E284" s="187" t="s">
        <v>385</v>
      </c>
      <c r="F284" s="187" t="s">
        <v>386</v>
      </c>
      <c r="G284" s="187" t="s">
        <v>387</v>
      </c>
      <c r="H284" s="187" t="b">
        <v>0</v>
      </c>
      <c r="I284" s="187" t="s">
        <v>388</v>
      </c>
      <c r="J284" s="187" t="s">
        <v>389</v>
      </c>
      <c r="K284" s="187" t="b">
        <v>1</v>
      </c>
      <c r="L284" s="187">
        <v>4.2</v>
      </c>
      <c r="M284" s="187">
        <v>0.37</v>
      </c>
      <c r="N284" s="187">
        <v>13.47</v>
      </c>
      <c r="O284" s="187">
        <v>3</v>
      </c>
      <c r="P284" s="187">
        <v>16.47</v>
      </c>
      <c r="Q284" s="187"/>
      <c r="R284" s="187"/>
      <c r="S284" s="187"/>
      <c r="T284" s="187"/>
      <c r="U284" s="187">
        <v>29.4</v>
      </c>
      <c r="V284" s="187">
        <v>3.2</v>
      </c>
      <c r="W284" s="188">
        <v>41726</v>
      </c>
      <c r="X284" s="691">
        <f t="shared" si="133"/>
        <v>2.7530999999999999</v>
      </c>
      <c r="Y284" s="691">
        <f t="shared" si="138"/>
        <v>3.1898</v>
      </c>
      <c r="Z284" s="189"/>
      <c r="AA284" s="190">
        <f t="shared" si="146"/>
        <v>2014</v>
      </c>
      <c r="AB284" s="191">
        <f t="shared" si="147"/>
        <v>1.5255530129672008</v>
      </c>
      <c r="AC284" s="192">
        <f>IF(AB284="","",AB284*SFAssumptions!$C$3)</f>
        <v>391.62974828375292</v>
      </c>
      <c r="AD284" s="193">
        <f t="shared" si="148"/>
        <v>13.397160000000001</v>
      </c>
      <c r="AE284" s="194">
        <f>IF(AD284="","",AD284*SFAssumptions!$C$3)</f>
        <v>3439.2291542280004</v>
      </c>
      <c r="AF284" s="192">
        <f t="shared" si="137"/>
        <v>4.2</v>
      </c>
      <c r="AG284" s="192">
        <f t="shared" si="149"/>
        <v>3.1898</v>
      </c>
      <c r="AH284" s="192">
        <f t="shared" si="150"/>
        <v>2.7530999999999999</v>
      </c>
      <c r="AI284" s="692">
        <f ca="1">IF(AC284="","",AC284*SFAssumptions!$C$8/'SavingsData&amp;Analysis'!AF284)</f>
        <v>352.18771854262752</v>
      </c>
      <c r="AJ284" s="692">
        <f ca="1">IF(OR(AE284="",AF284=""),"",AE284*SFAssumptions!$C$8/AF284)</f>
        <v>3092.8556236622835</v>
      </c>
      <c r="AK284" s="191">
        <f t="shared" si="151"/>
        <v>1.3125</v>
      </c>
      <c r="AL284" s="692">
        <f>IF(AK284="","",AK284*SFAssumptions!$C$3)</f>
        <v>336.93620625</v>
      </c>
      <c r="AM284" s="193">
        <f t="shared" si="152"/>
        <v>12.600000000000001</v>
      </c>
      <c r="AN284" s="194">
        <f>IF(AM284="","",AM284*SFAssumptions!$C$3)</f>
        <v>3234.5875800000003</v>
      </c>
      <c r="AO284" s="693">
        <f t="shared" si="153"/>
        <v>3</v>
      </c>
      <c r="AP284" s="693">
        <f t="shared" si="154"/>
        <v>3.2</v>
      </c>
      <c r="AQ284" s="692">
        <f ca="1">IF(AL284="","",AL284*SFAssumptions!$C$8/'SavingsData&amp;Analysis'!AF284)</f>
        <v>303.00250247490862</v>
      </c>
      <c r="AR284" s="692">
        <f ca="1">IF(OR(AN284="",AF284=""),"",AN284*SFAssumptions!$C$8/AF284)</f>
        <v>2908.8240237591231</v>
      </c>
      <c r="AS284" s="190" t="str">
        <f>IF(OR(AG284="",AH284=""),"No",IF(AND(G284="Horizontal",AH284&gt;='Eff. Standards &amp; Certifications'!$B$21,AG284&lt;='Eff. Standards &amp; Certifications'!$C$21),"Consider",IF(AND(G284="Vertical",AH284&gt;='Eff. Standards &amp; Certifications'!$B$20,AG284&lt;='Eff. Standards &amp; Certifications'!$C$20),"Consider","No")))</f>
        <v>Consider</v>
      </c>
      <c r="AT284" s="190" t="str">
        <f t="shared" si="139"/>
        <v>Residential</v>
      </c>
      <c r="AU284" s="190"/>
      <c r="AV284" s="190" t="str">
        <f t="shared" si="158"/>
        <v>NO</v>
      </c>
      <c r="AW284" s="190" t="str">
        <f t="shared" si="158"/>
        <v>YES</v>
      </c>
      <c r="AX284" s="190" t="str">
        <f t="shared" si="155"/>
        <v>YES</v>
      </c>
      <c r="AY284" s="190" t="str">
        <f t="shared" si="140"/>
        <v>NO</v>
      </c>
      <c r="AZ284" s="190" t="str">
        <f t="shared" si="140"/>
        <v>NO</v>
      </c>
      <c r="BA284" s="190" t="str">
        <f t="shared" si="156"/>
        <v>NO</v>
      </c>
      <c r="BB284" s="190" t="str">
        <f t="shared" si="141"/>
        <v>NO</v>
      </c>
      <c r="BC284" s="190" t="str">
        <f t="shared" si="142"/>
        <v>YES</v>
      </c>
      <c r="BD284" s="190" t="str">
        <f t="shared" si="157"/>
        <v>YES</v>
      </c>
      <c r="BE284" s="190" t="str">
        <f t="shared" si="143"/>
        <v>YES</v>
      </c>
      <c r="BF284" s="190" t="str">
        <f t="shared" si="144"/>
        <v>NO</v>
      </c>
      <c r="BG284" s="190" t="str">
        <f t="shared" si="145"/>
        <v>NO</v>
      </c>
      <c r="BH284" s="88"/>
      <c r="BI284" s="9"/>
      <c r="BJ284" s="694" t="str">
        <f t="shared" si="159"/>
        <v/>
      </c>
      <c r="BK284" s="694">
        <f t="shared" si="159"/>
        <v>2.7530999999999999</v>
      </c>
      <c r="BL284" s="694" t="str">
        <f t="shared" si="160"/>
        <v/>
      </c>
      <c r="BM284" s="694">
        <f t="shared" si="160"/>
        <v>3.1898</v>
      </c>
      <c r="BN284" s="88"/>
      <c r="BO284" s="195"/>
      <c r="BP284" s="195"/>
      <c r="BQ284" s="195"/>
      <c r="BR284" s="195"/>
      <c r="BS284" s="195"/>
      <c r="BT284" s="195"/>
      <c r="BU284" s="195"/>
      <c r="BV284" s="195"/>
      <c r="BW284" s="195"/>
      <c r="BX284" s="195"/>
    </row>
    <row r="285" spans="1:76" s="124" customFormat="1" ht="15">
      <c r="A285" s="187">
        <v>630</v>
      </c>
      <c r="B285" s="187" t="s">
        <v>625</v>
      </c>
      <c r="C285" s="187" t="s">
        <v>558</v>
      </c>
      <c r="D285" s="187" t="s">
        <v>629</v>
      </c>
      <c r="E285" s="187" t="s">
        <v>385</v>
      </c>
      <c r="F285" s="187" t="s">
        <v>386</v>
      </c>
      <c r="G285" s="187" t="s">
        <v>387</v>
      </c>
      <c r="H285" s="187" t="b">
        <v>0</v>
      </c>
      <c r="I285" s="187" t="s">
        <v>388</v>
      </c>
      <c r="J285" s="187" t="s">
        <v>389</v>
      </c>
      <c r="K285" s="187" t="b">
        <v>1</v>
      </c>
      <c r="L285" s="187">
        <v>3.5</v>
      </c>
      <c r="M285" s="187">
        <v>0.41</v>
      </c>
      <c r="N285" s="187">
        <v>13.44</v>
      </c>
      <c r="O285" s="187">
        <v>3.9</v>
      </c>
      <c r="P285" s="187">
        <v>8.3699999999999992</v>
      </c>
      <c r="Q285" s="187"/>
      <c r="R285" s="187"/>
      <c r="S285" s="187"/>
      <c r="T285" s="187"/>
      <c r="U285" s="187">
        <v>37.6</v>
      </c>
      <c r="V285" s="187">
        <v>3.88</v>
      </c>
      <c r="W285" s="188">
        <v>40255</v>
      </c>
      <c r="X285" s="691">
        <f t="shared" si="133"/>
        <v>3.3749599999999997</v>
      </c>
      <c r="Y285" s="691">
        <f t="shared" si="138"/>
        <v>4.11158</v>
      </c>
      <c r="Z285" s="189"/>
      <c r="AA285" s="190">
        <f t="shared" si="146"/>
        <v>2010</v>
      </c>
      <c r="AB285" s="191">
        <f t="shared" si="147"/>
        <v>1.0370493279920356</v>
      </c>
      <c r="AC285" s="192">
        <f>IF(AB285="","",AB285*SFAssumptions!$C$3)</f>
        <v>266.22435525161785</v>
      </c>
      <c r="AD285" s="193">
        <f t="shared" si="148"/>
        <v>14.39053</v>
      </c>
      <c r="AE285" s="194">
        <f>IF(AD285="","",AD285*SFAssumptions!$C$3)</f>
        <v>3694.2404450489998</v>
      </c>
      <c r="AF285" s="192">
        <f t="shared" si="137"/>
        <v>3.5</v>
      </c>
      <c r="AG285" s="192">
        <f t="shared" si="149"/>
        <v>4.11158</v>
      </c>
      <c r="AH285" s="192">
        <f t="shared" si="150"/>
        <v>3.3749599999999997</v>
      </c>
      <c r="AI285" s="692">
        <f ca="1">IF(AC285="","",AC285*SFAssumptions!$C$8/'SavingsData&amp;Analysis'!AF285)</f>
        <v>287.29466657966549</v>
      </c>
      <c r="AJ285" s="692">
        <f ca="1">IF(OR(AE285="",AF285=""),"",AE285*SFAssumptions!$C$8/AF285)</f>
        <v>3986.6208932025115</v>
      </c>
      <c r="AK285" s="191">
        <f t="shared" si="151"/>
        <v>0.90206185567010311</v>
      </c>
      <c r="AL285" s="692">
        <f>IF(AK285="","",AK285*SFAssumptions!$C$3)</f>
        <v>231.57127577319588</v>
      </c>
      <c r="AM285" s="193">
        <f t="shared" si="152"/>
        <v>13.65</v>
      </c>
      <c r="AN285" s="194">
        <f>IF(AM285="","",AM285*SFAssumptions!$C$3)</f>
        <v>3504.1365450000003</v>
      </c>
      <c r="AO285" s="693">
        <f t="shared" si="153"/>
        <v>3.9</v>
      </c>
      <c r="AP285" s="693">
        <f t="shared" si="154"/>
        <v>3.88</v>
      </c>
      <c r="AQ285" s="692">
        <f ca="1">IF(AL285="","",AL285*SFAssumptions!$C$8/'SavingsData&amp;Analysis'!AF285)</f>
        <v>249.89897111332672</v>
      </c>
      <c r="AR285" s="692">
        <f ca="1">IF(OR(AN285="",AF285=""),"",AN285*SFAssumptions!$C$8/AF285)</f>
        <v>3781.4712308868607</v>
      </c>
      <c r="AS285" s="190" t="str">
        <f>IF(OR(AG285="",AH285=""),"No",IF(AND(G285="Horizontal",AH285&gt;='Eff. Standards &amp; Certifications'!$B$21,AG285&lt;='Eff. Standards &amp; Certifications'!$C$21),"Consider",IF(AND(G285="Vertical",AH285&gt;='Eff. Standards &amp; Certifications'!$B$20,AG285&lt;='Eff. Standards &amp; Certifications'!$C$20),"Consider","No")))</f>
        <v>Consider</v>
      </c>
      <c r="AT285" s="190" t="str">
        <f t="shared" si="139"/>
        <v>Residential</v>
      </c>
      <c r="AU285" s="190"/>
      <c r="AV285" s="190" t="str">
        <f t="shared" si="158"/>
        <v>NO</v>
      </c>
      <c r="AW285" s="190" t="str">
        <f t="shared" si="158"/>
        <v>YES</v>
      </c>
      <c r="AX285" s="190" t="str">
        <f t="shared" si="155"/>
        <v>YES</v>
      </c>
      <c r="AY285" s="190" t="str">
        <f t="shared" si="140"/>
        <v>NO</v>
      </c>
      <c r="AZ285" s="190" t="str">
        <f t="shared" si="140"/>
        <v>YES</v>
      </c>
      <c r="BA285" s="190" t="str">
        <f t="shared" si="156"/>
        <v>YES</v>
      </c>
      <c r="BB285" s="190" t="str">
        <f t="shared" si="141"/>
        <v>NO</v>
      </c>
      <c r="BC285" s="190" t="str">
        <f t="shared" si="142"/>
        <v>NO</v>
      </c>
      <c r="BD285" s="190" t="str">
        <f t="shared" si="157"/>
        <v>NO</v>
      </c>
      <c r="BE285" s="190" t="str">
        <f t="shared" si="143"/>
        <v>NO</v>
      </c>
      <c r="BF285" s="190" t="str">
        <f t="shared" si="144"/>
        <v>NO</v>
      </c>
      <c r="BG285" s="190" t="str">
        <f t="shared" si="145"/>
        <v>NO</v>
      </c>
      <c r="BH285" s="88"/>
      <c r="BI285" s="9"/>
      <c r="BJ285" s="694" t="str">
        <f t="shared" si="159"/>
        <v/>
      </c>
      <c r="BK285" s="694">
        <f t="shared" si="159"/>
        <v>3.3749599999999997</v>
      </c>
      <c r="BL285" s="694" t="str">
        <f t="shared" si="160"/>
        <v/>
      </c>
      <c r="BM285" s="694">
        <f t="shared" si="160"/>
        <v>4.11158</v>
      </c>
      <c r="BN285" s="88"/>
      <c r="BO285" s="195"/>
      <c r="BP285" s="195"/>
      <c r="BQ285" s="195"/>
      <c r="BR285" s="195"/>
      <c r="BS285" s="195"/>
      <c r="BT285" s="195"/>
      <c r="BU285" s="195"/>
      <c r="BV285" s="195"/>
      <c r="BW285" s="195"/>
      <c r="BX285" s="195"/>
    </row>
    <row r="286" spans="1:76" s="124" customFormat="1" ht="15">
      <c r="A286" s="187">
        <v>549</v>
      </c>
      <c r="B286" s="187" t="s">
        <v>625</v>
      </c>
      <c r="C286" s="187" t="s">
        <v>558</v>
      </c>
      <c r="D286" s="187" t="s">
        <v>630</v>
      </c>
      <c r="E286" s="187" t="s">
        <v>385</v>
      </c>
      <c r="F286" s="187" t="s">
        <v>386</v>
      </c>
      <c r="G286" s="187" t="s">
        <v>387</v>
      </c>
      <c r="H286" s="187" t="b">
        <v>0</v>
      </c>
      <c r="I286" s="187" t="s">
        <v>388</v>
      </c>
      <c r="J286" s="187" t="s">
        <v>389</v>
      </c>
      <c r="K286" s="187" t="b">
        <v>1</v>
      </c>
      <c r="L286" s="187">
        <v>3.2</v>
      </c>
      <c r="M286" s="187">
        <v>0.38</v>
      </c>
      <c r="N286" s="187">
        <v>12.79</v>
      </c>
      <c r="O286" s="187">
        <v>4</v>
      </c>
      <c r="P286" s="187">
        <v>8.2899999999999991</v>
      </c>
      <c r="Q286" s="187"/>
      <c r="R286" s="187"/>
      <c r="S286" s="187"/>
      <c r="T286" s="187"/>
      <c r="U286" s="187">
        <v>34.200000000000003</v>
      </c>
      <c r="V286" s="187">
        <v>2.58</v>
      </c>
      <c r="W286" s="188">
        <v>40316</v>
      </c>
      <c r="X286" s="691">
        <f t="shared" si="133"/>
        <v>2.1861100000000002</v>
      </c>
      <c r="Y286" s="691">
        <f t="shared" si="138"/>
        <v>4.2140000000000004</v>
      </c>
      <c r="Z286" s="189"/>
      <c r="AA286" s="190">
        <f t="shared" si="146"/>
        <v>2010</v>
      </c>
      <c r="AB286" s="191">
        <f t="shared" si="147"/>
        <v>1.463787275114244</v>
      </c>
      <c r="AC286" s="192">
        <f>IF(AB286="","",AB286*SFAssumptions!$C$3)</f>
        <v>375.77366189258544</v>
      </c>
      <c r="AD286" s="193">
        <f t="shared" si="148"/>
        <v>13.484800000000002</v>
      </c>
      <c r="AE286" s="194">
        <f>IF(AD286="","",AD286*SFAssumptions!$C$3)</f>
        <v>3461.7275078400003</v>
      </c>
      <c r="AF286" s="192">
        <f t="shared" si="137"/>
        <v>3.2</v>
      </c>
      <c r="AG286" s="192">
        <f t="shared" si="149"/>
        <v>4.2140000000000004</v>
      </c>
      <c r="AH286" s="192">
        <f t="shared" si="150"/>
        <v>2.1861100000000002</v>
      </c>
      <c r="AI286" s="692">
        <f ca="1">IF(AC286="","",AC286*SFAssumptions!$C$8/'SavingsData&amp;Analysis'!AF286)</f>
        <v>443.53120745054343</v>
      </c>
      <c r="AJ286" s="692">
        <f ca="1">IF(OR(AE286="",AF286=""),"",AE286*SFAssumptions!$C$8/AF286)</f>
        <v>4085.9281453736485</v>
      </c>
      <c r="AK286" s="191">
        <f t="shared" si="151"/>
        <v>1.2403100775193798</v>
      </c>
      <c r="AL286" s="692">
        <f>IF(AK286="","",AK286*SFAssumptions!$C$3)</f>
        <v>318.40409302325583</v>
      </c>
      <c r="AM286" s="193">
        <f t="shared" si="152"/>
        <v>12.8</v>
      </c>
      <c r="AN286" s="194">
        <f>IF(AM286="","",AM286*SFAssumptions!$C$3)</f>
        <v>3285.9302400000001</v>
      </c>
      <c r="AO286" s="693">
        <f t="shared" si="153"/>
        <v>4</v>
      </c>
      <c r="AP286" s="693">
        <f t="shared" si="154"/>
        <v>2.58</v>
      </c>
      <c r="AQ286" s="692">
        <f ca="1">IF(AL286="","",AL286*SFAssumptions!$C$8/'SavingsData&amp;Analysis'!AF286)</f>
        <v>375.81705733322002</v>
      </c>
      <c r="AR286" s="692">
        <f ca="1">IF(OR(AN286="",AF286=""),"",AN286*SFAssumptions!$C$8/AF286)</f>
        <v>3878.4320316788308</v>
      </c>
      <c r="AS286" s="190" t="str">
        <f>IF(OR(AG286="",AH286=""),"No",IF(AND(G286="Horizontal",AH286&gt;='Eff. Standards &amp; Certifications'!$B$21,AG286&lt;='Eff. Standards &amp; Certifications'!$C$21),"Consider",IF(AND(G286="Vertical",AH286&gt;='Eff. Standards &amp; Certifications'!$B$20,AG286&lt;='Eff. Standards &amp; Certifications'!$C$20),"Consider","No")))</f>
        <v>Consider</v>
      </c>
      <c r="AT286" s="190" t="str">
        <f t="shared" si="139"/>
        <v>Residential</v>
      </c>
      <c r="AU286" s="190"/>
      <c r="AV286" s="190" t="str">
        <f t="shared" si="158"/>
        <v>NO</v>
      </c>
      <c r="AW286" s="190" t="str">
        <f t="shared" si="158"/>
        <v>YES</v>
      </c>
      <c r="AX286" s="190" t="str">
        <f t="shared" si="155"/>
        <v>YES</v>
      </c>
      <c r="AY286" s="190" t="str">
        <f t="shared" si="140"/>
        <v>NO</v>
      </c>
      <c r="AZ286" s="190" t="str">
        <f t="shared" si="140"/>
        <v>YES</v>
      </c>
      <c r="BA286" s="190" t="str">
        <f t="shared" si="156"/>
        <v>YES</v>
      </c>
      <c r="BB286" s="190" t="str">
        <f t="shared" si="141"/>
        <v>NO</v>
      </c>
      <c r="BC286" s="190" t="str">
        <f t="shared" si="142"/>
        <v>NO</v>
      </c>
      <c r="BD286" s="190" t="str">
        <f t="shared" si="157"/>
        <v>NO</v>
      </c>
      <c r="BE286" s="190" t="str">
        <f t="shared" si="143"/>
        <v>NO</v>
      </c>
      <c r="BF286" s="190" t="str">
        <f t="shared" si="144"/>
        <v>NO</v>
      </c>
      <c r="BG286" s="190" t="str">
        <f t="shared" si="145"/>
        <v>NO</v>
      </c>
      <c r="BH286" s="88"/>
      <c r="BI286" s="9"/>
      <c r="BJ286" s="694" t="str">
        <f t="shared" si="159"/>
        <v/>
      </c>
      <c r="BK286" s="694">
        <f t="shared" si="159"/>
        <v>2.1861100000000002</v>
      </c>
      <c r="BL286" s="694" t="str">
        <f t="shared" si="160"/>
        <v/>
      </c>
      <c r="BM286" s="694">
        <f t="shared" si="160"/>
        <v>4.2140000000000004</v>
      </c>
      <c r="BN286" s="88"/>
      <c r="BO286" s="195"/>
      <c r="BP286" s="195"/>
      <c r="BQ286" s="195"/>
      <c r="BR286" s="195"/>
      <c r="BS286" s="195"/>
      <c r="BT286" s="195"/>
      <c r="BU286" s="195"/>
      <c r="BV286" s="195"/>
      <c r="BW286" s="195"/>
      <c r="BX286" s="195"/>
    </row>
    <row r="287" spans="1:76" s="124" customFormat="1" ht="15">
      <c r="A287" s="187">
        <v>550</v>
      </c>
      <c r="B287" s="187" t="s">
        <v>625</v>
      </c>
      <c r="C287" s="187" t="s">
        <v>558</v>
      </c>
      <c r="D287" s="187" t="s">
        <v>631</v>
      </c>
      <c r="E287" s="187" t="s">
        <v>385</v>
      </c>
      <c r="F287" s="187" t="s">
        <v>386</v>
      </c>
      <c r="G287" s="187" t="s">
        <v>387</v>
      </c>
      <c r="H287" s="187" t="b">
        <v>0</v>
      </c>
      <c r="I287" s="187" t="s">
        <v>388</v>
      </c>
      <c r="J287" s="187" t="s">
        <v>389</v>
      </c>
      <c r="K287" s="187" t="b">
        <v>1</v>
      </c>
      <c r="L287" s="187">
        <v>3.5</v>
      </c>
      <c r="M287" s="187">
        <v>0.48</v>
      </c>
      <c r="N287" s="187">
        <v>14.66</v>
      </c>
      <c r="O287" s="187">
        <v>4.2</v>
      </c>
      <c r="P287" s="187">
        <v>7.36</v>
      </c>
      <c r="Q287" s="187"/>
      <c r="R287" s="187"/>
      <c r="S287" s="187"/>
      <c r="T287" s="187"/>
      <c r="U287" s="187">
        <v>38.700000000000003</v>
      </c>
      <c r="V287" s="187">
        <v>2.2200000000000002</v>
      </c>
      <c r="W287" s="188">
        <v>40316</v>
      </c>
      <c r="X287" s="691">
        <f t="shared" si="133"/>
        <v>1.8568900000000002</v>
      </c>
      <c r="Y287" s="691">
        <f t="shared" si="138"/>
        <v>4.4188400000000003</v>
      </c>
      <c r="Z287" s="189"/>
      <c r="AA287" s="190">
        <f t="shared" si="146"/>
        <v>2010</v>
      </c>
      <c r="AB287" s="191">
        <f t="shared" si="147"/>
        <v>1.8848720171900326</v>
      </c>
      <c r="AC287" s="192">
        <f>IF(AB287="","",AB287*SFAssumptions!$C$3)</f>
        <v>483.87171561051002</v>
      </c>
      <c r="AD287" s="193">
        <f t="shared" si="148"/>
        <v>15.465940000000002</v>
      </c>
      <c r="AE287" s="194">
        <f>IF(AD287="","",AD287*SFAssumptions!$C$3)</f>
        <v>3970.3124950020006</v>
      </c>
      <c r="AF287" s="192">
        <f t="shared" si="137"/>
        <v>3.5</v>
      </c>
      <c r="AG287" s="192">
        <f t="shared" si="149"/>
        <v>4.4188400000000003</v>
      </c>
      <c r="AH287" s="192">
        <f t="shared" si="150"/>
        <v>1.8568900000000002</v>
      </c>
      <c r="AI287" s="692">
        <f ca="1">IF(AC287="","",AC287*SFAssumptions!$C$8/'SavingsData&amp;Analysis'!AF287)</f>
        <v>522.16771479177964</v>
      </c>
      <c r="AJ287" s="692">
        <f ca="1">IF(OR(AE287="",AF287=""),"",AE287*SFAssumptions!$C$8/AF287)</f>
        <v>4284.5426497159215</v>
      </c>
      <c r="AK287" s="191">
        <f t="shared" si="151"/>
        <v>1.5765765765765765</v>
      </c>
      <c r="AL287" s="692">
        <f>IF(AK287="","",AK287*SFAssumptions!$C$3)</f>
        <v>404.72817567567563</v>
      </c>
      <c r="AM287" s="193">
        <f t="shared" si="152"/>
        <v>14.700000000000001</v>
      </c>
      <c r="AN287" s="194">
        <f>IF(AM287="","",AM287*SFAssumptions!$C$3)</f>
        <v>3773.6855100000002</v>
      </c>
      <c r="AO287" s="693">
        <f t="shared" si="153"/>
        <v>4.2</v>
      </c>
      <c r="AP287" s="693">
        <f t="shared" si="154"/>
        <v>2.2200000000000002</v>
      </c>
      <c r="AQ287" s="692">
        <f ca="1">IF(AL287="","",AL287*SFAssumptions!$C$8/'SavingsData&amp;Analysis'!AF287)</f>
        <v>436.76036392779622</v>
      </c>
      <c r="AR287" s="692">
        <f ca="1">IF(OR(AN287="",AF287=""),"",AN287*SFAssumptions!$C$8/AF287)</f>
        <v>4072.3536332627727</v>
      </c>
      <c r="AS287" s="190" t="str">
        <f>IF(OR(AG287="",AH287=""),"No",IF(AND(G287="Horizontal",AH287&gt;='Eff. Standards &amp; Certifications'!$B$21,AG287&lt;='Eff. Standards &amp; Certifications'!$C$21),"Consider",IF(AND(G287="Vertical",AH287&gt;='Eff. Standards &amp; Certifications'!$B$20,AG287&lt;='Eff. Standards &amp; Certifications'!$C$20),"Consider","No")))</f>
        <v>Consider</v>
      </c>
      <c r="AT287" s="190" t="str">
        <f t="shared" si="139"/>
        <v>Residential</v>
      </c>
      <c r="AU287" s="190"/>
      <c r="AV287" s="190" t="str">
        <f t="shared" si="158"/>
        <v>NO</v>
      </c>
      <c r="AW287" s="190" t="str">
        <f t="shared" si="158"/>
        <v>YES</v>
      </c>
      <c r="AX287" s="190" t="str">
        <f t="shared" si="155"/>
        <v>YES</v>
      </c>
      <c r="AY287" s="190" t="str">
        <f t="shared" si="140"/>
        <v>NO</v>
      </c>
      <c r="AZ287" s="190" t="str">
        <f t="shared" si="140"/>
        <v>YES</v>
      </c>
      <c r="BA287" s="190" t="str">
        <f t="shared" si="156"/>
        <v>YES</v>
      </c>
      <c r="BB287" s="190" t="str">
        <f t="shared" si="141"/>
        <v>NO</v>
      </c>
      <c r="BC287" s="190" t="str">
        <f t="shared" si="142"/>
        <v>NO</v>
      </c>
      <c r="BD287" s="190" t="str">
        <f t="shared" si="157"/>
        <v>NO</v>
      </c>
      <c r="BE287" s="190" t="str">
        <f t="shared" si="143"/>
        <v>NO</v>
      </c>
      <c r="BF287" s="190" t="str">
        <f t="shared" si="144"/>
        <v>NO</v>
      </c>
      <c r="BG287" s="190" t="str">
        <f t="shared" si="145"/>
        <v>NO</v>
      </c>
      <c r="BH287" s="88"/>
      <c r="BI287" s="9"/>
      <c r="BJ287" s="694" t="str">
        <f t="shared" si="159"/>
        <v/>
      </c>
      <c r="BK287" s="694">
        <f t="shared" si="159"/>
        <v>1.8568900000000002</v>
      </c>
      <c r="BL287" s="694" t="str">
        <f t="shared" si="160"/>
        <v/>
      </c>
      <c r="BM287" s="694">
        <f t="shared" si="160"/>
        <v>4.4188400000000003</v>
      </c>
      <c r="BN287" s="88"/>
      <c r="BO287" s="195"/>
      <c r="BP287" s="195"/>
      <c r="BQ287" s="195"/>
      <c r="BR287" s="195"/>
      <c r="BS287" s="195"/>
      <c r="BT287" s="195"/>
      <c r="BU287" s="195"/>
      <c r="BV287" s="195"/>
      <c r="BW287" s="195"/>
      <c r="BX287" s="195"/>
    </row>
    <row r="288" spans="1:76" s="124" customFormat="1" ht="15">
      <c r="A288" s="187">
        <v>526</v>
      </c>
      <c r="B288" s="187" t="s">
        <v>625</v>
      </c>
      <c r="C288" s="187" t="s">
        <v>558</v>
      </c>
      <c r="D288" s="187" t="s">
        <v>632</v>
      </c>
      <c r="E288" s="187" t="s">
        <v>385</v>
      </c>
      <c r="F288" s="187" t="s">
        <v>386</v>
      </c>
      <c r="G288" s="187" t="s">
        <v>387</v>
      </c>
      <c r="H288" s="187" t="b">
        <v>0</v>
      </c>
      <c r="I288" s="187" t="s">
        <v>388</v>
      </c>
      <c r="J288" s="187" t="s">
        <v>389</v>
      </c>
      <c r="K288" s="187" t="b">
        <v>1</v>
      </c>
      <c r="L288" s="187">
        <v>3.9</v>
      </c>
      <c r="M288" s="187">
        <v>0.45</v>
      </c>
      <c r="N288" s="187">
        <v>15.67</v>
      </c>
      <c r="O288" s="187">
        <v>4.0999999999999996</v>
      </c>
      <c r="P288" s="187">
        <v>8.5299999999999994</v>
      </c>
      <c r="Q288" s="187"/>
      <c r="R288" s="187"/>
      <c r="S288" s="187"/>
      <c r="T288" s="187"/>
      <c r="U288" s="187">
        <v>38.6</v>
      </c>
      <c r="V288" s="187">
        <v>2.35</v>
      </c>
      <c r="W288" s="188">
        <v>40309</v>
      </c>
      <c r="X288" s="691">
        <f t="shared" si="133"/>
        <v>1.9757749999999998</v>
      </c>
      <c r="Y288" s="691">
        <f t="shared" si="138"/>
        <v>4.3164199999999999</v>
      </c>
      <c r="Z288" s="189"/>
      <c r="AA288" s="190">
        <f t="shared" si="146"/>
        <v>2010</v>
      </c>
      <c r="AB288" s="191">
        <f t="shared" si="147"/>
        <v>1.9739089724285408</v>
      </c>
      <c r="AC288" s="192">
        <f>IF(AB288="","",AB288*SFAssumptions!$C$3)</f>
        <v>506.72868621173973</v>
      </c>
      <c r="AD288" s="193">
        <f t="shared" si="148"/>
        <v>16.834038</v>
      </c>
      <c r="AE288" s="194">
        <f>IF(AD288="","",AD288*SFAssumptions!$C$3)</f>
        <v>4321.5214473054002</v>
      </c>
      <c r="AF288" s="192">
        <f t="shared" si="137"/>
        <v>3.9</v>
      </c>
      <c r="AG288" s="192">
        <f t="shared" si="149"/>
        <v>4.3164199999999999</v>
      </c>
      <c r="AH288" s="192">
        <f t="shared" si="150"/>
        <v>1.9757749999999998</v>
      </c>
      <c r="AI288" s="692">
        <f ca="1">IF(AC288="","",AC288*SFAssumptions!$C$8/'SavingsData&amp;Analysis'!AF288)</f>
        <v>490.74819142853192</v>
      </c>
      <c r="AJ288" s="692">
        <f ca="1">IF(OR(AE288="",AF288=""),"",AE288*SFAssumptions!$C$8/AF288)</f>
        <v>4185.235397544785</v>
      </c>
      <c r="AK288" s="191">
        <f t="shared" si="151"/>
        <v>1.6595744680851063</v>
      </c>
      <c r="AL288" s="692">
        <f>IF(AK288="","",AK288*SFAssumptions!$C$3)</f>
        <v>426.03483829787234</v>
      </c>
      <c r="AM288" s="193">
        <f t="shared" si="152"/>
        <v>15.989999999999998</v>
      </c>
      <c r="AN288" s="194">
        <f>IF(AM288="","",AM288*SFAssumptions!$C$3)</f>
        <v>4104.8456669999996</v>
      </c>
      <c r="AO288" s="693">
        <f t="shared" si="153"/>
        <v>4.0999999999999996</v>
      </c>
      <c r="AP288" s="693">
        <f t="shared" si="154"/>
        <v>2.35</v>
      </c>
      <c r="AQ288" s="692">
        <f ca="1">IF(AL288="","",AL288*SFAssumptions!$C$8/'SavingsData&amp;Analysis'!AF288)</f>
        <v>412.59915230625859</v>
      </c>
      <c r="AR288" s="692">
        <f ca="1">IF(OR(AN288="",AF288=""),"",AN288*SFAssumptions!$C$8/AF288)</f>
        <v>3975.3928324708013</v>
      </c>
      <c r="AS288" s="190" t="str">
        <f>IF(OR(AG288="",AH288=""),"No",IF(AND(G288="Horizontal",AH288&gt;='Eff. Standards &amp; Certifications'!$B$21,AG288&lt;='Eff. Standards &amp; Certifications'!$C$21),"Consider",IF(AND(G288="Vertical",AH288&gt;='Eff. Standards &amp; Certifications'!$B$20,AG288&lt;='Eff. Standards &amp; Certifications'!$C$20),"Consider","No")))</f>
        <v>Consider</v>
      </c>
      <c r="AT288" s="190" t="str">
        <f t="shared" si="139"/>
        <v>Residential</v>
      </c>
      <c r="AU288" s="190"/>
      <c r="AV288" s="190" t="str">
        <f t="shared" si="158"/>
        <v>NO</v>
      </c>
      <c r="AW288" s="190" t="str">
        <f t="shared" si="158"/>
        <v>YES</v>
      </c>
      <c r="AX288" s="190" t="str">
        <f t="shared" si="155"/>
        <v>YES</v>
      </c>
      <c r="AY288" s="190" t="str">
        <f t="shared" si="140"/>
        <v>NO</v>
      </c>
      <c r="AZ288" s="190" t="str">
        <f t="shared" si="140"/>
        <v>YES</v>
      </c>
      <c r="BA288" s="190" t="str">
        <f t="shared" si="156"/>
        <v>YES</v>
      </c>
      <c r="BB288" s="190" t="str">
        <f t="shared" si="141"/>
        <v>NO</v>
      </c>
      <c r="BC288" s="190" t="str">
        <f t="shared" si="142"/>
        <v>NO</v>
      </c>
      <c r="BD288" s="190" t="str">
        <f t="shared" si="157"/>
        <v>NO</v>
      </c>
      <c r="BE288" s="190" t="str">
        <f t="shared" si="143"/>
        <v>NO</v>
      </c>
      <c r="BF288" s="190" t="str">
        <f t="shared" si="144"/>
        <v>NO</v>
      </c>
      <c r="BG288" s="190" t="str">
        <f t="shared" si="145"/>
        <v>NO</v>
      </c>
      <c r="BH288" s="88"/>
      <c r="BI288" s="9"/>
      <c r="BJ288" s="694" t="str">
        <f t="shared" si="159"/>
        <v/>
      </c>
      <c r="BK288" s="694">
        <f t="shared" si="159"/>
        <v>1.9757749999999998</v>
      </c>
      <c r="BL288" s="694" t="str">
        <f t="shared" si="160"/>
        <v/>
      </c>
      <c r="BM288" s="694">
        <f t="shared" si="160"/>
        <v>4.3164199999999999</v>
      </c>
      <c r="BN288" s="88"/>
      <c r="BO288" s="195"/>
      <c r="BP288" s="195"/>
      <c r="BQ288" s="195"/>
      <c r="BR288" s="195"/>
      <c r="BS288" s="195"/>
      <c r="BT288" s="195"/>
      <c r="BU288" s="195"/>
      <c r="BV288" s="195"/>
      <c r="BW288" s="195"/>
      <c r="BX288" s="195"/>
    </row>
    <row r="289" spans="1:76" s="124" customFormat="1" ht="15">
      <c r="A289" s="187">
        <v>3405</v>
      </c>
      <c r="B289" s="187" t="s">
        <v>625</v>
      </c>
      <c r="C289" s="187" t="s">
        <v>558</v>
      </c>
      <c r="D289" s="187" t="s">
        <v>633</v>
      </c>
      <c r="E289" s="187" t="s">
        <v>392</v>
      </c>
      <c r="F289" s="187" t="s">
        <v>386</v>
      </c>
      <c r="G289" s="187" t="s">
        <v>393</v>
      </c>
      <c r="H289" s="187" t="b">
        <v>0</v>
      </c>
      <c r="I289" s="187" t="s">
        <v>388</v>
      </c>
      <c r="J289" s="187" t="s">
        <v>389</v>
      </c>
      <c r="K289" s="187" t="b">
        <v>1</v>
      </c>
      <c r="L289" s="187">
        <v>3.2</v>
      </c>
      <c r="M289" s="187">
        <v>0.99</v>
      </c>
      <c r="N289" s="187">
        <v>36.33</v>
      </c>
      <c r="O289" s="187">
        <v>11.3</v>
      </c>
      <c r="P289" s="187">
        <v>3.26</v>
      </c>
      <c r="Q289" s="187"/>
      <c r="R289" s="187"/>
      <c r="S289" s="187"/>
      <c r="T289" s="187"/>
      <c r="U289" s="187">
        <v>54.4</v>
      </c>
      <c r="V289" s="187">
        <v>1.31</v>
      </c>
      <c r="W289" s="188">
        <v>39660</v>
      </c>
      <c r="X289" s="691">
        <f t="shared" si="133"/>
        <v>0.88059999999999994</v>
      </c>
      <c r="Y289" s="691">
        <f t="shared" si="138"/>
        <v>11.702670000000001</v>
      </c>
      <c r="Z289" s="189"/>
      <c r="AA289" s="190">
        <f t="shared" si="146"/>
        <v>2008</v>
      </c>
      <c r="AB289" s="191">
        <f t="shared" si="147"/>
        <v>3.6338859868271638</v>
      </c>
      <c r="AC289" s="192">
        <f>IF(AB289="","",AB289*SFAssumptions!$C$3)</f>
        <v>932.8668635021578</v>
      </c>
      <c r="AD289" s="193">
        <f t="shared" si="148"/>
        <v>37.448544000000005</v>
      </c>
      <c r="AE289" s="194">
        <f>IF(AD289="","",AD289*SFAssumptions!$C$3)</f>
        <v>9613.5393104352024</v>
      </c>
      <c r="AF289" s="192">
        <f t="shared" si="137"/>
        <v>3.2</v>
      </c>
      <c r="AG289" s="192">
        <f t="shared" si="149"/>
        <v>11.702670000000001</v>
      </c>
      <c r="AH289" s="192">
        <f t="shared" si="150"/>
        <v>0.88059999999999994</v>
      </c>
      <c r="AI289" s="692">
        <f ca="1">IF(AC289="","",AC289*SFAssumptions!$C$8/'SavingsData&amp;Analysis'!AF289)</f>
        <v>1101.0765477171335</v>
      </c>
      <c r="AJ289" s="692">
        <f ca="1">IF(OR(AE289="",AF289=""),"",AE289*SFAssumptions!$C$8/AF289)</f>
        <v>11347.002546041727</v>
      </c>
      <c r="AK289" s="191">
        <f t="shared" si="151"/>
        <v>2.4427480916030535</v>
      </c>
      <c r="AL289" s="692">
        <f>IF(AK289="","",AK289*SFAssumptions!$C$3)</f>
        <v>627.08592366412222</v>
      </c>
      <c r="AM289" s="193">
        <f t="shared" si="152"/>
        <v>36.160000000000004</v>
      </c>
      <c r="AN289" s="194">
        <f>IF(AM289="","",AM289*SFAssumptions!$C$3)</f>
        <v>9282.7529280000017</v>
      </c>
      <c r="AO289" s="693">
        <f t="shared" si="153"/>
        <v>11.3</v>
      </c>
      <c r="AP289" s="693">
        <f t="shared" si="154"/>
        <v>1.31</v>
      </c>
      <c r="AQ289" s="692">
        <f ca="1">IF(AL289="","",AL289*SFAssumptions!$C$8/'SavingsData&amp;Analysis'!AF289)</f>
        <v>740.15878467153266</v>
      </c>
      <c r="AR289" s="692">
        <f ca="1">IF(OR(AN289="",AF289=""),"",AN289*SFAssumptions!$C$8/AF289)</f>
        <v>10956.570489492698</v>
      </c>
      <c r="AS289" s="190" t="str">
        <f>IF(OR(AG289="",AH289=""),"No",IF(AND(G289="Horizontal",AH289&gt;='Eff. Standards &amp; Certifications'!$B$21,AG289&lt;='Eff. Standards &amp; Certifications'!$C$21),"Consider",IF(AND(G289="Vertical",AH289&gt;='Eff. Standards &amp; Certifications'!$B$20,AG289&lt;='Eff. Standards &amp; Certifications'!$C$20),"Consider","No")))</f>
        <v>No</v>
      </c>
      <c r="AT289" s="190" t="str">
        <f t="shared" si="139"/>
        <v>Residential</v>
      </c>
      <c r="AU289" s="190"/>
      <c r="AV289" s="190" t="str">
        <f t="shared" si="158"/>
        <v>NO</v>
      </c>
      <c r="AW289" s="190" t="str">
        <f t="shared" si="158"/>
        <v>NO</v>
      </c>
      <c r="AX289" s="190" t="str">
        <f t="shared" si="155"/>
        <v>NO</v>
      </c>
      <c r="AY289" s="190" t="str">
        <f t="shared" si="140"/>
        <v>NO</v>
      </c>
      <c r="AZ289" s="190" t="str">
        <f t="shared" si="140"/>
        <v>NO</v>
      </c>
      <c r="BA289" s="190" t="str">
        <f t="shared" si="156"/>
        <v>NO</v>
      </c>
      <c r="BB289" s="190" t="str">
        <f t="shared" si="141"/>
        <v>NO</v>
      </c>
      <c r="BC289" s="190" t="str">
        <f t="shared" si="142"/>
        <v>NO</v>
      </c>
      <c r="BD289" s="190" t="str">
        <f t="shared" si="157"/>
        <v>NO</v>
      </c>
      <c r="BE289" s="190" t="str">
        <f t="shared" si="143"/>
        <v>NO</v>
      </c>
      <c r="BF289" s="190" t="str">
        <f t="shared" si="144"/>
        <v>NO</v>
      </c>
      <c r="BG289" s="190" t="str">
        <f t="shared" si="145"/>
        <v>NO</v>
      </c>
      <c r="BH289" s="88"/>
      <c r="BI289" s="9"/>
      <c r="BJ289" s="694" t="str">
        <f t="shared" si="159"/>
        <v/>
      </c>
      <c r="BK289" s="694" t="str">
        <f t="shared" si="159"/>
        <v/>
      </c>
      <c r="BL289" s="694" t="str">
        <f t="shared" si="160"/>
        <v/>
      </c>
      <c r="BM289" s="694" t="str">
        <f t="shared" si="160"/>
        <v/>
      </c>
      <c r="BN289" s="88"/>
      <c r="BO289" s="195"/>
      <c r="BP289" s="195"/>
      <c r="BQ289" s="195"/>
      <c r="BR289" s="195"/>
      <c r="BS289" s="195"/>
      <c r="BT289" s="195"/>
      <c r="BU289" s="195"/>
      <c r="BV289" s="195"/>
      <c r="BW289" s="195"/>
      <c r="BX289" s="195"/>
    </row>
    <row r="290" spans="1:76" s="124" customFormat="1" ht="15">
      <c r="A290" s="187">
        <v>5204</v>
      </c>
      <c r="B290" s="187" t="s">
        <v>625</v>
      </c>
      <c r="C290" s="187" t="s">
        <v>558</v>
      </c>
      <c r="D290" s="187" t="s">
        <v>634</v>
      </c>
      <c r="E290" s="187" t="s">
        <v>392</v>
      </c>
      <c r="F290" s="187" t="s">
        <v>386</v>
      </c>
      <c r="G290" s="187" t="s">
        <v>393</v>
      </c>
      <c r="H290" s="187" t="b">
        <v>0</v>
      </c>
      <c r="I290" s="187" t="s">
        <v>388</v>
      </c>
      <c r="J290" s="187" t="s">
        <v>389</v>
      </c>
      <c r="K290" s="187" t="b">
        <v>1</v>
      </c>
      <c r="L290" s="187">
        <v>3.1</v>
      </c>
      <c r="M290" s="187">
        <v>1.1399999999999999</v>
      </c>
      <c r="N290" s="187">
        <v>27.51</v>
      </c>
      <c r="O290" s="187">
        <v>9.3000000000000007</v>
      </c>
      <c r="P290" s="187">
        <v>2.85</v>
      </c>
      <c r="Q290" s="187"/>
      <c r="R290" s="187"/>
      <c r="S290" s="187"/>
      <c r="T290" s="187"/>
      <c r="U290" s="187">
        <v>51.3</v>
      </c>
      <c r="V290" s="187">
        <v>1.27</v>
      </c>
      <c r="W290" s="188">
        <v>40830</v>
      </c>
      <c r="X290" s="691">
        <f t="shared" si="133"/>
        <v>0.84100000000000008</v>
      </c>
      <c r="Y290" s="691">
        <f t="shared" si="138"/>
        <v>9.724870000000001</v>
      </c>
      <c r="Z290" s="189"/>
      <c r="AA290" s="190">
        <f t="shared" si="146"/>
        <v>2011</v>
      </c>
      <c r="AB290" s="191">
        <f t="shared" si="147"/>
        <v>3.6860879904875148</v>
      </c>
      <c r="AC290" s="192">
        <f>IF(AB290="","",AB290*SFAssumptions!$C$3)</f>
        <v>946.26781212841854</v>
      </c>
      <c r="AD290" s="193">
        <f t="shared" si="148"/>
        <v>30.147097000000002</v>
      </c>
      <c r="AE290" s="194">
        <f>IF(AD290="","",AD290*SFAssumptions!$C$3)</f>
        <v>7739.1607562901008</v>
      </c>
      <c r="AF290" s="192">
        <f t="shared" si="137"/>
        <v>3.1</v>
      </c>
      <c r="AG290" s="192">
        <f t="shared" si="149"/>
        <v>9.724870000000001</v>
      </c>
      <c r="AH290" s="192">
        <f t="shared" si="150"/>
        <v>0.84100000000000008</v>
      </c>
      <c r="AI290" s="692">
        <f ca="1">IF(AC290="","",AC290*SFAssumptions!$C$8/'SavingsData&amp;Analysis'!AF290)</f>
        <v>1152.9227204752765</v>
      </c>
      <c r="AJ290" s="692">
        <f ca="1">IF(OR(AE290="",AF290=""),"",AE290*SFAssumptions!$C$8/AF290)</f>
        <v>9429.3118279781283</v>
      </c>
      <c r="AK290" s="191">
        <f t="shared" si="151"/>
        <v>2.4409448818897639</v>
      </c>
      <c r="AL290" s="692">
        <f>IF(AK290="","",AK290*SFAssumptions!$C$3)</f>
        <v>626.62301574803155</v>
      </c>
      <c r="AM290" s="193">
        <f t="shared" si="152"/>
        <v>28.830000000000002</v>
      </c>
      <c r="AN290" s="194">
        <f>IF(AM290="","",AM290*SFAssumptions!$C$3)</f>
        <v>7401.0444390000002</v>
      </c>
      <c r="AO290" s="693">
        <f t="shared" si="153"/>
        <v>9.3000000000000007</v>
      </c>
      <c r="AP290" s="693">
        <f t="shared" si="154"/>
        <v>1.27</v>
      </c>
      <c r="AQ290" s="692">
        <f ca="1">IF(AL290="","",AL290*SFAssumptions!$C$8/'SavingsData&amp;Analysis'!AF290)</f>
        <v>763.47087237772257</v>
      </c>
      <c r="AR290" s="692">
        <f ca="1">IF(OR(AN290="",AF290=""),"",AN290*SFAssumptions!$C$8/AF290)</f>
        <v>9017.3544736532804</v>
      </c>
      <c r="AS290" s="190" t="str">
        <f>IF(OR(AG290="",AH290=""),"No",IF(AND(G290="Horizontal",AH290&gt;='Eff. Standards &amp; Certifications'!$B$21,AG290&lt;='Eff. Standards &amp; Certifications'!$C$21),"Consider",IF(AND(G290="Vertical",AH290&gt;='Eff. Standards &amp; Certifications'!$B$20,AG290&lt;='Eff. Standards &amp; Certifications'!$C$20),"Consider","No")))</f>
        <v>No</v>
      </c>
      <c r="AT290" s="190" t="str">
        <f t="shared" si="139"/>
        <v>Residential</v>
      </c>
      <c r="AU290" s="190"/>
      <c r="AV290" s="190" t="str">
        <f t="shared" si="158"/>
        <v>NO</v>
      </c>
      <c r="AW290" s="190" t="str">
        <f t="shared" si="158"/>
        <v>NO</v>
      </c>
      <c r="AX290" s="190" t="str">
        <f t="shared" si="155"/>
        <v>NO</v>
      </c>
      <c r="AY290" s="190" t="str">
        <f t="shared" si="140"/>
        <v>NO</v>
      </c>
      <c r="AZ290" s="190" t="str">
        <f t="shared" si="140"/>
        <v>NO</v>
      </c>
      <c r="BA290" s="190" t="str">
        <f t="shared" si="156"/>
        <v>NO</v>
      </c>
      <c r="BB290" s="190" t="str">
        <f t="shared" si="141"/>
        <v>NO</v>
      </c>
      <c r="BC290" s="190" t="str">
        <f t="shared" si="142"/>
        <v>NO</v>
      </c>
      <c r="BD290" s="190" t="str">
        <f t="shared" si="157"/>
        <v>NO</v>
      </c>
      <c r="BE290" s="190" t="str">
        <f t="shared" si="143"/>
        <v>NO</v>
      </c>
      <c r="BF290" s="190" t="str">
        <f t="shared" si="144"/>
        <v>NO</v>
      </c>
      <c r="BG290" s="190" t="str">
        <f t="shared" si="145"/>
        <v>NO</v>
      </c>
      <c r="BH290" s="88"/>
      <c r="BI290" s="9"/>
      <c r="BJ290" s="694" t="str">
        <f t="shared" si="159"/>
        <v/>
      </c>
      <c r="BK290" s="694" t="str">
        <f t="shared" si="159"/>
        <v/>
      </c>
      <c r="BL290" s="694" t="str">
        <f t="shared" si="160"/>
        <v/>
      </c>
      <c r="BM290" s="694" t="str">
        <f t="shared" si="160"/>
        <v/>
      </c>
      <c r="BN290" s="88"/>
      <c r="BO290" s="195"/>
      <c r="BP290" s="195"/>
      <c r="BQ290" s="195"/>
      <c r="BR290" s="195"/>
      <c r="BS290" s="195"/>
      <c r="BT290" s="195"/>
      <c r="BU290" s="195"/>
      <c r="BV290" s="195"/>
      <c r="BW290" s="195"/>
      <c r="BX290" s="195"/>
    </row>
    <row r="291" spans="1:76" s="124" customFormat="1" ht="15">
      <c r="A291" s="187">
        <v>3406</v>
      </c>
      <c r="B291" s="187" t="s">
        <v>625</v>
      </c>
      <c r="C291" s="187" t="s">
        <v>558</v>
      </c>
      <c r="D291" s="187" t="s">
        <v>635</v>
      </c>
      <c r="E291" s="187" t="s">
        <v>392</v>
      </c>
      <c r="F291" s="187" t="s">
        <v>386</v>
      </c>
      <c r="G291" s="187" t="s">
        <v>393</v>
      </c>
      <c r="H291" s="187" t="b">
        <v>0</v>
      </c>
      <c r="I291" s="187" t="s">
        <v>388</v>
      </c>
      <c r="J291" s="187" t="s">
        <v>389</v>
      </c>
      <c r="K291" s="187" t="b">
        <v>1</v>
      </c>
      <c r="L291" s="187">
        <v>3.2</v>
      </c>
      <c r="M291" s="187">
        <v>0.81</v>
      </c>
      <c r="N291" s="187">
        <v>34.71</v>
      </c>
      <c r="O291" s="187">
        <v>10.8</v>
      </c>
      <c r="P291" s="187">
        <v>3.99</v>
      </c>
      <c r="Q291" s="187"/>
      <c r="R291" s="187"/>
      <c r="S291" s="187"/>
      <c r="T291" s="187"/>
      <c r="U291" s="187">
        <v>51.8</v>
      </c>
      <c r="V291" s="187">
        <v>1.46</v>
      </c>
      <c r="W291" s="188">
        <v>39660</v>
      </c>
      <c r="X291" s="691">
        <f t="shared" si="133"/>
        <v>1.0291000000000001</v>
      </c>
      <c r="Y291" s="691">
        <f t="shared" si="138"/>
        <v>11.208220000000001</v>
      </c>
      <c r="Z291" s="189"/>
      <c r="AA291" s="190">
        <f t="shared" si="146"/>
        <v>2008</v>
      </c>
      <c r="AB291" s="191">
        <f t="shared" si="147"/>
        <v>3.1095131668448155</v>
      </c>
      <c r="AC291" s="192">
        <f>IF(AB291="","",AB291*SFAssumptions!$C$3)</f>
        <v>798.25338645418321</v>
      </c>
      <c r="AD291" s="193">
        <f t="shared" si="148"/>
        <v>35.866304000000007</v>
      </c>
      <c r="AE291" s="194">
        <f>IF(AD291="","",AD291*SFAssumptions!$C$3)</f>
        <v>9207.3572586432019</v>
      </c>
      <c r="AF291" s="192">
        <f t="shared" si="137"/>
        <v>3.2</v>
      </c>
      <c r="AG291" s="192">
        <f t="shared" si="149"/>
        <v>11.208220000000001</v>
      </c>
      <c r="AH291" s="192">
        <f t="shared" si="150"/>
        <v>1.0291000000000001</v>
      </c>
      <c r="AI291" s="692">
        <f ca="1">IF(AC291="","",AC291*SFAssumptions!$C$8/'SavingsData&amp;Analysis'!AF291)</f>
        <v>942.19027103265728</v>
      </c>
      <c r="AJ291" s="692">
        <f ca="1">IF(OR(AE291="",AF291=""),"",AE291*SFAssumptions!$C$8/AF291)</f>
        <v>10867.579866525826</v>
      </c>
      <c r="AK291" s="191">
        <f t="shared" si="151"/>
        <v>2.1917808219178085</v>
      </c>
      <c r="AL291" s="692">
        <f>IF(AK291="","",AK291*SFAssumptions!$C$3)</f>
        <v>562.65928767123296</v>
      </c>
      <c r="AM291" s="193">
        <f t="shared" si="152"/>
        <v>34.56</v>
      </c>
      <c r="AN291" s="194">
        <f>IF(AM291="","",AM291*SFAssumptions!$C$3)</f>
        <v>8872.0116480000015</v>
      </c>
      <c r="AO291" s="693">
        <f t="shared" si="153"/>
        <v>10.8</v>
      </c>
      <c r="AP291" s="693">
        <f t="shared" si="154"/>
        <v>1.46</v>
      </c>
      <c r="AQ291" s="692">
        <f ca="1">IF(AL291="","",AL291*SFAssumptions!$C$8/'SavingsData&amp;Analysis'!AF291)</f>
        <v>664.11507391760802</v>
      </c>
      <c r="AR291" s="692">
        <f ca="1">IF(OR(AN291="",AF291=""),"",AN291*SFAssumptions!$C$8/AF291)</f>
        <v>10471.766485532844</v>
      </c>
      <c r="AS291" s="190" t="str">
        <f>IF(OR(AG291="",AH291=""),"No",IF(AND(G291="Horizontal",AH291&gt;='Eff. Standards &amp; Certifications'!$B$21,AG291&lt;='Eff. Standards &amp; Certifications'!$C$21),"Consider",IF(AND(G291="Vertical",AH291&gt;='Eff. Standards &amp; Certifications'!$B$20,AG291&lt;='Eff. Standards &amp; Certifications'!$C$20),"Consider","No")))</f>
        <v>No</v>
      </c>
      <c r="AT291" s="190" t="str">
        <f t="shared" si="139"/>
        <v>Residential</v>
      </c>
      <c r="AU291" s="190"/>
      <c r="AV291" s="190" t="str">
        <f t="shared" si="158"/>
        <v>NO</v>
      </c>
      <c r="AW291" s="190" t="str">
        <f t="shared" si="158"/>
        <v>NO</v>
      </c>
      <c r="AX291" s="190" t="str">
        <f t="shared" si="155"/>
        <v>NO</v>
      </c>
      <c r="AY291" s="190" t="str">
        <f t="shared" si="140"/>
        <v>NO</v>
      </c>
      <c r="AZ291" s="190" t="str">
        <f t="shared" si="140"/>
        <v>NO</v>
      </c>
      <c r="BA291" s="190" t="str">
        <f t="shared" si="156"/>
        <v>NO</v>
      </c>
      <c r="BB291" s="190" t="str">
        <f t="shared" si="141"/>
        <v>NO</v>
      </c>
      <c r="BC291" s="190" t="str">
        <f t="shared" si="142"/>
        <v>NO</v>
      </c>
      <c r="BD291" s="190" t="str">
        <f t="shared" si="157"/>
        <v>NO</v>
      </c>
      <c r="BE291" s="190" t="str">
        <f t="shared" si="143"/>
        <v>NO</v>
      </c>
      <c r="BF291" s="190" t="str">
        <f t="shared" si="144"/>
        <v>NO</v>
      </c>
      <c r="BG291" s="190" t="str">
        <f t="shared" si="145"/>
        <v>NO</v>
      </c>
      <c r="BH291" s="88"/>
      <c r="BI291" s="9"/>
      <c r="BJ291" s="694" t="str">
        <f t="shared" si="159"/>
        <v/>
      </c>
      <c r="BK291" s="694" t="str">
        <f t="shared" si="159"/>
        <v/>
      </c>
      <c r="BL291" s="694" t="str">
        <f t="shared" si="160"/>
        <v/>
      </c>
      <c r="BM291" s="694" t="str">
        <f t="shared" si="160"/>
        <v/>
      </c>
      <c r="BN291" s="88"/>
      <c r="BO291" s="195"/>
      <c r="BP291" s="195"/>
      <c r="BQ291" s="195"/>
      <c r="BR291" s="195"/>
      <c r="BS291" s="195"/>
      <c r="BT291" s="195"/>
      <c r="BU291" s="195"/>
      <c r="BV291" s="195"/>
      <c r="BW291" s="195"/>
      <c r="BX291" s="195"/>
    </row>
    <row r="292" spans="1:76" s="124" customFormat="1" ht="15">
      <c r="A292" s="187">
        <v>5203</v>
      </c>
      <c r="B292" s="187" t="s">
        <v>625</v>
      </c>
      <c r="C292" s="187" t="s">
        <v>558</v>
      </c>
      <c r="D292" s="187" t="s">
        <v>636</v>
      </c>
      <c r="E292" s="187" t="s">
        <v>392</v>
      </c>
      <c r="F292" s="187" t="s">
        <v>386</v>
      </c>
      <c r="G292" s="187" t="s">
        <v>393</v>
      </c>
      <c r="H292" s="187" t="b">
        <v>0</v>
      </c>
      <c r="I292" s="187" t="s">
        <v>388</v>
      </c>
      <c r="J292" s="187" t="s">
        <v>389</v>
      </c>
      <c r="K292" s="187" t="b">
        <v>1</v>
      </c>
      <c r="L292" s="187">
        <v>3.4</v>
      </c>
      <c r="M292" s="187">
        <v>1.03</v>
      </c>
      <c r="N292" s="187">
        <v>30.31</v>
      </c>
      <c r="O292" s="187">
        <v>9.4</v>
      </c>
      <c r="P292" s="187">
        <v>3.46</v>
      </c>
      <c r="Q292" s="187"/>
      <c r="R292" s="187"/>
      <c r="S292" s="187"/>
      <c r="T292" s="187"/>
      <c r="U292" s="187">
        <v>53.1</v>
      </c>
      <c r="V292" s="187">
        <v>1.35</v>
      </c>
      <c r="W292" s="188">
        <v>40830</v>
      </c>
      <c r="X292" s="691">
        <f t="shared" si="133"/>
        <v>0.92020000000000002</v>
      </c>
      <c r="Y292" s="691">
        <f t="shared" si="138"/>
        <v>9.82376</v>
      </c>
      <c r="Z292" s="189"/>
      <c r="AA292" s="190">
        <f t="shared" si="146"/>
        <v>2011</v>
      </c>
      <c r="AB292" s="191">
        <f t="shared" si="147"/>
        <v>3.6948489458813301</v>
      </c>
      <c r="AC292" s="192">
        <f>IF(AB292="","",AB292*SFAssumptions!$C$3)</f>
        <v>948.5168658987177</v>
      </c>
      <c r="AD292" s="193">
        <f t="shared" si="148"/>
        <v>33.400784000000002</v>
      </c>
      <c r="AE292" s="194">
        <f>IF(AD292="","",AD292*SFAssumptions!$C$3)</f>
        <v>8574.4254832271999</v>
      </c>
      <c r="AF292" s="192">
        <f t="shared" si="137"/>
        <v>3.4</v>
      </c>
      <c r="AG292" s="192">
        <f t="shared" si="149"/>
        <v>9.82376</v>
      </c>
      <c r="AH292" s="192">
        <f t="shared" si="150"/>
        <v>0.92020000000000002</v>
      </c>
      <c r="AI292" s="692">
        <f ca="1">IF(AC292="","",AC292*SFAssumptions!$C$8/'SavingsData&amp;Analysis'!AF292)</f>
        <v>1053.6926841118318</v>
      </c>
      <c r="AJ292" s="692">
        <f ca="1">IF(OR(AE292="",AF292=""),"",AE292*SFAssumptions!$C$8/AF292)</f>
        <v>9525.1963638813086</v>
      </c>
      <c r="AK292" s="191">
        <f t="shared" si="151"/>
        <v>2.5185185185185182</v>
      </c>
      <c r="AL292" s="692">
        <f>IF(AK292="","",AK292*SFAssumptions!$C$3)</f>
        <v>646.53719999999987</v>
      </c>
      <c r="AM292" s="193">
        <f t="shared" si="152"/>
        <v>31.96</v>
      </c>
      <c r="AN292" s="194">
        <f>IF(AM292="","",AM292*SFAssumptions!$C$3)</f>
        <v>8204.5570680000001</v>
      </c>
      <c r="AO292" s="693">
        <f t="shared" si="153"/>
        <v>9.4</v>
      </c>
      <c r="AP292" s="693">
        <f t="shared" si="154"/>
        <v>1.35</v>
      </c>
      <c r="AQ292" s="692">
        <f ca="1">IF(AL292="","",AL292*SFAssumptions!$C$8/'SavingsData&amp;Analysis'!AF292)</f>
        <v>718.22815401459809</v>
      </c>
      <c r="AR292" s="692">
        <f ca="1">IF(OR(AN292="",AF292=""),"",AN292*SFAssumptions!$C$8/AF292)</f>
        <v>9114.3152744452527</v>
      </c>
      <c r="AS292" s="190" t="str">
        <f>IF(OR(AG292="",AH292=""),"No",IF(AND(G292="Horizontal",AH292&gt;='Eff. Standards &amp; Certifications'!$B$21,AG292&lt;='Eff. Standards &amp; Certifications'!$C$21),"Consider",IF(AND(G292="Vertical",AH292&gt;='Eff. Standards &amp; Certifications'!$B$20,AG292&lt;='Eff. Standards &amp; Certifications'!$C$20),"Consider","No")))</f>
        <v>No</v>
      </c>
      <c r="AT292" s="190" t="str">
        <f t="shared" si="139"/>
        <v>Residential</v>
      </c>
      <c r="AU292" s="190"/>
      <c r="AV292" s="190" t="str">
        <f t="shared" si="158"/>
        <v>NO</v>
      </c>
      <c r="AW292" s="190" t="str">
        <f t="shared" si="158"/>
        <v>NO</v>
      </c>
      <c r="AX292" s="190" t="str">
        <f t="shared" si="155"/>
        <v>NO</v>
      </c>
      <c r="AY292" s="190" t="str">
        <f t="shared" si="140"/>
        <v>NO</v>
      </c>
      <c r="AZ292" s="190" t="str">
        <f t="shared" si="140"/>
        <v>NO</v>
      </c>
      <c r="BA292" s="190" t="str">
        <f t="shared" si="156"/>
        <v>NO</v>
      </c>
      <c r="BB292" s="190" t="str">
        <f t="shared" si="141"/>
        <v>NO</v>
      </c>
      <c r="BC292" s="190" t="str">
        <f t="shared" si="142"/>
        <v>NO</v>
      </c>
      <c r="BD292" s="190" t="str">
        <f t="shared" si="157"/>
        <v>NO</v>
      </c>
      <c r="BE292" s="190" t="str">
        <f t="shared" si="143"/>
        <v>NO</v>
      </c>
      <c r="BF292" s="190" t="str">
        <f t="shared" si="144"/>
        <v>NO</v>
      </c>
      <c r="BG292" s="190" t="str">
        <f t="shared" si="145"/>
        <v>NO</v>
      </c>
      <c r="BH292" s="88"/>
      <c r="BI292" s="9"/>
      <c r="BJ292" s="694" t="str">
        <f t="shared" si="159"/>
        <v/>
      </c>
      <c r="BK292" s="694" t="str">
        <f t="shared" si="159"/>
        <v/>
      </c>
      <c r="BL292" s="694" t="str">
        <f t="shared" si="160"/>
        <v/>
      </c>
      <c r="BM292" s="694" t="str">
        <f t="shared" si="160"/>
        <v/>
      </c>
      <c r="BN292" s="88"/>
      <c r="BO292" s="195"/>
      <c r="BP292" s="195"/>
      <c r="BQ292" s="195"/>
      <c r="BR292" s="195"/>
      <c r="BS292" s="195"/>
      <c r="BT292" s="195"/>
      <c r="BU292" s="195"/>
      <c r="BV292" s="195"/>
      <c r="BW292" s="195"/>
      <c r="BX292" s="195"/>
    </row>
    <row r="293" spans="1:76" s="124" customFormat="1" ht="15">
      <c r="A293" s="187">
        <v>5897</v>
      </c>
      <c r="B293" s="187" t="s">
        <v>625</v>
      </c>
      <c r="C293" s="187" t="s">
        <v>558</v>
      </c>
      <c r="D293" s="187" t="s">
        <v>637</v>
      </c>
      <c r="E293" s="187" t="s">
        <v>392</v>
      </c>
      <c r="F293" s="187" t="s">
        <v>386</v>
      </c>
      <c r="G293" s="187" t="s">
        <v>393</v>
      </c>
      <c r="H293" s="187" t="b">
        <v>0</v>
      </c>
      <c r="I293" s="187" t="s">
        <v>388</v>
      </c>
      <c r="J293" s="187" t="s">
        <v>389</v>
      </c>
      <c r="K293" s="187" t="b">
        <v>1</v>
      </c>
      <c r="L293" s="187">
        <v>3.8</v>
      </c>
      <c r="M293" s="187">
        <v>0.34</v>
      </c>
      <c r="N293" s="187">
        <v>15.16</v>
      </c>
      <c r="O293" s="187">
        <v>4</v>
      </c>
      <c r="P293" s="187">
        <v>11.66</v>
      </c>
      <c r="Q293" s="187"/>
      <c r="R293" s="187"/>
      <c r="S293" s="187"/>
      <c r="T293" s="187"/>
      <c r="U293" s="187">
        <v>38.9</v>
      </c>
      <c r="V293" s="187">
        <v>2.4</v>
      </c>
      <c r="W293" s="188">
        <v>41450</v>
      </c>
      <c r="X293" s="691">
        <f t="shared" si="133"/>
        <v>1.9596999999999998</v>
      </c>
      <c r="Y293" s="691">
        <f t="shared" si="138"/>
        <v>4.4836999999999998</v>
      </c>
      <c r="Z293" s="189"/>
      <c r="AA293" s="190">
        <f t="shared" si="146"/>
        <v>2013</v>
      </c>
      <c r="AB293" s="191">
        <f t="shared" si="147"/>
        <v>1.9390723069857632</v>
      </c>
      <c r="AC293" s="192">
        <f>IF(AB293="","",AB293*SFAssumptions!$C$3)</f>
        <v>497.7856508649283</v>
      </c>
      <c r="AD293" s="193">
        <f t="shared" si="148"/>
        <v>17.038059999999998</v>
      </c>
      <c r="AE293" s="194">
        <f>IF(AD293="","",AD293*SFAssumptions!$C$3)</f>
        <v>4373.8966081979997</v>
      </c>
      <c r="AF293" s="192">
        <f t="shared" si="137"/>
        <v>3.8</v>
      </c>
      <c r="AG293" s="192">
        <f t="shared" si="149"/>
        <v>4.4836999999999998</v>
      </c>
      <c r="AH293" s="192">
        <f t="shared" si="150"/>
        <v>1.9596999999999998</v>
      </c>
      <c r="AI293" s="692">
        <f ca="1">IF(AC293="","",AC293*SFAssumptions!$C$8/'SavingsData&amp;Analysis'!AF293)</f>
        <v>494.77369389177312</v>
      </c>
      <c r="AJ293" s="692">
        <f ca="1">IF(OR(AE293="",AF293=""),"",AE293*SFAssumptions!$C$8/AF293)</f>
        <v>4347.431425109593</v>
      </c>
      <c r="AK293" s="191">
        <f t="shared" si="151"/>
        <v>1.5833333333333333</v>
      </c>
      <c r="AL293" s="692">
        <f>IF(AK293="","",AK293*SFAssumptions!$C$3)</f>
        <v>406.46272499999998</v>
      </c>
      <c r="AM293" s="193">
        <f t="shared" si="152"/>
        <v>15.2</v>
      </c>
      <c r="AN293" s="194">
        <f>IF(AM293="","",AM293*SFAssumptions!$C$3)</f>
        <v>3902.04216</v>
      </c>
      <c r="AO293" s="693">
        <f t="shared" si="153"/>
        <v>4</v>
      </c>
      <c r="AP293" s="693">
        <f t="shared" si="154"/>
        <v>2.4</v>
      </c>
      <c r="AQ293" s="692">
        <f ca="1">IF(AL293="","",AL293*SFAssumptions!$C$8/'SavingsData&amp;Analysis'!AF293)</f>
        <v>404.00333663321152</v>
      </c>
      <c r="AR293" s="692">
        <f ca="1">IF(OR(AN293="",AF293=""),"",AN293*SFAssumptions!$C$8/AF293)</f>
        <v>3878.4320316788308</v>
      </c>
      <c r="AS293" s="190" t="str">
        <f>IF(OR(AG293="",AH293=""),"No",IF(AND(G293="Horizontal",AH293&gt;='Eff. Standards &amp; Certifications'!$B$21,AG293&lt;='Eff. Standards &amp; Certifications'!$C$21),"Consider",IF(AND(G293="Vertical",AH293&gt;='Eff. Standards &amp; Certifications'!$B$20,AG293&lt;='Eff. Standards &amp; Certifications'!$C$20),"Consider","No")))</f>
        <v>Consider</v>
      </c>
      <c r="AT293" s="190" t="str">
        <f t="shared" si="139"/>
        <v>Residential</v>
      </c>
      <c r="AU293" s="190"/>
      <c r="AV293" s="190" t="str">
        <f t="shared" si="158"/>
        <v>YES</v>
      </c>
      <c r="AW293" s="190" t="str">
        <f t="shared" si="158"/>
        <v>NO</v>
      </c>
      <c r="AX293" s="190" t="str">
        <f t="shared" si="155"/>
        <v>YES</v>
      </c>
      <c r="AY293" s="190" t="str">
        <f t="shared" si="140"/>
        <v>YES</v>
      </c>
      <c r="AZ293" s="190" t="str">
        <f t="shared" si="140"/>
        <v>NO</v>
      </c>
      <c r="BA293" s="190" t="str">
        <f t="shared" si="156"/>
        <v>YES</v>
      </c>
      <c r="BB293" s="190" t="str">
        <f t="shared" si="141"/>
        <v>NO</v>
      </c>
      <c r="BC293" s="190" t="str">
        <f t="shared" si="142"/>
        <v>NO</v>
      </c>
      <c r="BD293" s="190" t="str">
        <f t="shared" si="157"/>
        <v>NO</v>
      </c>
      <c r="BE293" s="190" t="str">
        <f t="shared" si="143"/>
        <v>NO</v>
      </c>
      <c r="BF293" s="190" t="str">
        <f t="shared" si="144"/>
        <v>NO</v>
      </c>
      <c r="BG293" s="190" t="str">
        <f t="shared" si="145"/>
        <v>NO</v>
      </c>
      <c r="BH293" s="88"/>
      <c r="BI293" s="9"/>
      <c r="BJ293" s="694">
        <f t="shared" si="159"/>
        <v>1.9596999999999998</v>
      </c>
      <c r="BK293" s="694" t="str">
        <f t="shared" si="159"/>
        <v/>
      </c>
      <c r="BL293" s="694">
        <f t="shared" si="160"/>
        <v>4.4836999999999998</v>
      </c>
      <c r="BM293" s="694" t="str">
        <f t="shared" si="160"/>
        <v/>
      </c>
      <c r="BN293" s="88"/>
      <c r="BO293" s="195"/>
      <c r="BP293" s="195"/>
      <c r="BQ293" s="195"/>
      <c r="BR293" s="195"/>
      <c r="BS293" s="195"/>
      <c r="BT293" s="195"/>
      <c r="BU293" s="195"/>
      <c r="BV293" s="195"/>
      <c r="BW293" s="195"/>
      <c r="BX293" s="195"/>
    </row>
    <row r="294" spans="1:76" s="124" customFormat="1" ht="15">
      <c r="A294" s="187">
        <v>6841</v>
      </c>
      <c r="B294" s="187" t="s">
        <v>625</v>
      </c>
      <c r="C294" s="187" t="s">
        <v>558</v>
      </c>
      <c r="D294" s="187" t="s">
        <v>1346</v>
      </c>
      <c r="E294" s="187" t="s">
        <v>392</v>
      </c>
      <c r="F294" s="187" t="s">
        <v>386</v>
      </c>
      <c r="G294" s="187" t="s">
        <v>393</v>
      </c>
      <c r="H294" s="187" t="b">
        <v>0</v>
      </c>
      <c r="I294" s="187" t="s">
        <v>388</v>
      </c>
      <c r="J294" s="187" t="s">
        <v>389</v>
      </c>
      <c r="K294" s="187" t="b">
        <v>1</v>
      </c>
      <c r="L294" s="187">
        <v>3.6</v>
      </c>
      <c r="M294" s="187">
        <v>0.31</v>
      </c>
      <c r="N294" s="187">
        <v>13.09</v>
      </c>
      <c r="O294" s="187">
        <v>3.6</v>
      </c>
      <c r="P294" s="187">
        <v>12.15</v>
      </c>
      <c r="Q294" s="187"/>
      <c r="R294" s="187"/>
      <c r="S294" s="187"/>
      <c r="T294" s="187"/>
      <c r="U294" s="187">
        <v>38.4</v>
      </c>
      <c r="V294" s="187">
        <v>2.48</v>
      </c>
      <c r="W294" s="188">
        <v>41989</v>
      </c>
      <c r="X294" s="691">
        <f t="shared" si="133"/>
        <v>2.0388999999999999</v>
      </c>
      <c r="Y294" s="691">
        <f t="shared" si="138"/>
        <v>4.0881400000000001</v>
      </c>
      <c r="Z294" s="189"/>
      <c r="AA294" s="190">
        <f t="shared" si="146"/>
        <v>2014</v>
      </c>
      <c r="AB294" s="191">
        <f t="shared" si="147"/>
        <v>1.7656579528176959</v>
      </c>
      <c r="AC294" s="192">
        <f>IF(AB294="","",AB294*SFAssumptions!$C$3)</f>
        <v>453.267879739075</v>
      </c>
      <c r="AD294" s="193">
        <f t="shared" si="148"/>
        <v>14.717304</v>
      </c>
      <c r="AE294" s="194">
        <f>IF(AD294="","",AD294*SFAssumptions!$C$3)</f>
        <v>3778.1276769432002</v>
      </c>
      <c r="AF294" s="192">
        <f t="shared" si="137"/>
        <v>3.6</v>
      </c>
      <c r="AG294" s="192">
        <f t="shared" si="149"/>
        <v>4.0881400000000001</v>
      </c>
      <c r="AH294" s="192">
        <f t="shared" si="150"/>
        <v>2.0388999999999999</v>
      </c>
      <c r="AI294" s="692">
        <f ca="1">IF(AC294="","",AC294*SFAssumptions!$C$8/'SavingsData&amp;Analysis'!AF294)</f>
        <v>475.55446952754312</v>
      </c>
      <c r="AJ294" s="692">
        <f ca="1">IF(OR(AE294="",AF294=""),"",AE294*SFAssumptions!$C$8/AF294)</f>
        <v>3963.8932814968734</v>
      </c>
      <c r="AK294" s="191">
        <f t="shared" si="151"/>
        <v>1.4516129032258065</v>
      </c>
      <c r="AL294" s="692">
        <f>IF(AK294="","",AK294*SFAssumptions!$C$3)</f>
        <v>372.64833870967743</v>
      </c>
      <c r="AM294" s="193">
        <f t="shared" si="152"/>
        <v>12.96</v>
      </c>
      <c r="AN294" s="194">
        <f>IF(AM294="","",AM294*SFAssumptions!$C$3)</f>
        <v>3327.0043680000003</v>
      </c>
      <c r="AO294" s="693">
        <f t="shared" si="153"/>
        <v>3.6</v>
      </c>
      <c r="AP294" s="693">
        <f t="shared" si="154"/>
        <v>2.48</v>
      </c>
      <c r="AQ294" s="692">
        <f ca="1">IF(AL294="","",AL294*SFAssumptions!$C$8/'SavingsData&amp;Analysis'!AF294)</f>
        <v>390.97097093536604</v>
      </c>
      <c r="AR294" s="692">
        <f ca="1">IF(OR(AN294="",AF294=""),"",AN294*SFAssumptions!$C$8/AF294)</f>
        <v>3490.5888285109477</v>
      </c>
      <c r="AS294" s="190" t="str">
        <f>IF(OR(AG294="",AH294=""),"No",IF(AND(G294="Horizontal",AH294&gt;='Eff. Standards &amp; Certifications'!$B$21,AG294&lt;='Eff. Standards &amp; Certifications'!$C$21),"Consider",IF(AND(G294="Vertical",AH294&gt;='Eff. Standards &amp; Certifications'!$B$20,AG294&lt;='Eff. Standards &amp; Certifications'!$C$20),"Consider","No")))</f>
        <v>Consider</v>
      </c>
      <c r="AT294" s="190" t="str">
        <f t="shared" si="139"/>
        <v>Residential</v>
      </c>
      <c r="AU294" s="190"/>
      <c r="AV294" s="190" t="str">
        <f t="shared" si="158"/>
        <v>YES</v>
      </c>
      <c r="AW294" s="190" t="str">
        <f t="shared" si="158"/>
        <v>NO</v>
      </c>
      <c r="AX294" s="190" t="str">
        <f t="shared" si="155"/>
        <v>YES</v>
      </c>
      <c r="AY294" s="190" t="str">
        <f t="shared" si="140"/>
        <v>YES</v>
      </c>
      <c r="AZ294" s="190" t="str">
        <f t="shared" si="140"/>
        <v>NO</v>
      </c>
      <c r="BA294" s="190" t="str">
        <f t="shared" si="156"/>
        <v>YES</v>
      </c>
      <c r="BB294" s="190" t="str">
        <f t="shared" si="141"/>
        <v>NO</v>
      </c>
      <c r="BC294" s="190" t="str">
        <f t="shared" si="142"/>
        <v>NO</v>
      </c>
      <c r="BD294" s="190" t="str">
        <f t="shared" si="157"/>
        <v>NO</v>
      </c>
      <c r="BE294" s="190" t="str">
        <f t="shared" si="143"/>
        <v>NO</v>
      </c>
      <c r="BF294" s="190" t="str">
        <f t="shared" si="144"/>
        <v>NO</v>
      </c>
      <c r="BG294" s="190" t="str">
        <f t="shared" si="145"/>
        <v>NO</v>
      </c>
      <c r="BH294" s="88"/>
      <c r="BI294" s="9"/>
      <c r="BJ294" s="694">
        <f t="shared" si="159"/>
        <v>2.0388999999999999</v>
      </c>
      <c r="BK294" s="694" t="str">
        <f t="shared" si="159"/>
        <v/>
      </c>
      <c r="BL294" s="694">
        <f t="shared" si="160"/>
        <v>4.0881400000000001</v>
      </c>
      <c r="BM294" s="694" t="str">
        <f t="shared" si="160"/>
        <v/>
      </c>
      <c r="BN294" s="88"/>
      <c r="BO294" s="195"/>
      <c r="BP294" s="195"/>
      <c r="BQ294" s="195"/>
      <c r="BR294" s="195"/>
      <c r="BS294" s="195"/>
      <c r="BT294" s="195"/>
      <c r="BU294" s="195"/>
      <c r="BV294" s="195"/>
      <c r="BW294" s="195"/>
      <c r="BX294" s="195"/>
    </row>
    <row r="295" spans="1:76" s="124" customFormat="1" ht="15">
      <c r="A295" s="187">
        <v>3407</v>
      </c>
      <c r="B295" s="187" t="s">
        <v>625</v>
      </c>
      <c r="C295" s="187" t="s">
        <v>558</v>
      </c>
      <c r="D295" s="187" t="s">
        <v>638</v>
      </c>
      <c r="E295" s="187" t="s">
        <v>392</v>
      </c>
      <c r="F295" s="187" t="s">
        <v>386</v>
      </c>
      <c r="G295" s="187" t="s">
        <v>393</v>
      </c>
      <c r="H295" s="187" t="b">
        <v>0</v>
      </c>
      <c r="I295" s="187" t="s">
        <v>388</v>
      </c>
      <c r="J295" s="187" t="s">
        <v>389</v>
      </c>
      <c r="K295" s="187" t="b">
        <v>1</v>
      </c>
      <c r="L295" s="187">
        <v>3.2</v>
      </c>
      <c r="M295" s="187">
        <v>0.8</v>
      </c>
      <c r="N295" s="187">
        <v>34.92</v>
      </c>
      <c r="O295" s="187">
        <v>10.9</v>
      </c>
      <c r="P295" s="187">
        <v>4.0199999999999996</v>
      </c>
      <c r="Q295" s="187"/>
      <c r="R295" s="187"/>
      <c r="S295" s="187"/>
      <c r="T295" s="187"/>
      <c r="U295" s="187">
        <v>48.9</v>
      </c>
      <c r="V295" s="187">
        <v>1.52</v>
      </c>
      <c r="W295" s="188">
        <v>39660</v>
      </c>
      <c r="X295" s="691">
        <f t="shared" si="133"/>
        <v>1.0884999999999998</v>
      </c>
      <c r="Y295" s="691">
        <f t="shared" si="138"/>
        <v>11.30711</v>
      </c>
      <c r="Z295" s="189"/>
      <c r="AA295" s="190">
        <f t="shared" si="146"/>
        <v>2008</v>
      </c>
      <c r="AB295" s="191">
        <f t="shared" si="147"/>
        <v>2.9398254478640338</v>
      </c>
      <c r="AC295" s="192">
        <f>IF(AB295="","",AB295*SFAssumptions!$C$3)</f>
        <v>754.69229214515406</v>
      </c>
      <c r="AD295" s="193">
        <f t="shared" si="148"/>
        <v>36.182752000000001</v>
      </c>
      <c r="AE295" s="194">
        <f>IF(AD295="","",AD295*SFAssumptions!$C$3)</f>
        <v>9288.5936690016006</v>
      </c>
      <c r="AF295" s="192">
        <f t="shared" si="137"/>
        <v>3.2</v>
      </c>
      <c r="AG295" s="192">
        <f t="shared" si="149"/>
        <v>11.30711</v>
      </c>
      <c r="AH295" s="192">
        <f t="shared" si="150"/>
        <v>1.0884999999999998</v>
      </c>
      <c r="AI295" s="692">
        <f ca="1">IF(AC295="","",AC295*SFAssumptions!$C$8/'SavingsData&amp;Analysis'!AF295)</f>
        <v>890.77446754222137</v>
      </c>
      <c r="AJ295" s="692">
        <f ca="1">IF(OR(AE295="",AF295=""),"",AE295*SFAssumptions!$C$8/AF295)</f>
        <v>10963.464402429005</v>
      </c>
      <c r="AK295" s="191">
        <f t="shared" si="151"/>
        <v>2.1052631578947367</v>
      </c>
      <c r="AL295" s="692">
        <f>IF(AK295="","",AK295*SFAssumptions!$C$3)</f>
        <v>540.44905263157898</v>
      </c>
      <c r="AM295" s="193">
        <f t="shared" si="152"/>
        <v>34.880000000000003</v>
      </c>
      <c r="AN295" s="194">
        <f>IF(AM295="","",AM295*SFAssumptions!$C$3)</f>
        <v>8954.1599040000001</v>
      </c>
      <c r="AO295" s="693">
        <f t="shared" si="153"/>
        <v>10.9</v>
      </c>
      <c r="AP295" s="693">
        <f t="shared" si="154"/>
        <v>1.52</v>
      </c>
      <c r="AQ295" s="692">
        <f ca="1">IF(AL295="","",AL295*SFAssumptions!$C$8/'SavingsData&amp;Analysis'!AF295)</f>
        <v>637.90000521033403</v>
      </c>
      <c r="AR295" s="692">
        <f ca="1">IF(OR(AN295="",AF295=""),"",AN295*SFAssumptions!$C$8/AF295)</f>
        <v>10568.727286324813</v>
      </c>
      <c r="AS295" s="190" t="str">
        <f>IF(OR(AG295="",AH295=""),"No",IF(AND(G295="Horizontal",AH295&gt;='Eff. Standards &amp; Certifications'!$B$21,AG295&lt;='Eff. Standards &amp; Certifications'!$C$21),"Consider",IF(AND(G295="Vertical",AH295&gt;='Eff. Standards &amp; Certifications'!$B$20,AG295&lt;='Eff. Standards &amp; Certifications'!$C$20),"Consider","No")))</f>
        <v>No</v>
      </c>
      <c r="AT295" s="190" t="str">
        <f t="shared" si="139"/>
        <v>Residential</v>
      </c>
      <c r="AU295" s="190"/>
      <c r="AV295" s="190" t="str">
        <f t="shared" si="158"/>
        <v>NO</v>
      </c>
      <c r="AW295" s="190" t="str">
        <f t="shared" si="158"/>
        <v>NO</v>
      </c>
      <c r="AX295" s="190" t="str">
        <f t="shared" si="155"/>
        <v>NO</v>
      </c>
      <c r="AY295" s="190" t="str">
        <f t="shared" si="140"/>
        <v>NO</v>
      </c>
      <c r="AZ295" s="190" t="str">
        <f t="shared" si="140"/>
        <v>NO</v>
      </c>
      <c r="BA295" s="190" t="str">
        <f t="shared" si="156"/>
        <v>NO</v>
      </c>
      <c r="BB295" s="190" t="str">
        <f t="shared" si="141"/>
        <v>NO</v>
      </c>
      <c r="BC295" s="190" t="str">
        <f t="shared" si="142"/>
        <v>NO</v>
      </c>
      <c r="BD295" s="190" t="str">
        <f t="shared" si="157"/>
        <v>NO</v>
      </c>
      <c r="BE295" s="190" t="str">
        <f t="shared" si="143"/>
        <v>NO</v>
      </c>
      <c r="BF295" s="190" t="str">
        <f t="shared" si="144"/>
        <v>NO</v>
      </c>
      <c r="BG295" s="190" t="str">
        <f t="shared" si="145"/>
        <v>NO</v>
      </c>
      <c r="BH295" s="88"/>
      <c r="BI295" s="9"/>
      <c r="BJ295" s="694" t="str">
        <f t="shared" si="159"/>
        <v/>
      </c>
      <c r="BK295" s="694" t="str">
        <f t="shared" si="159"/>
        <v/>
      </c>
      <c r="BL295" s="694" t="str">
        <f t="shared" si="160"/>
        <v/>
      </c>
      <c r="BM295" s="694" t="str">
        <f t="shared" si="160"/>
        <v/>
      </c>
      <c r="BN295" s="88"/>
      <c r="BO295" s="195"/>
      <c r="BP295" s="195"/>
      <c r="BQ295" s="195"/>
      <c r="BR295" s="195"/>
      <c r="BS295" s="195"/>
      <c r="BT295" s="195"/>
      <c r="BU295" s="195"/>
      <c r="BV295" s="195"/>
      <c r="BW295" s="195"/>
      <c r="BX295" s="195"/>
    </row>
    <row r="296" spans="1:76" s="124" customFormat="1" ht="15">
      <c r="A296" s="187">
        <v>3100</v>
      </c>
      <c r="B296" s="187" t="s">
        <v>625</v>
      </c>
      <c r="C296" s="187" t="s">
        <v>558</v>
      </c>
      <c r="D296" s="187" t="s">
        <v>639</v>
      </c>
      <c r="E296" s="187" t="s">
        <v>392</v>
      </c>
      <c r="F296" s="187" t="s">
        <v>386</v>
      </c>
      <c r="G296" s="187" t="s">
        <v>393</v>
      </c>
      <c r="H296" s="187" t="b">
        <v>0</v>
      </c>
      <c r="I296" s="187" t="s">
        <v>388</v>
      </c>
      <c r="J296" s="187" t="s">
        <v>389</v>
      </c>
      <c r="K296" s="187" t="b">
        <v>1</v>
      </c>
      <c r="L296" s="187">
        <v>3.2</v>
      </c>
      <c r="M296" s="187">
        <v>1.06</v>
      </c>
      <c r="N296" s="187">
        <v>36.549999999999997</v>
      </c>
      <c r="O296" s="187">
        <v>11.5</v>
      </c>
      <c r="P296" s="187">
        <v>3.01</v>
      </c>
      <c r="Q296" s="187"/>
      <c r="R296" s="187"/>
      <c r="S296" s="187"/>
      <c r="T296" s="187"/>
      <c r="U296" s="187">
        <v>51.3</v>
      </c>
      <c r="V296" s="187">
        <v>1.33</v>
      </c>
      <c r="W296" s="188">
        <v>39371</v>
      </c>
      <c r="X296" s="691">
        <f t="shared" si="133"/>
        <v>0.90039999999999998</v>
      </c>
      <c r="Y296" s="691">
        <f t="shared" si="138"/>
        <v>11.900450000000001</v>
      </c>
      <c r="Z296" s="189"/>
      <c r="AA296" s="190">
        <f t="shared" si="146"/>
        <v>2007</v>
      </c>
      <c r="AB296" s="191">
        <f t="shared" si="147"/>
        <v>3.5539760106619283</v>
      </c>
      <c r="AC296" s="192">
        <f>IF(AB296="","",AB296*SFAssumptions!$C$3)</f>
        <v>912.35290981785874</v>
      </c>
      <c r="AD296" s="193">
        <f t="shared" si="148"/>
        <v>38.081440000000008</v>
      </c>
      <c r="AE296" s="194">
        <f>IF(AD296="","",AD296*SFAssumptions!$C$3)</f>
        <v>9776.0121311520015</v>
      </c>
      <c r="AF296" s="192">
        <f t="shared" si="137"/>
        <v>3.2</v>
      </c>
      <c r="AG296" s="192">
        <f t="shared" si="149"/>
        <v>11.900450000000001</v>
      </c>
      <c r="AH296" s="192">
        <f t="shared" si="150"/>
        <v>0.90039999999999998</v>
      </c>
      <c r="AI296" s="692">
        <f ca="1">IF(AC296="","",AC296*SFAssumptions!$C$8/'SavingsData&amp;Analysis'!AF296)</f>
        <v>1076.8636249663568</v>
      </c>
      <c r="AJ296" s="692">
        <f ca="1">IF(OR(AE296="",AF296=""),"",AE296*SFAssumptions!$C$8/AF296)</f>
        <v>11538.771617848088</v>
      </c>
      <c r="AK296" s="191">
        <f t="shared" si="151"/>
        <v>2.4060150375939848</v>
      </c>
      <c r="AL296" s="692">
        <f>IF(AK296="","",AK296*SFAssumptions!$C$3)</f>
        <v>617.65606015037588</v>
      </c>
      <c r="AM296" s="193">
        <f t="shared" si="152"/>
        <v>36.800000000000004</v>
      </c>
      <c r="AN296" s="194">
        <f>IF(AM296="","",AM296*SFAssumptions!$C$3)</f>
        <v>9447.0494400000007</v>
      </c>
      <c r="AO296" s="693">
        <f t="shared" si="153"/>
        <v>11.5</v>
      </c>
      <c r="AP296" s="693">
        <f t="shared" si="154"/>
        <v>1.33</v>
      </c>
      <c r="AQ296" s="692">
        <f ca="1">IF(AL296="","",AL296*SFAssumptions!$C$8/'SavingsData&amp;Analysis'!AF296)</f>
        <v>729.02857738323871</v>
      </c>
      <c r="AR296" s="692">
        <f ca="1">IF(OR(AN296="",AF296=""),"",AN296*SFAssumptions!$C$8/AF296)</f>
        <v>11150.49209107664</v>
      </c>
      <c r="AS296" s="190" t="str">
        <f>IF(OR(AG296="",AH296=""),"No",IF(AND(G296="Horizontal",AH296&gt;='Eff. Standards &amp; Certifications'!$B$21,AG296&lt;='Eff. Standards &amp; Certifications'!$C$21),"Consider",IF(AND(G296="Vertical",AH296&gt;='Eff. Standards &amp; Certifications'!$B$20,AG296&lt;='Eff. Standards &amp; Certifications'!$C$20),"Consider","No")))</f>
        <v>No</v>
      </c>
      <c r="AT296" s="190" t="str">
        <f t="shared" si="139"/>
        <v>Residential</v>
      </c>
      <c r="AU296" s="190"/>
      <c r="AV296" s="190" t="str">
        <f t="shared" si="158"/>
        <v>NO</v>
      </c>
      <c r="AW296" s="190" t="str">
        <f t="shared" si="158"/>
        <v>NO</v>
      </c>
      <c r="AX296" s="190" t="str">
        <f t="shared" si="155"/>
        <v>NO</v>
      </c>
      <c r="AY296" s="190" t="str">
        <f t="shared" si="140"/>
        <v>NO</v>
      </c>
      <c r="AZ296" s="190" t="str">
        <f t="shared" si="140"/>
        <v>NO</v>
      </c>
      <c r="BA296" s="190" t="str">
        <f t="shared" si="156"/>
        <v>NO</v>
      </c>
      <c r="BB296" s="190" t="str">
        <f t="shared" si="141"/>
        <v>NO</v>
      </c>
      <c r="BC296" s="190" t="str">
        <f t="shared" si="142"/>
        <v>NO</v>
      </c>
      <c r="BD296" s="190" t="str">
        <f t="shared" si="157"/>
        <v>NO</v>
      </c>
      <c r="BE296" s="190" t="str">
        <f t="shared" si="143"/>
        <v>NO</v>
      </c>
      <c r="BF296" s="190" t="str">
        <f t="shared" si="144"/>
        <v>NO</v>
      </c>
      <c r="BG296" s="190" t="str">
        <f t="shared" si="145"/>
        <v>NO</v>
      </c>
      <c r="BH296" s="88"/>
      <c r="BI296" s="9"/>
      <c r="BJ296" s="694" t="str">
        <f t="shared" si="159"/>
        <v/>
      </c>
      <c r="BK296" s="694" t="str">
        <f t="shared" si="159"/>
        <v/>
      </c>
      <c r="BL296" s="694" t="str">
        <f t="shared" si="160"/>
        <v/>
      </c>
      <c r="BM296" s="694" t="str">
        <f t="shared" si="160"/>
        <v/>
      </c>
      <c r="BN296" s="88"/>
      <c r="BO296" s="195"/>
      <c r="BP296" s="195"/>
      <c r="BQ296" s="195"/>
      <c r="BR296" s="195"/>
      <c r="BS296" s="195"/>
      <c r="BT296" s="195"/>
      <c r="BU296" s="195"/>
      <c r="BV296" s="195"/>
      <c r="BW296" s="195"/>
      <c r="BX296" s="195"/>
    </row>
    <row r="297" spans="1:76" s="124" customFormat="1" ht="15">
      <c r="A297" s="187">
        <v>3104</v>
      </c>
      <c r="B297" s="187" t="s">
        <v>625</v>
      </c>
      <c r="C297" s="187" t="s">
        <v>558</v>
      </c>
      <c r="D297" s="187" t="s">
        <v>640</v>
      </c>
      <c r="E297" s="187" t="s">
        <v>392</v>
      </c>
      <c r="F297" s="187" t="s">
        <v>386</v>
      </c>
      <c r="G297" s="187" t="s">
        <v>393</v>
      </c>
      <c r="H297" s="187" t="b">
        <v>0</v>
      </c>
      <c r="I297" s="187" t="s">
        <v>388</v>
      </c>
      <c r="J297" s="187" t="s">
        <v>389</v>
      </c>
      <c r="K297" s="187" t="b">
        <v>1</v>
      </c>
      <c r="L297" s="187">
        <v>3.2</v>
      </c>
      <c r="M297" s="187">
        <v>0.99</v>
      </c>
      <c r="N297" s="187">
        <v>36.6</v>
      </c>
      <c r="O297" s="187">
        <v>11.6</v>
      </c>
      <c r="P297" s="187">
        <v>3.19</v>
      </c>
      <c r="Q297" s="187"/>
      <c r="R297" s="187"/>
      <c r="S297" s="187"/>
      <c r="T297" s="187"/>
      <c r="U297" s="187">
        <v>49.9</v>
      </c>
      <c r="V297" s="187">
        <v>1.38</v>
      </c>
      <c r="W297" s="188">
        <v>39371</v>
      </c>
      <c r="X297" s="691">
        <f t="shared" si="133"/>
        <v>0.94989999999999986</v>
      </c>
      <c r="Y297" s="691">
        <f t="shared" si="138"/>
        <v>11.99934</v>
      </c>
      <c r="Z297" s="189"/>
      <c r="AA297" s="190">
        <f t="shared" si="146"/>
        <v>2007</v>
      </c>
      <c r="AB297" s="191">
        <f t="shared" si="147"/>
        <v>3.368775660595853</v>
      </c>
      <c r="AC297" s="192">
        <f>IF(AB297="","",AB297*SFAssumptions!$C$3)</f>
        <v>864.80951679124144</v>
      </c>
      <c r="AD297" s="193">
        <f t="shared" si="148"/>
        <v>38.397888000000002</v>
      </c>
      <c r="AE297" s="194">
        <f>IF(AD297="","",AD297*SFAssumptions!$C$3)</f>
        <v>9857.2485415104002</v>
      </c>
      <c r="AF297" s="192">
        <f t="shared" si="137"/>
        <v>3.2</v>
      </c>
      <c r="AG297" s="192">
        <f t="shared" si="149"/>
        <v>11.99934</v>
      </c>
      <c r="AH297" s="192">
        <f t="shared" si="150"/>
        <v>0.94989999999999986</v>
      </c>
      <c r="AI297" s="692">
        <f ca="1">IF(AC297="","",AC297*SFAssumptions!$C$8/'SavingsData&amp;Analysis'!AF297)</f>
        <v>1020.747455437107</v>
      </c>
      <c r="AJ297" s="692">
        <f ca="1">IF(OR(AE297="",AF297=""),"",AE297*SFAssumptions!$C$8/AF297)</f>
        <v>11634.656153751266</v>
      </c>
      <c r="AK297" s="191">
        <f t="shared" si="151"/>
        <v>2.3188405797101455</v>
      </c>
      <c r="AL297" s="692">
        <f>IF(AK297="","",AK297*SFAssumptions!$C$3)</f>
        <v>595.27721739130448</v>
      </c>
      <c r="AM297" s="193">
        <f t="shared" si="152"/>
        <v>37.119999999999997</v>
      </c>
      <c r="AN297" s="194">
        <f>IF(AM297="","",AM297*SFAssumptions!$C$3)</f>
        <v>9529.1976959999993</v>
      </c>
      <c r="AO297" s="693">
        <f t="shared" si="153"/>
        <v>11.6</v>
      </c>
      <c r="AP297" s="693">
        <f t="shared" si="154"/>
        <v>1.38</v>
      </c>
      <c r="AQ297" s="692">
        <f ca="1">IF(AL297="","",AL297*SFAssumptions!$C$8/'SavingsData&amp;Analysis'!AF297)</f>
        <v>702.61449849254188</v>
      </c>
      <c r="AR297" s="692">
        <f ca="1">IF(OR(AN297="",AF297=""),"",AN297*SFAssumptions!$C$8/AF297)</f>
        <v>11247.452891868608</v>
      </c>
      <c r="AS297" s="190" t="str">
        <f>IF(OR(AG297="",AH297=""),"No",IF(AND(G297="Horizontal",AH297&gt;='Eff. Standards &amp; Certifications'!$B$21,AG297&lt;='Eff. Standards &amp; Certifications'!$C$21),"Consider",IF(AND(G297="Vertical",AH297&gt;='Eff. Standards &amp; Certifications'!$B$20,AG297&lt;='Eff. Standards &amp; Certifications'!$C$20),"Consider","No")))</f>
        <v>No</v>
      </c>
      <c r="AT297" s="190" t="str">
        <f t="shared" si="139"/>
        <v>Residential</v>
      </c>
      <c r="AU297" s="190"/>
      <c r="AV297" s="190" t="str">
        <f t="shared" si="158"/>
        <v>NO</v>
      </c>
      <c r="AW297" s="190" t="str">
        <f t="shared" si="158"/>
        <v>NO</v>
      </c>
      <c r="AX297" s="190" t="str">
        <f t="shared" si="155"/>
        <v>NO</v>
      </c>
      <c r="AY297" s="190" t="str">
        <f t="shared" si="140"/>
        <v>NO</v>
      </c>
      <c r="AZ297" s="190" t="str">
        <f t="shared" si="140"/>
        <v>NO</v>
      </c>
      <c r="BA297" s="190" t="str">
        <f t="shared" si="156"/>
        <v>NO</v>
      </c>
      <c r="BB297" s="190" t="str">
        <f t="shared" si="141"/>
        <v>NO</v>
      </c>
      <c r="BC297" s="190" t="str">
        <f t="shared" si="142"/>
        <v>NO</v>
      </c>
      <c r="BD297" s="190" t="str">
        <f t="shared" si="157"/>
        <v>NO</v>
      </c>
      <c r="BE297" s="190" t="str">
        <f t="shared" si="143"/>
        <v>NO</v>
      </c>
      <c r="BF297" s="190" t="str">
        <f t="shared" si="144"/>
        <v>NO</v>
      </c>
      <c r="BG297" s="190" t="str">
        <f t="shared" si="145"/>
        <v>NO</v>
      </c>
      <c r="BH297" s="88"/>
      <c r="BI297" s="9"/>
      <c r="BJ297" s="694" t="str">
        <f t="shared" si="159"/>
        <v/>
      </c>
      <c r="BK297" s="694" t="str">
        <f t="shared" si="159"/>
        <v/>
      </c>
      <c r="BL297" s="694" t="str">
        <f t="shared" si="160"/>
        <v/>
      </c>
      <c r="BM297" s="694" t="str">
        <f t="shared" si="160"/>
        <v/>
      </c>
      <c r="BN297" s="88"/>
      <c r="BO297" s="195"/>
      <c r="BP297" s="195"/>
      <c r="BQ297" s="195"/>
      <c r="BR297" s="195"/>
      <c r="BS297" s="195"/>
      <c r="BT297" s="195"/>
      <c r="BU297" s="195"/>
      <c r="BV297" s="195"/>
      <c r="BW297" s="195"/>
      <c r="BX297" s="195"/>
    </row>
    <row r="298" spans="1:76" s="124" customFormat="1" ht="15">
      <c r="A298" s="187">
        <v>3105</v>
      </c>
      <c r="B298" s="187" t="s">
        <v>625</v>
      </c>
      <c r="C298" s="187" t="s">
        <v>558</v>
      </c>
      <c r="D298" s="187" t="s">
        <v>641</v>
      </c>
      <c r="E298" s="187" t="s">
        <v>385</v>
      </c>
      <c r="F298" s="187" t="s">
        <v>386</v>
      </c>
      <c r="G298" s="187" t="s">
        <v>387</v>
      </c>
      <c r="H298" s="187" t="b">
        <v>0</v>
      </c>
      <c r="I298" s="187" t="s">
        <v>388</v>
      </c>
      <c r="J298" s="187" t="s">
        <v>389</v>
      </c>
      <c r="K298" s="187" t="b">
        <v>1</v>
      </c>
      <c r="L298" s="187">
        <v>3.1</v>
      </c>
      <c r="M298" s="187">
        <v>0.99</v>
      </c>
      <c r="N298" s="187">
        <v>36.75</v>
      </c>
      <c r="O298" s="187">
        <v>11.7</v>
      </c>
      <c r="P298" s="187">
        <v>3.16</v>
      </c>
      <c r="Q298" s="187"/>
      <c r="R298" s="187"/>
      <c r="S298" s="187"/>
      <c r="T298" s="187"/>
      <c r="U298" s="187">
        <v>52.6</v>
      </c>
      <c r="V298" s="187">
        <v>1.33</v>
      </c>
      <c r="W298" s="188">
        <v>39371</v>
      </c>
      <c r="X298" s="691">
        <f t="shared" si="133"/>
        <v>1.0429850000000001</v>
      </c>
      <c r="Y298" s="691">
        <f t="shared" si="138"/>
        <v>12.100339999999999</v>
      </c>
      <c r="Z298" s="189"/>
      <c r="AA298" s="190">
        <f t="shared" si="146"/>
        <v>2007</v>
      </c>
      <c r="AB298" s="191">
        <f t="shared" si="147"/>
        <v>2.9722383351630177</v>
      </c>
      <c r="AC298" s="192">
        <f>IF(AB298="","",AB298*SFAssumptions!$C$3)</f>
        <v>763.0131114062043</v>
      </c>
      <c r="AD298" s="193">
        <f t="shared" si="148"/>
        <v>37.511054000000001</v>
      </c>
      <c r="AE298" s="194">
        <f>IF(AD298="","",AD298*SFAssumptions!$C$3)</f>
        <v>9629.5864588182012</v>
      </c>
      <c r="AF298" s="192">
        <f t="shared" si="137"/>
        <v>3.1</v>
      </c>
      <c r="AG298" s="192">
        <f t="shared" si="149"/>
        <v>12.100339999999999</v>
      </c>
      <c r="AH298" s="192">
        <f t="shared" si="150"/>
        <v>1.0429850000000001</v>
      </c>
      <c r="AI298" s="692">
        <f ca="1">IF(AC298="","",AC298*SFAssumptions!$C$8/'SavingsData&amp;Analysis'!AF298)</f>
        <v>929.64712620000068</v>
      </c>
      <c r="AJ298" s="692">
        <f ca="1">IF(OR(AE298="",AF298=""),"",AE298*SFAssumptions!$C$8/AF298)</f>
        <v>11732.586562551158</v>
      </c>
      <c r="AK298" s="191">
        <f t="shared" si="151"/>
        <v>2.3308270676691727</v>
      </c>
      <c r="AL298" s="692">
        <f>IF(AK298="","",AK298*SFAssumptions!$C$3)</f>
        <v>598.3543082706766</v>
      </c>
      <c r="AM298" s="193">
        <f t="shared" si="152"/>
        <v>36.269999999999996</v>
      </c>
      <c r="AN298" s="194">
        <f>IF(AM298="","",AM298*SFAssumptions!$C$3)</f>
        <v>9310.9913909999996</v>
      </c>
      <c r="AO298" s="693">
        <f t="shared" si="153"/>
        <v>11.7</v>
      </c>
      <c r="AP298" s="693">
        <f t="shared" si="154"/>
        <v>1.33</v>
      </c>
      <c r="AQ298" s="692">
        <f ca="1">IF(AL298="","",AL298*SFAssumptions!$C$8/'SavingsData&amp;Analysis'!AF298)</f>
        <v>729.02857738323871</v>
      </c>
      <c r="AR298" s="692">
        <f ca="1">IF(OR(AN298="",AF298=""),"",AN298*SFAssumptions!$C$8/AF298)</f>
        <v>11344.413692660579</v>
      </c>
      <c r="AS298" s="190" t="str">
        <f>IF(OR(AG298="",AH298=""),"No",IF(AND(G298="Horizontal",AH298&gt;='Eff. Standards &amp; Certifications'!$B$21,AG298&lt;='Eff. Standards &amp; Certifications'!$C$21),"Consider",IF(AND(G298="Vertical",AH298&gt;='Eff. Standards &amp; Certifications'!$B$20,AG298&lt;='Eff. Standards &amp; Certifications'!$C$20),"Consider","No")))</f>
        <v>No</v>
      </c>
      <c r="AT298" s="190" t="str">
        <f t="shared" si="139"/>
        <v>Residential</v>
      </c>
      <c r="AU298" s="190"/>
      <c r="AV298" s="190" t="str">
        <f t="shared" si="158"/>
        <v>NO</v>
      </c>
      <c r="AW298" s="190" t="str">
        <f t="shared" si="158"/>
        <v>NO</v>
      </c>
      <c r="AX298" s="190" t="str">
        <f t="shared" si="155"/>
        <v>NO</v>
      </c>
      <c r="AY298" s="190" t="str">
        <f t="shared" si="140"/>
        <v>NO</v>
      </c>
      <c r="AZ298" s="190" t="str">
        <f t="shared" si="140"/>
        <v>NO</v>
      </c>
      <c r="BA298" s="190" t="str">
        <f t="shared" si="156"/>
        <v>NO</v>
      </c>
      <c r="BB298" s="190" t="str">
        <f t="shared" si="141"/>
        <v>NO</v>
      </c>
      <c r="BC298" s="190" t="str">
        <f t="shared" si="142"/>
        <v>NO</v>
      </c>
      <c r="BD298" s="190" t="str">
        <f t="shared" si="157"/>
        <v>NO</v>
      </c>
      <c r="BE298" s="190" t="str">
        <f t="shared" si="143"/>
        <v>NO</v>
      </c>
      <c r="BF298" s="190" t="str">
        <f t="shared" si="144"/>
        <v>NO</v>
      </c>
      <c r="BG298" s="190" t="str">
        <f t="shared" si="145"/>
        <v>NO</v>
      </c>
      <c r="BH298" s="88"/>
      <c r="BI298" s="9"/>
      <c r="BJ298" s="694" t="str">
        <f t="shared" si="159"/>
        <v/>
      </c>
      <c r="BK298" s="694" t="str">
        <f t="shared" si="159"/>
        <v/>
      </c>
      <c r="BL298" s="694" t="str">
        <f t="shared" si="160"/>
        <v/>
      </c>
      <c r="BM298" s="694" t="str">
        <f t="shared" si="160"/>
        <v/>
      </c>
      <c r="BN298" s="88"/>
      <c r="BO298" s="195"/>
      <c r="BP298" s="195"/>
      <c r="BQ298" s="195"/>
      <c r="BR298" s="195"/>
      <c r="BS298" s="195"/>
      <c r="BT298" s="195"/>
      <c r="BU298" s="195"/>
      <c r="BV298" s="195"/>
      <c r="BW298" s="195"/>
      <c r="BX298" s="195"/>
    </row>
    <row r="299" spans="1:76" s="124" customFormat="1" ht="15">
      <c r="A299" s="187">
        <v>3108</v>
      </c>
      <c r="B299" s="187" t="s">
        <v>625</v>
      </c>
      <c r="C299" s="187" t="s">
        <v>558</v>
      </c>
      <c r="D299" s="187" t="s">
        <v>642</v>
      </c>
      <c r="E299" s="187" t="s">
        <v>392</v>
      </c>
      <c r="F299" s="187" t="s">
        <v>386</v>
      </c>
      <c r="G299" s="187" t="s">
        <v>393</v>
      </c>
      <c r="H299" s="187" t="b">
        <v>0</v>
      </c>
      <c r="I299" s="187" t="s">
        <v>388</v>
      </c>
      <c r="J299" s="187" t="s">
        <v>389</v>
      </c>
      <c r="K299" s="187" t="b">
        <v>1</v>
      </c>
      <c r="L299" s="187">
        <v>3.1</v>
      </c>
      <c r="M299" s="187">
        <v>1.07</v>
      </c>
      <c r="N299" s="187">
        <v>38.409999999999997</v>
      </c>
      <c r="O299" s="187">
        <v>12.2</v>
      </c>
      <c r="P299" s="187">
        <v>2.94</v>
      </c>
      <c r="Q299" s="187"/>
      <c r="R299" s="187"/>
      <c r="S299" s="187"/>
      <c r="T299" s="187"/>
      <c r="U299" s="187">
        <v>51.2</v>
      </c>
      <c r="V299" s="187">
        <v>1.31</v>
      </c>
      <c r="W299" s="188">
        <v>39371</v>
      </c>
      <c r="X299" s="691">
        <f t="shared" si="133"/>
        <v>0.88059999999999994</v>
      </c>
      <c r="Y299" s="691">
        <f t="shared" si="138"/>
        <v>12.59268</v>
      </c>
      <c r="Z299" s="189"/>
      <c r="AA299" s="190">
        <f t="shared" si="146"/>
        <v>2007</v>
      </c>
      <c r="AB299" s="191">
        <f t="shared" si="147"/>
        <v>3.5203270497388148</v>
      </c>
      <c r="AC299" s="192">
        <f>IF(AB299="","",AB299*SFAssumptions!$C$3)</f>
        <v>903.71477401771529</v>
      </c>
      <c r="AD299" s="193">
        <f t="shared" si="148"/>
        <v>39.037308000000003</v>
      </c>
      <c r="AE299" s="194">
        <f>IF(AD299="","",AD299*SFAssumptions!$C$3)</f>
        <v>10021.396159796401</v>
      </c>
      <c r="AF299" s="192">
        <f t="shared" si="137"/>
        <v>3.1</v>
      </c>
      <c r="AG299" s="192">
        <f t="shared" si="149"/>
        <v>12.59268</v>
      </c>
      <c r="AH299" s="192">
        <f t="shared" si="150"/>
        <v>0.88059999999999994</v>
      </c>
      <c r="AI299" s="692">
        <f ca="1">IF(AC299="","",AC299*SFAssumptions!$C$8/'SavingsData&amp;Analysis'!AF299)</f>
        <v>1101.0765477171335</v>
      </c>
      <c r="AJ299" s="692">
        <f ca="1">IF(OR(AE299="",AF299=""),"",AE299*SFAssumptions!$C$8/AF299)</f>
        <v>12209.963369170344</v>
      </c>
      <c r="AK299" s="191">
        <f t="shared" si="151"/>
        <v>2.3664122137404582</v>
      </c>
      <c r="AL299" s="692">
        <f>IF(AK299="","",AK299*SFAssumptions!$C$3)</f>
        <v>607.48948854961839</v>
      </c>
      <c r="AM299" s="193">
        <f t="shared" si="152"/>
        <v>37.82</v>
      </c>
      <c r="AN299" s="194">
        <f>IF(AM299="","",AM299*SFAssumptions!$C$3)</f>
        <v>9708.8970060000011</v>
      </c>
      <c r="AO299" s="693">
        <f t="shared" si="153"/>
        <v>12.2</v>
      </c>
      <c r="AP299" s="693">
        <f t="shared" si="154"/>
        <v>1.31</v>
      </c>
      <c r="AQ299" s="692">
        <f ca="1">IF(AL299="","",AL299*SFAssumptions!$C$8/'SavingsData&amp;Analysis'!AF299)</f>
        <v>740.15878467153266</v>
      </c>
      <c r="AR299" s="692">
        <f ca="1">IF(OR(AN299="",AF299=""),"",AN299*SFAssumptions!$C$8/AF299)</f>
        <v>11829.217696620433</v>
      </c>
      <c r="AS299" s="190" t="str">
        <f>IF(OR(AG299="",AH299=""),"No",IF(AND(G299="Horizontal",AH299&gt;='Eff. Standards &amp; Certifications'!$B$21,AG299&lt;='Eff. Standards &amp; Certifications'!$C$21),"Consider",IF(AND(G299="Vertical",AH299&gt;='Eff. Standards &amp; Certifications'!$B$20,AG299&lt;='Eff. Standards &amp; Certifications'!$C$20),"Consider","No")))</f>
        <v>No</v>
      </c>
      <c r="AT299" s="190" t="str">
        <f t="shared" si="139"/>
        <v>Residential</v>
      </c>
      <c r="AU299" s="190"/>
      <c r="AV299" s="190" t="str">
        <f t="shared" si="158"/>
        <v>NO</v>
      </c>
      <c r="AW299" s="190" t="str">
        <f t="shared" si="158"/>
        <v>NO</v>
      </c>
      <c r="AX299" s="190" t="str">
        <f t="shared" si="155"/>
        <v>NO</v>
      </c>
      <c r="AY299" s="190" t="str">
        <f t="shared" si="140"/>
        <v>NO</v>
      </c>
      <c r="AZ299" s="190" t="str">
        <f t="shared" si="140"/>
        <v>NO</v>
      </c>
      <c r="BA299" s="190" t="str">
        <f t="shared" si="156"/>
        <v>NO</v>
      </c>
      <c r="BB299" s="190" t="str">
        <f t="shared" si="141"/>
        <v>NO</v>
      </c>
      <c r="BC299" s="190" t="str">
        <f t="shared" si="142"/>
        <v>NO</v>
      </c>
      <c r="BD299" s="190" t="str">
        <f t="shared" si="157"/>
        <v>NO</v>
      </c>
      <c r="BE299" s="190" t="str">
        <f t="shared" si="143"/>
        <v>NO</v>
      </c>
      <c r="BF299" s="190" t="str">
        <f t="shared" si="144"/>
        <v>NO</v>
      </c>
      <c r="BG299" s="190" t="str">
        <f t="shared" si="145"/>
        <v>NO</v>
      </c>
      <c r="BH299" s="88"/>
      <c r="BI299" s="9"/>
      <c r="BJ299" s="694" t="str">
        <f t="shared" si="159"/>
        <v/>
      </c>
      <c r="BK299" s="694" t="str">
        <f t="shared" si="159"/>
        <v/>
      </c>
      <c r="BL299" s="694" t="str">
        <f t="shared" si="160"/>
        <v/>
      </c>
      <c r="BM299" s="694" t="str">
        <f t="shared" si="160"/>
        <v/>
      </c>
      <c r="BN299" s="88"/>
      <c r="BO299" s="195"/>
      <c r="BP299" s="195"/>
      <c r="BQ299" s="195"/>
      <c r="BR299" s="195"/>
      <c r="BS299" s="195"/>
      <c r="BT299" s="195"/>
      <c r="BU299" s="195"/>
      <c r="BV299" s="195"/>
      <c r="BW299" s="195"/>
      <c r="BX299" s="195"/>
    </row>
    <row r="300" spans="1:76" s="124" customFormat="1" ht="15">
      <c r="A300" s="187">
        <v>3110</v>
      </c>
      <c r="B300" s="187" t="s">
        <v>625</v>
      </c>
      <c r="C300" s="187" t="s">
        <v>558</v>
      </c>
      <c r="D300" s="187" t="s">
        <v>643</v>
      </c>
      <c r="E300" s="187" t="s">
        <v>392</v>
      </c>
      <c r="F300" s="187" t="s">
        <v>386</v>
      </c>
      <c r="G300" s="187" t="s">
        <v>393</v>
      </c>
      <c r="H300" s="187" t="b">
        <v>0</v>
      </c>
      <c r="I300" s="187" t="s">
        <v>388</v>
      </c>
      <c r="J300" s="187" t="s">
        <v>389</v>
      </c>
      <c r="K300" s="187" t="b">
        <v>1</v>
      </c>
      <c r="L300" s="187">
        <v>3.1</v>
      </c>
      <c r="M300" s="187">
        <v>1.1599999999999999</v>
      </c>
      <c r="N300" s="187">
        <v>37.69</v>
      </c>
      <c r="O300" s="187">
        <v>12</v>
      </c>
      <c r="P300" s="187">
        <v>2.71</v>
      </c>
      <c r="Q300" s="187"/>
      <c r="R300" s="187"/>
      <c r="S300" s="187"/>
      <c r="T300" s="187"/>
      <c r="U300" s="187">
        <v>50.9</v>
      </c>
      <c r="V300" s="187">
        <v>1.27</v>
      </c>
      <c r="W300" s="188">
        <v>39371</v>
      </c>
      <c r="X300" s="691">
        <f t="shared" si="133"/>
        <v>0.84100000000000008</v>
      </c>
      <c r="Y300" s="691">
        <f t="shared" si="138"/>
        <v>12.3949</v>
      </c>
      <c r="Z300" s="189"/>
      <c r="AA300" s="190">
        <f t="shared" si="146"/>
        <v>2007</v>
      </c>
      <c r="AB300" s="191">
        <f t="shared" si="147"/>
        <v>3.6860879904875148</v>
      </c>
      <c r="AC300" s="192">
        <f>IF(AB300="","",AB300*SFAssumptions!$C$3)</f>
        <v>946.26781212841854</v>
      </c>
      <c r="AD300" s="193">
        <f t="shared" si="148"/>
        <v>38.424190000000003</v>
      </c>
      <c r="AE300" s="194">
        <f>IF(AD300="","",AD300*SFAssumptions!$C$3)</f>
        <v>9864.0006147270014</v>
      </c>
      <c r="AF300" s="192">
        <f t="shared" si="137"/>
        <v>3.1</v>
      </c>
      <c r="AG300" s="192">
        <f t="shared" si="149"/>
        <v>12.3949</v>
      </c>
      <c r="AH300" s="192">
        <f t="shared" si="150"/>
        <v>0.84100000000000008</v>
      </c>
      <c r="AI300" s="692">
        <f ca="1">IF(AC300="","",AC300*SFAssumptions!$C$8/'SavingsData&amp;Analysis'!AF300)</f>
        <v>1152.9227204752765</v>
      </c>
      <c r="AJ300" s="692">
        <f ca="1">IF(OR(AE300="",AF300=""),"",AE300*SFAssumptions!$C$8/AF300)</f>
        <v>12018.194297363985</v>
      </c>
      <c r="AK300" s="191">
        <f t="shared" si="151"/>
        <v>2.4409448818897639</v>
      </c>
      <c r="AL300" s="692">
        <f>IF(AK300="","",AK300*SFAssumptions!$C$3)</f>
        <v>626.62301574803155</v>
      </c>
      <c r="AM300" s="193">
        <f t="shared" si="152"/>
        <v>37.200000000000003</v>
      </c>
      <c r="AN300" s="194">
        <f>IF(AM300="","",AM300*SFAssumptions!$C$3)</f>
        <v>9549.7347600000012</v>
      </c>
      <c r="AO300" s="693">
        <f t="shared" si="153"/>
        <v>12</v>
      </c>
      <c r="AP300" s="693">
        <f t="shared" si="154"/>
        <v>1.27</v>
      </c>
      <c r="AQ300" s="692">
        <f ca="1">IF(AL300="","",AL300*SFAssumptions!$C$8/'SavingsData&amp;Analysis'!AF300)</f>
        <v>763.47087237772257</v>
      </c>
      <c r="AR300" s="692">
        <f ca="1">IF(OR(AN300="",AF300=""),"",AN300*SFAssumptions!$C$8/AF300)</f>
        <v>11635.296095036492</v>
      </c>
      <c r="AS300" s="190" t="str">
        <f>IF(OR(AG300="",AH300=""),"No",IF(AND(G300="Horizontal",AH300&gt;='Eff. Standards &amp; Certifications'!$B$21,AG300&lt;='Eff. Standards &amp; Certifications'!$C$21),"Consider",IF(AND(G300="Vertical",AH300&gt;='Eff. Standards &amp; Certifications'!$B$20,AG300&lt;='Eff. Standards &amp; Certifications'!$C$20),"Consider","No")))</f>
        <v>No</v>
      </c>
      <c r="AT300" s="190" t="str">
        <f t="shared" si="139"/>
        <v>Residential</v>
      </c>
      <c r="AU300" s="190"/>
      <c r="AV300" s="190" t="str">
        <f t="shared" si="158"/>
        <v>NO</v>
      </c>
      <c r="AW300" s="190" t="str">
        <f t="shared" si="158"/>
        <v>NO</v>
      </c>
      <c r="AX300" s="190" t="str">
        <f t="shared" si="155"/>
        <v>NO</v>
      </c>
      <c r="AY300" s="190" t="str">
        <f t="shared" si="140"/>
        <v>NO</v>
      </c>
      <c r="AZ300" s="190" t="str">
        <f t="shared" si="140"/>
        <v>NO</v>
      </c>
      <c r="BA300" s="190" t="str">
        <f t="shared" si="156"/>
        <v>NO</v>
      </c>
      <c r="BB300" s="190" t="str">
        <f t="shared" si="141"/>
        <v>NO</v>
      </c>
      <c r="BC300" s="190" t="str">
        <f t="shared" si="142"/>
        <v>NO</v>
      </c>
      <c r="BD300" s="190" t="str">
        <f t="shared" si="157"/>
        <v>NO</v>
      </c>
      <c r="BE300" s="190" t="str">
        <f t="shared" si="143"/>
        <v>NO</v>
      </c>
      <c r="BF300" s="190" t="str">
        <f t="shared" si="144"/>
        <v>NO</v>
      </c>
      <c r="BG300" s="190" t="str">
        <f t="shared" si="145"/>
        <v>NO</v>
      </c>
      <c r="BH300" s="88"/>
      <c r="BI300" s="9"/>
      <c r="BJ300" s="694" t="str">
        <f t="shared" si="159"/>
        <v/>
      </c>
      <c r="BK300" s="694" t="str">
        <f t="shared" si="159"/>
        <v/>
      </c>
      <c r="BL300" s="694" t="str">
        <f t="shared" si="160"/>
        <v/>
      </c>
      <c r="BM300" s="694" t="str">
        <f t="shared" si="160"/>
        <v/>
      </c>
      <c r="BN300" s="88"/>
      <c r="BO300" s="195"/>
      <c r="BP300" s="195"/>
      <c r="BQ300" s="195"/>
      <c r="BR300" s="195"/>
      <c r="BS300" s="195"/>
      <c r="BT300" s="195"/>
      <c r="BU300" s="195"/>
      <c r="BV300" s="195"/>
      <c r="BW300" s="195"/>
      <c r="BX300" s="195"/>
    </row>
    <row r="301" spans="1:76" s="124" customFormat="1" ht="15">
      <c r="A301" s="187">
        <v>3029</v>
      </c>
      <c r="B301" s="187" t="s">
        <v>625</v>
      </c>
      <c r="C301" s="187" t="s">
        <v>644</v>
      </c>
      <c r="D301" s="187" t="s">
        <v>645</v>
      </c>
      <c r="E301" s="187" t="s">
        <v>392</v>
      </c>
      <c r="F301" s="187" t="s">
        <v>386</v>
      </c>
      <c r="G301" s="187" t="s">
        <v>393</v>
      </c>
      <c r="H301" s="187" t="b">
        <v>0</v>
      </c>
      <c r="I301" s="187" t="s">
        <v>388</v>
      </c>
      <c r="J301" s="187" t="s">
        <v>389</v>
      </c>
      <c r="K301" s="187" t="b">
        <v>1</v>
      </c>
      <c r="L301" s="187">
        <v>2.9</v>
      </c>
      <c r="M301" s="187">
        <v>0.8</v>
      </c>
      <c r="N301" s="187">
        <v>34.93</v>
      </c>
      <c r="O301" s="187">
        <v>12.2</v>
      </c>
      <c r="P301" s="187">
        <v>3.6</v>
      </c>
      <c r="Q301" s="187"/>
      <c r="R301" s="187"/>
      <c r="S301" s="187"/>
      <c r="T301" s="187"/>
      <c r="U301" s="187">
        <v>56.3</v>
      </c>
      <c r="V301" s="187">
        <v>1.34</v>
      </c>
      <c r="W301" s="188">
        <v>39371</v>
      </c>
      <c r="X301" s="691">
        <f t="shared" si="133"/>
        <v>0.9103</v>
      </c>
      <c r="Y301" s="691">
        <f t="shared" si="138"/>
        <v>12.59268</v>
      </c>
      <c r="Z301" s="189"/>
      <c r="AA301" s="190">
        <f t="shared" si="146"/>
        <v>2007</v>
      </c>
      <c r="AB301" s="191">
        <f t="shared" si="147"/>
        <v>3.1857629352960561</v>
      </c>
      <c r="AC301" s="192">
        <f>IF(AB301="","",AB301*SFAssumptions!$C$3)</f>
        <v>817.8277161375371</v>
      </c>
      <c r="AD301" s="193">
        <f t="shared" si="148"/>
        <v>36.518771999999998</v>
      </c>
      <c r="AE301" s="194">
        <f>IF(AD301="","",AD301*SFAssumptions!$C$3)</f>
        <v>9374.8544720676</v>
      </c>
      <c r="AF301" s="192">
        <f t="shared" si="137"/>
        <v>2.9</v>
      </c>
      <c r="AG301" s="192">
        <f t="shared" si="149"/>
        <v>12.59268</v>
      </c>
      <c r="AH301" s="192">
        <f t="shared" si="150"/>
        <v>0.9103</v>
      </c>
      <c r="AI301" s="692">
        <f ca="1">IF(AC301="","",AC301*SFAssumptions!$C$8/'SavingsData&amp;Analysis'!AF301)</f>
        <v>1065.1521563437414</v>
      </c>
      <c r="AJ301" s="692">
        <f ca="1">IF(OR(AE301="",AF301=""),"",AE301*SFAssumptions!$C$8/AF301)</f>
        <v>12209.963369170344</v>
      </c>
      <c r="AK301" s="191">
        <f t="shared" si="151"/>
        <v>2.1641791044776117</v>
      </c>
      <c r="AL301" s="692">
        <f>IF(AK301="","",AK301*SFAssumptions!$C$3)</f>
        <v>555.57355970149251</v>
      </c>
      <c r="AM301" s="193">
        <f t="shared" si="152"/>
        <v>35.379999999999995</v>
      </c>
      <c r="AN301" s="194">
        <f>IF(AM301="","",AM301*SFAssumptions!$C$3)</f>
        <v>9082.5165539999998</v>
      </c>
      <c r="AO301" s="693">
        <f t="shared" si="153"/>
        <v>12.2</v>
      </c>
      <c r="AP301" s="693">
        <f t="shared" si="154"/>
        <v>1.34</v>
      </c>
      <c r="AQ301" s="692">
        <f ca="1">IF(AL301="","",AL301*SFAssumptions!$C$8/'SavingsData&amp;Analysis'!AF301)</f>
        <v>723.58806561172219</v>
      </c>
      <c r="AR301" s="692">
        <f ca="1">IF(OR(AN301="",AF301=""),"",AN301*SFAssumptions!$C$8/AF301)</f>
        <v>11829.217696620435</v>
      </c>
      <c r="AS301" s="190" t="str">
        <f>IF(OR(AG301="",AH301=""),"No",IF(AND(G301="Horizontal",AH301&gt;='Eff. Standards &amp; Certifications'!$B$21,AG301&lt;='Eff. Standards &amp; Certifications'!$C$21),"Consider",IF(AND(G301="Vertical",AH301&gt;='Eff. Standards &amp; Certifications'!$B$20,AG301&lt;='Eff. Standards &amp; Certifications'!$C$20),"Consider","No")))</f>
        <v>No</v>
      </c>
      <c r="AT301" s="190" t="str">
        <f t="shared" si="139"/>
        <v>Residential</v>
      </c>
      <c r="AU301" s="190"/>
      <c r="AV301" s="190" t="str">
        <f t="shared" si="158"/>
        <v>NO</v>
      </c>
      <c r="AW301" s="190" t="str">
        <f t="shared" si="158"/>
        <v>NO</v>
      </c>
      <c r="AX301" s="190" t="str">
        <f t="shared" si="155"/>
        <v>NO</v>
      </c>
      <c r="AY301" s="190" t="str">
        <f t="shared" si="140"/>
        <v>NO</v>
      </c>
      <c r="AZ301" s="190" t="str">
        <f t="shared" si="140"/>
        <v>NO</v>
      </c>
      <c r="BA301" s="190" t="str">
        <f t="shared" si="156"/>
        <v>NO</v>
      </c>
      <c r="BB301" s="190" t="str">
        <f t="shared" si="141"/>
        <v>NO</v>
      </c>
      <c r="BC301" s="190" t="str">
        <f t="shared" si="142"/>
        <v>NO</v>
      </c>
      <c r="BD301" s="190" t="str">
        <f t="shared" si="157"/>
        <v>NO</v>
      </c>
      <c r="BE301" s="190" t="str">
        <f t="shared" si="143"/>
        <v>NO</v>
      </c>
      <c r="BF301" s="190" t="str">
        <f t="shared" si="144"/>
        <v>NO</v>
      </c>
      <c r="BG301" s="190" t="str">
        <f t="shared" si="145"/>
        <v>NO</v>
      </c>
      <c r="BH301" s="88"/>
      <c r="BI301" s="9"/>
      <c r="BJ301" s="694" t="str">
        <f t="shared" si="159"/>
        <v/>
      </c>
      <c r="BK301" s="694" t="str">
        <f t="shared" si="159"/>
        <v/>
      </c>
      <c r="BL301" s="694" t="str">
        <f t="shared" si="160"/>
        <v/>
      </c>
      <c r="BM301" s="694" t="str">
        <f t="shared" si="160"/>
        <v/>
      </c>
      <c r="BN301" s="88"/>
      <c r="BO301" s="195"/>
      <c r="BP301" s="195"/>
      <c r="BQ301" s="195"/>
      <c r="BR301" s="195"/>
      <c r="BS301" s="195"/>
      <c r="BT301" s="195"/>
      <c r="BU301" s="195"/>
      <c r="BV301" s="195"/>
      <c r="BW301" s="195"/>
      <c r="BX301" s="195"/>
    </row>
    <row r="302" spans="1:76" s="124" customFormat="1" ht="15">
      <c r="A302" s="187">
        <v>3030</v>
      </c>
      <c r="B302" s="187" t="s">
        <v>625</v>
      </c>
      <c r="C302" s="187" t="s">
        <v>644</v>
      </c>
      <c r="D302" s="187" t="s">
        <v>646</v>
      </c>
      <c r="E302" s="187" t="s">
        <v>392</v>
      </c>
      <c r="F302" s="187" t="s">
        <v>386</v>
      </c>
      <c r="G302" s="187" t="s">
        <v>393</v>
      </c>
      <c r="H302" s="187" t="b">
        <v>0</v>
      </c>
      <c r="I302" s="187" t="s">
        <v>388</v>
      </c>
      <c r="J302" s="187" t="s">
        <v>389</v>
      </c>
      <c r="K302" s="187" t="b">
        <v>1</v>
      </c>
      <c r="L302" s="187">
        <v>2.9</v>
      </c>
      <c r="M302" s="187">
        <v>0.78</v>
      </c>
      <c r="N302" s="187">
        <v>34.700000000000003</v>
      </c>
      <c r="O302" s="187">
        <v>12.1</v>
      </c>
      <c r="P302" s="187">
        <v>3.65</v>
      </c>
      <c r="Q302" s="187"/>
      <c r="R302" s="187"/>
      <c r="S302" s="187"/>
      <c r="T302" s="187"/>
      <c r="U302" s="187">
        <v>55.2</v>
      </c>
      <c r="V302" s="187">
        <v>1.34</v>
      </c>
      <c r="W302" s="188">
        <v>39371</v>
      </c>
      <c r="X302" s="691">
        <f t="shared" si="133"/>
        <v>0.9103</v>
      </c>
      <c r="Y302" s="691">
        <f t="shared" si="138"/>
        <v>12.493790000000001</v>
      </c>
      <c r="Z302" s="189"/>
      <c r="AA302" s="190">
        <f t="shared" si="146"/>
        <v>2007</v>
      </c>
      <c r="AB302" s="191">
        <f t="shared" si="147"/>
        <v>3.1857629352960561</v>
      </c>
      <c r="AC302" s="192">
        <f>IF(AB302="","",AB302*SFAssumptions!$C$3)</f>
        <v>817.8277161375371</v>
      </c>
      <c r="AD302" s="193">
        <f t="shared" si="148"/>
        <v>36.231991000000001</v>
      </c>
      <c r="AE302" s="194">
        <f>IF(AD302="","",AD302*SFAssumptions!$C$3)</f>
        <v>9301.2339751803011</v>
      </c>
      <c r="AF302" s="192">
        <f t="shared" si="137"/>
        <v>2.9</v>
      </c>
      <c r="AG302" s="192">
        <f t="shared" si="149"/>
        <v>12.493790000000001</v>
      </c>
      <c r="AH302" s="192">
        <f t="shared" si="150"/>
        <v>0.9103</v>
      </c>
      <c r="AI302" s="692">
        <f ca="1">IF(AC302="","",AC302*SFAssumptions!$C$8/'SavingsData&amp;Analysis'!AF302)</f>
        <v>1065.1521563437414</v>
      </c>
      <c r="AJ302" s="692">
        <f ca="1">IF(OR(AE302="",AF302=""),"",AE302*SFAssumptions!$C$8/AF302)</f>
        <v>12114.078833267167</v>
      </c>
      <c r="AK302" s="191">
        <f t="shared" si="151"/>
        <v>2.1641791044776117</v>
      </c>
      <c r="AL302" s="692">
        <f>IF(AK302="","",AK302*SFAssumptions!$C$3)</f>
        <v>555.57355970149251</v>
      </c>
      <c r="AM302" s="193">
        <f t="shared" si="152"/>
        <v>35.089999999999996</v>
      </c>
      <c r="AN302" s="194">
        <f>IF(AM302="","",AM302*SFAssumptions!$C$3)</f>
        <v>9008.069696999999</v>
      </c>
      <c r="AO302" s="693">
        <f t="shared" si="153"/>
        <v>12.1</v>
      </c>
      <c r="AP302" s="693">
        <f t="shared" si="154"/>
        <v>1.34</v>
      </c>
      <c r="AQ302" s="692">
        <f ca="1">IF(AL302="","",AL302*SFAssumptions!$C$8/'SavingsData&amp;Analysis'!AF302)</f>
        <v>723.58806561172219</v>
      </c>
      <c r="AR302" s="692">
        <f ca="1">IF(OR(AN302="",AF302=""),"",AN302*SFAssumptions!$C$8/AF302)</f>
        <v>11732.256895828461</v>
      </c>
      <c r="AS302" s="190" t="str">
        <f>IF(OR(AG302="",AH302=""),"No",IF(AND(G302="Horizontal",AH302&gt;='Eff. Standards &amp; Certifications'!$B$21,AG302&lt;='Eff. Standards &amp; Certifications'!$C$21),"Consider",IF(AND(G302="Vertical",AH302&gt;='Eff. Standards &amp; Certifications'!$B$20,AG302&lt;='Eff. Standards &amp; Certifications'!$C$20),"Consider","No")))</f>
        <v>No</v>
      </c>
      <c r="AT302" s="190" t="str">
        <f t="shared" si="139"/>
        <v>Residential</v>
      </c>
      <c r="AU302" s="190"/>
      <c r="AV302" s="190" t="str">
        <f t="shared" si="158"/>
        <v>NO</v>
      </c>
      <c r="AW302" s="190" t="str">
        <f t="shared" si="158"/>
        <v>NO</v>
      </c>
      <c r="AX302" s="190" t="str">
        <f t="shared" si="155"/>
        <v>NO</v>
      </c>
      <c r="AY302" s="190" t="str">
        <f t="shared" si="140"/>
        <v>NO</v>
      </c>
      <c r="AZ302" s="190" t="str">
        <f t="shared" si="140"/>
        <v>NO</v>
      </c>
      <c r="BA302" s="190" t="str">
        <f t="shared" si="156"/>
        <v>NO</v>
      </c>
      <c r="BB302" s="190" t="str">
        <f t="shared" si="141"/>
        <v>NO</v>
      </c>
      <c r="BC302" s="190" t="str">
        <f t="shared" si="142"/>
        <v>NO</v>
      </c>
      <c r="BD302" s="190" t="str">
        <f t="shared" si="157"/>
        <v>NO</v>
      </c>
      <c r="BE302" s="190" t="str">
        <f t="shared" si="143"/>
        <v>NO</v>
      </c>
      <c r="BF302" s="190" t="str">
        <f t="shared" si="144"/>
        <v>NO</v>
      </c>
      <c r="BG302" s="190" t="str">
        <f t="shared" si="145"/>
        <v>NO</v>
      </c>
      <c r="BH302" s="88"/>
      <c r="BI302" s="9"/>
      <c r="BJ302" s="694" t="str">
        <f t="shared" si="159"/>
        <v/>
      </c>
      <c r="BK302" s="694" t="str">
        <f t="shared" si="159"/>
        <v/>
      </c>
      <c r="BL302" s="694" t="str">
        <f t="shared" si="160"/>
        <v/>
      </c>
      <c r="BM302" s="694" t="str">
        <f t="shared" si="160"/>
        <v/>
      </c>
      <c r="BN302" s="88"/>
      <c r="BO302" s="195"/>
      <c r="BP302" s="195"/>
      <c r="BQ302" s="195"/>
      <c r="BR302" s="195"/>
      <c r="BS302" s="195"/>
      <c r="BT302" s="195"/>
      <c r="BU302" s="195"/>
      <c r="BV302" s="195"/>
      <c r="BW302" s="195"/>
      <c r="BX302" s="195"/>
    </row>
    <row r="303" spans="1:76" s="124" customFormat="1" ht="15">
      <c r="A303" s="187">
        <v>3031</v>
      </c>
      <c r="B303" s="187" t="s">
        <v>625</v>
      </c>
      <c r="C303" s="187" t="s">
        <v>644</v>
      </c>
      <c r="D303" s="187" t="s">
        <v>647</v>
      </c>
      <c r="E303" s="187" t="s">
        <v>392</v>
      </c>
      <c r="F303" s="187" t="s">
        <v>386</v>
      </c>
      <c r="G303" s="187" t="s">
        <v>393</v>
      </c>
      <c r="H303" s="187" t="b">
        <v>0</v>
      </c>
      <c r="I303" s="187" t="s">
        <v>388</v>
      </c>
      <c r="J303" s="187" t="s">
        <v>389</v>
      </c>
      <c r="K303" s="187" t="b">
        <v>1</v>
      </c>
      <c r="L303" s="187">
        <v>3.2</v>
      </c>
      <c r="M303" s="187">
        <v>1.1100000000000001</v>
      </c>
      <c r="N303" s="187">
        <v>37.130000000000003</v>
      </c>
      <c r="O303" s="187">
        <v>11.8</v>
      </c>
      <c r="P303" s="187">
        <v>2.86</v>
      </c>
      <c r="Q303" s="187"/>
      <c r="R303" s="187"/>
      <c r="S303" s="187"/>
      <c r="T303" s="187"/>
      <c r="U303" s="187">
        <v>52.5</v>
      </c>
      <c r="V303" s="187">
        <v>1.28</v>
      </c>
      <c r="W303" s="188">
        <v>39371</v>
      </c>
      <c r="X303" s="691">
        <f t="shared" si="133"/>
        <v>0.8509000000000001</v>
      </c>
      <c r="Y303" s="691">
        <f t="shared" si="138"/>
        <v>12.197120000000002</v>
      </c>
      <c r="Z303" s="189"/>
      <c r="AA303" s="190">
        <f t="shared" si="146"/>
        <v>2007</v>
      </c>
      <c r="AB303" s="191">
        <f t="shared" si="147"/>
        <v>3.7607239393583263</v>
      </c>
      <c r="AC303" s="192">
        <f>IF(AB303="","",AB303*SFAssumptions!$C$3)</f>
        <v>965.42785286167589</v>
      </c>
      <c r="AD303" s="193">
        <f t="shared" si="148"/>
        <v>39.030784000000011</v>
      </c>
      <c r="AE303" s="194">
        <f>IF(AD303="","",AD303*SFAssumptions!$C$3)</f>
        <v>10019.721362227203</v>
      </c>
      <c r="AF303" s="192">
        <f t="shared" si="137"/>
        <v>3.2</v>
      </c>
      <c r="AG303" s="192">
        <f t="shared" si="149"/>
        <v>12.197120000000002</v>
      </c>
      <c r="AH303" s="192">
        <f t="shared" si="150"/>
        <v>0.8509000000000001</v>
      </c>
      <c r="AI303" s="692">
        <f ca="1">IF(AC303="","",AC303*SFAssumptions!$C$8/'SavingsData&amp;Analysis'!AF303)</f>
        <v>1139.5087647428695</v>
      </c>
      <c r="AJ303" s="692">
        <f ca="1">IF(OR(AE303="",AF303=""),"",AE303*SFAssumptions!$C$8/AF303)</f>
        <v>11826.425225557627</v>
      </c>
      <c r="AK303" s="191">
        <f t="shared" si="151"/>
        <v>2.5</v>
      </c>
      <c r="AL303" s="692">
        <f>IF(AK303="","",AK303*SFAssumptions!$C$3)</f>
        <v>641.78324999999995</v>
      </c>
      <c r="AM303" s="193">
        <f t="shared" si="152"/>
        <v>37.760000000000005</v>
      </c>
      <c r="AN303" s="194">
        <f>IF(AM303="","",AM303*SFAssumptions!$C$3)</f>
        <v>9693.4942080000019</v>
      </c>
      <c r="AO303" s="693">
        <f t="shared" si="153"/>
        <v>11.8</v>
      </c>
      <c r="AP303" s="693">
        <f t="shared" si="154"/>
        <v>1.28</v>
      </c>
      <c r="AQ303" s="692">
        <f ca="1">IF(AL303="","",AL303*SFAssumptions!$C$8/'SavingsData&amp;Analysis'!AF303)</f>
        <v>757.50625618727156</v>
      </c>
      <c r="AR303" s="692">
        <f ca="1">IF(OR(AN303="",AF303=""),"",AN303*SFAssumptions!$C$8/AF303)</f>
        <v>11441.374493452553</v>
      </c>
      <c r="AS303" s="190" t="str">
        <f>IF(OR(AG303="",AH303=""),"No",IF(AND(G303="Horizontal",AH303&gt;='Eff. Standards &amp; Certifications'!$B$21,AG303&lt;='Eff. Standards &amp; Certifications'!$C$21),"Consider",IF(AND(G303="Vertical",AH303&gt;='Eff. Standards &amp; Certifications'!$B$20,AG303&lt;='Eff. Standards &amp; Certifications'!$C$20),"Consider","No")))</f>
        <v>No</v>
      </c>
      <c r="AT303" s="190" t="str">
        <f t="shared" si="139"/>
        <v>Residential</v>
      </c>
      <c r="AU303" s="190"/>
      <c r="AV303" s="190" t="str">
        <f t="shared" ref="AV303:AW322" si="161">IF(AND($G303=AV$18,$AS303="Consider",$AT303="Residential",$AH303&gt;=AV$3,$AH303&lt;=AV$4,$AG303&gt;=AV$5,$AG303&lt;=AV$6),"YES","NO")</f>
        <v>NO</v>
      </c>
      <c r="AW303" s="190" t="str">
        <f t="shared" si="161"/>
        <v>NO</v>
      </c>
      <c r="AX303" s="190" t="str">
        <f t="shared" si="155"/>
        <v>NO</v>
      </c>
      <c r="AY303" s="190" t="str">
        <f t="shared" si="140"/>
        <v>NO</v>
      </c>
      <c r="AZ303" s="190" t="str">
        <f t="shared" si="140"/>
        <v>NO</v>
      </c>
      <c r="BA303" s="190" t="str">
        <f t="shared" si="156"/>
        <v>NO</v>
      </c>
      <c r="BB303" s="190" t="str">
        <f t="shared" si="141"/>
        <v>NO</v>
      </c>
      <c r="BC303" s="190" t="str">
        <f t="shared" si="142"/>
        <v>NO</v>
      </c>
      <c r="BD303" s="190" t="str">
        <f t="shared" si="157"/>
        <v>NO</v>
      </c>
      <c r="BE303" s="190" t="str">
        <f t="shared" si="143"/>
        <v>NO</v>
      </c>
      <c r="BF303" s="190" t="str">
        <f t="shared" si="144"/>
        <v>NO</v>
      </c>
      <c r="BG303" s="190" t="str">
        <f t="shared" si="145"/>
        <v>NO</v>
      </c>
      <c r="BH303" s="88"/>
      <c r="BI303" s="9"/>
      <c r="BJ303" s="694" t="str">
        <f t="shared" ref="BJ303:BK322" si="162">IF(AND($G303=BJ$21,$AT303="Residential",$AS303="Consider"),$X303,"")</f>
        <v/>
      </c>
      <c r="BK303" s="694" t="str">
        <f t="shared" si="162"/>
        <v/>
      </c>
      <c r="BL303" s="694" t="str">
        <f t="shared" ref="BL303:BM322" si="163">IF(AND($G303=BL$21,$AT303="Residential",$AS303="Consider"),$Y303,"")</f>
        <v/>
      </c>
      <c r="BM303" s="694" t="str">
        <f t="shared" si="163"/>
        <v/>
      </c>
      <c r="BN303" s="88"/>
      <c r="BO303" s="195"/>
      <c r="BP303" s="195"/>
      <c r="BQ303" s="195"/>
      <c r="BR303" s="195"/>
      <c r="BS303" s="195"/>
      <c r="BT303" s="195"/>
      <c r="BU303" s="195"/>
      <c r="BV303" s="195"/>
      <c r="BW303" s="195"/>
      <c r="BX303" s="195"/>
    </row>
    <row r="304" spans="1:76" s="124" customFormat="1" ht="15">
      <c r="A304" s="187">
        <v>3034</v>
      </c>
      <c r="B304" s="187" t="s">
        <v>625</v>
      </c>
      <c r="C304" s="187" t="s">
        <v>450</v>
      </c>
      <c r="D304" s="187" t="s">
        <v>648</v>
      </c>
      <c r="E304" s="187" t="s">
        <v>392</v>
      </c>
      <c r="F304" s="187" t="s">
        <v>386</v>
      </c>
      <c r="G304" s="187" t="s">
        <v>393</v>
      </c>
      <c r="H304" s="187" t="b">
        <v>0</v>
      </c>
      <c r="I304" s="187" t="s">
        <v>388</v>
      </c>
      <c r="J304" s="187" t="s">
        <v>389</v>
      </c>
      <c r="K304" s="187" t="b">
        <v>1</v>
      </c>
      <c r="L304" s="187">
        <v>2.5</v>
      </c>
      <c r="M304" s="187">
        <v>0.67</v>
      </c>
      <c r="N304" s="187">
        <v>29.29</v>
      </c>
      <c r="O304" s="187">
        <v>11.9</v>
      </c>
      <c r="P304" s="187">
        <v>3.65</v>
      </c>
      <c r="Q304" s="187"/>
      <c r="R304" s="187"/>
      <c r="S304" s="187"/>
      <c r="T304" s="187"/>
      <c r="U304" s="187">
        <v>59.6</v>
      </c>
      <c r="V304" s="187">
        <v>1.3</v>
      </c>
      <c r="W304" s="188">
        <v>39371</v>
      </c>
      <c r="X304" s="691">
        <f t="shared" si="133"/>
        <v>0.87069999999999992</v>
      </c>
      <c r="Y304" s="691">
        <f t="shared" si="138"/>
        <v>12.296010000000001</v>
      </c>
      <c r="Z304" s="189"/>
      <c r="AA304" s="190">
        <f t="shared" si="146"/>
        <v>2007</v>
      </c>
      <c r="AB304" s="191">
        <f t="shared" si="147"/>
        <v>2.8712530148156659</v>
      </c>
      <c r="AC304" s="192">
        <f>IF(AB304="","",AB304*SFAssumptions!$C$3)</f>
        <v>737.08883656827845</v>
      </c>
      <c r="AD304" s="193">
        <f t="shared" si="148"/>
        <v>30.740025000000003</v>
      </c>
      <c r="AE304" s="194">
        <f>IF(AD304="","",AD304*SFAssumptions!$C$3)</f>
        <v>7891.3732598325005</v>
      </c>
      <c r="AF304" s="192">
        <f t="shared" si="137"/>
        <v>2.5</v>
      </c>
      <c r="AG304" s="192">
        <f t="shared" si="149"/>
        <v>12.296010000000001</v>
      </c>
      <c r="AH304" s="192">
        <f t="shared" si="150"/>
        <v>0.87069999999999992</v>
      </c>
      <c r="AI304" s="692">
        <f ca="1">IF(AC304="","",AC304*SFAssumptions!$C$8/'SavingsData&amp;Analysis'!AF304)</f>
        <v>1113.5959663715489</v>
      </c>
      <c r="AJ304" s="692">
        <f ca="1">IF(OR(AE304="",AF304=""),"",AE304*SFAssumptions!$C$8/AF304)</f>
        <v>11922.309761460805</v>
      </c>
      <c r="AK304" s="191">
        <f t="shared" si="151"/>
        <v>1.9230769230769229</v>
      </c>
      <c r="AL304" s="692">
        <f>IF(AK304="","",AK304*SFAssumptions!$C$3)</f>
        <v>493.67942307692306</v>
      </c>
      <c r="AM304" s="193">
        <f t="shared" si="152"/>
        <v>29.75</v>
      </c>
      <c r="AN304" s="194">
        <f>IF(AM304="","",AM304*SFAssumptions!$C$3)</f>
        <v>7637.2206750000005</v>
      </c>
      <c r="AO304" s="693">
        <f t="shared" si="153"/>
        <v>11.9</v>
      </c>
      <c r="AP304" s="693">
        <f t="shared" si="154"/>
        <v>1.3</v>
      </c>
      <c r="AQ304" s="692">
        <f ca="1">IF(AL304="","",AL304*SFAssumptions!$C$8/'SavingsData&amp;Analysis'!AF304)</f>
        <v>745.8523137843905</v>
      </c>
      <c r="AR304" s="692">
        <f ca="1">IF(OR(AN304="",AF304=""),"",AN304*SFAssumptions!$C$8/AF304)</f>
        <v>11538.335294244522</v>
      </c>
      <c r="AS304" s="190" t="str">
        <f>IF(OR(AG304="",AH304=""),"No",IF(AND(G304="Horizontal",AH304&gt;='Eff. Standards &amp; Certifications'!$B$21,AG304&lt;='Eff. Standards &amp; Certifications'!$C$21),"Consider",IF(AND(G304="Vertical",AH304&gt;='Eff. Standards &amp; Certifications'!$B$20,AG304&lt;='Eff. Standards &amp; Certifications'!$C$20),"Consider","No")))</f>
        <v>No</v>
      </c>
      <c r="AT304" s="190" t="str">
        <f t="shared" si="139"/>
        <v>Residential</v>
      </c>
      <c r="AU304" s="190"/>
      <c r="AV304" s="190" t="str">
        <f t="shared" si="161"/>
        <v>NO</v>
      </c>
      <c r="AW304" s="190" t="str">
        <f t="shared" si="161"/>
        <v>NO</v>
      </c>
      <c r="AX304" s="190" t="str">
        <f t="shared" si="155"/>
        <v>NO</v>
      </c>
      <c r="AY304" s="190" t="str">
        <f t="shared" si="140"/>
        <v>NO</v>
      </c>
      <c r="AZ304" s="190" t="str">
        <f t="shared" si="140"/>
        <v>NO</v>
      </c>
      <c r="BA304" s="190" t="str">
        <f t="shared" si="156"/>
        <v>NO</v>
      </c>
      <c r="BB304" s="190" t="str">
        <f t="shared" si="141"/>
        <v>NO</v>
      </c>
      <c r="BC304" s="190" t="str">
        <f t="shared" si="142"/>
        <v>NO</v>
      </c>
      <c r="BD304" s="190" t="str">
        <f t="shared" si="157"/>
        <v>NO</v>
      </c>
      <c r="BE304" s="190" t="str">
        <f t="shared" si="143"/>
        <v>NO</v>
      </c>
      <c r="BF304" s="190" t="str">
        <f t="shared" si="144"/>
        <v>NO</v>
      </c>
      <c r="BG304" s="190" t="str">
        <f t="shared" si="145"/>
        <v>NO</v>
      </c>
      <c r="BH304" s="88"/>
      <c r="BI304" s="9"/>
      <c r="BJ304" s="694" t="str">
        <f t="shared" si="162"/>
        <v/>
      </c>
      <c r="BK304" s="694" t="str">
        <f t="shared" si="162"/>
        <v/>
      </c>
      <c r="BL304" s="694" t="str">
        <f t="shared" si="163"/>
        <v/>
      </c>
      <c r="BM304" s="694" t="str">
        <f t="shared" si="163"/>
        <v/>
      </c>
      <c r="BN304" s="88"/>
      <c r="BO304" s="195"/>
      <c r="BP304" s="195"/>
      <c r="BQ304" s="195"/>
      <c r="BR304" s="195"/>
      <c r="BS304" s="195"/>
      <c r="BT304" s="195"/>
      <c r="BU304" s="195"/>
      <c r="BV304" s="195"/>
      <c r="BW304" s="195"/>
      <c r="BX304" s="195"/>
    </row>
    <row r="305" spans="1:76" s="124" customFormat="1" ht="15">
      <c r="A305" s="187">
        <v>546</v>
      </c>
      <c r="B305" s="187" t="s">
        <v>625</v>
      </c>
      <c r="C305" s="187" t="s">
        <v>450</v>
      </c>
      <c r="D305" s="187" t="s">
        <v>649</v>
      </c>
      <c r="E305" s="187" t="s">
        <v>392</v>
      </c>
      <c r="F305" s="187" t="s">
        <v>386</v>
      </c>
      <c r="G305" s="187" t="s">
        <v>393</v>
      </c>
      <c r="H305" s="187" t="b">
        <v>0</v>
      </c>
      <c r="I305" s="187" t="s">
        <v>388</v>
      </c>
      <c r="J305" s="187" t="s">
        <v>389</v>
      </c>
      <c r="K305" s="187" t="b">
        <v>1</v>
      </c>
      <c r="L305" s="187">
        <v>3.2</v>
      </c>
      <c r="M305" s="187">
        <v>0.66</v>
      </c>
      <c r="N305" s="187">
        <v>36.64</v>
      </c>
      <c r="O305" s="187">
        <v>11.4</v>
      </c>
      <c r="P305" s="187">
        <v>4.8600000000000003</v>
      </c>
      <c r="Q305" s="187"/>
      <c r="R305" s="187"/>
      <c r="S305" s="187"/>
      <c r="T305" s="187"/>
      <c r="U305" s="187">
        <v>54.4</v>
      </c>
      <c r="V305" s="187">
        <v>1.51</v>
      </c>
      <c r="W305" s="188">
        <v>40316</v>
      </c>
      <c r="X305" s="691">
        <f t="shared" si="133"/>
        <v>1.0785999999999998</v>
      </c>
      <c r="Y305" s="691">
        <f t="shared" si="138"/>
        <v>11.80156</v>
      </c>
      <c r="Z305" s="189"/>
      <c r="AA305" s="190">
        <f t="shared" si="146"/>
        <v>2010</v>
      </c>
      <c r="AB305" s="191">
        <f t="shared" si="147"/>
        <v>2.9668088262562589</v>
      </c>
      <c r="AC305" s="192">
        <f>IF(AB305="","",AB305*SFAssumptions!$C$3)</f>
        <v>761.61928425737085</v>
      </c>
      <c r="AD305" s="193">
        <f t="shared" si="148"/>
        <v>37.764991999999999</v>
      </c>
      <c r="AE305" s="194">
        <f>IF(AD305="","",AD305*SFAssumptions!$C$3)</f>
        <v>9694.7757207935992</v>
      </c>
      <c r="AF305" s="192">
        <f t="shared" si="137"/>
        <v>3.2</v>
      </c>
      <c r="AG305" s="192">
        <f t="shared" si="149"/>
        <v>11.80156</v>
      </c>
      <c r="AH305" s="192">
        <f t="shared" si="150"/>
        <v>1.0785999999999998</v>
      </c>
      <c r="AI305" s="692">
        <f ca="1">IF(AC305="","",AC305*SFAssumptions!$C$8/'SavingsData&amp;Analysis'!AF305)</f>
        <v>898.9504987202929</v>
      </c>
      <c r="AJ305" s="692">
        <f ca="1">IF(OR(AE305="",AF305=""),"",AE305*SFAssumptions!$C$8/AF305)</f>
        <v>11442.887081944904</v>
      </c>
      <c r="AK305" s="191">
        <f t="shared" si="151"/>
        <v>2.1192052980132452</v>
      </c>
      <c r="AL305" s="692">
        <f>IF(AK305="","",AK305*SFAssumptions!$C$3)</f>
        <v>544.02818543046362</v>
      </c>
      <c r="AM305" s="193">
        <f t="shared" si="152"/>
        <v>36.480000000000004</v>
      </c>
      <c r="AN305" s="194">
        <f>IF(AM305="","",AM305*SFAssumptions!$C$3)</f>
        <v>9364.9011840000003</v>
      </c>
      <c r="AO305" s="693">
        <f t="shared" si="153"/>
        <v>11.4</v>
      </c>
      <c r="AP305" s="693">
        <f t="shared" si="154"/>
        <v>1.51</v>
      </c>
      <c r="AQ305" s="692">
        <f ca="1">IF(AL305="","",AL305*SFAssumptions!$C$8/'SavingsData&amp;Analysis'!AF305)</f>
        <v>642.12450855609779</v>
      </c>
      <c r="AR305" s="692">
        <f ca="1">IF(OR(AN305="",AF305=""),"",AN305*SFAssumptions!$C$8/AF305)</f>
        <v>11053.531290284667</v>
      </c>
      <c r="AS305" s="190" t="str">
        <f>IF(OR(AG305="",AH305=""),"No",IF(AND(G305="Horizontal",AH305&gt;='Eff. Standards &amp; Certifications'!$B$21,AG305&lt;='Eff. Standards &amp; Certifications'!$C$21),"Consider",IF(AND(G305="Vertical",AH305&gt;='Eff. Standards &amp; Certifications'!$B$20,AG305&lt;='Eff. Standards &amp; Certifications'!$C$20),"Consider","No")))</f>
        <v>No</v>
      </c>
      <c r="AT305" s="190" t="str">
        <f t="shared" si="139"/>
        <v>Residential</v>
      </c>
      <c r="AU305" s="190"/>
      <c r="AV305" s="190" t="str">
        <f t="shared" si="161"/>
        <v>NO</v>
      </c>
      <c r="AW305" s="190" t="str">
        <f t="shared" si="161"/>
        <v>NO</v>
      </c>
      <c r="AX305" s="190" t="str">
        <f t="shared" si="155"/>
        <v>NO</v>
      </c>
      <c r="AY305" s="190" t="str">
        <f t="shared" si="140"/>
        <v>NO</v>
      </c>
      <c r="AZ305" s="190" t="str">
        <f t="shared" si="140"/>
        <v>NO</v>
      </c>
      <c r="BA305" s="190" t="str">
        <f t="shared" si="156"/>
        <v>NO</v>
      </c>
      <c r="BB305" s="190" t="str">
        <f t="shared" si="141"/>
        <v>NO</v>
      </c>
      <c r="BC305" s="190" t="str">
        <f t="shared" si="142"/>
        <v>NO</v>
      </c>
      <c r="BD305" s="190" t="str">
        <f t="shared" si="157"/>
        <v>NO</v>
      </c>
      <c r="BE305" s="190" t="str">
        <f t="shared" si="143"/>
        <v>NO</v>
      </c>
      <c r="BF305" s="190" t="str">
        <f t="shared" si="144"/>
        <v>NO</v>
      </c>
      <c r="BG305" s="190" t="str">
        <f t="shared" si="145"/>
        <v>NO</v>
      </c>
      <c r="BH305" s="88"/>
      <c r="BI305" s="9"/>
      <c r="BJ305" s="694" t="str">
        <f t="shared" si="162"/>
        <v/>
      </c>
      <c r="BK305" s="694" t="str">
        <f t="shared" si="162"/>
        <v/>
      </c>
      <c r="BL305" s="694" t="str">
        <f t="shared" si="163"/>
        <v/>
      </c>
      <c r="BM305" s="694" t="str">
        <f t="shared" si="163"/>
        <v/>
      </c>
      <c r="BN305" s="88"/>
      <c r="BO305" s="195"/>
      <c r="BP305" s="195"/>
      <c r="BQ305" s="195"/>
      <c r="BR305" s="195"/>
      <c r="BS305" s="195"/>
      <c r="BT305" s="195"/>
      <c r="BU305" s="195"/>
      <c r="BV305" s="195"/>
      <c r="BW305" s="195"/>
      <c r="BX305" s="195"/>
    </row>
    <row r="306" spans="1:76" s="124" customFormat="1" ht="15">
      <c r="A306" s="187">
        <v>3036</v>
      </c>
      <c r="B306" s="187" t="s">
        <v>625</v>
      </c>
      <c r="C306" s="187" t="s">
        <v>450</v>
      </c>
      <c r="D306" s="187" t="s">
        <v>650</v>
      </c>
      <c r="E306" s="187" t="s">
        <v>392</v>
      </c>
      <c r="F306" s="187" t="s">
        <v>386</v>
      </c>
      <c r="G306" s="187" t="s">
        <v>393</v>
      </c>
      <c r="H306" s="187" t="b">
        <v>0</v>
      </c>
      <c r="I306" s="187" t="s">
        <v>388</v>
      </c>
      <c r="J306" s="187" t="s">
        <v>389</v>
      </c>
      <c r="K306" s="187" t="b">
        <v>1</v>
      </c>
      <c r="L306" s="187">
        <v>3.2</v>
      </c>
      <c r="M306" s="187">
        <v>0.99</v>
      </c>
      <c r="N306" s="187">
        <v>36.799999999999997</v>
      </c>
      <c r="O306" s="187">
        <v>11.6</v>
      </c>
      <c r="P306" s="187">
        <v>3.18</v>
      </c>
      <c r="Q306" s="187"/>
      <c r="R306" s="187"/>
      <c r="S306" s="187"/>
      <c r="T306" s="187"/>
      <c r="U306" s="187">
        <v>52.6</v>
      </c>
      <c r="V306" s="187">
        <v>1.34</v>
      </c>
      <c r="W306" s="188">
        <v>39371</v>
      </c>
      <c r="X306" s="691">
        <f t="shared" si="133"/>
        <v>0.9103</v>
      </c>
      <c r="Y306" s="691">
        <f t="shared" si="138"/>
        <v>11.99934</v>
      </c>
      <c r="Z306" s="189"/>
      <c r="AA306" s="190">
        <f t="shared" si="146"/>
        <v>2007</v>
      </c>
      <c r="AB306" s="191">
        <f t="shared" si="147"/>
        <v>3.5153246182577176</v>
      </c>
      <c r="AC306" s="192">
        <f>IF(AB306="","",AB306*SFAssumptions!$C$3)</f>
        <v>902.430583324179</v>
      </c>
      <c r="AD306" s="193">
        <f t="shared" si="148"/>
        <v>38.397888000000002</v>
      </c>
      <c r="AE306" s="194">
        <f>IF(AD306="","",AD306*SFAssumptions!$C$3)</f>
        <v>9857.2485415104002</v>
      </c>
      <c r="AF306" s="192">
        <f t="shared" si="137"/>
        <v>3.2</v>
      </c>
      <c r="AG306" s="192">
        <f t="shared" si="149"/>
        <v>11.99934</v>
      </c>
      <c r="AH306" s="192">
        <f t="shared" si="150"/>
        <v>0.9103</v>
      </c>
      <c r="AI306" s="692">
        <f ca="1">IF(AC306="","",AC306*SFAssumptions!$C$8/'SavingsData&amp;Analysis'!AF306)</f>
        <v>1065.1521563437414</v>
      </c>
      <c r="AJ306" s="692">
        <f ca="1">IF(OR(AE306="",AF306=""),"",AE306*SFAssumptions!$C$8/AF306)</f>
        <v>11634.656153751266</v>
      </c>
      <c r="AK306" s="191">
        <f t="shared" si="151"/>
        <v>2.3880597014925371</v>
      </c>
      <c r="AL306" s="692">
        <f>IF(AK306="","",AK306*SFAssumptions!$C$3)</f>
        <v>613.0466865671641</v>
      </c>
      <c r="AM306" s="193">
        <f t="shared" si="152"/>
        <v>37.119999999999997</v>
      </c>
      <c r="AN306" s="194">
        <f>IF(AM306="","",AM306*SFAssumptions!$C$3)</f>
        <v>9529.1976959999993</v>
      </c>
      <c r="AO306" s="693">
        <f t="shared" si="153"/>
        <v>11.6</v>
      </c>
      <c r="AP306" s="693">
        <f t="shared" si="154"/>
        <v>1.34</v>
      </c>
      <c r="AQ306" s="692">
        <f ca="1">IF(AL306="","",AL306*SFAssumptions!$C$8/'SavingsData&amp;Analysis'!AF306)</f>
        <v>723.58806561172196</v>
      </c>
      <c r="AR306" s="692">
        <f ca="1">IF(OR(AN306="",AF306=""),"",AN306*SFAssumptions!$C$8/AF306)</f>
        <v>11247.452891868608</v>
      </c>
      <c r="AS306" s="190" t="str">
        <f>IF(OR(AG306="",AH306=""),"No",IF(AND(G306="Horizontal",AH306&gt;='Eff. Standards &amp; Certifications'!$B$21,AG306&lt;='Eff. Standards &amp; Certifications'!$C$21),"Consider",IF(AND(G306="Vertical",AH306&gt;='Eff. Standards &amp; Certifications'!$B$20,AG306&lt;='Eff. Standards &amp; Certifications'!$C$20),"Consider","No")))</f>
        <v>No</v>
      </c>
      <c r="AT306" s="190" t="str">
        <f t="shared" si="139"/>
        <v>Residential</v>
      </c>
      <c r="AU306" s="190"/>
      <c r="AV306" s="190" t="str">
        <f t="shared" si="161"/>
        <v>NO</v>
      </c>
      <c r="AW306" s="190" t="str">
        <f t="shared" si="161"/>
        <v>NO</v>
      </c>
      <c r="AX306" s="190" t="str">
        <f t="shared" si="155"/>
        <v>NO</v>
      </c>
      <c r="AY306" s="190" t="str">
        <f t="shared" si="140"/>
        <v>NO</v>
      </c>
      <c r="AZ306" s="190" t="str">
        <f t="shared" si="140"/>
        <v>NO</v>
      </c>
      <c r="BA306" s="190" t="str">
        <f t="shared" si="156"/>
        <v>NO</v>
      </c>
      <c r="BB306" s="190" t="str">
        <f t="shared" si="141"/>
        <v>NO</v>
      </c>
      <c r="BC306" s="190" t="str">
        <f t="shared" si="142"/>
        <v>NO</v>
      </c>
      <c r="BD306" s="190" t="str">
        <f t="shared" si="157"/>
        <v>NO</v>
      </c>
      <c r="BE306" s="190" t="str">
        <f t="shared" si="143"/>
        <v>NO</v>
      </c>
      <c r="BF306" s="190" t="str">
        <f t="shared" si="144"/>
        <v>NO</v>
      </c>
      <c r="BG306" s="190" t="str">
        <f t="shared" si="145"/>
        <v>NO</v>
      </c>
      <c r="BH306" s="88"/>
      <c r="BI306" s="9"/>
      <c r="BJ306" s="694" t="str">
        <f t="shared" si="162"/>
        <v/>
      </c>
      <c r="BK306" s="694" t="str">
        <f t="shared" si="162"/>
        <v/>
      </c>
      <c r="BL306" s="694" t="str">
        <f t="shared" si="163"/>
        <v/>
      </c>
      <c r="BM306" s="694" t="str">
        <f t="shared" si="163"/>
        <v/>
      </c>
      <c r="BN306" s="88"/>
      <c r="BO306" s="195"/>
      <c r="BP306" s="195"/>
      <c r="BQ306" s="195"/>
      <c r="BR306" s="195"/>
      <c r="BS306" s="195"/>
      <c r="BT306" s="195"/>
      <c r="BU306" s="195"/>
      <c r="BV306" s="195"/>
      <c r="BW306" s="195"/>
      <c r="BX306" s="195"/>
    </row>
    <row r="307" spans="1:76" s="124" customFormat="1" ht="15">
      <c r="A307" s="187">
        <v>3037</v>
      </c>
      <c r="B307" s="187" t="s">
        <v>625</v>
      </c>
      <c r="C307" s="187" t="s">
        <v>651</v>
      </c>
      <c r="D307" s="187" t="s">
        <v>652</v>
      </c>
      <c r="E307" s="187" t="s">
        <v>392</v>
      </c>
      <c r="F307" s="187" t="s">
        <v>386</v>
      </c>
      <c r="G307" s="187" t="s">
        <v>393</v>
      </c>
      <c r="H307" s="187" t="b">
        <v>0</v>
      </c>
      <c r="I307" s="187" t="s">
        <v>388</v>
      </c>
      <c r="J307" s="187" t="s">
        <v>389</v>
      </c>
      <c r="K307" s="187" t="b">
        <v>1</v>
      </c>
      <c r="L307" s="187">
        <v>2.5</v>
      </c>
      <c r="M307" s="187">
        <v>0.75</v>
      </c>
      <c r="N307" s="187">
        <v>29.6</v>
      </c>
      <c r="O307" s="187">
        <v>12</v>
      </c>
      <c r="P307" s="187">
        <v>30.34</v>
      </c>
      <c r="Q307" s="187"/>
      <c r="R307" s="187"/>
      <c r="S307" s="187"/>
      <c r="T307" s="187"/>
      <c r="U307" s="187">
        <v>57.9</v>
      </c>
      <c r="V307" s="187">
        <v>1.28</v>
      </c>
      <c r="W307" s="188">
        <v>39371</v>
      </c>
      <c r="X307" s="691">
        <f t="shared" si="133"/>
        <v>0.8509000000000001</v>
      </c>
      <c r="Y307" s="691">
        <f t="shared" si="138"/>
        <v>12.3949</v>
      </c>
      <c r="Z307" s="189"/>
      <c r="AA307" s="190">
        <f t="shared" si="146"/>
        <v>2007</v>
      </c>
      <c r="AB307" s="191">
        <f t="shared" si="147"/>
        <v>2.9380655776236924</v>
      </c>
      <c r="AC307" s="192">
        <f>IF(AB307="","",AB307*SFAssumptions!$C$3)</f>
        <v>754.24051004818421</v>
      </c>
      <c r="AD307" s="193">
        <f t="shared" si="148"/>
        <v>30.98725</v>
      </c>
      <c r="AE307" s="194">
        <f>IF(AD307="","",AD307*SFAssumptions!$C$3)</f>
        <v>7954.8392054249998</v>
      </c>
      <c r="AF307" s="192">
        <f t="shared" si="137"/>
        <v>2.5</v>
      </c>
      <c r="AG307" s="192">
        <f t="shared" si="149"/>
        <v>12.3949</v>
      </c>
      <c r="AH307" s="192">
        <f t="shared" si="150"/>
        <v>0.8509000000000001</v>
      </c>
      <c r="AI307" s="692">
        <f ca="1">IF(AC307="","",AC307*SFAssumptions!$C$8/'SavingsData&amp;Analysis'!AF307)</f>
        <v>1139.5087647428695</v>
      </c>
      <c r="AJ307" s="692">
        <f ca="1">IF(OR(AE307="",AF307=""),"",AE307*SFAssumptions!$C$8/AF307)</f>
        <v>12018.194297363985</v>
      </c>
      <c r="AK307" s="191">
        <f t="shared" si="151"/>
        <v>1.953125</v>
      </c>
      <c r="AL307" s="692">
        <f>IF(AK307="","",AK307*SFAssumptions!$C$3)</f>
        <v>501.39316406250003</v>
      </c>
      <c r="AM307" s="193">
        <f t="shared" si="152"/>
        <v>30</v>
      </c>
      <c r="AN307" s="194">
        <f>IF(AM307="","",AM307*SFAssumptions!$C$3)</f>
        <v>7701.3990000000003</v>
      </c>
      <c r="AO307" s="693">
        <f t="shared" si="153"/>
        <v>12</v>
      </c>
      <c r="AP307" s="693">
        <f t="shared" si="154"/>
        <v>1.28</v>
      </c>
      <c r="AQ307" s="692">
        <f ca="1">IF(AL307="","",AL307*SFAssumptions!$C$8/'SavingsData&amp;Analysis'!AF307)</f>
        <v>757.50625618727167</v>
      </c>
      <c r="AR307" s="692">
        <f ca="1">IF(OR(AN307="",AF307=""),"",AN307*SFAssumptions!$C$8/AF307)</f>
        <v>11635.296095036492</v>
      </c>
      <c r="AS307" s="190" t="str">
        <f>IF(OR(AG307="",AH307=""),"No",IF(AND(G307="Horizontal",AH307&gt;='Eff. Standards &amp; Certifications'!$B$21,AG307&lt;='Eff. Standards &amp; Certifications'!$C$21),"Consider",IF(AND(G307="Vertical",AH307&gt;='Eff. Standards &amp; Certifications'!$B$20,AG307&lt;='Eff. Standards &amp; Certifications'!$C$20),"Consider","No")))</f>
        <v>No</v>
      </c>
      <c r="AT307" s="190" t="str">
        <f t="shared" si="139"/>
        <v>Residential</v>
      </c>
      <c r="AU307" s="190"/>
      <c r="AV307" s="190" t="str">
        <f t="shared" si="161"/>
        <v>NO</v>
      </c>
      <c r="AW307" s="190" t="str">
        <f t="shared" si="161"/>
        <v>NO</v>
      </c>
      <c r="AX307" s="190" t="str">
        <f t="shared" si="155"/>
        <v>NO</v>
      </c>
      <c r="AY307" s="190" t="str">
        <f t="shared" si="140"/>
        <v>NO</v>
      </c>
      <c r="AZ307" s="190" t="str">
        <f t="shared" si="140"/>
        <v>NO</v>
      </c>
      <c r="BA307" s="190" t="str">
        <f t="shared" si="156"/>
        <v>NO</v>
      </c>
      <c r="BB307" s="190" t="str">
        <f t="shared" si="141"/>
        <v>NO</v>
      </c>
      <c r="BC307" s="190" t="str">
        <f t="shared" si="142"/>
        <v>NO</v>
      </c>
      <c r="BD307" s="190" t="str">
        <f t="shared" si="157"/>
        <v>NO</v>
      </c>
      <c r="BE307" s="190" t="str">
        <f t="shared" si="143"/>
        <v>NO</v>
      </c>
      <c r="BF307" s="190" t="str">
        <f t="shared" si="144"/>
        <v>NO</v>
      </c>
      <c r="BG307" s="190" t="str">
        <f t="shared" si="145"/>
        <v>NO</v>
      </c>
      <c r="BH307" s="88"/>
      <c r="BI307" s="9"/>
      <c r="BJ307" s="694" t="str">
        <f t="shared" si="162"/>
        <v/>
      </c>
      <c r="BK307" s="694" t="str">
        <f t="shared" si="162"/>
        <v/>
      </c>
      <c r="BL307" s="694" t="str">
        <f t="shared" si="163"/>
        <v/>
      </c>
      <c r="BM307" s="694" t="str">
        <f t="shared" si="163"/>
        <v/>
      </c>
      <c r="BN307" s="88"/>
      <c r="BO307" s="195"/>
      <c r="BP307" s="195"/>
      <c r="BQ307" s="195"/>
      <c r="BR307" s="195"/>
      <c r="BS307" s="195"/>
      <c r="BT307" s="195"/>
      <c r="BU307" s="195"/>
      <c r="BV307" s="195"/>
      <c r="BW307" s="195"/>
      <c r="BX307" s="195"/>
    </row>
    <row r="308" spans="1:76" s="124" customFormat="1" ht="15">
      <c r="A308" s="187">
        <v>548</v>
      </c>
      <c r="B308" s="187" t="s">
        <v>625</v>
      </c>
      <c r="C308" s="187" t="s">
        <v>651</v>
      </c>
      <c r="D308" s="187" t="s">
        <v>653</v>
      </c>
      <c r="E308" s="187" t="s">
        <v>392</v>
      </c>
      <c r="F308" s="187" t="s">
        <v>386</v>
      </c>
      <c r="G308" s="187" t="s">
        <v>393</v>
      </c>
      <c r="H308" s="187" t="b">
        <v>0</v>
      </c>
      <c r="I308" s="187" t="s">
        <v>388</v>
      </c>
      <c r="J308" s="187" t="s">
        <v>389</v>
      </c>
      <c r="K308" s="187" t="b">
        <v>1</v>
      </c>
      <c r="L308" s="187">
        <v>2.6</v>
      </c>
      <c r="M308" s="187">
        <v>0.75</v>
      </c>
      <c r="N308" s="187">
        <v>29.6</v>
      </c>
      <c r="O308" s="187">
        <v>11.5</v>
      </c>
      <c r="P308" s="187">
        <v>3.46</v>
      </c>
      <c r="Q308" s="187"/>
      <c r="R308" s="187"/>
      <c r="S308" s="187"/>
      <c r="T308" s="187"/>
      <c r="U308" s="187">
        <v>60.3</v>
      </c>
      <c r="V308" s="187">
        <v>1.27</v>
      </c>
      <c r="W308" s="188">
        <v>40316</v>
      </c>
      <c r="X308" s="691">
        <f t="shared" ref="X308:X371" si="164">IF($V308="","",IF($G308="Horizontal",V308*slope_FrontLoad_MEF+int_FrontLoad_MEF,IF($G308="Vertical",V308*slope_TopLoad_MEF+int_TopLoad_MEF,"")))</f>
        <v>0.84100000000000008</v>
      </c>
      <c r="Y308" s="691">
        <f t="shared" si="138"/>
        <v>11.900450000000001</v>
      </c>
      <c r="Z308" s="189"/>
      <c r="AA308" s="190">
        <f t="shared" si="146"/>
        <v>2010</v>
      </c>
      <c r="AB308" s="191">
        <f t="shared" si="147"/>
        <v>3.0915576694411415</v>
      </c>
      <c r="AC308" s="192">
        <f>IF(AB308="","",AB308*SFAssumptions!$C$3)</f>
        <v>793.64397146254464</v>
      </c>
      <c r="AD308" s="193">
        <f t="shared" si="148"/>
        <v>30.941170000000003</v>
      </c>
      <c r="AE308" s="194">
        <f>IF(AD308="","",AD308*SFAssumptions!$C$3)</f>
        <v>7943.0098565610006</v>
      </c>
      <c r="AF308" s="192">
        <f t="shared" si="137"/>
        <v>2.6</v>
      </c>
      <c r="AG308" s="192">
        <f t="shared" si="149"/>
        <v>11.900450000000001</v>
      </c>
      <c r="AH308" s="192">
        <f t="shared" si="150"/>
        <v>0.84100000000000008</v>
      </c>
      <c r="AI308" s="692">
        <f ca="1">IF(AC308="","",AC308*SFAssumptions!$C$8/'SavingsData&amp;Analysis'!AF308)</f>
        <v>1152.9227204752767</v>
      </c>
      <c r="AJ308" s="692">
        <f ca="1">IF(OR(AE308="",AF308=""),"",AE308*SFAssumptions!$C$8/AF308)</f>
        <v>11538.771617848086</v>
      </c>
      <c r="AK308" s="191">
        <f t="shared" si="151"/>
        <v>2.0472440944881889</v>
      </c>
      <c r="AL308" s="692">
        <f>IF(AK308="","",AK308*SFAssumptions!$C$3)</f>
        <v>525.5547874015748</v>
      </c>
      <c r="AM308" s="193">
        <f t="shared" si="152"/>
        <v>29.900000000000002</v>
      </c>
      <c r="AN308" s="194">
        <f>IF(AM308="","",AM308*SFAssumptions!$C$3)</f>
        <v>7675.7276700000002</v>
      </c>
      <c r="AO308" s="693">
        <f t="shared" si="153"/>
        <v>11.5</v>
      </c>
      <c r="AP308" s="693">
        <f t="shared" si="154"/>
        <v>1.27</v>
      </c>
      <c r="AQ308" s="692">
        <f ca="1">IF(AL308="","",AL308*SFAssumptions!$C$8/'SavingsData&amp;Analysis'!AF308)</f>
        <v>763.47087237772257</v>
      </c>
      <c r="AR308" s="692">
        <f ca="1">IF(OR(AN308="",AF308=""),"",AN308*SFAssumptions!$C$8/AF308)</f>
        <v>11150.492091076638</v>
      </c>
      <c r="AS308" s="190" t="str">
        <f>IF(OR(AG308="",AH308=""),"No",IF(AND(G308="Horizontal",AH308&gt;='Eff. Standards &amp; Certifications'!$B$21,AG308&lt;='Eff. Standards &amp; Certifications'!$C$21),"Consider",IF(AND(G308="Vertical",AH308&gt;='Eff. Standards &amp; Certifications'!$B$20,AG308&lt;='Eff. Standards &amp; Certifications'!$C$20),"Consider","No")))</f>
        <v>No</v>
      </c>
      <c r="AT308" s="190" t="str">
        <f t="shared" si="139"/>
        <v>Residential</v>
      </c>
      <c r="AU308" s="190"/>
      <c r="AV308" s="190" t="str">
        <f t="shared" si="161"/>
        <v>NO</v>
      </c>
      <c r="AW308" s="190" t="str">
        <f t="shared" si="161"/>
        <v>NO</v>
      </c>
      <c r="AX308" s="190" t="str">
        <f t="shared" si="155"/>
        <v>NO</v>
      </c>
      <c r="AY308" s="190" t="str">
        <f t="shared" si="140"/>
        <v>NO</v>
      </c>
      <c r="AZ308" s="190" t="str">
        <f t="shared" si="140"/>
        <v>NO</v>
      </c>
      <c r="BA308" s="190" t="str">
        <f t="shared" si="156"/>
        <v>NO</v>
      </c>
      <c r="BB308" s="190" t="str">
        <f t="shared" si="141"/>
        <v>NO</v>
      </c>
      <c r="BC308" s="190" t="str">
        <f t="shared" si="142"/>
        <v>NO</v>
      </c>
      <c r="BD308" s="190" t="str">
        <f t="shared" si="157"/>
        <v>NO</v>
      </c>
      <c r="BE308" s="190" t="str">
        <f t="shared" si="143"/>
        <v>NO</v>
      </c>
      <c r="BF308" s="190" t="str">
        <f t="shared" si="144"/>
        <v>NO</v>
      </c>
      <c r="BG308" s="190" t="str">
        <f t="shared" si="145"/>
        <v>NO</v>
      </c>
      <c r="BH308" s="88"/>
      <c r="BI308" s="9"/>
      <c r="BJ308" s="694" t="str">
        <f t="shared" si="162"/>
        <v/>
      </c>
      <c r="BK308" s="694" t="str">
        <f t="shared" si="162"/>
        <v/>
      </c>
      <c r="BL308" s="694" t="str">
        <f t="shared" si="163"/>
        <v/>
      </c>
      <c r="BM308" s="694" t="str">
        <f t="shared" si="163"/>
        <v/>
      </c>
      <c r="BN308" s="88"/>
      <c r="BO308" s="195"/>
      <c r="BP308" s="195"/>
      <c r="BQ308" s="195"/>
      <c r="BR308" s="195"/>
      <c r="BS308" s="195"/>
      <c r="BT308" s="195"/>
      <c r="BU308" s="195"/>
      <c r="BV308" s="195"/>
      <c r="BW308" s="195"/>
      <c r="BX308" s="195"/>
    </row>
    <row r="309" spans="1:76" s="124" customFormat="1" ht="15">
      <c r="A309" s="187">
        <v>3038</v>
      </c>
      <c r="B309" s="187" t="s">
        <v>625</v>
      </c>
      <c r="C309" s="187" t="s">
        <v>651</v>
      </c>
      <c r="D309" s="187" t="s">
        <v>654</v>
      </c>
      <c r="E309" s="187" t="s">
        <v>392</v>
      </c>
      <c r="F309" s="187" t="s">
        <v>386</v>
      </c>
      <c r="G309" s="187" t="s">
        <v>393</v>
      </c>
      <c r="H309" s="187" t="b">
        <v>0</v>
      </c>
      <c r="I309" s="187" t="s">
        <v>388</v>
      </c>
      <c r="J309" s="187" t="s">
        <v>389</v>
      </c>
      <c r="K309" s="187" t="b">
        <v>1</v>
      </c>
      <c r="L309" s="187">
        <v>3.2</v>
      </c>
      <c r="M309" s="187">
        <v>1.06</v>
      </c>
      <c r="N309" s="187">
        <v>38.630000000000003</v>
      </c>
      <c r="O309" s="187">
        <v>12.1</v>
      </c>
      <c r="P309" s="187">
        <v>3.02</v>
      </c>
      <c r="Q309" s="187"/>
      <c r="R309" s="187"/>
      <c r="S309" s="187"/>
      <c r="T309" s="187"/>
      <c r="U309" s="187">
        <v>50.4</v>
      </c>
      <c r="V309" s="187">
        <v>1.33</v>
      </c>
      <c r="W309" s="188">
        <v>39371</v>
      </c>
      <c r="X309" s="691">
        <f t="shared" si="164"/>
        <v>0.90039999999999998</v>
      </c>
      <c r="Y309" s="691">
        <f t="shared" si="138"/>
        <v>12.493790000000001</v>
      </c>
      <c r="Z309" s="189"/>
      <c r="AA309" s="190">
        <f t="shared" si="146"/>
        <v>2007</v>
      </c>
      <c r="AB309" s="191">
        <f t="shared" si="147"/>
        <v>3.5539760106619283</v>
      </c>
      <c r="AC309" s="192">
        <f>IF(AB309="","",AB309*SFAssumptions!$C$3)</f>
        <v>912.35290981785874</v>
      </c>
      <c r="AD309" s="193">
        <f t="shared" si="148"/>
        <v>39.980128000000008</v>
      </c>
      <c r="AE309" s="194">
        <f>IF(AD309="","",AD309*SFAssumptions!$C$3)</f>
        <v>10263.430593302402</v>
      </c>
      <c r="AF309" s="192">
        <f t="shared" si="137"/>
        <v>3.2</v>
      </c>
      <c r="AG309" s="192">
        <f t="shared" si="149"/>
        <v>12.493790000000001</v>
      </c>
      <c r="AH309" s="192">
        <f t="shared" si="150"/>
        <v>0.90039999999999998</v>
      </c>
      <c r="AI309" s="692">
        <f ca="1">IF(AC309="","",AC309*SFAssumptions!$C$8/'SavingsData&amp;Analysis'!AF309)</f>
        <v>1076.8636249663568</v>
      </c>
      <c r="AJ309" s="692">
        <f ca="1">IF(OR(AE309="",AF309=""),"",AE309*SFAssumptions!$C$8/AF309)</f>
        <v>12114.078833267167</v>
      </c>
      <c r="AK309" s="191">
        <f t="shared" si="151"/>
        <v>2.4060150375939848</v>
      </c>
      <c r="AL309" s="692">
        <f>IF(AK309="","",AK309*SFAssumptions!$C$3)</f>
        <v>617.65606015037588</v>
      </c>
      <c r="AM309" s="193">
        <f t="shared" si="152"/>
        <v>38.72</v>
      </c>
      <c r="AN309" s="194">
        <f>IF(AM309="","",AM309*SFAssumptions!$C$3)</f>
        <v>9939.9389759999995</v>
      </c>
      <c r="AO309" s="693">
        <f t="shared" si="153"/>
        <v>12.1</v>
      </c>
      <c r="AP309" s="693">
        <f t="shared" si="154"/>
        <v>1.33</v>
      </c>
      <c r="AQ309" s="692">
        <f ca="1">IF(AL309="","",AL309*SFAssumptions!$C$8/'SavingsData&amp;Analysis'!AF309)</f>
        <v>729.02857738323871</v>
      </c>
      <c r="AR309" s="692">
        <f ca="1">IF(OR(AN309="",AF309=""),"",AN309*SFAssumptions!$C$8/AF309)</f>
        <v>11732.256895828461</v>
      </c>
      <c r="AS309" s="190" t="str">
        <f>IF(OR(AG309="",AH309=""),"No",IF(AND(G309="Horizontal",AH309&gt;='Eff. Standards &amp; Certifications'!$B$21,AG309&lt;='Eff. Standards &amp; Certifications'!$C$21),"Consider",IF(AND(G309="Vertical",AH309&gt;='Eff. Standards &amp; Certifications'!$B$20,AG309&lt;='Eff. Standards &amp; Certifications'!$C$20),"Consider","No")))</f>
        <v>No</v>
      </c>
      <c r="AT309" s="190" t="str">
        <f t="shared" si="139"/>
        <v>Residential</v>
      </c>
      <c r="AU309" s="190"/>
      <c r="AV309" s="190" t="str">
        <f t="shared" si="161"/>
        <v>NO</v>
      </c>
      <c r="AW309" s="190" t="str">
        <f t="shared" si="161"/>
        <v>NO</v>
      </c>
      <c r="AX309" s="190" t="str">
        <f t="shared" si="155"/>
        <v>NO</v>
      </c>
      <c r="AY309" s="190" t="str">
        <f t="shared" si="140"/>
        <v>NO</v>
      </c>
      <c r="AZ309" s="190" t="str">
        <f t="shared" si="140"/>
        <v>NO</v>
      </c>
      <c r="BA309" s="190" t="str">
        <f t="shared" si="156"/>
        <v>NO</v>
      </c>
      <c r="BB309" s="190" t="str">
        <f t="shared" si="141"/>
        <v>NO</v>
      </c>
      <c r="BC309" s="190" t="str">
        <f t="shared" si="142"/>
        <v>NO</v>
      </c>
      <c r="BD309" s="190" t="str">
        <f t="shared" si="157"/>
        <v>NO</v>
      </c>
      <c r="BE309" s="190" t="str">
        <f t="shared" si="143"/>
        <v>NO</v>
      </c>
      <c r="BF309" s="190" t="str">
        <f t="shared" si="144"/>
        <v>NO</v>
      </c>
      <c r="BG309" s="190" t="str">
        <f t="shared" si="145"/>
        <v>NO</v>
      </c>
      <c r="BH309" s="88"/>
      <c r="BI309" s="9"/>
      <c r="BJ309" s="694" t="str">
        <f t="shared" si="162"/>
        <v/>
      </c>
      <c r="BK309" s="694" t="str">
        <f t="shared" si="162"/>
        <v/>
      </c>
      <c r="BL309" s="694" t="str">
        <f t="shared" si="163"/>
        <v/>
      </c>
      <c r="BM309" s="694" t="str">
        <f t="shared" si="163"/>
        <v/>
      </c>
      <c r="BN309" s="88"/>
      <c r="BO309" s="195"/>
      <c r="BP309" s="195"/>
      <c r="BQ309" s="195"/>
      <c r="BR309" s="195"/>
      <c r="BS309" s="195"/>
      <c r="BT309" s="195"/>
      <c r="BU309" s="195"/>
      <c r="BV309" s="195"/>
      <c r="BW309" s="195"/>
      <c r="BX309" s="195"/>
    </row>
    <row r="310" spans="1:76" s="124" customFormat="1" ht="15">
      <c r="A310" s="187">
        <v>3039</v>
      </c>
      <c r="B310" s="187" t="s">
        <v>625</v>
      </c>
      <c r="C310" s="187" t="s">
        <v>651</v>
      </c>
      <c r="D310" s="187" t="s">
        <v>655</v>
      </c>
      <c r="E310" s="187" t="s">
        <v>392</v>
      </c>
      <c r="F310" s="187" t="s">
        <v>386</v>
      </c>
      <c r="G310" s="187" t="s">
        <v>393</v>
      </c>
      <c r="H310" s="187" t="b">
        <v>0</v>
      </c>
      <c r="I310" s="187" t="s">
        <v>388</v>
      </c>
      <c r="J310" s="187" t="s">
        <v>389</v>
      </c>
      <c r="K310" s="187" t="b">
        <v>1</v>
      </c>
      <c r="L310" s="187">
        <v>3.2</v>
      </c>
      <c r="M310" s="187">
        <v>1.0900000000000001</v>
      </c>
      <c r="N310" s="187">
        <v>38.97</v>
      </c>
      <c r="O310" s="187">
        <v>12.3</v>
      </c>
      <c r="P310" s="187">
        <v>2.89</v>
      </c>
      <c r="Q310" s="187"/>
      <c r="R310" s="187"/>
      <c r="S310" s="187"/>
      <c r="T310" s="187"/>
      <c r="U310" s="187">
        <v>51.3</v>
      </c>
      <c r="V310" s="187">
        <v>1.3</v>
      </c>
      <c r="W310" s="188">
        <v>39371</v>
      </c>
      <c r="X310" s="691">
        <f t="shared" si="164"/>
        <v>0.87069999999999992</v>
      </c>
      <c r="Y310" s="691">
        <f t="shared" si="138"/>
        <v>12.69157</v>
      </c>
      <c r="Z310" s="189"/>
      <c r="AA310" s="190">
        <f t="shared" si="146"/>
        <v>2007</v>
      </c>
      <c r="AB310" s="191">
        <f t="shared" si="147"/>
        <v>3.6752038589640526</v>
      </c>
      <c r="AC310" s="192">
        <f>IF(AB310="","",AB310*SFAssumptions!$C$3)</f>
        <v>943.47371080739651</v>
      </c>
      <c r="AD310" s="193">
        <f t="shared" si="148"/>
        <v>40.613024000000003</v>
      </c>
      <c r="AE310" s="194">
        <f>IF(AD310="","",AD310*SFAssumptions!$C$3)</f>
        <v>10425.903414019202</v>
      </c>
      <c r="AF310" s="192">
        <f t="shared" si="137"/>
        <v>3.2</v>
      </c>
      <c r="AG310" s="192">
        <f t="shared" si="149"/>
        <v>12.69157</v>
      </c>
      <c r="AH310" s="192">
        <f t="shared" si="150"/>
        <v>0.87069999999999992</v>
      </c>
      <c r="AI310" s="692">
        <f ca="1">IF(AC310="","",AC310*SFAssumptions!$C$8/'SavingsData&amp;Analysis'!AF310)</f>
        <v>1113.5959663715489</v>
      </c>
      <c r="AJ310" s="692">
        <f ca="1">IF(OR(AE310="",AF310=""),"",AE310*SFAssumptions!$C$8/AF310)</f>
        <v>12305.847905073526</v>
      </c>
      <c r="AK310" s="191">
        <f t="shared" si="151"/>
        <v>2.4615384615384617</v>
      </c>
      <c r="AL310" s="692">
        <f>IF(AK310="","",AK310*SFAssumptions!$C$3)</f>
        <v>631.90966153846159</v>
      </c>
      <c r="AM310" s="193">
        <f t="shared" si="152"/>
        <v>39.360000000000007</v>
      </c>
      <c r="AN310" s="194">
        <f>IF(AM310="","",AM310*SFAssumptions!$C$3)</f>
        <v>10104.235488000002</v>
      </c>
      <c r="AO310" s="693">
        <f t="shared" si="153"/>
        <v>12.3</v>
      </c>
      <c r="AP310" s="693">
        <f t="shared" si="154"/>
        <v>1.3</v>
      </c>
      <c r="AQ310" s="692">
        <f ca="1">IF(AL310="","",AL310*SFAssumptions!$C$8/'SavingsData&amp;Analysis'!AF310)</f>
        <v>745.85231378439062</v>
      </c>
      <c r="AR310" s="692">
        <f ca="1">IF(OR(AN310="",AF310=""),"",AN310*SFAssumptions!$C$8/AF310)</f>
        <v>11926.178497412406</v>
      </c>
      <c r="AS310" s="190" t="str">
        <f>IF(OR(AG310="",AH310=""),"No",IF(AND(G310="Horizontal",AH310&gt;='Eff. Standards &amp; Certifications'!$B$21,AG310&lt;='Eff. Standards &amp; Certifications'!$C$21),"Consider",IF(AND(G310="Vertical",AH310&gt;='Eff. Standards &amp; Certifications'!$B$20,AG310&lt;='Eff. Standards &amp; Certifications'!$C$20),"Consider","No")))</f>
        <v>No</v>
      </c>
      <c r="AT310" s="190" t="str">
        <f t="shared" si="139"/>
        <v>Residential</v>
      </c>
      <c r="AU310" s="190"/>
      <c r="AV310" s="190" t="str">
        <f t="shared" si="161"/>
        <v>NO</v>
      </c>
      <c r="AW310" s="190" t="str">
        <f t="shared" si="161"/>
        <v>NO</v>
      </c>
      <c r="AX310" s="190" t="str">
        <f t="shared" si="155"/>
        <v>NO</v>
      </c>
      <c r="AY310" s="190" t="str">
        <f t="shared" si="140"/>
        <v>NO</v>
      </c>
      <c r="AZ310" s="190" t="str">
        <f t="shared" si="140"/>
        <v>NO</v>
      </c>
      <c r="BA310" s="190" t="str">
        <f t="shared" si="156"/>
        <v>NO</v>
      </c>
      <c r="BB310" s="190" t="str">
        <f t="shared" si="141"/>
        <v>NO</v>
      </c>
      <c r="BC310" s="190" t="str">
        <f t="shared" si="142"/>
        <v>NO</v>
      </c>
      <c r="BD310" s="190" t="str">
        <f t="shared" si="157"/>
        <v>NO</v>
      </c>
      <c r="BE310" s="190" t="str">
        <f t="shared" si="143"/>
        <v>NO</v>
      </c>
      <c r="BF310" s="190" t="str">
        <f t="shared" si="144"/>
        <v>NO</v>
      </c>
      <c r="BG310" s="190" t="str">
        <f t="shared" si="145"/>
        <v>NO</v>
      </c>
      <c r="BH310" s="88"/>
      <c r="BI310" s="9"/>
      <c r="BJ310" s="694" t="str">
        <f t="shared" si="162"/>
        <v/>
      </c>
      <c r="BK310" s="694" t="str">
        <f t="shared" si="162"/>
        <v/>
      </c>
      <c r="BL310" s="694" t="str">
        <f t="shared" si="163"/>
        <v/>
      </c>
      <c r="BM310" s="694" t="str">
        <f t="shared" si="163"/>
        <v/>
      </c>
      <c r="BN310" s="88"/>
      <c r="BO310" s="195"/>
      <c r="BP310" s="195"/>
      <c r="BQ310" s="195"/>
      <c r="BR310" s="195"/>
      <c r="BS310" s="195"/>
      <c r="BT310" s="195"/>
      <c r="BU310" s="195"/>
      <c r="BV310" s="195"/>
      <c r="BW310" s="195"/>
      <c r="BX310" s="195"/>
    </row>
    <row r="311" spans="1:76" s="124" customFormat="1" ht="15">
      <c r="A311" s="187">
        <v>3041</v>
      </c>
      <c r="B311" s="187" t="s">
        <v>625</v>
      </c>
      <c r="C311" s="187" t="s">
        <v>651</v>
      </c>
      <c r="D311" s="187" t="s">
        <v>656</v>
      </c>
      <c r="E311" s="187" t="s">
        <v>392</v>
      </c>
      <c r="F311" s="187" t="s">
        <v>386</v>
      </c>
      <c r="G311" s="187" t="s">
        <v>393</v>
      </c>
      <c r="H311" s="187" t="b">
        <v>0</v>
      </c>
      <c r="I311" s="187" t="s">
        <v>388</v>
      </c>
      <c r="J311" s="187" t="s">
        <v>389</v>
      </c>
      <c r="K311" s="187" t="b">
        <v>1</v>
      </c>
      <c r="L311" s="187">
        <v>3.2</v>
      </c>
      <c r="M311" s="187">
        <v>1.08</v>
      </c>
      <c r="N311" s="187">
        <v>35.299999999999997</v>
      </c>
      <c r="O311" s="187">
        <v>11.2</v>
      </c>
      <c r="P311" s="187">
        <v>2.93</v>
      </c>
      <c r="Q311" s="187"/>
      <c r="R311" s="187"/>
      <c r="S311" s="187"/>
      <c r="T311" s="187"/>
      <c r="U311" s="187">
        <v>52.1</v>
      </c>
      <c r="V311" s="187">
        <v>1.3</v>
      </c>
      <c r="W311" s="188">
        <v>39371</v>
      </c>
      <c r="X311" s="691">
        <f t="shared" si="164"/>
        <v>0.87069999999999992</v>
      </c>
      <c r="Y311" s="691">
        <f t="shared" si="138"/>
        <v>11.60378</v>
      </c>
      <c r="Z311" s="189"/>
      <c r="AA311" s="190">
        <f t="shared" si="146"/>
        <v>2007</v>
      </c>
      <c r="AB311" s="191">
        <f t="shared" si="147"/>
        <v>3.6752038589640526</v>
      </c>
      <c r="AC311" s="192">
        <f>IF(AB311="","",AB311*SFAssumptions!$C$3)</f>
        <v>943.47371080739651</v>
      </c>
      <c r="AD311" s="193">
        <f t="shared" si="148"/>
        <v>37.132096000000004</v>
      </c>
      <c r="AE311" s="194">
        <f>IF(AD311="","",AD311*SFAssumptions!$C$3)</f>
        <v>9532.302900076802</v>
      </c>
      <c r="AF311" s="192">
        <f t="shared" si="137"/>
        <v>3.2</v>
      </c>
      <c r="AG311" s="192">
        <f t="shared" si="149"/>
        <v>11.60378</v>
      </c>
      <c r="AH311" s="192">
        <f t="shared" si="150"/>
        <v>0.87069999999999992</v>
      </c>
      <c r="AI311" s="692">
        <f ca="1">IF(AC311="","",AC311*SFAssumptions!$C$8/'SavingsData&amp;Analysis'!AF311)</f>
        <v>1113.5959663715489</v>
      </c>
      <c r="AJ311" s="692">
        <f ca="1">IF(OR(AE311="",AF311=""),"",AE311*SFAssumptions!$C$8/AF311)</f>
        <v>11251.118010138547</v>
      </c>
      <c r="AK311" s="191">
        <f t="shared" si="151"/>
        <v>2.4615384615384617</v>
      </c>
      <c r="AL311" s="692">
        <f>IF(AK311="","",AK311*SFAssumptions!$C$3)</f>
        <v>631.90966153846159</v>
      </c>
      <c r="AM311" s="193">
        <f t="shared" si="152"/>
        <v>35.839999999999996</v>
      </c>
      <c r="AN311" s="194">
        <f>IF(AM311="","",AM311*SFAssumptions!$C$3)</f>
        <v>9200.6046719999995</v>
      </c>
      <c r="AO311" s="693">
        <f t="shared" si="153"/>
        <v>11.2</v>
      </c>
      <c r="AP311" s="693">
        <f t="shared" si="154"/>
        <v>1.3</v>
      </c>
      <c r="AQ311" s="692">
        <f ca="1">IF(AL311="","",AL311*SFAssumptions!$C$8/'SavingsData&amp;Analysis'!AF311)</f>
        <v>745.85231378439062</v>
      </c>
      <c r="AR311" s="692">
        <f ca="1">IF(OR(AN311="",AF311=""),"",AN311*SFAssumptions!$C$8/AF311)</f>
        <v>10859.609688700724</v>
      </c>
      <c r="AS311" s="190" t="str">
        <f>IF(OR(AG311="",AH311=""),"No",IF(AND(G311="Horizontal",AH311&gt;='Eff. Standards &amp; Certifications'!$B$21,AG311&lt;='Eff. Standards &amp; Certifications'!$C$21),"Consider",IF(AND(G311="Vertical",AH311&gt;='Eff. Standards &amp; Certifications'!$B$20,AG311&lt;='Eff. Standards &amp; Certifications'!$C$20),"Consider","No")))</f>
        <v>No</v>
      </c>
      <c r="AT311" s="190" t="str">
        <f t="shared" si="139"/>
        <v>Residential</v>
      </c>
      <c r="AU311" s="190"/>
      <c r="AV311" s="190" t="str">
        <f t="shared" si="161"/>
        <v>NO</v>
      </c>
      <c r="AW311" s="190" t="str">
        <f t="shared" si="161"/>
        <v>NO</v>
      </c>
      <c r="AX311" s="190" t="str">
        <f t="shared" si="155"/>
        <v>NO</v>
      </c>
      <c r="AY311" s="190" t="str">
        <f t="shared" si="140"/>
        <v>NO</v>
      </c>
      <c r="AZ311" s="190" t="str">
        <f t="shared" si="140"/>
        <v>NO</v>
      </c>
      <c r="BA311" s="190" t="str">
        <f t="shared" si="156"/>
        <v>NO</v>
      </c>
      <c r="BB311" s="190" t="str">
        <f t="shared" si="141"/>
        <v>NO</v>
      </c>
      <c r="BC311" s="190" t="str">
        <f t="shared" si="142"/>
        <v>NO</v>
      </c>
      <c r="BD311" s="190" t="str">
        <f t="shared" si="157"/>
        <v>NO</v>
      </c>
      <c r="BE311" s="190" t="str">
        <f t="shared" si="143"/>
        <v>NO</v>
      </c>
      <c r="BF311" s="190" t="str">
        <f t="shared" si="144"/>
        <v>NO</v>
      </c>
      <c r="BG311" s="190" t="str">
        <f t="shared" si="145"/>
        <v>NO</v>
      </c>
      <c r="BH311" s="88"/>
      <c r="BI311" s="9"/>
      <c r="BJ311" s="694" t="str">
        <f t="shared" si="162"/>
        <v/>
      </c>
      <c r="BK311" s="694" t="str">
        <f t="shared" si="162"/>
        <v/>
      </c>
      <c r="BL311" s="694" t="str">
        <f t="shared" si="163"/>
        <v/>
      </c>
      <c r="BM311" s="694" t="str">
        <f t="shared" si="163"/>
        <v/>
      </c>
      <c r="BN311" s="88"/>
      <c r="BO311" s="195"/>
      <c r="BP311" s="195"/>
      <c r="BQ311" s="195"/>
      <c r="BR311" s="195"/>
      <c r="BS311" s="195"/>
      <c r="BT311" s="195"/>
      <c r="BU311" s="195"/>
      <c r="BV311" s="195"/>
      <c r="BW311" s="195"/>
      <c r="BX311" s="195"/>
    </row>
    <row r="312" spans="1:76" s="124" customFormat="1" ht="15">
      <c r="A312" s="187">
        <v>3423</v>
      </c>
      <c r="B312" s="187" t="s">
        <v>625</v>
      </c>
      <c r="C312" s="187" t="s">
        <v>651</v>
      </c>
      <c r="D312" s="187" t="s">
        <v>657</v>
      </c>
      <c r="E312" s="187" t="s">
        <v>392</v>
      </c>
      <c r="F312" s="187" t="s">
        <v>386</v>
      </c>
      <c r="G312" s="187" t="s">
        <v>387</v>
      </c>
      <c r="H312" s="187" t="b">
        <v>0</v>
      </c>
      <c r="I312" s="187" t="s">
        <v>388</v>
      </c>
      <c r="J312" s="187" t="s">
        <v>389</v>
      </c>
      <c r="K312" s="187" t="b">
        <v>1</v>
      </c>
      <c r="L312" s="187">
        <v>3.3</v>
      </c>
      <c r="M312" s="187">
        <v>1.01</v>
      </c>
      <c r="N312" s="187">
        <v>37.74</v>
      </c>
      <c r="O312" s="187">
        <v>11.6</v>
      </c>
      <c r="P312" s="187">
        <v>3.2</v>
      </c>
      <c r="Q312" s="187"/>
      <c r="R312" s="187"/>
      <c r="S312" s="187"/>
      <c r="T312" s="187"/>
      <c r="U312" s="187">
        <v>52</v>
      </c>
      <c r="V312" s="187">
        <v>1.35</v>
      </c>
      <c r="W312" s="188">
        <v>39685</v>
      </c>
      <c r="X312" s="691">
        <f t="shared" si="164"/>
        <v>1.061275</v>
      </c>
      <c r="Y312" s="691">
        <f t="shared" si="138"/>
        <v>11.997920000000001</v>
      </c>
      <c r="Z312" s="189"/>
      <c r="AA312" s="190">
        <f t="shared" si="146"/>
        <v>2008</v>
      </c>
      <c r="AB312" s="191">
        <f t="shared" si="147"/>
        <v>3.1094673859273043</v>
      </c>
      <c r="AC312" s="192">
        <f>IF(AB312="","",AB312*SFAssumptions!$C$3)</f>
        <v>798.2416338837719</v>
      </c>
      <c r="AD312" s="193">
        <f t="shared" si="148"/>
        <v>39.593136000000001</v>
      </c>
      <c r="AE312" s="194">
        <f>IF(AD312="","",AD312*SFAssumptions!$C$3)</f>
        <v>10164.0845999088</v>
      </c>
      <c r="AF312" s="192">
        <f t="shared" si="137"/>
        <v>3.3</v>
      </c>
      <c r="AG312" s="192">
        <f t="shared" si="149"/>
        <v>11.997920000000001</v>
      </c>
      <c r="AH312" s="192">
        <f t="shared" si="150"/>
        <v>1.061275</v>
      </c>
      <c r="AI312" s="692">
        <f ca="1">IF(AC312="","",AC312*SFAssumptions!$C$8/'SavingsData&amp;Analysis'!AF312)</f>
        <v>913.62559932129545</v>
      </c>
      <c r="AJ312" s="692">
        <f ca="1">IF(OR(AE312="",AF312=""),"",AE312*SFAssumptions!$C$8/AF312)</f>
        <v>11633.27931038002</v>
      </c>
      <c r="AK312" s="191">
        <f t="shared" si="151"/>
        <v>2.4444444444444442</v>
      </c>
      <c r="AL312" s="692">
        <f>IF(AK312="","",AK312*SFAssumptions!$C$3)</f>
        <v>627.52139999999997</v>
      </c>
      <c r="AM312" s="193">
        <f t="shared" si="152"/>
        <v>38.279999999999994</v>
      </c>
      <c r="AN312" s="194">
        <f>IF(AM312="","",AM312*SFAssumptions!$C$3)</f>
        <v>9826.9851239999989</v>
      </c>
      <c r="AO312" s="693">
        <f t="shared" si="153"/>
        <v>11.6</v>
      </c>
      <c r="AP312" s="693">
        <f t="shared" si="154"/>
        <v>1.35</v>
      </c>
      <c r="AQ312" s="692">
        <f ca="1">IF(AL312="","",AL312*SFAssumptions!$C$8/'SavingsData&amp;Analysis'!AF312)</f>
        <v>718.22815401459832</v>
      </c>
      <c r="AR312" s="692">
        <f ca="1">IF(OR(AN312="",AF312=""),"",AN312*SFAssumptions!$C$8/AF312)</f>
        <v>11247.452891868608</v>
      </c>
      <c r="AS312" s="190" t="str">
        <f>IF(OR(AG312="",AH312=""),"No",IF(AND(G312="Horizontal",AH312&gt;='Eff. Standards &amp; Certifications'!$B$21,AG312&lt;='Eff. Standards &amp; Certifications'!$C$21),"Consider",IF(AND(G312="Vertical",AH312&gt;='Eff. Standards &amp; Certifications'!$B$20,AG312&lt;='Eff. Standards &amp; Certifications'!$C$20),"Consider","No")))</f>
        <v>No</v>
      </c>
      <c r="AT312" s="190" t="str">
        <f t="shared" si="139"/>
        <v>Residential</v>
      </c>
      <c r="AU312" s="190"/>
      <c r="AV312" s="190" t="str">
        <f t="shared" si="161"/>
        <v>NO</v>
      </c>
      <c r="AW312" s="190" t="str">
        <f t="shared" si="161"/>
        <v>NO</v>
      </c>
      <c r="AX312" s="190" t="str">
        <f t="shared" si="155"/>
        <v>NO</v>
      </c>
      <c r="AY312" s="190" t="str">
        <f t="shared" si="140"/>
        <v>NO</v>
      </c>
      <c r="AZ312" s="190" t="str">
        <f t="shared" si="140"/>
        <v>NO</v>
      </c>
      <c r="BA312" s="190" t="str">
        <f t="shared" si="156"/>
        <v>NO</v>
      </c>
      <c r="BB312" s="190" t="str">
        <f t="shared" si="141"/>
        <v>NO</v>
      </c>
      <c r="BC312" s="190" t="str">
        <f t="shared" si="142"/>
        <v>NO</v>
      </c>
      <c r="BD312" s="190" t="str">
        <f t="shared" si="157"/>
        <v>NO</v>
      </c>
      <c r="BE312" s="190" t="str">
        <f t="shared" si="143"/>
        <v>NO</v>
      </c>
      <c r="BF312" s="190" t="str">
        <f t="shared" si="144"/>
        <v>NO</v>
      </c>
      <c r="BG312" s="190" t="str">
        <f t="shared" si="145"/>
        <v>NO</v>
      </c>
      <c r="BH312" s="88"/>
      <c r="BI312" s="9"/>
      <c r="BJ312" s="694" t="str">
        <f t="shared" si="162"/>
        <v/>
      </c>
      <c r="BK312" s="694" t="str">
        <f t="shared" si="162"/>
        <v/>
      </c>
      <c r="BL312" s="694" t="str">
        <f t="shared" si="163"/>
        <v/>
      </c>
      <c r="BM312" s="694" t="str">
        <f t="shared" si="163"/>
        <v/>
      </c>
      <c r="BN312" s="88"/>
      <c r="BO312" s="195"/>
      <c r="BP312" s="195"/>
      <c r="BQ312" s="195"/>
      <c r="BR312" s="195"/>
      <c r="BS312" s="195"/>
      <c r="BT312" s="195"/>
      <c r="BU312" s="195"/>
      <c r="BV312" s="195"/>
      <c r="BW312" s="195"/>
      <c r="BX312" s="195"/>
    </row>
    <row r="313" spans="1:76" s="124" customFormat="1" ht="15">
      <c r="A313" s="187">
        <v>612</v>
      </c>
      <c r="B313" s="187" t="s">
        <v>625</v>
      </c>
      <c r="C313" s="187" t="s">
        <v>651</v>
      </c>
      <c r="D313" s="187" t="s">
        <v>658</v>
      </c>
      <c r="E313" s="187" t="s">
        <v>392</v>
      </c>
      <c r="F313" s="187" t="s">
        <v>386</v>
      </c>
      <c r="G313" s="187" t="s">
        <v>393</v>
      </c>
      <c r="H313" s="187" t="b">
        <v>0</v>
      </c>
      <c r="I313" s="187" t="s">
        <v>388</v>
      </c>
      <c r="J313" s="187" t="s">
        <v>389</v>
      </c>
      <c r="K313" s="187" t="b">
        <v>1</v>
      </c>
      <c r="L313" s="187">
        <v>3.2</v>
      </c>
      <c r="M313" s="187">
        <v>0.7</v>
      </c>
      <c r="N313" s="187">
        <v>34.99</v>
      </c>
      <c r="O313" s="187">
        <v>10.9</v>
      </c>
      <c r="P313" s="187">
        <v>4.62</v>
      </c>
      <c r="Q313" s="187"/>
      <c r="R313" s="187"/>
      <c r="S313" s="187"/>
      <c r="T313" s="187"/>
      <c r="U313" s="187">
        <v>54.2</v>
      </c>
      <c r="V313" s="187">
        <v>1.49</v>
      </c>
      <c r="W313" s="188">
        <v>40170</v>
      </c>
      <c r="X313" s="691">
        <f t="shared" si="164"/>
        <v>1.0588000000000002</v>
      </c>
      <c r="Y313" s="691">
        <f t="shared" si="138"/>
        <v>11.30711</v>
      </c>
      <c r="Z313" s="189"/>
      <c r="AA313" s="190">
        <f t="shared" si="146"/>
        <v>2009</v>
      </c>
      <c r="AB313" s="191">
        <f t="shared" si="147"/>
        <v>3.0222893842085377</v>
      </c>
      <c r="AC313" s="192">
        <f>IF(AB313="","",AB313*SFAssumptions!$C$3)</f>
        <v>775.86188137514159</v>
      </c>
      <c r="AD313" s="193">
        <f t="shared" si="148"/>
        <v>36.182752000000001</v>
      </c>
      <c r="AE313" s="194">
        <f>IF(AD313="","",AD313*SFAssumptions!$C$3)</f>
        <v>9288.5936690016006</v>
      </c>
      <c r="AF313" s="192">
        <f t="shared" si="137"/>
        <v>3.2</v>
      </c>
      <c r="AG313" s="192">
        <f t="shared" si="149"/>
        <v>11.30711</v>
      </c>
      <c r="AH313" s="192">
        <f t="shared" si="150"/>
        <v>1.0588000000000002</v>
      </c>
      <c r="AI313" s="692">
        <f ca="1">IF(AC313="","",AC313*SFAssumptions!$C$8/'SavingsData&amp;Analysis'!AF313)</f>
        <v>915.76124661853748</v>
      </c>
      <c r="AJ313" s="692">
        <f ca="1">IF(OR(AE313="",AF313=""),"",AE313*SFAssumptions!$C$8/AF313)</f>
        <v>10963.464402429005</v>
      </c>
      <c r="AK313" s="191">
        <f t="shared" si="151"/>
        <v>2.1476510067114094</v>
      </c>
      <c r="AL313" s="692">
        <f>IF(AK313="","",AK313*SFAssumptions!$C$3)</f>
        <v>551.33057718120801</v>
      </c>
      <c r="AM313" s="193">
        <f t="shared" si="152"/>
        <v>34.880000000000003</v>
      </c>
      <c r="AN313" s="194">
        <f>IF(AM313="","",AM313*SFAssumptions!$C$3)</f>
        <v>8954.1599040000001</v>
      </c>
      <c r="AO313" s="693">
        <f t="shared" si="153"/>
        <v>10.9</v>
      </c>
      <c r="AP313" s="693">
        <f t="shared" si="154"/>
        <v>1.49</v>
      </c>
      <c r="AQ313" s="692">
        <f ca="1">IF(AL313="","",AL313*SFAssumptions!$C$8/'SavingsData&amp;Analysis'!AF313)</f>
        <v>650.7436294763138</v>
      </c>
      <c r="AR313" s="692">
        <f ca="1">IF(OR(AN313="",AF313=""),"",AN313*SFAssumptions!$C$8/AF313)</f>
        <v>10568.727286324813</v>
      </c>
      <c r="AS313" s="190" t="str">
        <f>IF(OR(AG313="",AH313=""),"No",IF(AND(G313="Horizontal",AH313&gt;='Eff. Standards &amp; Certifications'!$B$21,AG313&lt;='Eff. Standards &amp; Certifications'!$C$21),"Consider",IF(AND(G313="Vertical",AH313&gt;='Eff. Standards &amp; Certifications'!$B$20,AG313&lt;='Eff. Standards &amp; Certifications'!$C$20),"Consider","No")))</f>
        <v>No</v>
      </c>
      <c r="AT313" s="190" t="str">
        <f t="shared" si="139"/>
        <v>Residential</v>
      </c>
      <c r="AU313" s="190"/>
      <c r="AV313" s="190" t="str">
        <f t="shared" si="161"/>
        <v>NO</v>
      </c>
      <c r="AW313" s="190" t="str">
        <f t="shared" si="161"/>
        <v>NO</v>
      </c>
      <c r="AX313" s="190" t="str">
        <f t="shared" si="155"/>
        <v>NO</v>
      </c>
      <c r="AY313" s="190" t="str">
        <f t="shared" si="140"/>
        <v>NO</v>
      </c>
      <c r="AZ313" s="190" t="str">
        <f t="shared" si="140"/>
        <v>NO</v>
      </c>
      <c r="BA313" s="190" t="str">
        <f t="shared" si="156"/>
        <v>NO</v>
      </c>
      <c r="BB313" s="190" t="str">
        <f t="shared" si="141"/>
        <v>NO</v>
      </c>
      <c r="BC313" s="190" t="str">
        <f t="shared" si="142"/>
        <v>NO</v>
      </c>
      <c r="BD313" s="190" t="str">
        <f t="shared" si="157"/>
        <v>NO</v>
      </c>
      <c r="BE313" s="190" t="str">
        <f t="shared" si="143"/>
        <v>NO</v>
      </c>
      <c r="BF313" s="190" t="str">
        <f t="shared" si="144"/>
        <v>NO</v>
      </c>
      <c r="BG313" s="190" t="str">
        <f t="shared" si="145"/>
        <v>NO</v>
      </c>
      <c r="BH313" s="88"/>
      <c r="BI313" s="9"/>
      <c r="BJ313" s="694" t="str">
        <f t="shared" si="162"/>
        <v/>
      </c>
      <c r="BK313" s="694" t="str">
        <f t="shared" si="162"/>
        <v/>
      </c>
      <c r="BL313" s="694" t="str">
        <f t="shared" si="163"/>
        <v/>
      </c>
      <c r="BM313" s="694" t="str">
        <f t="shared" si="163"/>
        <v/>
      </c>
      <c r="BN313" s="88"/>
      <c r="BO313" s="195"/>
      <c r="BP313" s="195"/>
      <c r="BQ313" s="195"/>
      <c r="BR313" s="195"/>
      <c r="BS313" s="195"/>
      <c r="BT313" s="195"/>
      <c r="BU313" s="195"/>
      <c r="BV313" s="195"/>
      <c r="BW313" s="195"/>
      <c r="BX313" s="195"/>
    </row>
    <row r="314" spans="1:76" s="124" customFormat="1" ht="15">
      <c r="A314" s="187">
        <v>3424</v>
      </c>
      <c r="B314" s="187" t="s">
        <v>625</v>
      </c>
      <c r="C314" s="187" t="s">
        <v>659</v>
      </c>
      <c r="D314" s="187" t="s">
        <v>660</v>
      </c>
      <c r="E314" s="187" t="s">
        <v>392</v>
      </c>
      <c r="F314" s="187" t="s">
        <v>386</v>
      </c>
      <c r="G314" s="187" t="s">
        <v>393</v>
      </c>
      <c r="H314" s="187" t="b">
        <v>0</v>
      </c>
      <c r="I314" s="187" t="s">
        <v>388</v>
      </c>
      <c r="J314" s="187" t="s">
        <v>389</v>
      </c>
      <c r="K314" s="187" t="b">
        <v>1</v>
      </c>
      <c r="L314" s="187">
        <v>3.3</v>
      </c>
      <c r="M314" s="187">
        <v>0.97</v>
      </c>
      <c r="N314" s="187">
        <v>37.22</v>
      </c>
      <c r="O314" s="187">
        <v>11.5</v>
      </c>
      <c r="P314" s="187">
        <v>3.35</v>
      </c>
      <c r="Q314" s="187"/>
      <c r="R314" s="187"/>
      <c r="S314" s="187"/>
      <c r="T314" s="187"/>
      <c r="U314" s="187">
        <v>51.8</v>
      </c>
      <c r="V314" s="187">
        <v>1.38</v>
      </c>
      <c r="W314" s="188">
        <v>39685</v>
      </c>
      <c r="X314" s="691">
        <f t="shared" si="164"/>
        <v>0.94989999999999986</v>
      </c>
      <c r="Y314" s="691">
        <f t="shared" si="138"/>
        <v>11.900450000000001</v>
      </c>
      <c r="Z314" s="189"/>
      <c r="AA314" s="190">
        <f t="shared" si="146"/>
        <v>2008</v>
      </c>
      <c r="AB314" s="191">
        <f t="shared" si="147"/>
        <v>3.4740498999894731</v>
      </c>
      <c r="AC314" s="192">
        <f>IF(AB314="","",AB314*SFAssumptions!$C$3)</f>
        <v>891.83481419096768</v>
      </c>
      <c r="AD314" s="193">
        <f t="shared" si="148"/>
        <v>39.271484999999998</v>
      </c>
      <c r="AE314" s="194">
        <f>IF(AD314="","",AD314*SFAssumptions!$C$3)</f>
        <v>10081.512510250499</v>
      </c>
      <c r="AF314" s="192">
        <f t="shared" si="137"/>
        <v>3.3</v>
      </c>
      <c r="AG314" s="192">
        <f t="shared" si="149"/>
        <v>11.900450000000001</v>
      </c>
      <c r="AH314" s="192">
        <f t="shared" si="150"/>
        <v>0.94989999999999986</v>
      </c>
      <c r="AI314" s="692">
        <f ca="1">IF(AC314="","",AC314*SFAssumptions!$C$8/'SavingsData&amp;Analysis'!AF314)</f>
        <v>1020.747455437107</v>
      </c>
      <c r="AJ314" s="692">
        <f ca="1">IF(OR(AE314="",AF314=""),"",AE314*SFAssumptions!$C$8/AF314)</f>
        <v>11538.771617848084</v>
      </c>
      <c r="AK314" s="191">
        <f t="shared" si="151"/>
        <v>2.3913043478260869</v>
      </c>
      <c r="AL314" s="692">
        <f>IF(AK314="","",AK314*SFAssumptions!$C$3)</f>
        <v>613.8796304347826</v>
      </c>
      <c r="AM314" s="193">
        <f t="shared" si="152"/>
        <v>37.949999999999996</v>
      </c>
      <c r="AN314" s="194">
        <f>IF(AM314="","",AM314*SFAssumptions!$C$3)</f>
        <v>9742.2697349999999</v>
      </c>
      <c r="AO314" s="693">
        <f t="shared" si="153"/>
        <v>11.5</v>
      </c>
      <c r="AP314" s="693">
        <f t="shared" si="154"/>
        <v>1.38</v>
      </c>
      <c r="AQ314" s="692">
        <f ca="1">IF(AL314="","",AL314*SFAssumptions!$C$8/'SavingsData&amp;Analysis'!AF314)</f>
        <v>702.61449849254188</v>
      </c>
      <c r="AR314" s="692">
        <f ca="1">IF(OR(AN314="",AF314=""),"",AN314*SFAssumptions!$C$8/AF314)</f>
        <v>11150.49209107664</v>
      </c>
      <c r="AS314" s="190" t="str">
        <f>IF(OR(AG314="",AH314=""),"No",IF(AND(G314="Horizontal",AH314&gt;='Eff. Standards &amp; Certifications'!$B$21,AG314&lt;='Eff. Standards &amp; Certifications'!$C$21),"Consider",IF(AND(G314="Vertical",AH314&gt;='Eff. Standards &amp; Certifications'!$B$20,AG314&lt;='Eff. Standards &amp; Certifications'!$C$20),"Consider","No")))</f>
        <v>No</v>
      </c>
      <c r="AT314" s="190" t="str">
        <f t="shared" si="139"/>
        <v>Residential</v>
      </c>
      <c r="AU314" s="190"/>
      <c r="AV314" s="190" t="str">
        <f t="shared" si="161"/>
        <v>NO</v>
      </c>
      <c r="AW314" s="190" t="str">
        <f t="shared" si="161"/>
        <v>NO</v>
      </c>
      <c r="AX314" s="190" t="str">
        <f t="shared" si="155"/>
        <v>NO</v>
      </c>
      <c r="AY314" s="190" t="str">
        <f t="shared" si="140"/>
        <v>NO</v>
      </c>
      <c r="AZ314" s="190" t="str">
        <f t="shared" si="140"/>
        <v>NO</v>
      </c>
      <c r="BA314" s="190" t="str">
        <f t="shared" si="156"/>
        <v>NO</v>
      </c>
      <c r="BB314" s="190" t="str">
        <f t="shared" si="141"/>
        <v>NO</v>
      </c>
      <c r="BC314" s="190" t="str">
        <f t="shared" si="142"/>
        <v>NO</v>
      </c>
      <c r="BD314" s="190" t="str">
        <f t="shared" si="157"/>
        <v>NO</v>
      </c>
      <c r="BE314" s="190" t="str">
        <f t="shared" si="143"/>
        <v>NO</v>
      </c>
      <c r="BF314" s="190" t="str">
        <f t="shared" si="144"/>
        <v>NO</v>
      </c>
      <c r="BG314" s="190" t="str">
        <f t="shared" si="145"/>
        <v>NO</v>
      </c>
      <c r="BH314" s="88"/>
      <c r="BI314" s="9"/>
      <c r="BJ314" s="694" t="str">
        <f t="shared" si="162"/>
        <v/>
      </c>
      <c r="BK314" s="694" t="str">
        <f t="shared" si="162"/>
        <v/>
      </c>
      <c r="BL314" s="694" t="str">
        <f t="shared" si="163"/>
        <v/>
      </c>
      <c r="BM314" s="694" t="str">
        <f t="shared" si="163"/>
        <v/>
      </c>
      <c r="BN314" s="88"/>
      <c r="BO314" s="195"/>
      <c r="BP314" s="195"/>
      <c r="BQ314" s="195"/>
      <c r="BR314" s="195"/>
      <c r="BS314" s="195"/>
      <c r="BT314" s="195"/>
      <c r="BU314" s="195"/>
      <c r="BV314" s="195"/>
      <c r="BW314" s="195"/>
      <c r="BX314" s="195"/>
    </row>
    <row r="315" spans="1:76" s="124" customFormat="1" ht="15">
      <c r="A315" s="187">
        <v>4989</v>
      </c>
      <c r="B315" s="187" t="s">
        <v>625</v>
      </c>
      <c r="C315" s="187" t="s">
        <v>659</v>
      </c>
      <c r="D315" s="187" t="s">
        <v>661</v>
      </c>
      <c r="E315" s="187" t="s">
        <v>392</v>
      </c>
      <c r="F315" s="187" t="s">
        <v>386</v>
      </c>
      <c r="G315" s="187" t="s">
        <v>393</v>
      </c>
      <c r="H315" s="187" t="b">
        <v>0</v>
      </c>
      <c r="I315" s="187" t="s">
        <v>388</v>
      </c>
      <c r="J315" s="187" t="s">
        <v>389</v>
      </c>
      <c r="K315" s="187" t="b">
        <v>1</v>
      </c>
      <c r="L315" s="187">
        <v>3.1</v>
      </c>
      <c r="M315" s="187">
        <v>1</v>
      </c>
      <c r="N315" s="187">
        <v>25.74</v>
      </c>
      <c r="O315" s="187">
        <v>8.6999999999999993</v>
      </c>
      <c r="P315" s="187">
        <v>3.24</v>
      </c>
      <c r="Q315" s="187"/>
      <c r="R315" s="187"/>
      <c r="S315" s="187"/>
      <c r="T315" s="187"/>
      <c r="U315" s="187">
        <v>51.7</v>
      </c>
      <c r="V315" s="187">
        <v>1.33</v>
      </c>
      <c r="W315" s="188">
        <v>40640</v>
      </c>
      <c r="X315" s="691">
        <f t="shared" si="164"/>
        <v>0.90039999999999998</v>
      </c>
      <c r="Y315" s="691">
        <f t="shared" si="138"/>
        <v>9.1315299999999997</v>
      </c>
      <c r="Z315" s="189"/>
      <c r="AA315" s="190">
        <f t="shared" si="146"/>
        <v>2011</v>
      </c>
      <c r="AB315" s="191">
        <f t="shared" si="147"/>
        <v>3.442914260328743</v>
      </c>
      <c r="AC315" s="192">
        <f>IF(AB315="","",AB315*SFAssumptions!$C$3)</f>
        <v>883.84188138605077</v>
      </c>
      <c r="AD315" s="193">
        <f t="shared" si="148"/>
        <v>28.307742999999999</v>
      </c>
      <c r="AE315" s="194">
        <f>IF(AD315="","",AD315*SFAssumptions!$C$3)</f>
        <v>7266.9741210818993</v>
      </c>
      <c r="AF315" s="192">
        <f t="shared" si="137"/>
        <v>3.1</v>
      </c>
      <c r="AG315" s="192">
        <f t="shared" si="149"/>
        <v>9.1315299999999997</v>
      </c>
      <c r="AH315" s="192">
        <f t="shared" si="150"/>
        <v>0.90039999999999998</v>
      </c>
      <c r="AI315" s="692">
        <f ca="1">IF(AC315="","",AC315*SFAssumptions!$C$8/'SavingsData&amp;Analysis'!AF315)</f>
        <v>1076.8636249663571</v>
      </c>
      <c r="AJ315" s="692">
        <f ca="1">IF(OR(AE315="",AF315=""),"",AE315*SFAssumptions!$C$8/AF315)</f>
        <v>8854.004612559047</v>
      </c>
      <c r="AK315" s="191">
        <f t="shared" si="151"/>
        <v>2.3308270676691727</v>
      </c>
      <c r="AL315" s="692">
        <f>IF(AK315="","",AK315*SFAssumptions!$C$3)</f>
        <v>598.3543082706766</v>
      </c>
      <c r="AM315" s="193">
        <f t="shared" si="152"/>
        <v>26.97</v>
      </c>
      <c r="AN315" s="194">
        <f>IF(AM315="","",AM315*SFAssumptions!$C$3)</f>
        <v>6923.5577009999997</v>
      </c>
      <c r="AO315" s="693">
        <f t="shared" si="153"/>
        <v>8.6999999999999993</v>
      </c>
      <c r="AP315" s="693">
        <f t="shared" si="154"/>
        <v>1.33</v>
      </c>
      <c r="AQ315" s="692">
        <f ca="1">IF(AL315="","",AL315*SFAssumptions!$C$8/'SavingsData&amp;Analysis'!AF315)</f>
        <v>729.02857738323871</v>
      </c>
      <c r="AR315" s="692">
        <f ca="1">IF(OR(AN315="",AF315=""),"",AN315*SFAssumptions!$C$8/AF315)</f>
        <v>8435.5896689014553</v>
      </c>
      <c r="AS315" s="190" t="str">
        <f>IF(OR(AG315="",AH315=""),"No",IF(AND(G315="Horizontal",AH315&gt;='Eff. Standards &amp; Certifications'!$B$21,AG315&lt;='Eff. Standards &amp; Certifications'!$C$21),"Consider",IF(AND(G315="Vertical",AH315&gt;='Eff. Standards &amp; Certifications'!$B$20,AG315&lt;='Eff. Standards &amp; Certifications'!$C$20),"Consider","No")))</f>
        <v>No</v>
      </c>
      <c r="AT315" s="190" t="str">
        <f t="shared" si="139"/>
        <v>Residential</v>
      </c>
      <c r="AU315" s="190"/>
      <c r="AV315" s="190" t="str">
        <f t="shared" si="161"/>
        <v>NO</v>
      </c>
      <c r="AW315" s="190" t="str">
        <f t="shared" si="161"/>
        <v>NO</v>
      </c>
      <c r="AX315" s="190" t="str">
        <f t="shared" si="155"/>
        <v>NO</v>
      </c>
      <c r="AY315" s="190" t="str">
        <f t="shared" si="140"/>
        <v>NO</v>
      </c>
      <c r="AZ315" s="190" t="str">
        <f t="shared" si="140"/>
        <v>NO</v>
      </c>
      <c r="BA315" s="190" t="str">
        <f t="shared" si="156"/>
        <v>NO</v>
      </c>
      <c r="BB315" s="190" t="str">
        <f t="shared" si="141"/>
        <v>NO</v>
      </c>
      <c r="BC315" s="190" t="str">
        <f t="shared" si="142"/>
        <v>NO</v>
      </c>
      <c r="BD315" s="190" t="str">
        <f t="shared" si="157"/>
        <v>NO</v>
      </c>
      <c r="BE315" s="190" t="str">
        <f t="shared" si="143"/>
        <v>NO</v>
      </c>
      <c r="BF315" s="190" t="str">
        <f t="shared" si="144"/>
        <v>NO</v>
      </c>
      <c r="BG315" s="190" t="str">
        <f t="shared" si="145"/>
        <v>NO</v>
      </c>
      <c r="BH315" s="88"/>
      <c r="BI315" s="9"/>
      <c r="BJ315" s="694" t="str">
        <f t="shared" si="162"/>
        <v/>
      </c>
      <c r="BK315" s="694" t="str">
        <f t="shared" si="162"/>
        <v/>
      </c>
      <c r="BL315" s="694" t="str">
        <f t="shared" si="163"/>
        <v/>
      </c>
      <c r="BM315" s="694" t="str">
        <f t="shared" si="163"/>
        <v/>
      </c>
      <c r="BN315" s="88"/>
      <c r="BO315" s="195"/>
      <c r="BP315" s="195"/>
      <c r="BQ315" s="195"/>
      <c r="BR315" s="195"/>
      <c r="BS315" s="195"/>
      <c r="BT315" s="195"/>
      <c r="BU315" s="195"/>
      <c r="BV315" s="195"/>
      <c r="BW315" s="195"/>
      <c r="BX315" s="195"/>
    </row>
    <row r="316" spans="1:76" s="124" customFormat="1" ht="15">
      <c r="A316" s="187">
        <v>2937</v>
      </c>
      <c r="B316" s="187" t="s">
        <v>625</v>
      </c>
      <c r="C316" s="187" t="s">
        <v>459</v>
      </c>
      <c r="D316" s="187" t="s">
        <v>662</v>
      </c>
      <c r="E316" s="187" t="s">
        <v>392</v>
      </c>
      <c r="F316" s="187" t="s">
        <v>386</v>
      </c>
      <c r="G316" s="187" t="s">
        <v>393</v>
      </c>
      <c r="H316" s="187" t="b">
        <v>0</v>
      </c>
      <c r="I316" s="187" t="s">
        <v>388</v>
      </c>
      <c r="J316" s="187" t="s">
        <v>389</v>
      </c>
      <c r="K316" s="187" t="b">
        <v>1</v>
      </c>
      <c r="L316" s="187">
        <v>2.9</v>
      </c>
      <c r="M316" s="187">
        <v>0.75</v>
      </c>
      <c r="N316" s="187">
        <v>35.200000000000003</v>
      </c>
      <c r="O316" s="187">
        <v>12.3</v>
      </c>
      <c r="P316" s="187">
        <v>3.79</v>
      </c>
      <c r="Q316" s="187"/>
      <c r="R316" s="187"/>
      <c r="S316" s="187"/>
      <c r="T316" s="187"/>
      <c r="U316" s="187">
        <v>55</v>
      </c>
      <c r="V316" s="187">
        <v>1.39</v>
      </c>
      <c r="W316" s="188">
        <v>39371</v>
      </c>
      <c r="X316" s="691">
        <f t="shared" si="164"/>
        <v>0.95979999999999988</v>
      </c>
      <c r="Y316" s="691">
        <f t="shared" si="138"/>
        <v>12.69157</v>
      </c>
      <c r="Z316" s="189"/>
      <c r="AA316" s="190">
        <f t="shared" si="146"/>
        <v>2007</v>
      </c>
      <c r="AB316" s="191">
        <f t="shared" si="147"/>
        <v>3.0214628047509899</v>
      </c>
      <c r="AC316" s="192">
        <f>IF(AB316="","",AB316*SFAssumptions!$C$3)</f>
        <v>775.64968743488237</v>
      </c>
      <c r="AD316" s="193">
        <f t="shared" si="148"/>
        <v>36.805553000000003</v>
      </c>
      <c r="AE316" s="194">
        <f>IF(AD316="","",AD316*SFAssumptions!$C$3)</f>
        <v>9448.4749689549008</v>
      </c>
      <c r="AF316" s="192">
        <f t="shared" si="137"/>
        <v>2.9</v>
      </c>
      <c r="AG316" s="192">
        <f t="shared" si="149"/>
        <v>12.69157</v>
      </c>
      <c r="AH316" s="192">
        <f t="shared" si="150"/>
        <v>0.95979999999999988</v>
      </c>
      <c r="AI316" s="692">
        <f ca="1">IF(AC316="","",AC316*SFAssumptions!$C$8/'SavingsData&amp;Analysis'!AF316)</f>
        <v>1010.2188038338277</v>
      </c>
      <c r="AJ316" s="692">
        <f ca="1">IF(OR(AE316="",AF316=""),"",AE316*SFAssumptions!$C$8/AF316)</f>
        <v>12305.847905073526</v>
      </c>
      <c r="AK316" s="191">
        <f t="shared" si="151"/>
        <v>2.0863309352517985</v>
      </c>
      <c r="AL316" s="692">
        <f>IF(AK316="","",AK316*SFAssumptions!$C$3)</f>
        <v>535.58889928057556</v>
      </c>
      <c r="AM316" s="193">
        <f t="shared" si="152"/>
        <v>35.67</v>
      </c>
      <c r="AN316" s="194">
        <f>IF(AM316="","",AM316*SFAssumptions!$C$3)</f>
        <v>9156.9634110000006</v>
      </c>
      <c r="AO316" s="693">
        <f t="shared" si="153"/>
        <v>12.3</v>
      </c>
      <c r="AP316" s="693">
        <f t="shared" si="154"/>
        <v>1.39</v>
      </c>
      <c r="AQ316" s="692">
        <f ca="1">IF(AL316="","",AL316*SFAssumptions!$C$8/'SavingsData&amp;Analysis'!AF316)</f>
        <v>697.55971792784726</v>
      </c>
      <c r="AR316" s="692">
        <f ca="1">IF(OR(AN316="",AF316=""),"",AN316*SFAssumptions!$C$8/AF316)</f>
        <v>11926.178497412406</v>
      </c>
      <c r="AS316" s="190" t="str">
        <f>IF(OR(AG316="",AH316=""),"No",IF(AND(G316="Horizontal",AH316&gt;='Eff. Standards &amp; Certifications'!$B$21,AG316&lt;='Eff. Standards &amp; Certifications'!$C$21),"Consider",IF(AND(G316="Vertical",AH316&gt;='Eff. Standards &amp; Certifications'!$B$20,AG316&lt;='Eff. Standards &amp; Certifications'!$C$20),"Consider","No")))</f>
        <v>No</v>
      </c>
      <c r="AT316" s="190" t="str">
        <f t="shared" si="139"/>
        <v>Residential</v>
      </c>
      <c r="AU316" s="190"/>
      <c r="AV316" s="190" t="str">
        <f t="shared" si="161"/>
        <v>NO</v>
      </c>
      <c r="AW316" s="190" t="str">
        <f t="shared" si="161"/>
        <v>NO</v>
      </c>
      <c r="AX316" s="190" t="str">
        <f t="shared" si="155"/>
        <v>NO</v>
      </c>
      <c r="AY316" s="190" t="str">
        <f t="shared" si="140"/>
        <v>NO</v>
      </c>
      <c r="AZ316" s="190" t="str">
        <f t="shared" si="140"/>
        <v>NO</v>
      </c>
      <c r="BA316" s="190" t="str">
        <f t="shared" si="156"/>
        <v>NO</v>
      </c>
      <c r="BB316" s="190" t="str">
        <f t="shared" si="141"/>
        <v>NO</v>
      </c>
      <c r="BC316" s="190" t="str">
        <f t="shared" si="142"/>
        <v>NO</v>
      </c>
      <c r="BD316" s="190" t="str">
        <f t="shared" si="157"/>
        <v>NO</v>
      </c>
      <c r="BE316" s="190" t="str">
        <f t="shared" si="143"/>
        <v>NO</v>
      </c>
      <c r="BF316" s="190" t="str">
        <f t="shared" si="144"/>
        <v>NO</v>
      </c>
      <c r="BG316" s="190" t="str">
        <f t="shared" si="145"/>
        <v>NO</v>
      </c>
      <c r="BH316" s="88"/>
      <c r="BI316" s="9"/>
      <c r="BJ316" s="694" t="str">
        <f t="shared" si="162"/>
        <v/>
      </c>
      <c r="BK316" s="694" t="str">
        <f t="shared" si="162"/>
        <v/>
      </c>
      <c r="BL316" s="694" t="str">
        <f t="shared" si="163"/>
        <v/>
      </c>
      <c r="BM316" s="694" t="str">
        <f t="shared" si="163"/>
        <v/>
      </c>
      <c r="BN316" s="88"/>
      <c r="BO316" s="195"/>
      <c r="BP316" s="195"/>
      <c r="BQ316" s="195"/>
      <c r="BR316" s="195"/>
      <c r="BS316" s="195"/>
      <c r="BT316" s="195"/>
      <c r="BU316" s="195"/>
      <c r="BV316" s="195"/>
      <c r="BW316" s="195"/>
      <c r="BX316" s="195"/>
    </row>
    <row r="317" spans="1:76" s="124" customFormat="1" ht="15">
      <c r="A317" s="187">
        <v>2940</v>
      </c>
      <c r="B317" s="187" t="s">
        <v>625</v>
      </c>
      <c r="C317" s="187" t="s">
        <v>459</v>
      </c>
      <c r="D317" s="187" t="s">
        <v>663</v>
      </c>
      <c r="E317" s="187" t="s">
        <v>392</v>
      </c>
      <c r="F317" s="187" t="s">
        <v>386</v>
      </c>
      <c r="G317" s="187" t="s">
        <v>393</v>
      </c>
      <c r="H317" s="187" t="b">
        <v>0</v>
      </c>
      <c r="I317" s="187" t="s">
        <v>388</v>
      </c>
      <c r="J317" s="187" t="s">
        <v>389</v>
      </c>
      <c r="K317" s="187" t="b">
        <v>1</v>
      </c>
      <c r="L317" s="187">
        <v>2.4</v>
      </c>
      <c r="M317" s="187">
        <v>0.66</v>
      </c>
      <c r="N317" s="187">
        <v>29.53</v>
      </c>
      <c r="O317" s="187">
        <v>12.2</v>
      </c>
      <c r="P317" s="187">
        <v>3.74</v>
      </c>
      <c r="Q317" s="187"/>
      <c r="R317" s="187"/>
      <c r="S317" s="187"/>
      <c r="T317" s="187"/>
      <c r="U317" s="187">
        <v>58.3</v>
      </c>
      <c r="V317" s="187">
        <v>1.32</v>
      </c>
      <c r="W317" s="188">
        <v>39371</v>
      </c>
      <c r="X317" s="691">
        <f t="shared" si="164"/>
        <v>0.89049999999999996</v>
      </c>
      <c r="Y317" s="691">
        <f t="shared" si="138"/>
        <v>12.59268</v>
      </c>
      <c r="Z317" s="189"/>
      <c r="AA317" s="190">
        <f t="shared" si="146"/>
        <v>2007</v>
      </c>
      <c r="AB317" s="191">
        <f t="shared" si="147"/>
        <v>2.6951151038742278</v>
      </c>
      <c r="AC317" s="192">
        <f>IF(AB317="","",AB317*SFAssumptions!$C$3)</f>
        <v>691.87189219539584</v>
      </c>
      <c r="AD317" s="193">
        <f t="shared" si="148"/>
        <v>30.222431999999998</v>
      </c>
      <c r="AE317" s="194">
        <f>IF(AD317="","",AD317*SFAssumptions!$C$3)</f>
        <v>7758.5002527455999</v>
      </c>
      <c r="AF317" s="192">
        <f t="shared" si="137"/>
        <v>2.4</v>
      </c>
      <c r="AG317" s="192">
        <f t="shared" si="149"/>
        <v>12.59268</v>
      </c>
      <c r="AH317" s="192">
        <f t="shared" si="150"/>
        <v>0.89049999999999996</v>
      </c>
      <c r="AI317" s="692">
        <f ca="1">IF(AC317="","",AC317*SFAssumptions!$C$8/'SavingsData&amp;Analysis'!AF317)</f>
        <v>1088.8354945757526</v>
      </c>
      <c r="AJ317" s="692">
        <f ca="1">IF(OR(AE317="",AF317=""),"",AE317*SFAssumptions!$C$8/AF317)</f>
        <v>12209.963369170344</v>
      </c>
      <c r="AK317" s="191">
        <f t="shared" si="151"/>
        <v>1.8181818181818181</v>
      </c>
      <c r="AL317" s="692">
        <f>IF(AK317="","",AK317*SFAssumptions!$C$3)</f>
        <v>466.75145454545452</v>
      </c>
      <c r="AM317" s="193">
        <f t="shared" si="152"/>
        <v>29.279999999999998</v>
      </c>
      <c r="AN317" s="194">
        <f>IF(AM317="","",AM317*SFAssumptions!$C$3)</f>
        <v>7516.5654239999994</v>
      </c>
      <c r="AO317" s="693">
        <f t="shared" si="153"/>
        <v>12.2</v>
      </c>
      <c r="AP317" s="693">
        <f t="shared" si="154"/>
        <v>1.32</v>
      </c>
      <c r="AQ317" s="692">
        <f ca="1">IF(AL317="","",AL317*SFAssumptions!$C$8/'SavingsData&amp;Analysis'!AF317)</f>
        <v>734.55152115129374</v>
      </c>
      <c r="AR317" s="692">
        <f ca="1">IF(OR(AN317="",AF317=""),"",AN317*SFAssumptions!$C$8/AF317)</f>
        <v>11829.217696620433</v>
      </c>
      <c r="AS317" s="190" t="str">
        <f>IF(OR(AG317="",AH317=""),"No",IF(AND(G317="Horizontal",AH317&gt;='Eff. Standards &amp; Certifications'!$B$21,AG317&lt;='Eff. Standards &amp; Certifications'!$C$21),"Consider",IF(AND(G317="Vertical",AH317&gt;='Eff. Standards &amp; Certifications'!$B$20,AG317&lt;='Eff. Standards &amp; Certifications'!$C$20),"Consider","No")))</f>
        <v>No</v>
      </c>
      <c r="AT317" s="190" t="str">
        <f t="shared" si="139"/>
        <v>Residential</v>
      </c>
      <c r="AU317" s="190"/>
      <c r="AV317" s="190" t="str">
        <f t="shared" si="161"/>
        <v>NO</v>
      </c>
      <c r="AW317" s="190" t="str">
        <f t="shared" si="161"/>
        <v>NO</v>
      </c>
      <c r="AX317" s="190" t="str">
        <f t="shared" si="155"/>
        <v>NO</v>
      </c>
      <c r="AY317" s="190" t="str">
        <f t="shared" si="140"/>
        <v>NO</v>
      </c>
      <c r="AZ317" s="190" t="str">
        <f t="shared" si="140"/>
        <v>NO</v>
      </c>
      <c r="BA317" s="190" t="str">
        <f t="shared" si="156"/>
        <v>NO</v>
      </c>
      <c r="BB317" s="190" t="str">
        <f t="shared" si="141"/>
        <v>NO</v>
      </c>
      <c r="BC317" s="190" t="str">
        <f t="shared" si="142"/>
        <v>NO</v>
      </c>
      <c r="BD317" s="190" t="str">
        <f t="shared" si="157"/>
        <v>NO</v>
      </c>
      <c r="BE317" s="190" t="str">
        <f t="shared" si="143"/>
        <v>NO</v>
      </c>
      <c r="BF317" s="190" t="str">
        <f t="shared" si="144"/>
        <v>NO</v>
      </c>
      <c r="BG317" s="190" t="str">
        <f t="shared" si="145"/>
        <v>NO</v>
      </c>
      <c r="BH317" s="88"/>
      <c r="BI317" s="9"/>
      <c r="BJ317" s="694" t="str">
        <f t="shared" si="162"/>
        <v/>
      </c>
      <c r="BK317" s="694" t="str">
        <f t="shared" si="162"/>
        <v/>
      </c>
      <c r="BL317" s="694" t="str">
        <f t="shared" si="163"/>
        <v/>
      </c>
      <c r="BM317" s="694" t="str">
        <f t="shared" si="163"/>
        <v/>
      </c>
      <c r="BN317" s="88"/>
      <c r="BO317" s="195"/>
      <c r="BP317" s="195"/>
      <c r="BQ317" s="195"/>
      <c r="BR317" s="195"/>
      <c r="BS317" s="195"/>
      <c r="BT317" s="195"/>
      <c r="BU317" s="195"/>
      <c r="BV317" s="195"/>
      <c r="BW317" s="195"/>
      <c r="BX317" s="195"/>
    </row>
    <row r="318" spans="1:76" s="124" customFormat="1" ht="15">
      <c r="A318" s="187">
        <v>2941</v>
      </c>
      <c r="B318" s="187" t="s">
        <v>625</v>
      </c>
      <c r="C318" s="187" t="s">
        <v>459</v>
      </c>
      <c r="D318" s="187" t="s">
        <v>664</v>
      </c>
      <c r="E318" s="187" t="s">
        <v>392</v>
      </c>
      <c r="F318" s="187" t="s">
        <v>386</v>
      </c>
      <c r="G318" s="187" t="s">
        <v>393</v>
      </c>
      <c r="H318" s="187" t="b">
        <v>0</v>
      </c>
      <c r="I318" s="187" t="s">
        <v>388</v>
      </c>
      <c r="J318" s="187" t="s">
        <v>389</v>
      </c>
      <c r="K318" s="187" t="b">
        <v>1</v>
      </c>
      <c r="L318" s="187">
        <v>2.5</v>
      </c>
      <c r="M318" s="187">
        <v>0.66</v>
      </c>
      <c r="N318" s="187">
        <v>29.31</v>
      </c>
      <c r="O318" s="187">
        <v>11.9</v>
      </c>
      <c r="P318" s="187">
        <v>3.73</v>
      </c>
      <c r="Q318" s="187"/>
      <c r="R318" s="187"/>
      <c r="S318" s="187"/>
      <c r="T318" s="187"/>
      <c r="U318" s="187">
        <v>59.1</v>
      </c>
      <c r="V318" s="187">
        <v>1.32</v>
      </c>
      <c r="W318" s="188">
        <v>39371</v>
      </c>
      <c r="X318" s="691">
        <f t="shared" si="164"/>
        <v>0.89049999999999996</v>
      </c>
      <c r="Y318" s="691">
        <f t="shared" si="138"/>
        <v>12.296010000000001</v>
      </c>
      <c r="Z318" s="189"/>
      <c r="AA318" s="190">
        <f t="shared" si="146"/>
        <v>2007</v>
      </c>
      <c r="AB318" s="191">
        <f t="shared" si="147"/>
        <v>2.807411566535654</v>
      </c>
      <c r="AC318" s="192">
        <f>IF(AB318="","",AB318*SFAssumptions!$C$3)</f>
        <v>720.69988770353734</v>
      </c>
      <c r="AD318" s="193">
        <f t="shared" si="148"/>
        <v>30.740025000000003</v>
      </c>
      <c r="AE318" s="194">
        <f>IF(AD318="","",AD318*SFAssumptions!$C$3)</f>
        <v>7891.3732598325005</v>
      </c>
      <c r="AF318" s="192">
        <f t="shared" si="137"/>
        <v>2.5</v>
      </c>
      <c r="AG318" s="192">
        <f t="shared" si="149"/>
        <v>12.296010000000001</v>
      </c>
      <c r="AH318" s="192">
        <f t="shared" si="150"/>
        <v>0.89049999999999996</v>
      </c>
      <c r="AI318" s="692">
        <f ca="1">IF(AC318="","",AC318*SFAssumptions!$C$8/'SavingsData&amp;Analysis'!AF318)</f>
        <v>1088.8354945757526</v>
      </c>
      <c r="AJ318" s="692">
        <f ca="1">IF(OR(AE318="",AF318=""),"",AE318*SFAssumptions!$C$8/AF318)</f>
        <v>11922.309761460805</v>
      </c>
      <c r="AK318" s="191">
        <f t="shared" si="151"/>
        <v>1.8939393939393938</v>
      </c>
      <c r="AL318" s="692">
        <f>IF(AK318="","",AK318*SFAssumptions!$C$3)</f>
        <v>486.19943181818178</v>
      </c>
      <c r="AM318" s="193">
        <f t="shared" si="152"/>
        <v>29.75</v>
      </c>
      <c r="AN318" s="194">
        <f>IF(AM318="","",AM318*SFAssumptions!$C$3)</f>
        <v>7637.2206750000005</v>
      </c>
      <c r="AO318" s="693">
        <f t="shared" si="153"/>
        <v>11.9</v>
      </c>
      <c r="AP318" s="693">
        <f t="shared" si="154"/>
        <v>1.32</v>
      </c>
      <c r="AQ318" s="692">
        <f ca="1">IF(AL318="","",AL318*SFAssumptions!$C$8/'SavingsData&amp;Analysis'!AF318)</f>
        <v>734.55152115129363</v>
      </c>
      <c r="AR318" s="692">
        <f ca="1">IF(OR(AN318="",AF318=""),"",AN318*SFAssumptions!$C$8/AF318)</f>
        <v>11538.335294244522</v>
      </c>
      <c r="AS318" s="190" t="str">
        <f>IF(OR(AG318="",AH318=""),"No",IF(AND(G318="Horizontal",AH318&gt;='Eff. Standards &amp; Certifications'!$B$21,AG318&lt;='Eff. Standards &amp; Certifications'!$C$21),"Consider",IF(AND(G318="Vertical",AH318&gt;='Eff. Standards &amp; Certifications'!$B$20,AG318&lt;='Eff. Standards &amp; Certifications'!$C$20),"Consider","No")))</f>
        <v>No</v>
      </c>
      <c r="AT318" s="190" t="str">
        <f t="shared" si="139"/>
        <v>Residential</v>
      </c>
      <c r="AU318" s="190"/>
      <c r="AV318" s="190" t="str">
        <f t="shared" si="161"/>
        <v>NO</v>
      </c>
      <c r="AW318" s="190" t="str">
        <f t="shared" si="161"/>
        <v>NO</v>
      </c>
      <c r="AX318" s="190" t="str">
        <f t="shared" si="155"/>
        <v>NO</v>
      </c>
      <c r="AY318" s="190" t="str">
        <f t="shared" si="140"/>
        <v>NO</v>
      </c>
      <c r="AZ318" s="190" t="str">
        <f t="shared" si="140"/>
        <v>NO</v>
      </c>
      <c r="BA318" s="190" t="str">
        <f t="shared" si="156"/>
        <v>NO</v>
      </c>
      <c r="BB318" s="190" t="str">
        <f t="shared" si="141"/>
        <v>NO</v>
      </c>
      <c r="BC318" s="190" t="str">
        <f t="shared" si="142"/>
        <v>NO</v>
      </c>
      <c r="BD318" s="190" t="str">
        <f t="shared" si="157"/>
        <v>NO</v>
      </c>
      <c r="BE318" s="190" t="str">
        <f t="shared" si="143"/>
        <v>NO</v>
      </c>
      <c r="BF318" s="190" t="str">
        <f t="shared" si="144"/>
        <v>NO</v>
      </c>
      <c r="BG318" s="190" t="str">
        <f t="shared" si="145"/>
        <v>NO</v>
      </c>
      <c r="BH318" s="88"/>
      <c r="BI318" s="9"/>
      <c r="BJ318" s="694" t="str">
        <f t="shared" si="162"/>
        <v/>
      </c>
      <c r="BK318" s="694" t="str">
        <f t="shared" si="162"/>
        <v/>
      </c>
      <c r="BL318" s="694" t="str">
        <f t="shared" si="163"/>
        <v/>
      </c>
      <c r="BM318" s="694" t="str">
        <f t="shared" si="163"/>
        <v/>
      </c>
      <c r="BN318" s="88"/>
      <c r="BO318" s="195"/>
      <c r="BP318" s="195"/>
      <c r="BQ318" s="195"/>
      <c r="BR318" s="195"/>
      <c r="BS318" s="195"/>
      <c r="BT318" s="195"/>
      <c r="BU318" s="195"/>
      <c r="BV318" s="195"/>
      <c r="BW318" s="195"/>
      <c r="BX318" s="195"/>
    </row>
    <row r="319" spans="1:76" s="124" customFormat="1" ht="15">
      <c r="A319" s="187">
        <v>2944</v>
      </c>
      <c r="B319" s="187" t="s">
        <v>625</v>
      </c>
      <c r="C319" s="187" t="s">
        <v>459</v>
      </c>
      <c r="D319" s="187" t="s">
        <v>665</v>
      </c>
      <c r="E319" s="187" t="s">
        <v>392</v>
      </c>
      <c r="F319" s="187" t="s">
        <v>386</v>
      </c>
      <c r="G319" s="187" t="s">
        <v>393</v>
      </c>
      <c r="H319" s="187" t="b">
        <v>0</v>
      </c>
      <c r="I319" s="187" t="s">
        <v>388</v>
      </c>
      <c r="J319" s="187" t="s">
        <v>389</v>
      </c>
      <c r="K319" s="187" t="b">
        <v>1</v>
      </c>
      <c r="L319" s="187">
        <v>3.8</v>
      </c>
      <c r="M319" s="187">
        <v>1.28</v>
      </c>
      <c r="N319" s="187">
        <v>42.29</v>
      </c>
      <c r="O319" s="187">
        <v>11.2</v>
      </c>
      <c r="P319" s="187">
        <v>2.98</v>
      </c>
      <c r="Q319" s="187"/>
      <c r="R319" s="187"/>
      <c r="S319" s="187"/>
      <c r="T319" s="187"/>
      <c r="U319" s="187">
        <v>38.1</v>
      </c>
      <c r="V319" s="187">
        <v>1.56</v>
      </c>
      <c r="W319" s="188">
        <v>39371</v>
      </c>
      <c r="X319" s="691">
        <f t="shared" si="164"/>
        <v>1.1280999999999999</v>
      </c>
      <c r="Y319" s="691">
        <f t="shared" si="138"/>
        <v>11.60378</v>
      </c>
      <c r="Z319" s="189"/>
      <c r="AA319" s="190">
        <f t="shared" si="146"/>
        <v>2007</v>
      </c>
      <c r="AB319" s="191">
        <f t="shared" si="147"/>
        <v>3.3684957007357506</v>
      </c>
      <c r="AC319" s="192">
        <f>IF(AB319="","",AB319*SFAssumptions!$C$3)</f>
        <v>864.73764737168699</v>
      </c>
      <c r="AD319" s="193">
        <f t="shared" si="148"/>
        <v>44.094363999999999</v>
      </c>
      <c r="AE319" s="194">
        <f>IF(AD319="","",AD319*SFAssumptions!$C$3)</f>
        <v>11319.609693841199</v>
      </c>
      <c r="AF319" s="192">
        <f t="shared" si="137"/>
        <v>3.8</v>
      </c>
      <c r="AG319" s="192">
        <f t="shared" si="149"/>
        <v>11.60378</v>
      </c>
      <c r="AH319" s="192">
        <f t="shared" si="150"/>
        <v>1.1280999999999999</v>
      </c>
      <c r="AI319" s="692">
        <f ca="1">IF(AC319="","",AC319*SFAssumptions!$C$8/'SavingsData&amp;Analysis'!AF319)</f>
        <v>859.50537002012936</v>
      </c>
      <c r="AJ319" s="692">
        <f ca="1">IF(OR(AE319="",AF319=""),"",AE319*SFAssumptions!$C$8/AF319)</f>
        <v>11251.118010138545</v>
      </c>
      <c r="AK319" s="191">
        <f t="shared" si="151"/>
        <v>2.4358974358974357</v>
      </c>
      <c r="AL319" s="692">
        <f>IF(AK319="","",AK319*SFAssumptions!$C$3)</f>
        <v>625.32726923076916</v>
      </c>
      <c r="AM319" s="193">
        <f t="shared" si="152"/>
        <v>42.559999999999995</v>
      </c>
      <c r="AN319" s="194">
        <f>IF(AM319="","",AM319*SFAssumptions!$C$3)</f>
        <v>10925.718047999999</v>
      </c>
      <c r="AO319" s="693">
        <f t="shared" si="153"/>
        <v>11.2</v>
      </c>
      <c r="AP319" s="693">
        <f t="shared" si="154"/>
        <v>1.56</v>
      </c>
      <c r="AQ319" s="692">
        <f ca="1">IF(AL319="","",AL319*SFAssumptions!$C$8/'SavingsData&amp;Analysis'!AF319)</f>
        <v>621.54359482032532</v>
      </c>
      <c r="AR319" s="692">
        <f ca="1">IF(OR(AN319="",AF319=""),"",AN319*SFAssumptions!$C$8/AF319)</f>
        <v>10859.609688700724</v>
      </c>
      <c r="AS319" s="190" t="str">
        <f>IF(OR(AG319="",AH319=""),"No",IF(AND(G319="Horizontal",AH319&gt;='Eff. Standards &amp; Certifications'!$B$21,AG319&lt;='Eff. Standards &amp; Certifications'!$C$21),"Consider",IF(AND(G319="Vertical",AH319&gt;='Eff. Standards &amp; Certifications'!$B$20,AG319&lt;='Eff. Standards &amp; Certifications'!$C$20),"Consider","No")))</f>
        <v>No</v>
      </c>
      <c r="AT319" s="190" t="str">
        <f t="shared" si="139"/>
        <v>Residential</v>
      </c>
      <c r="AU319" s="190"/>
      <c r="AV319" s="190" t="str">
        <f t="shared" si="161"/>
        <v>NO</v>
      </c>
      <c r="AW319" s="190" t="str">
        <f t="shared" si="161"/>
        <v>NO</v>
      </c>
      <c r="AX319" s="190" t="str">
        <f t="shared" si="155"/>
        <v>NO</v>
      </c>
      <c r="AY319" s="190" t="str">
        <f t="shared" si="140"/>
        <v>NO</v>
      </c>
      <c r="AZ319" s="190" t="str">
        <f t="shared" si="140"/>
        <v>NO</v>
      </c>
      <c r="BA319" s="190" t="str">
        <f t="shared" si="156"/>
        <v>NO</v>
      </c>
      <c r="BB319" s="190" t="str">
        <f t="shared" si="141"/>
        <v>NO</v>
      </c>
      <c r="BC319" s="190" t="str">
        <f t="shared" si="142"/>
        <v>NO</v>
      </c>
      <c r="BD319" s="190" t="str">
        <f t="shared" si="157"/>
        <v>NO</v>
      </c>
      <c r="BE319" s="190" t="str">
        <f t="shared" si="143"/>
        <v>NO</v>
      </c>
      <c r="BF319" s="190" t="str">
        <f t="shared" si="144"/>
        <v>NO</v>
      </c>
      <c r="BG319" s="190" t="str">
        <f t="shared" si="145"/>
        <v>NO</v>
      </c>
      <c r="BH319" s="88"/>
      <c r="BI319" s="9"/>
      <c r="BJ319" s="694" t="str">
        <f t="shared" si="162"/>
        <v/>
      </c>
      <c r="BK319" s="694" t="str">
        <f t="shared" si="162"/>
        <v/>
      </c>
      <c r="BL319" s="694" t="str">
        <f t="shared" si="163"/>
        <v/>
      </c>
      <c r="BM319" s="694" t="str">
        <f t="shared" si="163"/>
        <v/>
      </c>
      <c r="BN319" s="88"/>
      <c r="BO319" s="195"/>
      <c r="BP319" s="195"/>
      <c r="BQ319" s="195"/>
      <c r="BR319" s="195"/>
      <c r="BS319" s="195"/>
      <c r="BT319" s="195"/>
      <c r="BU319" s="195"/>
      <c r="BV319" s="195"/>
      <c r="BW319" s="195"/>
      <c r="BX319" s="195"/>
    </row>
    <row r="320" spans="1:76" s="124" customFormat="1" ht="15">
      <c r="A320" s="187">
        <v>2947</v>
      </c>
      <c r="B320" s="187" t="s">
        <v>625</v>
      </c>
      <c r="C320" s="187" t="s">
        <v>459</v>
      </c>
      <c r="D320" s="187" t="s">
        <v>666</v>
      </c>
      <c r="E320" s="187" t="s">
        <v>392</v>
      </c>
      <c r="F320" s="187" t="s">
        <v>386</v>
      </c>
      <c r="G320" s="187" t="s">
        <v>393</v>
      </c>
      <c r="H320" s="187" t="b">
        <v>0</v>
      </c>
      <c r="I320" s="187" t="s">
        <v>388</v>
      </c>
      <c r="J320" s="187" t="s">
        <v>389</v>
      </c>
      <c r="K320" s="187" t="b">
        <v>1</v>
      </c>
      <c r="L320" s="187">
        <v>3.9</v>
      </c>
      <c r="M320" s="187">
        <v>0.81</v>
      </c>
      <c r="N320" s="187">
        <v>28.35</v>
      </c>
      <c r="O320" s="187">
        <v>7.5</v>
      </c>
      <c r="P320" s="187">
        <v>4.82</v>
      </c>
      <c r="Q320" s="187"/>
      <c r="R320" s="187"/>
      <c r="S320" s="187"/>
      <c r="T320" s="187"/>
      <c r="U320" s="187">
        <v>38.5</v>
      </c>
      <c r="V320" s="187">
        <v>1.95</v>
      </c>
      <c r="W320" s="188">
        <v>39371</v>
      </c>
      <c r="X320" s="691">
        <f t="shared" si="164"/>
        <v>1.5141999999999998</v>
      </c>
      <c r="Y320" s="691">
        <f t="shared" si="138"/>
        <v>7.9448500000000006</v>
      </c>
      <c r="Z320" s="189"/>
      <c r="AA320" s="190">
        <f t="shared" si="146"/>
        <v>2007</v>
      </c>
      <c r="AB320" s="191">
        <f t="shared" si="147"/>
        <v>2.5756174877823277</v>
      </c>
      <c r="AC320" s="192">
        <f>IF(AB320="","",AB320*SFAssumptions!$C$3)</f>
        <v>661.19526482631102</v>
      </c>
      <c r="AD320" s="193">
        <f t="shared" si="148"/>
        <v>30.984915000000001</v>
      </c>
      <c r="AE320" s="194">
        <f>IF(AD320="","",AD320*SFAssumptions!$C$3)</f>
        <v>7954.2397798695001</v>
      </c>
      <c r="AF320" s="192">
        <f t="shared" si="137"/>
        <v>3.9</v>
      </c>
      <c r="AG320" s="192">
        <f t="shared" si="149"/>
        <v>7.9448500000000006</v>
      </c>
      <c r="AH320" s="192">
        <f t="shared" si="150"/>
        <v>1.5141999999999998</v>
      </c>
      <c r="AI320" s="692">
        <f ca="1">IF(AC320="","",AC320*SFAssumptions!$C$8/'SavingsData&amp;Analysis'!AF320)</f>
        <v>640.34342089532936</v>
      </c>
      <c r="AJ320" s="692">
        <f ca="1">IF(OR(AE320="",AF320=""),"",AE320*SFAssumptions!$C$8/AF320)</f>
        <v>7703.3901817208898</v>
      </c>
      <c r="AK320" s="191">
        <f t="shared" si="151"/>
        <v>2</v>
      </c>
      <c r="AL320" s="692">
        <f>IF(AK320="","",AK320*SFAssumptions!$C$3)</f>
        <v>513.42660000000001</v>
      </c>
      <c r="AM320" s="193">
        <f t="shared" si="152"/>
        <v>29.25</v>
      </c>
      <c r="AN320" s="194">
        <f>IF(AM320="","",AM320*SFAssumptions!$C$3)</f>
        <v>7508.8640249999999</v>
      </c>
      <c r="AO320" s="693">
        <f t="shared" si="153"/>
        <v>7.5</v>
      </c>
      <c r="AP320" s="693">
        <f t="shared" si="154"/>
        <v>1.95</v>
      </c>
      <c r="AQ320" s="692">
        <f ca="1">IF(AL320="","",AL320*SFAssumptions!$C$8/'SavingsData&amp;Analysis'!AF320)</f>
        <v>497.23487585626037</v>
      </c>
      <c r="AR320" s="692">
        <f ca="1">IF(OR(AN320="",AF320=""),"",AN320*SFAssumptions!$C$8/AF320)</f>
        <v>7272.0600593978079</v>
      </c>
      <c r="AS320" s="190" t="str">
        <f>IF(OR(AG320="",AH320=""),"No",IF(AND(G320="Horizontal",AH320&gt;='Eff. Standards &amp; Certifications'!$B$21,AG320&lt;='Eff. Standards &amp; Certifications'!$C$21),"Consider",IF(AND(G320="Vertical",AH320&gt;='Eff. Standards &amp; Certifications'!$B$20,AG320&lt;='Eff. Standards &amp; Certifications'!$C$20),"Consider","No")))</f>
        <v>Consider</v>
      </c>
      <c r="AT320" s="190" t="str">
        <f t="shared" si="139"/>
        <v>Residential</v>
      </c>
      <c r="AU320" s="190"/>
      <c r="AV320" s="190" t="str">
        <f t="shared" si="161"/>
        <v>YES</v>
      </c>
      <c r="AW320" s="190" t="str">
        <f t="shared" si="161"/>
        <v>NO</v>
      </c>
      <c r="AX320" s="190" t="str">
        <f t="shared" si="155"/>
        <v>YES</v>
      </c>
      <c r="AY320" s="190" t="str">
        <f t="shared" si="140"/>
        <v>YES</v>
      </c>
      <c r="AZ320" s="190" t="str">
        <f t="shared" si="140"/>
        <v>NO</v>
      </c>
      <c r="BA320" s="190" t="str">
        <f t="shared" si="156"/>
        <v>YES</v>
      </c>
      <c r="BB320" s="190" t="str">
        <f t="shared" si="141"/>
        <v>NO</v>
      </c>
      <c r="BC320" s="190" t="str">
        <f t="shared" si="142"/>
        <v>NO</v>
      </c>
      <c r="BD320" s="190" t="str">
        <f t="shared" si="157"/>
        <v>NO</v>
      </c>
      <c r="BE320" s="190" t="str">
        <f t="shared" si="143"/>
        <v>NO</v>
      </c>
      <c r="BF320" s="190" t="str">
        <f t="shared" si="144"/>
        <v>NO</v>
      </c>
      <c r="BG320" s="190" t="str">
        <f t="shared" si="145"/>
        <v>NO</v>
      </c>
      <c r="BH320" s="88"/>
      <c r="BI320" s="9"/>
      <c r="BJ320" s="694">
        <f t="shared" si="162"/>
        <v>1.5141999999999998</v>
      </c>
      <c r="BK320" s="694" t="str">
        <f t="shared" si="162"/>
        <v/>
      </c>
      <c r="BL320" s="694">
        <f t="shared" si="163"/>
        <v>7.9448500000000006</v>
      </c>
      <c r="BM320" s="694" t="str">
        <f t="shared" si="163"/>
        <v/>
      </c>
      <c r="BN320" s="88"/>
      <c r="BO320" s="195"/>
      <c r="BP320" s="195"/>
      <c r="BQ320" s="195"/>
      <c r="BR320" s="195"/>
      <c r="BS320" s="195"/>
      <c r="BT320" s="195"/>
      <c r="BU320" s="195"/>
      <c r="BV320" s="195"/>
      <c r="BW320" s="195"/>
      <c r="BX320" s="195"/>
    </row>
    <row r="321" spans="1:76" s="124" customFormat="1" ht="15">
      <c r="A321" s="187">
        <v>3245</v>
      </c>
      <c r="B321" s="187" t="s">
        <v>625</v>
      </c>
      <c r="C321" s="187" t="s">
        <v>459</v>
      </c>
      <c r="D321" s="187" t="s">
        <v>667</v>
      </c>
      <c r="E321" s="187" t="s">
        <v>392</v>
      </c>
      <c r="F321" s="187" t="s">
        <v>386</v>
      </c>
      <c r="G321" s="187" t="s">
        <v>393</v>
      </c>
      <c r="H321" s="187" t="b">
        <v>0</v>
      </c>
      <c r="I321" s="187" t="s">
        <v>388</v>
      </c>
      <c r="J321" s="187" t="s">
        <v>389</v>
      </c>
      <c r="K321" s="187" t="b">
        <v>1</v>
      </c>
      <c r="L321" s="187">
        <v>3.2</v>
      </c>
      <c r="M321" s="187">
        <v>0.84</v>
      </c>
      <c r="N321" s="187">
        <v>28.19</v>
      </c>
      <c r="O321" s="187">
        <v>8.9</v>
      </c>
      <c r="P321" s="187">
        <v>3.77</v>
      </c>
      <c r="Q321" s="187"/>
      <c r="R321" s="187"/>
      <c r="S321" s="187"/>
      <c r="T321" s="187"/>
      <c r="U321" s="187">
        <v>49.8</v>
      </c>
      <c r="V321" s="187">
        <v>1.49</v>
      </c>
      <c r="W321" s="188">
        <v>39373</v>
      </c>
      <c r="X321" s="691">
        <f t="shared" si="164"/>
        <v>1.0588000000000002</v>
      </c>
      <c r="Y321" s="691">
        <f t="shared" si="138"/>
        <v>9.3293100000000013</v>
      </c>
      <c r="Z321" s="189"/>
      <c r="AA321" s="190">
        <f t="shared" si="146"/>
        <v>2007</v>
      </c>
      <c r="AB321" s="191">
        <f t="shared" si="147"/>
        <v>3.0222893842085377</v>
      </c>
      <c r="AC321" s="192">
        <f>IF(AB321="","",AB321*SFAssumptions!$C$3)</f>
        <v>775.86188137514159</v>
      </c>
      <c r="AD321" s="193">
        <f t="shared" si="148"/>
        <v>29.853792000000006</v>
      </c>
      <c r="AE321" s="194">
        <f>IF(AD321="","",AD321*SFAssumptions!$C$3)</f>
        <v>7663.8654618336013</v>
      </c>
      <c r="AF321" s="192">
        <f t="shared" si="137"/>
        <v>3.2</v>
      </c>
      <c r="AG321" s="192">
        <f t="shared" si="149"/>
        <v>9.3293100000000013</v>
      </c>
      <c r="AH321" s="192">
        <f t="shared" si="150"/>
        <v>1.0588000000000002</v>
      </c>
      <c r="AI321" s="692">
        <f ca="1">IF(AC321="","",AC321*SFAssumptions!$C$8/'SavingsData&amp;Analysis'!AF321)</f>
        <v>915.76124661853748</v>
      </c>
      <c r="AJ321" s="692">
        <f ca="1">IF(OR(AE321="",AF321=""),"",AE321*SFAssumptions!$C$8/AF321)</f>
        <v>9045.7736843654093</v>
      </c>
      <c r="AK321" s="191">
        <f t="shared" si="151"/>
        <v>2.1476510067114094</v>
      </c>
      <c r="AL321" s="692">
        <f>IF(AK321="","",AK321*SFAssumptions!$C$3)</f>
        <v>551.33057718120801</v>
      </c>
      <c r="AM321" s="193">
        <f t="shared" si="152"/>
        <v>28.480000000000004</v>
      </c>
      <c r="AN321" s="194">
        <f>IF(AM321="","",AM321*SFAssumptions!$C$3)</f>
        <v>7311.1947840000012</v>
      </c>
      <c r="AO321" s="693">
        <f t="shared" si="153"/>
        <v>8.9</v>
      </c>
      <c r="AP321" s="693">
        <f t="shared" si="154"/>
        <v>1.49</v>
      </c>
      <c r="AQ321" s="692">
        <f ca="1">IF(AL321="","",AL321*SFAssumptions!$C$8/'SavingsData&amp;Analysis'!AF321)</f>
        <v>650.7436294763138</v>
      </c>
      <c r="AR321" s="692">
        <f ca="1">IF(OR(AN321="",AF321=""),"",AN321*SFAssumptions!$C$8/AF321)</f>
        <v>8629.5112704854</v>
      </c>
      <c r="AS321" s="190" t="str">
        <f>IF(OR(AG321="",AH321=""),"No",IF(AND(G321="Horizontal",AH321&gt;='Eff. Standards &amp; Certifications'!$B$21,AG321&lt;='Eff. Standards &amp; Certifications'!$C$21),"Consider",IF(AND(G321="Vertical",AH321&gt;='Eff. Standards &amp; Certifications'!$B$20,AG321&lt;='Eff. Standards &amp; Certifications'!$C$20),"Consider","No")))</f>
        <v>No</v>
      </c>
      <c r="AT321" s="190" t="str">
        <f t="shared" si="139"/>
        <v>Residential</v>
      </c>
      <c r="AU321" s="190"/>
      <c r="AV321" s="190" t="str">
        <f t="shared" si="161"/>
        <v>NO</v>
      </c>
      <c r="AW321" s="190" t="str">
        <f t="shared" si="161"/>
        <v>NO</v>
      </c>
      <c r="AX321" s="190" t="str">
        <f t="shared" si="155"/>
        <v>NO</v>
      </c>
      <c r="AY321" s="190" t="str">
        <f t="shared" si="140"/>
        <v>NO</v>
      </c>
      <c r="AZ321" s="190" t="str">
        <f t="shared" si="140"/>
        <v>NO</v>
      </c>
      <c r="BA321" s="190" t="str">
        <f t="shared" si="156"/>
        <v>NO</v>
      </c>
      <c r="BB321" s="190" t="str">
        <f t="shared" si="141"/>
        <v>NO</v>
      </c>
      <c r="BC321" s="190" t="str">
        <f t="shared" si="142"/>
        <v>NO</v>
      </c>
      <c r="BD321" s="190" t="str">
        <f t="shared" si="157"/>
        <v>NO</v>
      </c>
      <c r="BE321" s="190" t="str">
        <f t="shared" si="143"/>
        <v>NO</v>
      </c>
      <c r="BF321" s="190" t="str">
        <f t="shared" si="144"/>
        <v>NO</v>
      </c>
      <c r="BG321" s="190" t="str">
        <f t="shared" si="145"/>
        <v>NO</v>
      </c>
      <c r="BH321" s="88"/>
      <c r="BI321" s="9"/>
      <c r="BJ321" s="694" t="str">
        <f t="shared" si="162"/>
        <v/>
      </c>
      <c r="BK321" s="694" t="str">
        <f t="shared" si="162"/>
        <v/>
      </c>
      <c r="BL321" s="694" t="str">
        <f t="shared" si="163"/>
        <v/>
      </c>
      <c r="BM321" s="694" t="str">
        <f t="shared" si="163"/>
        <v/>
      </c>
      <c r="BN321" s="88"/>
      <c r="BO321" s="195"/>
      <c r="BP321" s="195"/>
      <c r="BQ321" s="195"/>
      <c r="BR321" s="195"/>
      <c r="BS321" s="195"/>
      <c r="BT321" s="195"/>
      <c r="BU321" s="195"/>
      <c r="BV321" s="195"/>
      <c r="BW321" s="195"/>
      <c r="BX321" s="195"/>
    </row>
    <row r="322" spans="1:76" s="124" customFormat="1" ht="15">
      <c r="A322" s="187">
        <v>2953</v>
      </c>
      <c r="B322" s="187" t="s">
        <v>625</v>
      </c>
      <c r="C322" s="187" t="s">
        <v>459</v>
      </c>
      <c r="D322" s="187" t="s">
        <v>668</v>
      </c>
      <c r="E322" s="187" t="s">
        <v>392</v>
      </c>
      <c r="F322" s="187" t="s">
        <v>386</v>
      </c>
      <c r="G322" s="187" t="s">
        <v>393</v>
      </c>
      <c r="H322" s="187" t="b">
        <v>0</v>
      </c>
      <c r="I322" s="187" t="s">
        <v>388</v>
      </c>
      <c r="J322" s="187" t="s">
        <v>389</v>
      </c>
      <c r="K322" s="187" t="b">
        <v>1</v>
      </c>
      <c r="L322" s="187">
        <v>2.4</v>
      </c>
      <c r="M322" s="187">
        <v>0.63</v>
      </c>
      <c r="N322" s="187">
        <v>29.04</v>
      </c>
      <c r="O322" s="187">
        <v>12</v>
      </c>
      <c r="P322" s="187">
        <v>3.87</v>
      </c>
      <c r="Q322" s="187"/>
      <c r="R322" s="187"/>
      <c r="S322" s="187"/>
      <c r="T322" s="187"/>
      <c r="U322" s="187">
        <v>59.8</v>
      </c>
      <c r="V322" s="187">
        <v>1.32</v>
      </c>
      <c r="W322" s="188">
        <v>39371</v>
      </c>
      <c r="X322" s="691">
        <f t="shared" si="164"/>
        <v>0.89049999999999996</v>
      </c>
      <c r="Y322" s="691">
        <f t="shared" si="138"/>
        <v>12.3949</v>
      </c>
      <c r="Z322" s="189"/>
      <c r="AA322" s="190">
        <f t="shared" si="146"/>
        <v>2007</v>
      </c>
      <c r="AB322" s="191">
        <f t="shared" si="147"/>
        <v>2.6951151038742278</v>
      </c>
      <c r="AC322" s="192">
        <f>IF(AB322="","",AB322*SFAssumptions!$C$3)</f>
        <v>691.87189219539584</v>
      </c>
      <c r="AD322" s="193">
        <f t="shared" si="148"/>
        <v>29.74776</v>
      </c>
      <c r="AE322" s="194">
        <f>IF(AD322="","",AD322*SFAssumptions!$C$3)</f>
        <v>7636.6456372080002</v>
      </c>
      <c r="AF322" s="192">
        <f t="shared" si="137"/>
        <v>2.4</v>
      </c>
      <c r="AG322" s="192">
        <f t="shared" si="149"/>
        <v>12.3949</v>
      </c>
      <c r="AH322" s="192">
        <f t="shared" si="150"/>
        <v>0.89049999999999996</v>
      </c>
      <c r="AI322" s="692">
        <f ca="1">IF(AC322="","",AC322*SFAssumptions!$C$8/'SavingsData&amp;Analysis'!AF322)</f>
        <v>1088.8354945757526</v>
      </c>
      <c r="AJ322" s="692">
        <f ca="1">IF(OR(AE322="",AF322=""),"",AE322*SFAssumptions!$C$8/AF322)</f>
        <v>12018.194297363985</v>
      </c>
      <c r="AK322" s="191">
        <f t="shared" si="151"/>
        <v>1.8181818181818181</v>
      </c>
      <c r="AL322" s="692">
        <f>IF(AK322="","",AK322*SFAssumptions!$C$3)</f>
        <v>466.75145454545452</v>
      </c>
      <c r="AM322" s="193">
        <f t="shared" si="152"/>
        <v>28.799999999999997</v>
      </c>
      <c r="AN322" s="194">
        <f>IF(AM322="","",AM322*SFAssumptions!$C$3)</f>
        <v>7393.3430399999997</v>
      </c>
      <c r="AO322" s="693">
        <f t="shared" si="153"/>
        <v>12</v>
      </c>
      <c r="AP322" s="693">
        <f t="shared" si="154"/>
        <v>1.32</v>
      </c>
      <c r="AQ322" s="692">
        <f ca="1">IF(AL322="","",AL322*SFAssumptions!$C$8/'SavingsData&amp;Analysis'!AF322)</f>
        <v>734.55152115129374</v>
      </c>
      <c r="AR322" s="692">
        <f ca="1">IF(OR(AN322="",AF322=""),"",AN322*SFAssumptions!$C$8/AF322)</f>
        <v>11635.296095036492</v>
      </c>
      <c r="AS322" s="190" t="str">
        <f>IF(OR(AG322="",AH322=""),"No",IF(AND(G322="Horizontal",AH322&gt;='Eff. Standards &amp; Certifications'!$B$21,AG322&lt;='Eff. Standards &amp; Certifications'!$C$21),"Consider",IF(AND(G322="Vertical",AH322&gt;='Eff. Standards &amp; Certifications'!$B$20,AG322&lt;='Eff. Standards &amp; Certifications'!$C$20),"Consider","No")))</f>
        <v>No</v>
      </c>
      <c r="AT322" s="190" t="str">
        <f t="shared" si="139"/>
        <v>Residential</v>
      </c>
      <c r="AU322" s="190"/>
      <c r="AV322" s="190" t="str">
        <f t="shared" si="161"/>
        <v>NO</v>
      </c>
      <c r="AW322" s="190" t="str">
        <f t="shared" si="161"/>
        <v>NO</v>
      </c>
      <c r="AX322" s="190" t="str">
        <f t="shared" si="155"/>
        <v>NO</v>
      </c>
      <c r="AY322" s="190" t="str">
        <f t="shared" si="140"/>
        <v>NO</v>
      </c>
      <c r="AZ322" s="190" t="str">
        <f t="shared" si="140"/>
        <v>NO</v>
      </c>
      <c r="BA322" s="190" t="str">
        <f t="shared" si="156"/>
        <v>NO</v>
      </c>
      <c r="BB322" s="190" t="str">
        <f t="shared" si="141"/>
        <v>NO</v>
      </c>
      <c r="BC322" s="190" t="str">
        <f t="shared" si="142"/>
        <v>NO</v>
      </c>
      <c r="BD322" s="190" t="str">
        <f t="shared" si="157"/>
        <v>NO</v>
      </c>
      <c r="BE322" s="190" t="str">
        <f t="shared" si="143"/>
        <v>NO</v>
      </c>
      <c r="BF322" s="190" t="str">
        <f t="shared" si="144"/>
        <v>NO</v>
      </c>
      <c r="BG322" s="190" t="str">
        <f t="shared" si="145"/>
        <v>NO</v>
      </c>
      <c r="BH322" s="88"/>
      <c r="BI322" s="9"/>
      <c r="BJ322" s="694" t="str">
        <f t="shared" si="162"/>
        <v/>
      </c>
      <c r="BK322" s="694" t="str">
        <f t="shared" si="162"/>
        <v/>
      </c>
      <c r="BL322" s="694" t="str">
        <f t="shared" si="163"/>
        <v/>
      </c>
      <c r="BM322" s="694" t="str">
        <f t="shared" si="163"/>
        <v/>
      </c>
      <c r="BN322" s="88"/>
      <c r="BO322" s="195"/>
      <c r="BP322" s="195"/>
      <c r="BQ322" s="195"/>
      <c r="BR322" s="195"/>
      <c r="BS322" s="195"/>
      <c r="BT322" s="195"/>
      <c r="BU322" s="195"/>
      <c r="BV322" s="195"/>
      <c r="BW322" s="195"/>
      <c r="BX322" s="195"/>
    </row>
    <row r="323" spans="1:76" s="124" customFormat="1" ht="15">
      <c r="A323" s="187">
        <v>3247</v>
      </c>
      <c r="B323" s="187" t="s">
        <v>625</v>
      </c>
      <c r="C323" s="187" t="s">
        <v>459</v>
      </c>
      <c r="D323" s="187" t="s">
        <v>669</v>
      </c>
      <c r="E323" s="187" t="s">
        <v>392</v>
      </c>
      <c r="F323" s="187" t="s">
        <v>386</v>
      </c>
      <c r="G323" s="187" t="s">
        <v>393</v>
      </c>
      <c r="H323" s="187" t="b">
        <v>0</v>
      </c>
      <c r="I323" s="187" t="s">
        <v>388</v>
      </c>
      <c r="J323" s="187" t="s">
        <v>389</v>
      </c>
      <c r="K323" s="187" t="b">
        <v>1</v>
      </c>
      <c r="L323" s="187">
        <v>3.2</v>
      </c>
      <c r="M323" s="187">
        <v>0.86</v>
      </c>
      <c r="N323" s="187">
        <v>28.32</v>
      </c>
      <c r="O323" s="187">
        <v>9</v>
      </c>
      <c r="P323" s="187">
        <v>3.66</v>
      </c>
      <c r="Q323" s="187"/>
      <c r="R323" s="187"/>
      <c r="S323" s="187"/>
      <c r="T323" s="187"/>
      <c r="U323" s="187">
        <v>50.2</v>
      </c>
      <c r="V323" s="187">
        <v>1.46</v>
      </c>
      <c r="W323" s="188">
        <v>39373</v>
      </c>
      <c r="X323" s="691">
        <f t="shared" si="164"/>
        <v>1.0291000000000001</v>
      </c>
      <c r="Y323" s="691">
        <f t="shared" si="138"/>
        <v>9.4282000000000004</v>
      </c>
      <c r="Z323" s="189"/>
      <c r="AA323" s="190">
        <f t="shared" si="146"/>
        <v>2007</v>
      </c>
      <c r="AB323" s="191">
        <f t="shared" si="147"/>
        <v>3.1095131668448155</v>
      </c>
      <c r="AC323" s="192">
        <f>IF(AB323="","",AB323*SFAssumptions!$C$3)</f>
        <v>798.25338645418321</v>
      </c>
      <c r="AD323" s="193">
        <f t="shared" si="148"/>
        <v>30.170240000000003</v>
      </c>
      <c r="AE323" s="194">
        <f>IF(AD323="","",AD323*SFAssumptions!$C$3)</f>
        <v>7745.1018721920009</v>
      </c>
      <c r="AF323" s="192">
        <f t="shared" si="137"/>
        <v>3.2</v>
      </c>
      <c r="AG323" s="192">
        <f t="shared" si="149"/>
        <v>9.4282000000000004</v>
      </c>
      <c r="AH323" s="192">
        <f t="shared" si="150"/>
        <v>1.0291000000000001</v>
      </c>
      <c r="AI323" s="692">
        <f ca="1">IF(AC323="","",AC323*SFAssumptions!$C$8/'SavingsData&amp;Analysis'!AF323)</f>
        <v>942.19027103265728</v>
      </c>
      <c r="AJ323" s="692">
        <f ca="1">IF(OR(AE323="",AF323=""),"",AE323*SFAssumptions!$C$8/AF323)</f>
        <v>9141.6582202685877</v>
      </c>
      <c r="AK323" s="191">
        <f t="shared" si="151"/>
        <v>2.1917808219178085</v>
      </c>
      <c r="AL323" s="692">
        <f>IF(AK323="","",AK323*SFAssumptions!$C$3)</f>
        <v>562.65928767123296</v>
      </c>
      <c r="AM323" s="193">
        <f t="shared" si="152"/>
        <v>28.8</v>
      </c>
      <c r="AN323" s="194">
        <f>IF(AM323="","",AM323*SFAssumptions!$C$3)</f>
        <v>7393.3430400000007</v>
      </c>
      <c r="AO323" s="693">
        <f t="shared" si="153"/>
        <v>9</v>
      </c>
      <c r="AP323" s="693">
        <f t="shared" si="154"/>
        <v>1.46</v>
      </c>
      <c r="AQ323" s="692">
        <f ca="1">IF(AL323="","",AL323*SFAssumptions!$C$8/'SavingsData&amp;Analysis'!AF323)</f>
        <v>664.11507391760802</v>
      </c>
      <c r="AR323" s="692">
        <f ca="1">IF(OR(AN323="",AF323=""),"",AN323*SFAssumptions!$C$8/AF323)</f>
        <v>8726.4720712773706</v>
      </c>
      <c r="AS323" s="190" t="str">
        <f>IF(OR(AG323="",AH323=""),"No",IF(AND(G323="Horizontal",AH323&gt;='Eff. Standards &amp; Certifications'!$B$21,AG323&lt;='Eff. Standards &amp; Certifications'!$C$21),"Consider",IF(AND(G323="Vertical",AH323&gt;='Eff. Standards &amp; Certifications'!$B$20,AG323&lt;='Eff. Standards &amp; Certifications'!$C$20),"Consider","No")))</f>
        <v>No</v>
      </c>
      <c r="AT323" s="190" t="str">
        <f t="shared" si="139"/>
        <v>Residential</v>
      </c>
      <c r="AU323" s="190"/>
      <c r="AV323" s="190" t="str">
        <f t="shared" ref="AV323:AW342" si="165">IF(AND($G323=AV$18,$AS323="Consider",$AT323="Residential",$AH323&gt;=AV$3,$AH323&lt;=AV$4,$AG323&gt;=AV$5,$AG323&lt;=AV$6),"YES","NO")</f>
        <v>NO</v>
      </c>
      <c r="AW323" s="190" t="str">
        <f t="shared" si="165"/>
        <v>NO</v>
      </c>
      <c r="AX323" s="190" t="str">
        <f t="shared" si="155"/>
        <v>NO</v>
      </c>
      <c r="AY323" s="190" t="str">
        <f t="shared" si="140"/>
        <v>NO</v>
      </c>
      <c r="AZ323" s="190" t="str">
        <f t="shared" si="140"/>
        <v>NO</v>
      </c>
      <c r="BA323" s="190" t="str">
        <f t="shared" si="156"/>
        <v>NO</v>
      </c>
      <c r="BB323" s="190" t="str">
        <f t="shared" si="141"/>
        <v>NO</v>
      </c>
      <c r="BC323" s="190" t="str">
        <f t="shared" si="142"/>
        <v>NO</v>
      </c>
      <c r="BD323" s="190" t="str">
        <f t="shared" si="157"/>
        <v>NO</v>
      </c>
      <c r="BE323" s="190" t="str">
        <f t="shared" si="143"/>
        <v>NO</v>
      </c>
      <c r="BF323" s="190" t="str">
        <f t="shared" si="144"/>
        <v>NO</v>
      </c>
      <c r="BG323" s="190" t="str">
        <f t="shared" si="145"/>
        <v>NO</v>
      </c>
      <c r="BH323" s="88"/>
      <c r="BI323" s="9"/>
      <c r="BJ323" s="694" t="str">
        <f t="shared" ref="BJ323:BK342" si="166">IF(AND($G323=BJ$21,$AT323="Residential",$AS323="Consider"),$X323,"")</f>
        <v/>
      </c>
      <c r="BK323" s="694" t="str">
        <f t="shared" si="166"/>
        <v/>
      </c>
      <c r="BL323" s="694" t="str">
        <f t="shared" ref="BL323:BM342" si="167">IF(AND($G323=BL$21,$AT323="Residential",$AS323="Consider"),$Y323,"")</f>
        <v/>
      </c>
      <c r="BM323" s="694" t="str">
        <f t="shared" si="167"/>
        <v/>
      </c>
      <c r="BN323" s="88"/>
      <c r="BO323" s="195"/>
      <c r="BP323" s="195"/>
      <c r="BQ323" s="195"/>
      <c r="BR323" s="195"/>
      <c r="BS323" s="195"/>
      <c r="BT323" s="195"/>
      <c r="BU323" s="195"/>
      <c r="BV323" s="195"/>
      <c r="BW323" s="195"/>
      <c r="BX323" s="195"/>
    </row>
    <row r="324" spans="1:76" s="124" customFormat="1" ht="15">
      <c r="A324" s="187">
        <v>2954</v>
      </c>
      <c r="B324" s="187" t="s">
        <v>625</v>
      </c>
      <c r="C324" s="187" t="s">
        <v>459</v>
      </c>
      <c r="D324" s="187" t="s">
        <v>670</v>
      </c>
      <c r="E324" s="187" t="s">
        <v>392</v>
      </c>
      <c r="F324" s="187" t="s">
        <v>386</v>
      </c>
      <c r="G324" s="187" t="s">
        <v>393</v>
      </c>
      <c r="H324" s="187" t="b">
        <v>0</v>
      </c>
      <c r="I324" s="187" t="s">
        <v>388</v>
      </c>
      <c r="J324" s="187" t="s">
        <v>389</v>
      </c>
      <c r="K324" s="187" t="b">
        <v>1</v>
      </c>
      <c r="L324" s="187">
        <v>3.2</v>
      </c>
      <c r="M324" s="187">
        <v>1</v>
      </c>
      <c r="N324" s="187">
        <v>37.020000000000003</v>
      </c>
      <c r="O324" s="187">
        <v>11.6</v>
      </c>
      <c r="P324" s="187">
        <v>3.21</v>
      </c>
      <c r="Q324" s="187"/>
      <c r="R324" s="187"/>
      <c r="S324" s="187"/>
      <c r="T324" s="187"/>
      <c r="U324" s="187">
        <v>54</v>
      </c>
      <c r="V324" s="187">
        <v>1.31</v>
      </c>
      <c r="W324" s="188">
        <v>39371</v>
      </c>
      <c r="X324" s="691">
        <f t="shared" si="164"/>
        <v>0.88059999999999994</v>
      </c>
      <c r="Y324" s="691">
        <f t="shared" si="138"/>
        <v>11.99934</v>
      </c>
      <c r="Z324" s="189"/>
      <c r="AA324" s="190">
        <f t="shared" si="146"/>
        <v>2007</v>
      </c>
      <c r="AB324" s="191">
        <f t="shared" si="147"/>
        <v>3.6338859868271638</v>
      </c>
      <c r="AC324" s="192">
        <f>IF(AB324="","",AB324*SFAssumptions!$C$3)</f>
        <v>932.8668635021578</v>
      </c>
      <c r="AD324" s="193">
        <f t="shared" si="148"/>
        <v>38.397888000000002</v>
      </c>
      <c r="AE324" s="194">
        <f>IF(AD324="","",AD324*SFAssumptions!$C$3)</f>
        <v>9857.2485415104002</v>
      </c>
      <c r="AF324" s="192">
        <f t="shared" si="137"/>
        <v>3.2</v>
      </c>
      <c r="AG324" s="192">
        <f t="shared" si="149"/>
        <v>11.99934</v>
      </c>
      <c r="AH324" s="192">
        <f t="shared" si="150"/>
        <v>0.88059999999999994</v>
      </c>
      <c r="AI324" s="692">
        <f ca="1">IF(AC324="","",AC324*SFAssumptions!$C$8/'SavingsData&amp;Analysis'!AF324)</f>
        <v>1101.0765477171335</v>
      </c>
      <c r="AJ324" s="692">
        <f ca="1">IF(OR(AE324="",AF324=""),"",AE324*SFAssumptions!$C$8/AF324)</f>
        <v>11634.656153751266</v>
      </c>
      <c r="AK324" s="191">
        <f t="shared" si="151"/>
        <v>2.4427480916030535</v>
      </c>
      <c r="AL324" s="692">
        <f>IF(AK324="","",AK324*SFAssumptions!$C$3)</f>
        <v>627.08592366412222</v>
      </c>
      <c r="AM324" s="193">
        <f t="shared" si="152"/>
        <v>37.119999999999997</v>
      </c>
      <c r="AN324" s="194">
        <f>IF(AM324="","",AM324*SFAssumptions!$C$3)</f>
        <v>9529.1976959999993</v>
      </c>
      <c r="AO324" s="693">
        <f t="shared" si="153"/>
        <v>11.6</v>
      </c>
      <c r="AP324" s="693">
        <f t="shared" si="154"/>
        <v>1.31</v>
      </c>
      <c r="AQ324" s="692">
        <f ca="1">IF(AL324="","",AL324*SFAssumptions!$C$8/'SavingsData&amp;Analysis'!AF324)</f>
        <v>740.15878467153266</v>
      </c>
      <c r="AR324" s="692">
        <f ca="1">IF(OR(AN324="",AF324=""),"",AN324*SFAssumptions!$C$8/AF324)</f>
        <v>11247.452891868608</v>
      </c>
      <c r="AS324" s="190" t="str">
        <f>IF(OR(AG324="",AH324=""),"No",IF(AND(G324="Horizontal",AH324&gt;='Eff. Standards &amp; Certifications'!$B$21,AG324&lt;='Eff. Standards &amp; Certifications'!$C$21),"Consider",IF(AND(G324="Vertical",AH324&gt;='Eff. Standards &amp; Certifications'!$B$20,AG324&lt;='Eff. Standards &amp; Certifications'!$C$20),"Consider","No")))</f>
        <v>No</v>
      </c>
      <c r="AT324" s="190" t="str">
        <f t="shared" si="139"/>
        <v>Residential</v>
      </c>
      <c r="AU324" s="190"/>
      <c r="AV324" s="190" t="str">
        <f t="shared" si="165"/>
        <v>NO</v>
      </c>
      <c r="AW324" s="190" t="str">
        <f t="shared" si="165"/>
        <v>NO</v>
      </c>
      <c r="AX324" s="190" t="str">
        <f t="shared" si="155"/>
        <v>NO</v>
      </c>
      <c r="AY324" s="190" t="str">
        <f t="shared" si="140"/>
        <v>NO</v>
      </c>
      <c r="AZ324" s="190" t="str">
        <f t="shared" si="140"/>
        <v>NO</v>
      </c>
      <c r="BA324" s="190" t="str">
        <f t="shared" si="156"/>
        <v>NO</v>
      </c>
      <c r="BB324" s="190" t="str">
        <f t="shared" si="141"/>
        <v>NO</v>
      </c>
      <c r="BC324" s="190" t="str">
        <f t="shared" si="142"/>
        <v>NO</v>
      </c>
      <c r="BD324" s="190" t="str">
        <f t="shared" si="157"/>
        <v>NO</v>
      </c>
      <c r="BE324" s="190" t="str">
        <f t="shared" si="143"/>
        <v>NO</v>
      </c>
      <c r="BF324" s="190" t="str">
        <f t="shared" si="144"/>
        <v>NO</v>
      </c>
      <c r="BG324" s="190" t="str">
        <f t="shared" si="145"/>
        <v>NO</v>
      </c>
      <c r="BH324" s="88"/>
      <c r="BI324" s="9"/>
      <c r="BJ324" s="694" t="str">
        <f t="shared" si="166"/>
        <v/>
      </c>
      <c r="BK324" s="694" t="str">
        <f t="shared" si="166"/>
        <v/>
      </c>
      <c r="BL324" s="694" t="str">
        <f t="shared" si="167"/>
        <v/>
      </c>
      <c r="BM324" s="694" t="str">
        <f t="shared" si="167"/>
        <v/>
      </c>
      <c r="BN324" s="88"/>
      <c r="BO324" s="195"/>
      <c r="BP324" s="195"/>
      <c r="BQ324" s="195"/>
      <c r="BR324" s="195"/>
      <c r="BS324" s="195"/>
      <c r="BT324" s="195"/>
      <c r="BU324" s="195"/>
      <c r="BV324" s="195"/>
      <c r="BW324" s="195"/>
      <c r="BX324" s="195"/>
    </row>
    <row r="325" spans="1:76" s="124" customFormat="1" ht="15">
      <c r="A325" s="187">
        <v>2957</v>
      </c>
      <c r="B325" s="187" t="s">
        <v>625</v>
      </c>
      <c r="C325" s="187" t="s">
        <v>459</v>
      </c>
      <c r="D325" s="187" t="s">
        <v>671</v>
      </c>
      <c r="E325" s="187" t="s">
        <v>392</v>
      </c>
      <c r="F325" s="187" t="s">
        <v>386</v>
      </c>
      <c r="G325" s="187" t="s">
        <v>393</v>
      </c>
      <c r="H325" s="187" t="b">
        <v>0</v>
      </c>
      <c r="I325" s="187" t="s">
        <v>388</v>
      </c>
      <c r="J325" s="187" t="s">
        <v>389</v>
      </c>
      <c r="K325" s="187" t="b">
        <v>1</v>
      </c>
      <c r="L325" s="187">
        <v>3.2</v>
      </c>
      <c r="M325" s="187">
        <v>1.07</v>
      </c>
      <c r="N325" s="187">
        <v>36.49</v>
      </c>
      <c r="O325" s="187">
        <v>11.5</v>
      </c>
      <c r="P325" s="187">
        <v>2.95</v>
      </c>
      <c r="Q325" s="187"/>
      <c r="R325" s="187"/>
      <c r="S325" s="187"/>
      <c r="T325" s="187"/>
      <c r="U325" s="187">
        <v>53.3</v>
      </c>
      <c r="V325" s="187">
        <v>1.28</v>
      </c>
      <c r="W325" s="188">
        <v>39371</v>
      </c>
      <c r="X325" s="691">
        <f t="shared" si="164"/>
        <v>0.8509000000000001</v>
      </c>
      <c r="Y325" s="691">
        <f t="shared" si="138"/>
        <v>11.900450000000001</v>
      </c>
      <c r="Z325" s="189"/>
      <c r="AA325" s="190">
        <f t="shared" si="146"/>
        <v>2007</v>
      </c>
      <c r="AB325" s="191">
        <f t="shared" si="147"/>
        <v>3.7607239393583263</v>
      </c>
      <c r="AC325" s="192">
        <f>IF(AB325="","",AB325*SFAssumptions!$C$3)</f>
        <v>965.42785286167589</v>
      </c>
      <c r="AD325" s="193">
        <f t="shared" si="148"/>
        <v>38.081440000000008</v>
      </c>
      <c r="AE325" s="194">
        <f>IF(AD325="","",AD325*SFAssumptions!$C$3)</f>
        <v>9776.0121311520015</v>
      </c>
      <c r="AF325" s="192">
        <f t="shared" si="137"/>
        <v>3.2</v>
      </c>
      <c r="AG325" s="192">
        <f t="shared" si="149"/>
        <v>11.900450000000001</v>
      </c>
      <c r="AH325" s="192">
        <f t="shared" si="150"/>
        <v>0.8509000000000001</v>
      </c>
      <c r="AI325" s="692">
        <f ca="1">IF(AC325="","",AC325*SFAssumptions!$C$8/'SavingsData&amp;Analysis'!AF325)</f>
        <v>1139.5087647428695</v>
      </c>
      <c r="AJ325" s="692">
        <f ca="1">IF(OR(AE325="",AF325=""),"",AE325*SFAssumptions!$C$8/AF325)</f>
        <v>11538.771617848088</v>
      </c>
      <c r="AK325" s="191">
        <f t="shared" si="151"/>
        <v>2.5</v>
      </c>
      <c r="AL325" s="692">
        <f>IF(AK325="","",AK325*SFAssumptions!$C$3)</f>
        <v>641.78324999999995</v>
      </c>
      <c r="AM325" s="193">
        <f t="shared" si="152"/>
        <v>36.800000000000004</v>
      </c>
      <c r="AN325" s="194">
        <f>IF(AM325="","",AM325*SFAssumptions!$C$3)</f>
        <v>9447.0494400000007</v>
      </c>
      <c r="AO325" s="693">
        <f t="shared" si="153"/>
        <v>11.5</v>
      </c>
      <c r="AP325" s="693">
        <f t="shared" si="154"/>
        <v>1.28</v>
      </c>
      <c r="AQ325" s="692">
        <f ca="1">IF(AL325="","",AL325*SFAssumptions!$C$8/'SavingsData&amp;Analysis'!AF325)</f>
        <v>757.50625618727156</v>
      </c>
      <c r="AR325" s="692">
        <f ca="1">IF(OR(AN325="",AF325=""),"",AN325*SFAssumptions!$C$8/AF325)</f>
        <v>11150.49209107664</v>
      </c>
      <c r="AS325" s="190" t="str">
        <f>IF(OR(AG325="",AH325=""),"No",IF(AND(G325="Horizontal",AH325&gt;='Eff. Standards &amp; Certifications'!$B$21,AG325&lt;='Eff. Standards &amp; Certifications'!$C$21),"Consider",IF(AND(G325="Vertical",AH325&gt;='Eff. Standards &amp; Certifications'!$B$20,AG325&lt;='Eff. Standards &amp; Certifications'!$C$20),"Consider","No")))</f>
        <v>No</v>
      </c>
      <c r="AT325" s="190" t="str">
        <f t="shared" si="139"/>
        <v>Residential</v>
      </c>
      <c r="AU325" s="190"/>
      <c r="AV325" s="190" t="str">
        <f t="shared" si="165"/>
        <v>NO</v>
      </c>
      <c r="AW325" s="190" t="str">
        <f t="shared" si="165"/>
        <v>NO</v>
      </c>
      <c r="AX325" s="190" t="str">
        <f t="shared" si="155"/>
        <v>NO</v>
      </c>
      <c r="AY325" s="190" t="str">
        <f t="shared" si="140"/>
        <v>NO</v>
      </c>
      <c r="AZ325" s="190" t="str">
        <f t="shared" si="140"/>
        <v>NO</v>
      </c>
      <c r="BA325" s="190" t="str">
        <f t="shared" si="156"/>
        <v>NO</v>
      </c>
      <c r="BB325" s="190" t="str">
        <f t="shared" si="141"/>
        <v>NO</v>
      </c>
      <c r="BC325" s="190" t="str">
        <f t="shared" si="142"/>
        <v>NO</v>
      </c>
      <c r="BD325" s="190" t="str">
        <f t="shared" si="157"/>
        <v>NO</v>
      </c>
      <c r="BE325" s="190" t="str">
        <f t="shared" si="143"/>
        <v>NO</v>
      </c>
      <c r="BF325" s="190" t="str">
        <f t="shared" si="144"/>
        <v>NO</v>
      </c>
      <c r="BG325" s="190" t="str">
        <f t="shared" si="145"/>
        <v>NO</v>
      </c>
      <c r="BH325" s="88"/>
      <c r="BI325" s="9"/>
      <c r="BJ325" s="694" t="str">
        <f t="shared" si="166"/>
        <v/>
      </c>
      <c r="BK325" s="694" t="str">
        <f t="shared" si="166"/>
        <v/>
      </c>
      <c r="BL325" s="694" t="str">
        <f t="shared" si="167"/>
        <v/>
      </c>
      <c r="BM325" s="694" t="str">
        <f t="shared" si="167"/>
        <v/>
      </c>
      <c r="BN325" s="88"/>
      <c r="BO325" s="195"/>
      <c r="BP325" s="195"/>
      <c r="BQ325" s="195"/>
      <c r="BR325" s="195"/>
      <c r="BS325" s="195"/>
      <c r="BT325" s="195"/>
      <c r="BU325" s="195"/>
      <c r="BV325" s="195"/>
      <c r="BW325" s="195"/>
      <c r="BX325" s="195"/>
    </row>
    <row r="326" spans="1:76" s="124" customFormat="1" ht="15">
      <c r="A326" s="187">
        <v>2960</v>
      </c>
      <c r="B326" s="187" t="s">
        <v>625</v>
      </c>
      <c r="C326" s="187" t="s">
        <v>459</v>
      </c>
      <c r="D326" s="187" t="s">
        <v>672</v>
      </c>
      <c r="E326" s="187" t="s">
        <v>392</v>
      </c>
      <c r="F326" s="187" t="s">
        <v>386</v>
      </c>
      <c r="G326" s="187" t="s">
        <v>393</v>
      </c>
      <c r="H326" s="187" t="b">
        <v>0</v>
      </c>
      <c r="I326" s="187" t="s">
        <v>388</v>
      </c>
      <c r="J326" s="187" t="s">
        <v>389</v>
      </c>
      <c r="K326" s="187" t="b">
        <v>1</v>
      </c>
      <c r="L326" s="187">
        <v>3.2</v>
      </c>
      <c r="M326" s="187">
        <v>1.01</v>
      </c>
      <c r="N326" s="187">
        <v>36.409999999999997</v>
      </c>
      <c r="O326" s="187">
        <v>11.5</v>
      </c>
      <c r="P326" s="187">
        <v>3.14</v>
      </c>
      <c r="Q326" s="187"/>
      <c r="R326" s="187"/>
      <c r="S326" s="187"/>
      <c r="T326" s="187"/>
      <c r="U326" s="187">
        <v>54.1</v>
      </c>
      <c r="V326" s="187">
        <v>1.31</v>
      </c>
      <c r="W326" s="188">
        <v>39371</v>
      </c>
      <c r="X326" s="691">
        <f t="shared" si="164"/>
        <v>0.88059999999999994</v>
      </c>
      <c r="Y326" s="691">
        <f t="shared" si="138"/>
        <v>11.900450000000001</v>
      </c>
      <c r="Z326" s="189"/>
      <c r="AA326" s="190">
        <f t="shared" si="146"/>
        <v>2007</v>
      </c>
      <c r="AB326" s="191">
        <f t="shared" si="147"/>
        <v>3.6338859868271638</v>
      </c>
      <c r="AC326" s="192">
        <f>IF(AB326="","",AB326*SFAssumptions!$C$3)</f>
        <v>932.8668635021578</v>
      </c>
      <c r="AD326" s="193">
        <f t="shared" si="148"/>
        <v>38.081440000000008</v>
      </c>
      <c r="AE326" s="194">
        <f>IF(AD326="","",AD326*SFAssumptions!$C$3)</f>
        <v>9776.0121311520015</v>
      </c>
      <c r="AF326" s="192">
        <f t="shared" si="137"/>
        <v>3.2</v>
      </c>
      <c r="AG326" s="192">
        <f t="shared" si="149"/>
        <v>11.900450000000001</v>
      </c>
      <c r="AH326" s="192">
        <f t="shared" si="150"/>
        <v>0.88059999999999994</v>
      </c>
      <c r="AI326" s="692">
        <f ca="1">IF(AC326="","",AC326*SFAssumptions!$C$8/'SavingsData&amp;Analysis'!AF326)</f>
        <v>1101.0765477171335</v>
      </c>
      <c r="AJ326" s="692">
        <f ca="1">IF(OR(AE326="",AF326=""),"",AE326*SFAssumptions!$C$8/AF326)</f>
        <v>11538.771617848088</v>
      </c>
      <c r="AK326" s="191">
        <f t="shared" si="151"/>
        <v>2.4427480916030535</v>
      </c>
      <c r="AL326" s="692">
        <f>IF(AK326="","",AK326*SFAssumptions!$C$3)</f>
        <v>627.08592366412222</v>
      </c>
      <c r="AM326" s="193">
        <f t="shared" si="152"/>
        <v>36.800000000000004</v>
      </c>
      <c r="AN326" s="194">
        <f>IF(AM326="","",AM326*SFAssumptions!$C$3)</f>
        <v>9447.0494400000007</v>
      </c>
      <c r="AO326" s="693">
        <f t="shared" si="153"/>
        <v>11.5</v>
      </c>
      <c r="AP326" s="693">
        <f t="shared" si="154"/>
        <v>1.31</v>
      </c>
      <c r="AQ326" s="692">
        <f ca="1">IF(AL326="","",AL326*SFAssumptions!$C$8/'SavingsData&amp;Analysis'!AF326)</f>
        <v>740.15878467153266</v>
      </c>
      <c r="AR326" s="692">
        <f ca="1">IF(OR(AN326="",AF326=""),"",AN326*SFAssumptions!$C$8/AF326)</f>
        <v>11150.49209107664</v>
      </c>
      <c r="AS326" s="190" t="str">
        <f>IF(OR(AG326="",AH326=""),"No",IF(AND(G326="Horizontal",AH326&gt;='Eff. Standards &amp; Certifications'!$B$21,AG326&lt;='Eff. Standards &amp; Certifications'!$C$21),"Consider",IF(AND(G326="Vertical",AH326&gt;='Eff. Standards &amp; Certifications'!$B$20,AG326&lt;='Eff. Standards &amp; Certifications'!$C$20),"Consider","No")))</f>
        <v>No</v>
      </c>
      <c r="AT326" s="190" t="str">
        <f t="shared" si="139"/>
        <v>Residential</v>
      </c>
      <c r="AU326" s="190"/>
      <c r="AV326" s="190" t="str">
        <f t="shared" si="165"/>
        <v>NO</v>
      </c>
      <c r="AW326" s="190" t="str">
        <f t="shared" si="165"/>
        <v>NO</v>
      </c>
      <c r="AX326" s="190" t="str">
        <f t="shared" si="155"/>
        <v>NO</v>
      </c>
      <c r="AY326" s="190" t="str">
        <f t="shared" si="140"/>
        <v>NO</v>
      </c>
      <c r="AZ326" s="190" t="str">
        <f t="shared" si="140"/>
        <v>NO</v>
      </c>
      <c r="BA326" s="190" t="str">
        <f t="shared" si="156"/>
        <v>NO</v>
      </c>
      <c r="BB326" s="190" t="str">
        <f t="shared" si="141"/>
        <v>NO</v>
      </c>
      <c r="BC326" s="190" t="str">
        <f t="shared" si="142"/>
        <v>NO</v>
      </c>
      <c r="BD326" s="190" t="str">
        <f t="shared" si="157"/>
        <v>NO</v>
      </c>
      <c r="BE326" s="190" t="str">
        <f t="shared" si="143"/>
        <v>NO</v>
      </c>
      <c r="BF326" s="190" t="str">
        <f t="shared" si="144"/>
        <v>NO</v>
      </c>
      <c r="BG326" s="190" t="str">
        <f t="shared" si="145"/>
        <v>NO</v>
      </c>
      <c r="BH326" s="88"/>
      <c r="BI326" s="9"/>
      <c r="BJ326" s="694" t="str">
        <f t="shared" si="166"/>
        <v/>
      </c>
      <c r="BK326" s="694" t="str">
        <f t="shared" si="166"/>
        <v/>
      </c>
      <c r="BL326" s="694" t="str">
        <f t="shared" si="167"/>
        <v/>
      </c>
      <c r="BM326" s="694" t="str">
        <f t="shared" si="167"/>
        <v/>
      </c>
      <c r="BN326" s="88"/>
      <c r="BO326" s="195"/>
      <c r="BP326" s="195"/>
      <c r="BQ326" s="195"/>
      <c r="BR326" s="195"/>
      <c r="BS326" s="195"/>
      <c r="BT326" s="195"/>
      <c r="BU326" s="195"/>
      <c r="BV326" s="195"/>
      <c r="BW326" s="195"/>
      <c r="BX326" s="195"/>
    </row>
    <row r="327" spans="1:76" s="124" customFormat="1" ht="15">
      <c r="A327" s="187">
        <v>2961</v>
      </c>
      <c r="B327" s="187" t="s">
        <v>625</v>
      </c>
      <c r="C327" s="187" t="s">
        <v>459</v>
      </c>
      <c r="D327" s="187" t="s">
        <v>673</v>
      </c>
      <c r="E327" s="187" t="s">
        <v>392</v>
      </c>
      <c r="F327" s="187" t="s">
        <v>386</v>
      </c>
      <c r="G327" s="187" t="s">
        <v>393</v>
      </c>
      <c r="H327" s="187" t="b">
        <v>0</v>
      </c>
      <c r="I327" s="187" t="s">
        <v>388</v>
      </c>
      <c r="J327" s="187" t="s">
        <v>389</v>
      </c>
      <c r="K327" s="187" t="b">
        <v>1</v>
      </c>
      <c r="L327" s="187">
        <v>3.2</v>
      </c>
      <c r="M327" s="187">
        <v>1.0900000000000001</v>
      </c>
      <c r="N327" s="187">
        <v>37.17</v>
      </c>
      <c r="O327" s="187">
        <v>11.7</v>
      </c>
      <c r="P327" s="187">
        <v>2.91</v>
      </c>
      <c r="Q327" s="187"/>
      <c r="R327" s="187"/>
      <c r="S327" s="187"/>
      <c r="T327" s="187"/>
      <c r="U327" s="187">
        <v>53.3</v>
      </c>
      <c r="V327" s="187">
        <v>1.28</v>
      </c>
      <c r="W327" s="188">
        <v>39371</v>
      </c>
      <c r="X327" s="691">
        <f t="shared" si="164"/>
        <v>0.8509000000000001</v>
      </c>
      <c r="Y327" s="691">
        <f t="shared" si="138"/>
        <v>12.098229999999999</v>
      </c>
      <c r="Z327" s="189"/>
      <c r="AA327" s="190">
        <f t="shared" si="146"/>
        <v>2007</v>
      </c>
      <c r="AB327" s="191">
        <f t="shared" si="147"/>
        <v>3.7607239393583263</v>
      </c>
      <c r="AC327" s="192">
        <f>IF(AB327="","",AB327*SFAssumptions!$C$3)</f>
        <v>965.42785286167589</v>
      </c>
      <c r="AD327" s="193">
        <f t="shared" si="148"/>
        <v>38.714336000000003</v>
      </c>
      <c r="AE327" s="194">
        <f>IF(AD327="","",AD327*SFAssumptions!$C$3)</f>
        <v>9938.4849518688006</v>
      </c>
      <c r="AF327" s="192">
        <f t="shared" si="137"/>
        <v>3.2</v>
      </c>
      <c r="AG327" s="192">
        <f t="shared" si="149"/>
        <v>12.098229999999999</v>
      </c>
      <c r="AH327" s="192">
        <f t="shared" si="150"/>
        <v>0.8509000000000001</v>
      </c>
      <c r="AI327" s="692">
        <f ca="1">IF(AC327="","",AC327*SFAssumptions!$C$8/'SavingsData&amp;Analysis'!AF327)</f>
        <v>1139.5087647428695</v>
      </c>
      <c r="AJ327" s="692">
        <f ca="1">IF(OR(AE327="",AF327=""),"",AE327*SFAssumptions!$C$8/AF327)</f>
        <v>11730.540689654446</v>
      </c>
      <c r="AK327" s="191">
        <f t="shared" si="151"/>
        <v>2.5</v>
      </c>
      <c r="AL327" s="692">
        <f>IF(AK327="","",AK327*SFAssumptions!$C$3)</f>
        <v>641.78324999999995</v>
      </c>
      <c r="AM327" s="193">
        <f t="shared" si="152"/>
        <v>37.44</v>
      </c>
      <c r="AN327" s="194">
        <f>IF(AM327="","",AM327*SFAssumptions!$C$3)</f>
        <v>9611.3459519999997</v>
      </c>
      <c r="AO327" s="693">
        <f t="shared" si="153"/>
        <v>11.7</v>
      </c>
      <c r="AP327" s="693">
        <f t="shared" si="154"/>
        <v>1.28</v>
      </c>
      <c r="AQ327" s="692">
        <f ca="1">IF(AL327="","",AL327*SFAssumptions!$C$8/'SavingsData&amp;Analysis'!AF327)</f>
        <v>757.50625618727156</v>
      </c>
      <c r="AR327" s="692">
        <f ca="1">IF(OR(AN327="",AF327=""),"",AN327*SFAssumptions!$C$8/AF327)</f>
        <v>11344.413692660579</v>
      </c>
      <c r="AS327" s="190" t="str">
        <f>IF(OR(AG327="",AH327=""),"No",IF(AND(G327="Horizontal",AH327&gt;='Eff. Standards &amp; Certifications'!$B$21,AG327&lt;='Eff. Standards &amp; Certifications'!$C$21),"Consider",IF(AND(G327="Vertical",AH327&gt;='Eff. Standards &amp; Certifications'!$B$20,AG327&lt;='Eff. Standards &amp; Certifications'!$C$20),"Consider","No")))</f>
        <v>No</v>
      </c>
      <c r="AT327" s="190" t="str">
        <f t="shared" si="139"/>
        <v>Residential</v>
      </c>
      <c r="AU327" s="190"/>
      <c r="AV327" s="190" t="str">
        <f t="shared" si="165"/>
        <v>NO</v>
      </c>
      <c r="AW327" s="190" t="str">
        <f t="shared" si="165"/>
        <v>NO</v>
      </c>
      <c r="AX327" s="190" t="str">
        <f t="shared" si="155"/>
        <v>NO</v>
      </c>
      <c r="AY327" s="190" t="str">
        <f t="shared" si="140"/>
        <v>NO</v>
      </c>
      <c r="AZ327" s="190" t="str">
        <f t="shared" si="140"/>
        <v>NO</v>
      </c>
      <c r="BA327" s="190" t="str">
        <f t="shared" si="156"/>
        <v>NO</v>
      </c>
      <c r="BB327" s="190" t="str">
        <f t="shared" si="141"/>
        <v>NO</v>
      </c>
      <c r="BC327" s="190" t="str">
        <f t="shared" si="142"/>
        <v>NO</v>
      </c>
      <c r="BD327" s="190" t="str">
        <f t="shared" si="157"/>
        <v>NO</v>
      </c>
      <c r="BE327" s="190" t="str">
        <f t="shared" si="143"/>
        <v>NO</v>
      </c>
      <c r="BF327" s="190" t="str">
        <f t="shared" si="144"/>
        <v>NO</v>
      </c>
      <c r="BG327" s="190" t="str">
        <f t="shared" si="145"/>
        <v>NO</v>
      </c>
      <c r="BH327" s="88"/>
      <c r="BI327" s="9"/>
      <c r="BJ327" s="694" t="str">
        <f t="shared" si="166"/>
        <v/>
      </c>
      <c r="BK327" s="694" t="str">
        <f t="shared" si="166"/>
        <v/>
      </c>
      <c r="BL327" s="694" t="str">
        <f t="shared" si="167"/>
        <v/>
      </c>
      <c r="BM327" s="694" t="str">
        <f t="shared" si="167"/>
        <v/>
      </c>
      <c r="BN327" s="88"/>
      <c r="BO327" s="195"/>
      <c r="BP327" s="195"/>
      <c r="BQ327" s="195"/>
      <c r="BR327" s="195"/>
      <c r="BS327" s="195"/>
      <c r="BT327" s="195"/>
      <c r="BU327" s="195"/>
      <c r="BV327" s="195"/>
      <c r="BW327" s="195"/>
      <c r="BX327" s="195"/>
    </row>
    <row r="328" spans="1:76" s="124" customFormat="1" ht="15">
      <c r="A328" s="187">
        <v>2967</v>
      </c>
      <c r="B328" s="187" t="s">
        <v>625</v>
      </c>
      <c r="C328" s="187" t="s">
        <v>459</v>
      </c>
      <c r="D328" s="187" t="s">
        <v>674</v>
      </c>
      <c r="E328" s="187" t="s">
        <v>392</v>
      </c>
      <c r="F328" s="187" t="s">
        <v>386</v>
      </c>
      <c r="G328" s="187" t="s">
        <v>393</v>
      </c>
      <c r="H328" s="187" t="b">
        <v>0</v>
      </c>
      <c r="I328" s="187" t="s">
        <v>388</v>
      </c>
      <c r="J328" s="187" t="s">
        <v>389</v>
      </c>
      <c r="K328" s="187" t="b">
        <v>1</v>
      </c>
      <c r="L328" s="187">
        <v>3.2</v>
      </c>
      <c r="M328" s="187">
        <v>1.05</v>
      </c>
      <c r="N328" s="187">
        <v>36.94</v>
      </c>
      <c r="O328" s="187">
        <v>11.7</v>
      </c>
      <c r="P328" s="187">
        <v>3.01</v>
      </c>
      <c r="Q328" s="187"/>
      <c r="R328" s="187"/>
      <c r="S328" s="187"/>
      <c r="T328" s="187"/>
      <c r="U328" s="187">
        <v>53.5</v>
      </c>
      <c r="V328" s="187">
        <v>1.29</v>
      </c>
      <c r="W328" s="188">
        <v>39371</v>
      </c>
      <c r="X328" s="691">
        <f t="shared" si="164"/>
        <v>0.86080000000000012</v>
      </c>
      <c r="Y328" s="691">
        <f t="shared" si="138"/>
        <v>12.098229999999999</v>
      </c>
      <c r="Z328" s="189"/>
      <c r="AA328" s="190">
        <f t="shared" si="146"/>
        <v>2007</v>
      </c>
      <c r="AB328" s="191">
        <f t="shared" si="147"/>
        <v>3.7174721189591073</v>
      </c>
      <c r="AC328" s="192">
        <f>IF(AB328="","",AB328*SFAssumptions!$C$3)</f>
        <v>954.32453531598503</v>
      </c>
      <c r="AD328" s="193">
        <f t="shared" si="148"/>
        <v>38.714336000000003</v>
      </c>
      <c r="AE328" s="194">
        <f>IF(AD328="","",AD328*SFAssumptions!$C$3)</f>
        <v>9938.4849518688006</v>
      </c>
      <c r="AF328" s="192">
        <f t="shared" si="137"/>
        <v>3.2</v>
      </c>
      <c r="AG328" s="192">
        <f t="shared" si="149"/>
        <v>12.098229999999999</v>
      </c>
      <c r="AH328" s="192">
        <f t="shared" si="150"/>
        <v>0.86080000000000012</v>
      </c>
      <c r="AI328" s="692">
        <f ca="1">IF(AC328="","",AC328*SFAssumptions!$C$8/'SavingsData&amp;Analysis'!AF328)</f>
        <v>1126.4033549253106</v>
      </c>
      <c r="AJ328" s="692">
        <f ca="1">IF(OR(AE328="",AF328=""),"",AE328*SFAssumptions!$C$8/AF328)</f>
        <v>11730.540689654446</v>
      </c>
      <c r="AK328" s="191">
        <f t="shared" si="151"/>
        <v>2.4806201550387597</v>
      </c>
      <c r="AL328" s="692">
        <f>IF(AK328="","",AK328*SFAssumptions!$C$3)</f>
        <v>636.80818604651165</v>
      </c>
      <c r="AM328" s="193">
        <f t="shared" si="152"/>
        <v>37.44</v>
      </c>
      <c r="AN328" s="194">
        <f>IF(AM328="","",AM328*SFAssumptions!$C$3)</f>
        <v>9611.3459519999997</v>
      </c>
      <c r="AO328" s="693">
        <f t="shared" si="153"/>
        <v>11.7</v>
      </c>
      <c r="AP328" s="693">
        <f t="shared" si="154"/>
        <v>1.29</v>
      </c>
      <c r="AQ328" s="692">
        <f ca="1">IF(AL328="","",AL328*SFAssumptions!$C$8/'SavingsData&amp;Analysis'!AF328)</f>
        <v>751.63411466644004</v>
      </c>
      <c r="AR328" s="692">
        <f ca="1">IF(OR(AN328="",AF328=""),"",AN328*SFAssumptions!$C$8/AF328)</f>
        <v>11344.413692660579</v>
      </c>
      <c r="AS328" s="190" t="str">
        <f>IF(OR(AG328="",AH328=""),"No",IF(AND(G328="Horizontal",AH328&gt;='Eff. Standards &amp; Certifications'!$B$21,AG328&lt;='Eff. Standards &amp; Certifications'!$C$21),"Consider",IF(AND(G328="Vertical",AH328&gt;='Eff. Standards &amp; Certifications'!$B$20,AG328&lt;='Eff. Standards &amp; Certifications'!$C$20),"Consider","No")))</f>
        <v>No</v>
      </c>
      <c r="AT328" s="190" t="str">
        <f t="shared" si="139"/>
        <v>Residential</v>
      </c>
      <c r="AU328" s="190"/>
      <c r="AV328" s="190" t="str">
        <f t="shared" si="165"/>
        <v>NO</v>
      </c>
      <c r="AW328" s="190" t="str">
        <f t="shared" si="165"/>
        <v>NO</v>
      </c>
      <c r="AX328" s="190" t="str">
        <f t="shared" si="155"/>
        <v>NO</v>
      </c>
      <c r="AY328" s="190" t="str">
        <f t="shared" si="140"/>
        <v>NO</v>
      </c>
      <c r="AZ328" s="190" t="str">
        <f t="shared" si="140"/>
        <v>NO</v>
      </c>
      <c r="BA328" s="190" t="str">
        <f t="shared" si="156"/>
        <v>NO</v>
      </c>
      <c r="BB328" s="190" t="str">
        <f t="shared" si="141"/>
        <v>NO</v>
      </c>
      <c r="BC328" s="190" t="str">
        <f t="shared" si="142"/>
        <v>NO</v>
      </c>
      <c r="BD328" s="190" t="str">
        <f t="shared" si="157"/>
        <v>NO</v>
      </c>
      <c r="BE328" s="190" t="str">
        <f t="shared" si="143"/>
        <v>NO</v>
      </c>
      <c r="BF328" s="190" t="str">
        <f t="shared" si="144"/>
        <v>NO</v>
      </c>
      <c r="BG328" s="190" t="str">
        <f t="shared" si="145"/>
        <v>NO</v>
      </c>
      <c r="BH328" s="88"/>
      <c r="BI328" s="9"/>
      <c r="BJ328" s="694" t="str">
        <f t="shared" si="166"/>
        <v/>
      </c>
      <c r="BK328" s="694" t="str">
        <f t="shared" si="166"/>
        <v/>
      </c>
      <c r="BL328" s="694" t="str">
        <f t="shared" si="167"/>
        <v/>
      </c>
      <c r="BM328" s="694" t="str">
        <f t="shared" si="167"/>
        <v/>
      </c>
      <c r="BN328" s="88"/>
      <c r="BO328" s="195"/>
      <c r="BP328" s="195"/>
      <c r="BQ328" s="195"/>
      <c r="BR328" s="195"/>
      <c r="BS328" s="195"/>
      <c r="BT328" s="195"/>
      <c r="BU328" s="195"/>
      <c r="BV328" s="195"/>
      <c r="BW328" s="195"/>
      <c r="BX328" s="195"/>
    </row>
    <row r="329" spans="1:76" s="124" customFormat="1" ht="15">
      <c r="A329" s="187">
        <v>2970</v>
      </c>
      <c r="B329" s="187" t="s">
        <v>625</v>
      </c>
      <c r="C329" s="187" t="s">
        <v>459</v>
      </c>
      <c r="D329" s="187" t="s">
        <v>675</v>
      </c>
      <c r="E329" s="187" t="s">
        <v>392</v>
      </c>
      <c r="F329" s="187" t="s">
        <v>386</v>
      </c>
      <c r="G329" s="187" t="s">
        <v>393</v>
      </c>
      <c r="H329" s="187" t="b">
        <v>0</v>
      </c>
      <c r="I329" s="187" t="s">
        <v>388</v>
      </c>
      <c r="J329" s="187" t="s">
        <v>389</v>
      </c>
      <c r="K329" s="187" t="b">
        <v>1</v>
      </c>
      <c r="L329" s="187">
        <v>3.2</v>
      </c>
      <c r="M329" s="187">
        <v>1.07</v>
      </c>
      <c r="N329" s="187">
        <v>37.6</v>
      </c>
      <c r="O329" s="187">
        <v>11.9</v>
      </c>
      <c r="P329" s="187">
        <v>2.97</v>
      </c>
      <c r="Q329" s="187"/>
      <c r="R329" s="187"/>
      <c r="S329" s="187"/>
      <c r="T329" s="187"/>
      <c r="U329" s="187">
        <v>52.1</v>
      </c>
      <c r="V329" s="187">
        <v>1.31</v>
      </c>
      <c r="W329" s="188">
        <v>39371</v>
      </c>
      <c r="X329" s="691">
        <f t="shared" si="164"/>
        <v>0.88059999999999994</v>
      </c>
      <c r="Y329" s="691">
        <f t="shared" si="138"/>
        <v>12.296010000000001</v>
      </c>
      <c r="Z329" s="189"/>
      <c r="AA329" s="190">
        <f t="shared" si="146"/>
        <v>2007</v>
      </c>
      <c r="AB329" s="191">
        <f t="shared" si="147"/>
        <v>3.6338859868271638</v>
      </c>
      <c r="AC329" s="192">
        <f>IF(AB329="","",AB329*SFAssumptions!$C$3)</f>
        <v>932.8668635021578</v>
      </c>
      <c r="AD329" s="193">
        <f t="shared" si="148"/>
        <v>39.347232000000005</v>
      </c>
      <c r="AE329" s="194">
        <f>IF(AD329="","",AD329*SFAssumptions!$C$3)</f>
        <v>10100.957772585602</v>
      </c>
      <c r="AF329" s="192">
        <f t="shared" si="137"/>
        <v>3.2</v>
      </c>
      <c r="AG329" s="192">
        <f t="shared" si="149"/>
        <v>12.296010000000001</v>
      </c>
      <c r="AH329" s="192">
        <f t="shared" si="150"/>
        <v>0.88059999999999994</v>
      </c>
      <c r="AI329" s="692">
        <f ca="1">IF(AC329="","",AC329*SFAssumptions!$C$8/'SavingsData&amp;Analysis'!AF329)</f>
        <v>1101.0765477171335</v>
      </c>
      <c r="AJ329" s="692">
        <f ca="1">IF(OR(AE329="",AF329=""),"",AE329*SFAssumptions!$C$8/AF329)</f>
        <v>11922.309761460805</v>
      </c>
      <c r="AK329" s="191">
        <f t="shared" si="151"/>
        <v>2.4427480916030535</v>
      </c>
      <c r="AL329" s="692">
        <f>IF(AK329="","",AK329*SFAssumptions!$C$3)</f>
        <v>627.08592366412222</v>
      </c>
      <c r="AM329" s="193">
        <f t="shared" si="152"/>
        <v>38.080000000000005</v>
      </c>
      <c r="AN329" s="194">
        <f>IF(AM329="","",AM329*SFAssumptions!$C$3)</f>
        <v>9775.6424640000023</v>
      </c>
      <c r="AO329" s="693">
        <f t="shared" si="153"/>
        <v>11.9</v>
      </c>
      <c r="AP329" s="693">
        <f t="shared" si="154"/>
        <v>1.31</v>
      </c>
      <c r="AQ329" s="692">
        <f ca="1">IF(AL329="","",AL329*SFAssumptions!$C$8/'SavingsData&amp;Analysis'!AF329)</f>
        <v>740.15878467153266</v>
      </c>
      <c r="AR329" s="692">
        <f ca="1">IF(OR(AN329="",AF329=""),"",AN329*SFAssumptions!$C$8/AF329)</f>
        <v>11538.335294244522</v>
      </c>
      <c r="AS329" s="190" t="str">
        <f>IF(OR(AG329="",AH329=""),"No",IF(AND(G329="Horizontal",AH329&gt;='Eff. Standards &amp; Certifications'!$B$21,AG329&lt;='Eff. Standards &amp; Certifications'!$C$21),"Consider",IF(AND(G329="Vertical",AH329&gt;='Eff. Standards &amp; Certifications'!$B$20,AG329&lt;='Eff. Standards &amp; Certifications'!$C$20),"Consider","No")))</f>
        <v>No</v>
      </c>
      <c r="AT329" s="190" t="str">
        <f t="shared" si="139"/>
        <v>Residential</v>
      </c>
      <c r="AU329" s="190"/>
      <c r="AV329" s="190" t="str">
        <f t="shared" si="165"/>
        <v>NO</v>
      </c>
      <c r="AW329" s="190" t="str">
        <f t="shared" si="165"/>
        <v>NO</v>
      </c>
      <c r="AX329" s="190" t="str">
        <f t="shared" si="155"/>
        <v>NO</v>
      </c>
      <c r="AY329" s="190" t="str">
        <f t="shared" si="140"/>
        <v>NO</v>
      </c>
      <c r="AZ329" s="190" t="str">
        <f t="shared" si="140"/>
        <v>NO</v>
      </c>
      <c r="BA329" s="190" t="str">
        <f t="shared" si="156"/>
        <v>NO</v>
      </c>
      <c r="BB329" s="190" t="str">
        <f t="shared" si="141"/>
        <v>NO</v>
      </c>
      <c r="BC329" s="190" t="str">
        <f t="shared" si="142"/>
        <v>NO</v>
      </c>
      <c r="BD329" s="190" t="str">
        <f t="shared" si="157"/>
        <v>NO</v>
      </c>
      <c r="BE329" s="190" t="str">
        <f t="shared" si="143"/>
        <v>NO</v>
      </c>
      <c r="BF329" s="190" t="str">
        <f t="shared" si="144"/>
        <v>NO</v>
      </c>
      <c r="BG329" s="190" t="str">
        <f t="shared" si="145"/>
        <v>NO</v>
      </c>
      <c r="BH329" s="88"/>
      <c r="BI329" s="9"/>
      <c r="BJ329" s="694" t="str">
        <f t="shared" si="166"/>
        <v/>
      </c>
      <c r="BK329" s="694" t="str">
        <f t="shared" si="166"/>
        <v/>
      </c>
      <c r="BL329" s="694" t="str">
        <f t="shared" si="167"/>
        <v/>
      </c>
      <c r="BM329" s="694" t="str">
        <f t="shared" si="167"/>
        <v/>
      </c>
      <c r="BN329" s="88"/>
      <c r="BO329" s="195"/>
      <c r="BP329" s="195"/>
      <c r="BQ329" s="195"/>
      <c r="BR329" s="195"/>
      <c r="BS329" s="195"/>
      <c r="BT329" s="195"/>
      <c r="BU329" s="195"/>
      <c r="BV329" s="195"/>
      <c r="BW329" s="195"/>
      <c r="BX329" s="195"/>
    </row>
    <row r="330" spans="1:76" s="124" customFormat="1" ht="15">
      <c r="A330" s="187">
        <v>2971</v>
      </c>
      <c r="B330" s="187" t="s">
        <v>625</v>
      </c>
      <c r="C330" s="187" t="s">
        <v>459</v>
      </c>
      <c r="D330" s="187" t="s">
        <v>676</v>
      </c>
      <c r="E330" s="187" t="s">
        <v>392</v>
      </c>
      <c r="F330" s="187" t="s">
        <v>386</v>
      </c>
      <c r="G330" s="187" t="s">
        <v>393</v>
      </c>
      <c r="H330" s="187" t="b">
        <v>0</v>
      </c>
      <c r="I330" s="187" t="s">
        <v>388</v>
      </c>
      <c r="J330" s="187" t="s">
        <v>389</v>
      </c>
      <c r="K330" s="187" t="b">
        <v>1</v>
      </c>
      <c r="L330" s="187">
        <v>3.2</v>
      </c>
      <c r="M330" s="187">
        <v>0.99</v>
      </c>
      <c r="N330" s="187">
        <v>36.61</v>
      </c>
      <c r="O330" s="187">
        <v>11.6</v>
      </c>
      <c r="P330" s="187">
        <v>3.21</v>
      </c>
      <c r="Q330" s="187"/>
      <c r="R330" s="187"/>
      <c r="S330" s="187"/>
      <c r="T330" s="187"/>
      <c r="U330" s="187">
        <v>50.8</v>
      </c>
      <c r="V330" s="187">
        <v>1.37</v>
      </c>
      <c r="W330" s="188">
        <v>39371</v>
      </c>
      <c r="X330" s="691">
        <f t="shared" si="164"/>
        <v>0.94000000000000006</v>
      </c>
      <c r="Y330" s="691">
        <f t="shared" si="138"/>
        <v>11.99934</v>
      </c>
      <c r="Z330" s="189"/>
      <c r="AA330" s="190">
        <f t="shared" si="146"/>
        <v>2007</v>
      </c>
      <c r="AB330" s="191">
        <f t="shared" si="147"/>
        <v>3.4042553191489362</v>
      </c>
      <c r="AC330" s="192">
        <f>IF(AB330="","",AB330*SFAssumptions!$C$3)</f>
        <v>873.91761702127667</v>
      </c>
      <c r="AD330" s="193">
        <f t="shared" si="148"/>
        <v>38.397888000000002</v>
      </c>
      <c r="AE330" s="194">
        <f>IF(AD330="","",AD330*SFAssumptions!$C$3)</f>
        <v>9857.2485415104002</v>
      </c>
      <c r="AF330" s="192">
        <f t="shared" si="137"/>
        <v>3.2</v>
      </c>
      <c r="AG330" s="192">
        <f t="shared" si="149"/>
        <v>11.99934</v>
      </c>
      <c r="AH330" s="192">
        <f t="shared" si="150"/>
        <v>0.94000000000000006</v>
      </c>
      <c r="AI330" s="692">
        <f ca="1">IF(AC330="","",AC330*SFAssumptions!$C$8/'SavingsData&amp;Analysis'!AF330)</f>
        <v>1031.4978807656466</v>
      </c>
      <c r="AJ330" s="692">
        <f ca="1">IF(OR(AE330="",AF330=""),"",AE330*SFAssumptions!$C$8/AF330)</f>
        <v>11634.656153751266</v>
      </c>
      <c r="AK330" s="191">
        <f t="shared" si="151"/>
        <v>2.335766423357664</v>
      </c>
      <c r="AL330" s="692">
        <f>IF(AK330="","",AK330*SFAssumptions!$C$3)</f>
        <v>599.62230656934298</v>
      </c>
      <c r="AM330" s="193">
        <f t="shared" si="152"/>
        <v>37.119999999999997</v>
      </c>
      <c r="AN330" s="194">
        <f>IF(AM330="","",AM330*SFAssumptions!$C$3)</f>
        <v>9529.1976959999993</v>
      </c>
      <c r="AO330" s="693">
        <f t="shared" si="153"/>
        <v>11.6</v>
      </c>
      <c r="AP330" s="693">
        <f t="shared" si="154"/>
        <v>1.37</v>
      </c>
      <c r="AQ330" s="692">
        <f ca="1">IF(AL330="","",AL330*SFAssumptions!$C$8/'SavingsData&amp;Analysis'!AF330)</f>
        <v>707.74307147423906</v>
      </c>
      <c r="AR330" s="692">
        <f ca="1">IF(OR(AN330="",AF330=""),"",AN330*SFAssumptions!$C$8/AF330)</f>
        <v>11247.452891868608</v>
      </c>
      <c r="AS330" s="190" t="str">
        <f>IF(OR(AG330="",AH330=""),"No",IF(AND(G330="Horizontal",AH330&gt;='Eff. Standards &amp; Certifications'!$B$21,AG330&lt;='Eff. Standards &amp; Certifications'!$C$21),"Consider",IF(AND(G330="Vertical",AH330&gt;='Eff. Standards &amp; Certifications'!$B$20,AG330&lt;='Eff. Standards &amp; Certifications'!$C$20),"Consider","No")))</f>
        <v>No</v>
      </c>
      <c r="AT330" s="190" t="str">
        <f t="shared" si="139"/>
        <v>Residential</v>
      </c>
      <c r="AU330" s="190"/>
      <c r="AV330" s="190" t="str">
        <f t="shared" si="165"/>
        <v>NO</v>
      </c>
      <c r="AW330" s="190" t="str">
        <f t="shared" si="165"/>
        <v>NO</v>
      </c>
      <c r="AX330" s="190" t="str">
        <f t="shared" si="155"/>
        <v>NO</v>
      </c>
      <c r="AY330" s="190" t="str">
        <f t="shared" si="140"/>
        <v>NO</v>
      </c>
      <c r="AZ330" s="190" t="str">
        <f t="shared" si="140"/>
        <v>NO</v>
      </c>
      <c r="BA330" s="190" t="str">
        <f t="shared" si="156"/>
        <v>NO</v>
      </c>
      <c r="BB330" s="190" t="str">
        <f t="shared" si="141"/>
        <v>NO</v>
      </c>
      <c r="BC330" s="190" t="str">
        <f t="shared" si="142"/>
        <v>NO</v>
      </c>
      <c r="BD330" s="190" t="str">
        <f t="shared" si="157"/>
        <v>NO</v>
      </c>
      <c r="BE330" s="190" t="str">
        <f t="shared" si="143"/>
        <v>NO</v>
      </c>
      <c r="BF330" s="190" t="str">
        <f t="shared" si="144"/>
        <v>NO</v>
      </c>
      <c r="BG330" s="190" t="str">
        <f t="shared" si="145"/>
        <v>NO</v>
      </c>
      <c r="BH330" s="88"/>
      <c r="BI330" s="9"/>
      <c r="BJ330" s="694" t="str">
        <f t="shared" si="166"/>
        <v/>
      </c>
      <c r="BK330" s="694" t="str">
        <f t="shared" si="166"/>
        <v/>
      </c>
      <c r="BL330" s="694" t="str">
        <f t="shared" si="167"/>
        <v/>
      </c>
      <c r="BM330" s="694" t="str">
        <f t="shared" si="167"/>
        <v/>
      </c>
      <c r="BN330" s="88"/>
      <c r="BO330" s="195"/>
      <c r="BP330" s="195"/>
      <c r="BQ330" s="195"/>
      <c r="BR330" s="195"/>
      <c r="BS330" s="195"/>
      <c r="BT330" s="195"/>
      <c r="BU330" s="195"/>
      <c r="BV330" s="195"/>
      <c r="BW330" s="195"/>
      <c r="BX330" s="195"/>
    </row>
    <row r="331" spans="1:76" s="124" customFormat="1" ht="15">
      <c r="A331" s="187">
        <v>2980</v>
      </c>
      <c r="B331" s="187" t="s">
        <v>625</v>
      </c>
      <c r="C331" s="187" t="s">
        <v>459</v>
      </c>
      <c r="D331" s="187" t="s">
        <v>677</v>
      </c>
      <c r="E331" s="187" t="s">
        <v>392</v>
      </c>
      <c r="F331" s="187" t="s">
        <v>386</v>
      </c>
      <c r="G331" s="187" t="s">
        <v>393</v>
      </c>
      <c r="H331" s="187" t="b">
        <v>0</v>
      </c>
      <c r="I331" s="187" t="s">
        <v>388</v>
      </c>
      <c r="J331" s="187" t="s">
        <v>389</v>
      </c>
      <c r="K331" s="187" t="b">
        <v>1</v>
      </c>
      <c r="L331" s="187">
        <v>3.9</v>
      </c>
      <c r="M331" s="187">
        <v>1.04</v>
      </c>
      <c r="N331" s="187">
        <v>30.96</v>
      </c>
      <c r="O331" s="187">
        <v>7.9</v>
      </c>
      <c r="P331" s="187">
        <v>3.76</v>
      </c>
      <c r="Q331" s="187"/>
      <c r="R331" s="187"/>
      <c r="S331" s="187"/>
      <c r="T331" s="187"/>
      <c r="U331" s="187">
        <v>36.5</v>
      </c>
      <c r="V331" s="187">
        <v>1.78</v>
      </c>
      <c r="W331" s="188">
        <v>39371</v>
      </c>
      <c r="X331" s="691">
        <f t="shared" si="164"/>
        <v>1.3458999999999999</v>
      </c>
      <c r="Y331" s="691">
        <f t="shared" si="138"/>
        <v>8.3404100000000003</v>
      </c>
      <c r="Z331" s="189"/>
      <c r="AA331" s="190">
        <f t="shared" si="146"/>
        <v>2007</v>
      </c>
      <c r="AB331" s="191">
        <f t="shared" si="147"/>
        <v>2.8976892785496697</v>
      </c>
      <c r="AC331" s="192">
        <f>IF(AB331="","",AB331*SFAssumptions!$C$3)</f>
        <v>743.87537707110494</v>
      </c>
      <c r="AD331" s="193">
        <f t="shared" si="148"/>
        <v>32.527599000000002</v>
      </c>
      <c r="AE331" s="194">
        <f>IF(AD331="","",AD331*SFAssumptions!$C$3)</f>
        <v>8350.267280366701</v>
      </c>
      <c r="AF331" s="192">
        <f t="shared" si="137"/>
        <v>3.9</v>
      </c>
      <c r="AG331" s="192">
        <f t="shared" si="149"/>
        <v>8.3404100000000003</v>
      </c>
      <c r="AH331" s="192">
        <f t="shared" si="150"/>
        <v>1.3458999999999999</v>
      </c>
      <c r="AI331" s="692">
        <f ca="1">IF(AC331="","",AC331*SFAssumptions!$C$8/'SavingsData&amp;Analysis'!AF331)</f>
        <v>720.41608434483089</v>
      </c>
      <c r="AJ331" s="692">
        <f ca="1">IF(OR(AE331="",AF331=""),"",AE331*SFAssumptions!$C$8/AF331)</f>
        <v>8086.9283253336098</v>
      </c>
      <c r="AK331" s="191">
        <f t="shared" si="151"/>
        <v>2.191011235955056</v>
      </c>
      <c r="AL331" s="692">
        <f>IF(AK331="","",AK331*SFAssumptions!$C$3)</f>
        <v>562.46172471910108</v>
      </c>
      <c r="AM331" s="193">
        <f t="shared" si="152"/>
        <v>30.810000000000002</v>
      </c>
      <c r="AN331" s="194">
        <f>IF(AM331="","",AM331*SFAssumptions!$C$3)</f>
        <v>7909.3367730000009</v>
      </c>
      <c r="AO331" s="693">
        <f t="shared" si="153"/>
        <v>7.9</v>
      </c>
      <c r="AP331" s="693">
        <f t="shared" si="154"/>
        <v>1.78</v>
      </c>
      <c r="AQ331" s="692">
        <f ca="1">IF(AL331="","",AL331*SFAssumptions!$C$8/'SavingsData&amp;Analysis'!AF331)</f>
        <v>544.72359995489194</v>
      </c>
      <c r="AR331" s="692">
        <f ca="1">IF(OR(AN331="",AF331=""),"",AN331*SFAssumptions!$C$8/AF331)</f>
        <v>7659.9032625656919</v>
      </c>
      <c r="AS331" s="190" t="str">
        <f>IF(OR(AG331="",AH331=""),"No",IF(AND(G331="Horizontal",AH331&gt;='Eff. Standards &amp; Certifications'!$B$21,AG331&lt;='Eff. Standards &amp; Certifications'!$C$21),"Consider",IF(AND(G331="Vertical",AH331&gt;='Eff. Standards &amp; Certifications'!$B$20,AG331&lt;='Eff. Standards &amp; Certifications'!$C$20),"Consider","No")))</f>
        <v>Consider</v>
      </c>
      <c r="AT331" s="190" t="str">
        <f t="shared" si="139"/>
        <v>Residential</v>
      </c>
      <c r="AU331" s="190"/>
      <c r="AV331" s="190" t="str">
        <f t="shared" si="165"/>
        <v>YES</v>
      </c>
      <c r="AW331" s="190" t="str">
        <f t="shared" si="165"/>
        <v>NO</v>
      </c>
      <c r="AX331" s="190" t="str">
        <f t="shared" si="155"/>
        <v>YES</v>
      </c>
      <c r="AY331" s="190" t="str">
        <f t="shared" si="140"/>
        <v>YES</v>
      </c>
      <c r="AZ331" s="190" t="str">
        <f t="shared" si="140"/>
        <v>NO</v>
      </c>
      <c r="BA331" s="190" t="str">
        <f t="shared" si="156"/>
        <v>YES</v>
      </c>
      <c r="BB331" s="190" t="str">
        <f t="shared" si="141"/>
        <v>NO</v>
      </c>
      <c r="BC331" s="190" t="str">
        <f t="shared" si="142"/>
        <v>NO</v>
      </c>
      <c r="BD331" s="190" t="str">
        <f t="shared" si="157"/>
        <v>NO</v>
      </c>
      <c r="BE331" s="190" t="str">
        <f t="shared" si="143"/>
        <v>NO</v>
      </c>
      <c r="BF331" s="190" t="str">
        <f t="shared" si="144"/>
        <v>NO</v>
      </c>
      <c r="BG331" s="190" t="str">
        <f t="shared" si="145"/>
        <v>NO</v>
      </c>
      <c r="BH331" s="88"/>
      <c r="BI331" s="9"/>
      <c r="BJ331" s="694">
        <f t="shared" si="166"/>
        <v>1.3458999999999999</v>
      </c>
      <c r="BK331" s="694" t="str">
        <f t="shared" si="166"/>
        <v/>
      </c>
      <c r="BL331" s="694">
        <f t="shared" si="167"/>
        <v>8.3404100000000003</v>
      </c>
      <c r="BM331" s="694" t="str">
        <f t="shared" si="167"/>
        <v/>
      </c>
      <c r="BN331" s="88"/>
      <c r="BO331" s="195"/>
      <c r="BP331" s="195"/>
      <c r="BQ331" s="195"/>
      <c r="BR331" s="195"/>
      <c r="BS331" s="195"/>
      <c r="BT331" s="195"/>
      <c r="BU331" s="195"/>
      <c r="BV331" s="195"/>
      <c r="BW331" s="195"/>
      <c r="BX331" s="195"/>
    </row>
    <row r="332" spans="1:76" s="124" customFormat="1" ht="15">
      <c r="A332" s="187">
        <v>3326</v>
      </c>
      <c r="B332" s="187" t="s">
        <v>625</v>
      </c>
      <c r="C332" s="187" t="s">
        <v>459</v>
      </c>
      <c r="D332" s="187" t="s">
        <v>678</v>
      </c>
      <c r="E332" s="187" t="s">
        <v>392</v>
      </c>
      <c r="F332" s="187" t="s">
        <v>386</v>
      </c>
      <c r="G332" s="187" t="s">
        <v>393</v>
      </c>
      <c r="H332" s="187" t="b">
        <v>0</v>
      </c>
      <c r="I332" s="187" t="s">
        <v>388</v>
      </c>
      <c r="J332" s="187" t="s">
        <v>389</v>
      </c>
      <c r="K332" s="187" t="b">
        <v>1</v>
      </c>
      <c r="L332" s="187">
        <v>4.0999999999999996</v>
      </c>
      <c r="M332" s="187">
        <v>0.64</v>
      </c>
      <c r="N332" s="187">
        <v>18.13</v>
      </c>
      <c r="O332" s="187">
        <v>4.4000000000000004</v>
      </c>
      <c r="P332" s="187">
        <v>6.34</v>
      </c>
      <c r="Q332" s="187"/>
      <c r="R332" s="187"/>
      <c r="S332" s="187"/>
      <c r="T332" s="187"/>
      <c r="U332" s="187">
        <v>36.6</v>
      </c>
      <c r="V332" s="187">
        <v>2.23</v>
      </c>
      <c r="W332" s="188">
        <v>39660</v>
      </c>
      <c r="X332" s="691">
        <f t="shared" si="164"/>
        <v>1.7913999999999999</v>
      </c>
      <c r="Y332" s="691">
        <f t="shared" si="138"/>
        <v>4.8792600000000004</v>
      </c>
      <c r="Z332" s="189"/>
      <c r="AA332" s="190">
        <f t="shared" si="146"/>
        <v>2008</v>
      </c>
      <c r="AB332" s="191">
        <f t="shared" si="147"/>
        <v>2.2887127386401698</v>
      </c>
      <c r="AC332" s="192">
        <f>IF(AB332="","",AB332*SFAssumptions!$C$3)</f>
        <v>587.54299988835555</v>
      </c>
      <c r="AD332" s="193">
        <f t="shared" si="148"/>
        <v>20.004966</v>
      </c>
      <c r="AE332" s="194">
        <f>IF(AD332="","",AD332*SFAssumptions!$C$3)</f>
        <v>5135.5408382477999</v>
      </c>
      <c r="AF332" s="192">
        <f t="shared" si="137"/>
        <v>4.0999999999999996</v>
      </c>
      <c r="AG332" s="192">
        <f t="shared" si="149"/>
        <v>4.8792600000000004</v>
      </c>
      <c r="AH332" s="192">
        <f t="shared" si="150"/>
        <v>1.7913999999999999</v>
      </c>
      <c r="AI332" s="692">
        <f ca="1">IF(AC332="","",AC332*SFAssumptions!$C$8/'SavingsData&amp;Analysis'!AF332)</f>
        <v>541.25712175935462</v>
      </c>
      <c r="AJ332" s="692">
        <f ca="1">IF(OR(AE332="",AF332=""),"",AE332*SFAssumptions!$C$8/AF332)</f>
        <v>4730.9695687223139</v>
      </c>
      <c r="AK332" s="191">
        <f t="shared" si="151"/>
        <v>1.8385650224215244</v>
      </c>
      <c r="AL332" s="692">
        <f>IF(AK332="","",AK332*SFAssumptions!$C$3)</f>
        <v>471.98409417040352</v>
      </c>
      <c r="AM332" s="193">
        <f t="shared" si="152"/>
        <v>18.04</v>
      </c>
      <c r="AN332" s="194">
        <f>IF(AM332="","",AM332*SFAssumptions!$C$3)</f>
        <v>4631.1079319999999</v>
      </c>
      <c r="AO332" s="693">
        <f t="shared" si="153"/>
        <v>4.4000000000000004</v>
      </c>
      <c r="AP332" s="693">
        <f t="shared" si="154"/>
        <v>2.23</v>
      </c>
      <c r="AQ332" s="692">
        <f ca="1">IF(AL332="","",AL332*SFAssumptions!$C$8/'SavingsData&amp;Analysis'!AF332)</f>
        <v>434.80179727341147</v>
      </c>
      <c r="AR332" s="692">
        <f ca="1">IF(OR(AN332="",AF332=""),"",AN332*SFAssumptions!$C$8/AF332)</f>
        <v>4266.2752348467147</v>
      </c>
      <c r="AS332" s="190" t="str">
        <f>IF(OR(AG332="",AH332=""),"No",IF(AND(G332="Horizontal",AH332&gt;='Eff. Standards &amp; Certifications'!$B$21,AG332&lt;='Eff. Standards &amp; Certifications'!$C$21),"Consider",IF(AND(G332="Vertical",AH332&gt;='Eff. Standards &amp; Certifications'!$B$20,AG332&lt;='Eff. Standards &amp; Certifications'!$C$20),"Consider","No")))</f>
        <v>Consider</v>
      </c>
      <c r="AT332" s="190" t="str">
        <f t="shared" si="139"/>
        <v>Residential</v>
      </c>
      <c r="AU332" s="190"/>
      <c r="AV332" s="190" t="str">
        <f t="shared" si="165"/>
        <v>YES</v>
      </c>
      <c r="AW332" s="190" t="str">
        <f t="shared" si="165"/>
        <v>NO</v>
      </c>
      <c r="AX332" s="190" t="str">
        <f t="shared" si="155"/>
        <v>YES</v>
      </c>
      <c r="AY332" s="190" t="str">
        <f t="shared" si="140"/>
        <v>YES</v>
      </c>
      <c r="AZ332" s="190" t="str">
        <f t="shared" si="140"/>
        <v>NO</v>
      </c>
      <c r="BA332" s="190" t="str">
        <f t="shared" si="156"/>
        <v>YES</v>
      </c>
      <c r="BB332" s="190" t="str">
        <f t="shared" si="141"/>
        <v>NO</v>
      </c>
      <c r="BC332" s="190" t="str">
        <f t="shared" si="142"/>
        <v>NO</v>
      </c>
      <c r="BD332" s="190" t="str">
        <f t="shared" si="157"/>
        <v>NO</v>
      </c>
      <c r="BE332" s="190" t="str">
        <f t="shared" si="143"/>
        <v>NO</v>
      </c>
      <c r="BF332" s="190" t="str">
        <f t="shared" si="144"/>
        <v>NO</v>
      </c>
      <c r="BG332" s="190" t="str">
        <f t="shared" si="145"/>
        <v>NO</v>
      </c>
      <c r="BH332" s="88"/>
      <c r="BI332" s="9"/>
      <c r="BJ332" s="694">
        <f t="shared" si="166"/>
        <v>1.7913999999999999</v>
      </c>
      <c r="BK332" s="694" t="str">
        <f t="shared" si="166"/>
        <v/>
      </c>
      <c r="BL332" s="694">
        <f t="shared" si="167"/>
        <v>4.8792600000000004</v>
      </c>
      <c r="BM332" s="694" t="str">
        <f t="shared" si="167"/>
        <v/>
      </c>
      <c r="BN332" s="88"/>
      <c r="BO332" s="195"/>
      <c r="BP332" s="195"/>
      <c r="BQ332" s="195"/>
      <c r="BR332" s="195"/>
      <c r="BS332" s="195"/>
      <c r="BT332" s="195"/>
      <c r="BU332" s="195"/>
      <c r="BV332" s="195"/>
      <c r="BW332" s="195"/>
      <c r="BX332" s="195"/>
    </row>
    <row r="333" spans="1:76" s="124" customFormat="1" ht="15">
      <c r="A333" s="187">
        <v>3328</v>
      </c>
      <c r="B333" s="187" t="s">
        <v>625</v>
      </c>
      <c r="C333" s="187" t="s">
        <v>459</v>
      </c>
      <c r="D333" s="187" t="s">
        <v>679</v>
      </c>
      <c r="E333" s="187" t="s">
        <v>392</v>
      </c>
      <c r="F333" s="187" t="s">
        <v>386</v>
      </c>
      <c r="G333" s="187" t="s">
        <v>393</v>
      </c>
      <c r="H333" s="187" t="b">
        <v>0</v>
      </c>
      <c r="I333" s="187" t="s">
        <v>388</v>
      </c>
      <c r="J333" s="187" t="s">
        <v>389</v>
      </c>
      <c r="K333" s="187" t="b">
        <v>1</v>
      </c>
      <c r="L333" s="187">
        <v>4.0999999999999996</v>
      </c>
      <c r="M333" s="187">
        <v>0.66</v>
      </c>
      <c r="N333" s="187">
        <v>18.29</v>
      </c>
      <c r="O333" s="187">
        <v>4.5</v>
      </c>
      <c r="P333" s="187">
        <v>6.18</v>
      </c>
      <c r="Q333" s="187"/>
      <c r="R333" s="187"/>
      <c r="S333" s="187"/>
      <c r="T333" s="187"/>
      <c r="U333" s="187">
        <v>35.5</v>
      </c>
      <c r="V333" s="187">
        <v>2.2599999999999998</v>
      </c>
      <c r="W333" s="188">
        <v>39660</v>
      </c>
      <c r="X333" s="691">
        <f t="shared" si="164"/>
        <v>1.8210999999999995</v>
      </c>
      <c r="Y333" s="691">
        <f t="shared" si="138"/>
        <v>4.9781500000000003</v>
      </c>
      <c r="Z333" s="189"/>
      <c r="AA333" s="190">
        <f t="shared" si="146"/>
        <v>2008</v>
      </c>
      <c r="AB333" s="191">
        <f t="shared" si="147"/>
        <v>2.2513865246279727</v>
      </c>
      <c r="AC333" s="192">
        <f>IF(AB333="","",AB333*SFAssumptions!$C$3)</f>
        <v>577.9608643127782</v>
      </c>
      <c r="AD333" s="193">
        <f t="shared" si="148"/>
        <v>20.410415</v>
      </c>
      <c r="AE333" s="194">
        <f>IF(AD333="","",AD333*SFAssumptions!$C$3)</f>
        <v>5239.6249890195004</v>
      </c>
      <c r="AF333" s="192">
        <f t="shared" si="137"/>
        <v>4.0999999999999996</v>
      </c>
      <c r="AG333" s="192">
        <f t="shared" si="149"/>
        <v>4.9781500000000003</v>
      </c>
      <c r="AH333" s="192">
        <f t="shared" si="150"/>
        <v>1.8210999999999995</v>
      </c>
      <c r="AI333" s="692">
        <f ca="1">IF(AC333="","",AC333*SFAssumptions!$C$8/'SavingsData&amp;Analysis'!AF333)</f>
        <v>532.42985443946418</v>
      </c>
      <c r="AJ333" s="692">
        <f ca="1">IF(OR(AE333="",AF333=""),"",AE333*SFAssumptions!$C$8/AF333)</f>
        <v>4826.8541046254932</v>
      </c>
      <c r="AK333" s="191">
        <f t="shared" si="151"/>
        <v>1.8141592920353982</v>
      </c>
      <c r="AL333" s="692">
        <f>IF(AK333="","",AK333*SFAssumptions!$C$3)</f>
        <v>465.71881858407079</v>
      </c>
      <c r="AM333" s="193">
        <f t="shared" si="152"/>
        <v>18.45</v>
      </c>
      <c r="AN333" s="194">
        <f>IF(AM333="","",AM333*SFAssumptions!$C$3)</f>
        <v>4736.360385</v>
      </c>
      <c r="AO333" s="693">
        <f t="shared" si="153"/>
        <v>4.5</v>
      </c>
      <c r="AP333" s="693">
        <f t="shared" si="154"/>
        <v>2.2599999999999998</v>
      </c>
      <c r="AQ333" s="692">
        <f ca="1">IF(AL333="","",AL333*SFAssumptions!$C$8/'SavingsData&amp;Analysis'!AF333)</f>
        <v>429.03009199987071</v>
      </c>
      <c r="AR333" s="692">
        <f ca="1">IF(OR(AN333="",AF333=""),"",AN333*SFAssumptions!$C$8/AF333)</f>
        <v>4363.2360356386853</v>
      </c>
      <c r="AS333" s="190" t="str">
        <f>IF(OR(AG333="",AH333=""),"No",IF(AND(G333="Horizontal",AH333&gt;='Eff. Standards &amp; Certifications'!$B$21,AG333&lt;='Eff. Standards &amp; Certifications'!$C$21),"Consider",IF(AND(G333="Vertical",AH333&gt;='Eff. Standards &amp; Certifications'!$B$20,AG333&lt;='Eff. Standards &amp; Certifications'!$C$20),"Consider","No")))</f>
        <v>Consider</v>
      </c>
      <c r="AT333" s="190" t="str">
        <f t="shared" si="139"/>
        <v>Residential</v>
      </c>
      <c r="AU333" s="190"/>
      <c r="AV333" s="190" t="str">
        <f t="shared" si="165"/>
        <v>YES</v>
      </c>
      <c r="AW333" s="190" t="str">
        <f t="shared" si="165"/>
        <v>NO</v>
      </c>
      <c r="AX333" s="190" t="str">
        <f t="shared" si="155"/>
        <v>YES</v>
      </c>
      <c r="AY333" s="190" t="str">
        <f t="shared" si="140"/>
        <v>YES</v>
      </c>
      <c r="AZ333" s="190" t="str">
        <f t="shared" si="140"/>
        <v>NO</v>
      </c>
      <c r="BA333" s="190" t="str">
        <f t="shared" si="156"/>
        <v>YES</v>
      </c>
      <c r="BB333" s="190" t="str">
        <f t="shared" si="141"/>
        <v>NO</v>
      </c>
      <c r="BC333" s="190" t="str">
        <f t="shared" si="142"/>
        <v>NO</v>
      </c>
      <c r="BD333" s="190" t="str">
        <f t="shared" si="157"/>
        <v>NO</v>
      </c>
      <c r="BE333" s="190" t="str">
        <f t="shared" si="143"/>
        <v>NO</v>
      </c>
      <c r="BF333" s="190" t="str">
        <f t="shared" si="144"/>
        <v>NO</v>
      </c>
      <c r="BG333" s="190" t="str">
        <f t="shared" si="145"/>
        <v>NO</v>
      </c>
      <c r="BH333" s="88"/>
      <c r="BI333" s="9"/>
      <c r="BJ333" s="694">
        <f t="shared" si="166"/>
        <v>1.8210999999999995</v>
      </c>
      <c r="BK333" s="694" t="str">
        <f t="shared" si="166"/>
        <v/>
      </c>
      <c r="BL333" s="694">
        <f t="shared" si="167"/>
        <v>4.9781500000000003</v>
      </c>
      <c r="BM333" s="694" t="str">
        <f t="shared" si="167"/>
        <v/>
      </c>
      <c r="BN333" s="88"/>
      <c r="BO333" s="195"/>
      <c r="BP333" s="195"/>
      <c r="BQ333" s="195"/>
      <c r="BR333" s="195"/>
      <c r="BS333" s="195"/>
      <c r="BT333" s="195"/>
      <c r="BU333" s="195"/>
      <c r="BV333" s="195"/>
      <c r="BW333" s="195"/>
      <c r="BX333" s="195"/>
    </row>
    <row r="334" spans="1:76" s="124" customFormat="1" ht="15">
      <c r="A334" s="187">
        <v>2992</v>
      </c>
      <c r="B334" s="187" t="s">
        <v>625</v>
      </c>
      <c r="C334" s="187" t="s">
        <v>459</v>
      </c>
      <c r="D334" s="187" t="s">
        <v>680</v>
      </c>
      <c r="E334" s="187" t="s">
        <v>392</v>
      </c>
      <c r="F334" s="187" t="s">
        <v>386</v>
      </c>
      <c r="G334" s="187" t="s">
        <v>393</v>
      </c>
      <c r="H334" s="187" t="b">
        <v>0</v>
      </c>
      <c r="I334" s="187" t="s">
        <v>388</v>
      </c>
      <c r="J334" s="187" t="s">
        <v>389</v>
      </c>
      <c r="K334" s="187" t="b">
        <v>1</v>
      </c>
      <c r="L334" s="187">
        <v>3.2</v>
      </c>
      <c r="M334" s="187">
        <v>0.99</v>
      </c>
      <c r="N334" s="187">
        <v>35.6</v>
      </c>
      <c r="O334" s="187">
        <v>11.2</v>
      </c>
      <c r="P334" s="187">
        <v>3.21</v>
      </c>
      <c r="Q334" s="187"/>
      <c r="R334" s="187"/>
      <c r="S334" s="187"/>
      <c r="T334" s="187"/>
      <c r="U334" s="187">
        <v>49.9</v>
      </c>
      <c r="V334" s="187">
        <v>1.39</v>
      </c>
      <c r="W334" s="188">
        <v>39371</v>
      </c>
      <c r="X334" s="691">
        <f t="shared" si="164"/>
        <v>0.95979999999999988</v>
      </c>
      <c r="Y334" s="691">
        <f t="shared" si="138"/>
        <v>11.60378</v>
      </c>
      <c r="Z334" s="189"/>
      <c r="AA334" s="190">
        <f t="shared" si="146"/>
        <v>2007</v>
      </c>
      <c r="AB334" s="191">
        <f t="shared" si="147"/>
        <v>3.3340279224838514</v>
      </c>
      <c r="AC334" s="192">
        <f>IF(AB334="","",AB334*SFAssumptions!$C$3)</f>
        <v>855.88931027297372</v>
      </c>
      <c r="AD334" s="193">
        <f t="shared" si="148"/>
        <v>37.132096000000004</v>
      </c>
      <c r="AE334" s="194">
        <f>IF(AD334="","",AD334*SFAssumptions!$C$3)</f>
        <v>9532.302900076802</v>
      </c>
      <c r="AF334" s="192">
        <f t="shared" si="137"/>
        <v>3.2</v>
      </c>
      <c r="AG334" s="192">
        <f t="shared" si="149"/>
        <v>11.60378</v>
      </c>
      <c r="AH334" s="192">
        <f t="shared" si="150"/>
        <v>0.95979999999999988</v>
      </c>
      <c r="AI334" s="692">
        <f ca="1">IF(AC334="","",AC334*SFAssumptions!$C$8/'SavingsData&amp;Analysis'!AF334)</f>
        <v>1010.2188038338278</v>
      </c>
      <c r="AJ334" s="692">
        <f ca="1">IF(OR(AE334="",AF334=""),"",AE334*SFAssumptions!$C$8/AF334)</f>
        <v>11251.118010138547</v>
      </c>
      <c r="AK334" s="191">
        <f t="shared" si="151"/>
        <v>2.3021582733812953</v>
      </c>
      <c r="AL334" s="692">
        <f>IF(AK334="","",AK334*SFAssumptions!$C$3)</f>
        <v>590.99464748201444</v>
      </c>
      <c r="AM334" s="193">
        <f t="shared" si="152"/>
        <v>35.839999999999996</v>
      </c>
      <c r="AN334" s="194">
        <f>IF(AM334="","",AM334*SFAssumptions!$C$3)</f>
        <v>9200.6046719999995</v>
      </c>
      <c r="AO334" s="693">
        <f t="shared" si="153"/>
        <v>11.2</v>
      </c>
      <c r="AP334" s="693">
        <f t="shared" si="154"/>
        <v>1.39</v>
      </c>
      <c r="AQ334" s="692">
        <f ca="1">IF(AL334="","",AL334*SFAssumptions!$C$8/'SavingsData&amp;Analysis'!AF334)</f>
        <v>697.55971792784726</v>
      </c>
      <c r="AR334" s="692">
        <f ca="1">IF(OR(AN334="",AF334=""),"",AN334*SFAssumptions!$C$8/AF334)</f>
        <v>10859.609688700724</v>
      </c>
      <c r="AS334" s="190" t="str">
        <f>IF(OR(AG334="",AH334=""),"No",IF(AND(G334="Horizontal",AH334&gt;='Eff. Standards &amp; Certifications'!$B$21,AG334&lt;='Eff. Standards &amp; Certifications'!$C$21),"Consider",IF(AND(G334="Vertical",AH334&gt;='Eff. Standards &amp; Certifications'!$B$20,AG334&lt;='Eff. Standards &amp; Certifications'!$C$20),"Consider","No")))</f>
        <v>No</v>
      </c>
      <c r="AT334" s="190" t="str">
        <f t="shared" si="139"/>
        <v>Residential</v>
      </c>
      <c r="AU334" s="190"/>
      <c r="AV334" s="190" t="str">
        <f t="shared" si="165"/>
        <v>NO</v>
      </c>
      <c r="AW334" s="190" t="str">
        <f t="shared" si="165"/>
        <v>NO</v>
      </c>
      <c r="AX334" s="190" t="str">
        <f t="shared" si="155"/>
        <v>NO</v>
      </c>
      <c r="AY334" s="190" t="str">
        <f t="shared" si="140"/>
        <v>NO</v>
      </c>
      <c r="AZ334" s="190" t="str">
        <f t="shared" si="140"/>
        <v>NO</v>
      </c>
      <c r="BA334" s="190" t="str">
        <f t="shared" si="156"/>
        <v>NO</v>
      </c>
      <c r="BB334" s="190" t="str">
        <f t="shared" si="141"/>
        <v>NO</v>
      </c>
      <c r="BC334" s="190" t="str">
        <f t="shared" si="142"/>
        <v>NO</v>
      </c>
      <c r="BD334" s="190" t="str">
        <f t="shared" si="157"/>
        <v>NO</v>
      </c>
      <c r="BE334" s="190" t="str">
        <f t="shared" si="143"/>
        <v>NO</v>
      </c>
      <c r="BF334" s="190" t="str">
        <f t="shared" si="144"/>
        <v>NO</v>
      </c>
      <c r="BG334" s="190" t="str">
        <f t="shared" si="145"/>
        <v>NO</v>
      </c>
      <c r="BH334" s="88"/>
      <c r="BI334" s="9"/>
      <c r="BJ334" s="694" t="str">
        <f t="shared" si="166"/>
        <v/>
      </c>
      <c r="BK334" s="694" t="str">
        <f t="shared" si="166"/>
        <v/>
      </c>
      <c r="BL334" s="694" t="str">
        <f t="shared" si="167"/>
        <v/>
      </c>
      <c r="BM334" s="694" t="str">
        <f t="shared" si="167"/>
        <v/>
      </c>
      <c r="BN334" s="88"/>
      <c r="BO334" s="195"/>
      <c r="BP334" s="195"/>
      <c r="BQ334" s="195"/>
      <c r="BR334" s="195"/>
      <c r="BS334" s="195"/>
      <c r="BT334" s="195"/>
      <c r="BU334" s="195"/>
      <c r="BV334" s="195"/>
      <c r="BW334" s="195"/>
      <c r="BX334" s="195"/>
    </row>
    <row r="335" spans="1:76" s="124" customFormat="1" ht="15">
      <c r="A335" s="187">
        <v>613</v>
      </c>
      <c r="B335" s="187" t="s">
        <v>625</v>
      </c>
      <c r="C335" s="187" t="s">
        <v>459</v>
      </c>
      <c r="D335" s="187" t="s">
        <v>681</v>
      </c>
      <c r="E335" s="187" t="s">
        <v>392</v>
      </c>
      <c r="F335" s="187" t="s">
        <v>386</v>
      </c>
      <c r="G335" s="187" t="s">
        <v>393</v>
      </c>
      <c r="H335" s="187" t="b">
        <v>0</v>
      </c>
      <c r="I335" s="187" t="s">
        <v>388</v>
      </c>
      <c r="J335" s="187" t="s">
        <v>389</v>
      </c>
      <c r="K335" s="187" t="b">
        <v>1</v>
      </c>
      <c r="L335" s="187">
        <v>3.2</v>
      </c>
      <c r="M335" s="187">
        <v>0.75</v>
      </c>
      <c r="N335" s="187">
        <v>34.29</v>
      </c>
      <c r="O335" s="187">
        <v>10.7</v>
      </c>
      <c r="P335" s="187">
        <v>4.3</v>
      </c>
      <c r="Q335" s="187"/>
      <c r="R335" s="187"/>
      <c r="S335" s="187"/>
      <c r="T335" s="187"/>
      <c r="U335" s="187">
        <v>54.6</v>
      </c>
      <c r="V335" s="187">
        <v>1.45</v>
      </c>
      <c r="W335" s="188">
        <v>40170</v>
      </c>
      <c r="X335" s="691">
        <f t="shared" si="164"/>
        <v>1.0192000000000001</v>
      </c>
      <c r="Y335" s="691">
        <f t="shared" si="138"/>
        <v>11.10933</v>
      </c>
      <c r="Z335" s="189"/>
      <c r="AA335" s="190">
        <f t="shared" si="146"/>
        <v>2009</v>
      </c>
      <c r="AB335" s="191">
        <f t="shared" si="147"/>
        <v>3.1397174254317108</v>
      </c>
      <c r="AC335" s="192">
        <f>IF(AB335="","",AB335*SFAssumptions!$C$3)</f>
        <v>806.00722135007845</v>
      </c>
      <c r="AD335" s="193">
        <f t="shared" si="148"/>
        <v>35.549855999999998</v>
      </c>
      <c r="AE335" s="194">
        <f>IF(AD335="","",AD335*SFAssumptions!$C$3)</f>
        <v>9126.1208482847996</v>
      </c>
      <c r="AF335" s="192">
        <f t="shared" si="137"/>
        <v>3.2</v>
      </c>
      <c r="AG335" s="192">
        <f t="shared" si="149"/>
        <v>11.10933</v>
      </c>
      <c r="AH335" s="192">
        <f t="shared" si="150"/>
        <v>1.0192000000000001</v>
      </c>
      <c r="AI335" s="692">
        <f ca="1">IF(AC335="","",AC335*SFAssumptions!$C$8/'SavingsData&amp;Analysis'!AF335)</f>
        <v>951.34223696988579</v>
      </c>
      <c r="AJ335" s="692">
        <f ca="1">IF(OR(AE335="",AF335=""),"",AE335*SFAssumptions!$C$8/AF335)</f>
        <v>10771.695330622644</v>
      </c>
      <c r="AK335" s="191">
        <f t="shared" si="151"/>
        <v>2.2068965517241379</v>
      </c>
      <c r="AL335" s="692">
        <f>IF(AK335="","",AK335*SFAssumptions!$C$3)</f>
        <v>566.53969655172409</v>
      </c>
      <c r="AM335" s="193">
        <f t="shared" si="152"/>
        <v>34.24</v>
      </c>
      <c r="AN335" s="194">
        <f>IF(AM335="","",AM335*SFAssumptions!$C$3)</f>
        <v>8789.8633920000011</v>
      </c>
      <c r="AO335" s="693">
        <f t="shared" si="153"/>
        <v>10.7</v>
      </c>
      <c r="AP335" s="693">
        <f t="shared" si="154"/>
        <v>1.45</v>
      </c>
      <c r="AQ335" s="692">
        <f ca="1">IF(AL335="","",AL335*SFAssumptions!$C$8/'SavingsData&amp;Analysis'!AF335)</f>
        <v>668.69517787566031</v>
      </c>
      <c r="AR335" s="692">
        <f ca="1">IF(OR(AN335="",AF335=""),"",AN335*SFAssumptions!$C$8/AF335)</f>
        <v>10374.805684740872</v>
      </c>
      <c r="AS335" s="190" t="str">
        <f>IF(OR(AG335="",AH335=""),"No",IF(AND(G335="Horizontal",AH335&gt;='Eff. Standards &amp; Certifications'!$B$21,AG335&lt;='Eff. Standards &amp; Certifications'!$C$21),"Consider",IF(AND(G335="Vertical",AH335&gt;='Eff. Standards &amp; Certifications'!$B$20,AG335&lt;='Eff. Standards &amp; Certifications'!$C$20),"Consider","No")))</f>
        <v>No</v>
      </c>
      <c r="AT335" s="190" t="str">
        <f t="shared" si="139"/>
        <v>Residential</v>
      </c>
      <c r="AU335" s="190"/>
      <c r="AV335" s="190" t="str">
        <f t="shared" si="165"/>
        <v>NO</v>
      </c>
      <c r="AW335" s="190" t="str">
        <f t="shared" si="165"/>
        <v>NO</v>
      </c>
      <c r="AX335" s="190" t="str">
        <f t="shared" si="155"/>
        <v>NO</v>
      </c>
      <c r="AY335" s="190" t="str">
        <f t="shared" si="140"/>
        <v>NO</v>
      </c>
      <c r="AZ335" s="190" t="str">
        <f t="shared" si="140"/>
        <v>NO</v>
      </c>
      <c r="BA335" s="190" t="str">
        <f t="shared" si="156"/>
        <v>NO</v>
      </c>
      <c r="BB335" s="190" t="str">
        <f t="shared" si="141"/>
        <v>NO</v>
      </c>
      <c r="BC335" s="190" t="str">
        <f t="shared" si="142"/>
        <v>NO</v>
      </c>
      <c r="BD335" s="190" t="str">
        <f t="shared" si="157"/>
        <v>NO</v>
      </c>
      <c r="BE335" s="190" t="str">
        <f t="shared" si="143"/>
        <v>NO</v>
      </c>
      <c r="BF335" s="190" t="str">
        <f t="shared" si="144"/>
        <v>NO</v>
      </c>
      <c r="BG335" s="190" t="str">
        <f t="shared" si="145"/>
        <v>NO</v>
      </c>
      <c r="BH335" s="88"/>
      <c r="BI335" s="9"/>
      <c r="BJ335" s="694" t="str">
        <f t="shared" si="166"/>
        <v/>
      </c>
      <c r="BK335" s="694" t="str">
        <f t="shared" si="166"/>
        <v/>
      </c>
      <c r="BL335" s="694" t="str">
        <f t="shared" si="167"/>
        <v/>
      </c>
      <c r="BM335" s="694" t="str">
        <f t="shared" si="167"/>
        <v/>
      </c>
      <c r="BN335" s="88"/>
      <c r="BO335" s="195"/>
      <c r="BP335" s="195"/>
      <c r="BQ335" s="195"/>
      <c r="BR335" s="195"/>
      <c r="BS335" s="195"/>
      <c r="BT335" s="195"/>
      <c r="BU335" s="195"/>
      <c r="BV335" s="195"/>
      <c r="BW335" s="195"/>
      <c r="BX335" s="195"/>
    </row>
    <row r="336" spans="1:76" s="124" customFormat="1" ht="15">
      <c r="A336" s="187">
        <v>3005</v>
      </c>
      <c r="B336" s="187" t="s">
        <v>625</v>
      </c>
      <c r="C336" s="187" t="s">
        <v>459</v>
      </c>
      <c r="D336" s="187" t="s">
        <v>682</v>
      </c>
      <c r="E336" s="187" t="s">
        <v>385</v>
      </c>
      <c r="F336" s="187" t="s">
        <v>386</v>
      </c>
      <c r="G336" s="187" t="s">
        <v>387</v>
      </c>
      <c r="H336" s="187" t="b">
        <v>0</v>
      </c>
      <c r="I336" s="187" t="s">
        <v>388</v>
      </c>
      <c r="J336" s="187" t="s">
        <v>389</v>
      </c>
      <c r="K336" s="187" t="b">
        <v>1</v>
      </c>
      <c r="L336" s="187">
        <v>2.9</v>
      </c>
      <c r="M336" s="187">
        <v>0.42</v>
      </c>
      <c r="N336" s="187">
        <v>15.22</v>
      </c>
      <c r="O336" s="187">
        <v>5.3</v>
      </c>
      <c r="P336" s="187">
        <v>6.81</v>
      </c>
      <c r="Q336" s="187"/>
      <c r="R336" s="187"/>
      <c r="S336" s="187"/>
      <c r="T336" s="187"/>
      <c r="U336" s="187">
        <v>42.3</v>
      </c>
      <c r="V336" s="187">
        <v>2.0499999999999998</v>
      </c>
      <c r="W336" s="188">
        <v>39371</v>
      </c>
      <c r="X336" s="691">
        <f t="shared" si="164"/>
        <v>1.7014249999999997</v>
      </c>
      <c r="Y336" s="691">
        <f t="shared" si="138"/>
        <v>5.5454600000000003</v>
      </c>
      <c r="Z336" s="189"/>
      <c r="AA336" s="190">
        <f t="shared" si="146"/>
        <v>2007</v>
      </c>
      <c r="AB336" s="191">
        <f t="shared" si="147"/>
        <v>1.7044536197599074</v>
      </c>
      <c r="AC336" s="192">
        <f>IF(AB336="","",AB336*SFAssumptions!$C$3)</f>
        <v>437.55591342551105</v>
      </c>
      <c r="AD336" s="193">
        <f t="shared" si="148"/>
        <v>16.081834000000001</v>
      </c>
      <c r="AE336" s="194">
        <f>IF(AD336="","",AD336*SFAssumptions!$C$3)</f>
        <v>4128.4206761922005</v>
      </c>
      <c r="AF336" s="192">
        <f t="shared" si="137"/>
        <v>2.9</v>
      </c>
      <c r="AG336" s="192">
        <f t="shared" si="149"/>
        <v>5.5454600000000003</v>
      </c>
      <c r="AH336" s="192">
        <f t="shared" si="150"/>
        <v>1.7014249999999997</v>
      </c>
      <c r="AI336" s="692">
        <f ca="1">IF(AC336="","",AC336*SFAssumptions!$C$8/'SavingsData&amp;Analysis'!AF336)</f>
        <v>569.87995822308244</v>
      </c>
      <c r="AJ336" s="692">
        <f ca="1">IF(OR(AE336="",AF336=""),"",AE336*SFAssumptions!$C$8/AF336)</f>
        <v>5376.9224235984229</v>
      </c>
      <c r="AK336" s="191">
        <f t="shared" si="151"/>
        <v>1.4146341463414636</v>
      </c>
      <c r="AL336" s="692">
        <f>IF(AK336="","",AK336*SFAssumptions!$C$3)</f>
        <v>363.15540000000004</v>
      </c>
      <c r="AM336" s="193">
        <f t="shared" si="152"/>
        <v>15.37</v>
      </c>
      <c r="AN336" s="194">
        <f>IF(AM336="","",AM336*SFAssumptions!$C$3)</f>
        <v>3945.6834209999997</v>
      </c>
      <c r="AO336" s="693">
        <f t="shared" si="153"/>
        <v>5.3</v>
      </c>
      <c r="AP336" s="693">
        <f t="shared" si="154"/>
        <v>2.0499999999999998</v>
      </c>
      <c r="AQ336" s="692">
        <f ca="1">IF(AL336="","",AL336*SFAssumptions!$C$8/'SavingsData&amp;Analysis'!AF336)</f>
        <v>472.97951605839404</v>
      </c>
      <c r="AR336" s="692">
        <f ca="1">IF(OR(AN336="",AF336=""),"",AN336*SFAssumptions!$C$8/AF336)</f>
        <v>5138.9224419744505</v>
      </c>
      <c r="AS336" s="190" t="str">
        <f>IF(OR(AG336="",AH336=""),"No",IF(AND(G336="Horizontal",AH336&gt;='Eff. Standards &amp; Certifications'!$B$21,AG336&lt;='Eff. Standards &amp; Certifications'!$C$21),"Consider",IF(AND(G336="Vertical",AH336&gt;='Eff. Standards &amp; Certifications'!$B$20,AG336&lt;='Eff. Standards &amp; Certifications'!$C$20),"Consider","No")))</f>
        <v>No</v>
      </c>
      <c r="AT336" s="190" t="str">
        <f t="shared" si="139"/>
        <v>Residential</v>
      </c>
      <c r="AU336" s="190"/>
      <c r="AV336" s="190" t="str">
        <f t="shared" si="165"/>
        <v>NO</v>
      </c>
      <c r="AW336" s="190" t="str">
        <f t="shared" si="165"/>
        <v>NO</v>
      </c>
      <c r="AX336" s="190" t="str">
        <f t="shared" si="155"/>
        <v>NO</v>
      </c>
      <c r="AY336" s="190" t="str">
        <f t="shared" si="140"/>
        <v>NO</v>
      </c>
      <c r="AZ336" s="190" t="str">
        <f t="shared" si="140"/>
        <v>NO</v>
      </c>
      <c r="BA336" s="190" t="str">
        <f t="shared" si="156"/>
        <v>NO</v>
      </c>
      <c r="BB336" s="190" t="str">
        <f t="shared" si="141"/>
        <v>NO</v>
      </c>
      <c r="BC336" s="190" t="str">
        <f t="shared" si="142"/>
        <v>NO</v>
      </c>
      <c r="BD336" s="190" t="str">
        <f t="shared" si="157"/>
        <v>NO</v>
      </c>
      <c r="BE336" s="190" t="str">
        <f t="shared" si="143"/>
        <v>NO</v>
      </c>
      <c r="BF336" s="190" t="str">
        <f t="shared" si="144"/>
        <v>NO</v>
      </c>
      <c r="BG336" s="190" t="str">
        <f t="shared" si="145"/>
        <v>NO</v>
      </c>
      <c r="BH336" s="88"/>
      <c r="BI336" s="9"/>
      <c r="BJ336" s="694" t="str">
        <f t="shared" si="166"/>
        <v/>
      </c>
      <c r="BK336" s="694" t="str">
        <f t="shared" si="166"/>
        <v/>
      </c>
      <c r="BL336" s="694" t="str">
        <f t="shared" si="167"/>
        <v/>
      </c>
      <c r="BM336" s="694" t="str">
        <f t="shared" si="167"/>
        <v/>
      </c>
      <c r="BN336" s="88"/>
      <c r="BO336" s="195"/>
      <c r="BP336" s="195"/>
      <c r="BQ336" s="195"/>
      <c r="BR336" s="195"/>
      <c r="BS336" s="195"/>
      <c r="BT336" s="195"/>
      <c r="BU336" s="195"/>
      <c r="BV336" s="195"/>
      <c r="BW336" s="195"/>
      <c r="BX336" s="195"/>
    </row>
    <row r="337" spans="1:76" s="124" customFormat="1" ht="15">
      <c r="A337" s="187">
        <v>3007</v>
      </c>
      <c r="B337" s="187" t="s">
        <v>625</v>
      </c>
      <c r="C337" s="187" t="s">
        <v>459</v>
      </c>
      <c r="D337" s="187" t="s">
        <v>683</v>
      </c>
      <c r="E337" s="187" t="s">
        <v>385</v>
      </c>
      <c r="F337" s="187" t="s">
        <v>386</v>
      </c>
      <c r="G337" s="187" t="s">
        <v>387</v>
      </c>
      <c r="H337" s="187" t="b">
        <v>0</v>
      </c>
      <c r="I337" s="187" t="s">
        <v>388</v>
      </c>
      <c r="J337" s="187" t="s">
        <v>389</v>
      </c>
      <c r="K337" s="187" t="b">
        <v>1</v>
      </c>
      <c r="L337" s="187">
        <v>3.5</v>
      </c>
      <c r="M337" s="187">
        <v>0.36</v>
      </c>
      <c r="N337" s="187">
        <v>13.22</v>
      </c>
      <c r="O337" s="187">
        <v>3.8</v>
      </c>
      <c r="P337" s="187">
        <v>9.8000000000000007</v>
      </c>
      <c r="Q337" s="187"/>
      <c r="R337" s="187"/>
      <c r="S337" s="187"/>
      <c r="T337" s="187"/>
      <c r="U337" s="187">
        <v>39</v>
      </c>
      <c r="V337" s="187">
        <v>2.38</v>
      </c>
      <c r="W337" s="188">
        <v>39371</v>
      </c>
      <c r="X337" s="691">
        <f t="shared" si="164"/>
        <v>2.0032100000000002</v>
      </c>
      <c r="Y337" s="691">
        <f t="shared" si="138"/>
        <v>4.0091599999999996</v>
      </c>
      <c r="Z337" s="189"/>
      <c r="AA337" s="190">
        <f t="shared" si="146"/>
        <v>2007</v>
      </c>
      <c r="AB337" s="191">
        <f t="shared" si="147"/>
        <v>1.7471957508199338</v>
      </c>
      <c r="AC337" s="192">
        <f>IF(AB337="","",AB337*SFAssumptions!$C$3)</f>
        <v>448.52838693896291</v>
      </c>
      <c r="AD337" s="193">
        <f t="shared" si="148"/>
        <v>14.032059999999998</v>
      </c>
      <c r="AE337" s="194">
        <f>IF(AD337="","",AD337*SFAssumptions!$C$3)</f>
        <v>3602.2164283979996</v>
      </c>
      <c r="AF337" s="192">
        <f t="shared" si="137"/>
        <v>3.5</v>
      </c>
      <c r="AG337" s="192">
        <f t="shared" si="149"/>
        <v>4.0091599999999996</v>
      </c>
      <c r="AH337" s="192">
        <f t="shared" si="150"/>
        <v>2.0032100000000002</v>
      </c>
      <c r="AI337" s="692">
        <f ca="1">IF(AC337="","",AC337*SFAssumptions!$C$8/'SavingsData&amp;Analysis'!AF337)</f>
        <v>484.02714039951258</v>
      </c>
      <c r="AJ337" s="692">
        <f ca="1">IF(OR(AE337="",AF337=""),"",AE337*SFAssumptions!$C$8/AF337)</f>
        <v>3887.3136410313746</v>
      </c>
      <c r="AK337" s="191">
        <f t="shared" si="151"/>
        <v>1.4705882352941178</v>
      </c>
      <c r="AL337" s="692">
        <f>IF(AK337="","",AK337*SFAssumptions!$C$3)</f>
        <v>377.51955882352945</v>
      </c>
      <c r="AM337" s="193">
        <f t="shared" si="152"/>
        <v>13.299999999999999</v>
      </c>
      <c r="AN337" s="194">
        <f>IF(AM337="","",AM337*SFAssumptions!$C$3)</f>
        <v>3414.2868899999999</v>
      </c>
      <c r="AO337" s="693">
        <f t="shared" si="153"/>
        <v>3.8</v>
      </c>
      <c r="AP337" s="693">
        <f t="shared" si="154"/>
        <v>2.38</v>
      </c>
      <c r="AQ337" s="692">
        <f ca="1">IF(AL337="","",AL337*SFAssumptions!$C$8/'SavingsData&amp;Analysis'!AF337)</f>
        <v>407.39832265533943</v>
      </c>
      <c r="AR337" s="692">
        <f ca="1">IF(OR(AN337="",AF337=""),"",AN337*SFAssumptions!$C$8/AF337)</f>
        <v>3684.5104300948888</v>
      </c>
      <c r="AS337" s="190" t="str">
        <f>IF(OR(AG337="",AH337=""),"No",IF(AND(G337="Horizontal",AH337&gt;='Eff. Standards &amp; Certifications'!$B$21,AG337&lt;='Eff. Standards &amp; Certifications'!$C$21),"Consider",IF(AND(G337="Vertical",AH337&gt;='Eff. Standards &amp; Certifications'!$B$20,AG337&lt;='Eff. Standards &amp; Certifications'!$C$20),"Consider","No")))</f>
        <v>Consider</v>
      </c>
      <c r="AT337" s="190" t="str">
        <f t="shared" si="139"/>
        <v>Residential</v>
      </c>
      <c r="AU337" s="190"/>
      <c r="AV337" s="190" t="str">
        <f t="shared" si="165"/>
        <v>NO</v>
      </c>
      <c r="AW337" s="190" t="str">
        <f t="shared" si="165"/>
        <v>YES</v>
      </c>
      <c r="AX337" s="190" t="str">
        <f t="shared" si="155"/>
        <v>YES</v>
      </c>
      <c r="AY337" s="190" t="str">
        <f t="shared" si="140"/>
        <v>NO</v>
      </c>
      <c r="AZ337" s="190" t="str">
        <f t="shared" si="140"/>
        <v>YES</v>
      </c>
      <c r="BA337" s="190" t="str">
        <f t="shared" si="156"/>
        <v>YES</v>
      </c>
      <c r="BB337" s="190" t="str">
        <f t="shared" si="141"/>
        <v>NO</v>
      </c>
      <c r="BC337" s="190" t="str">
        <f t="shared" si="142"/>
        <v>NO</v>
      </c>
      <c r="BD337" s="190" t="str">
        <f t="shared" si="157"/>
        <v>NO</v>
      </c>
      <c r="BE337" s="190" t="str">
        <f t="shared" si="143"/>
        <v>NO</v>
      </c>
      <c r="BF337" s="190" t="str">
        <f t="shared" si="144"/>
        <v>NO</v>
      </c>
      <c r="BG337" s="190" t="str">
        <f t="shared" si="145"/>
        <v>NO</v>
      </c>
      <c r="BH337" s="88"/>
      <c r="BI337" s="9"/>
      <c r="BJ337" s="694" t="str">
        <f t="shared" si="166"/>
        <v/>
      </c>
      <c r="BK337" s="694">
        <f t="shared" si="166"/>
        <v>2.0032100000000002</v>
      </c>
      <c r="BL337" s="694" t="str">
        <f t="shared" si="167"/>
        <v/>
      </c>
      <c r="BM337" s="694">
        <f t="shared" si="167"/>
        <v>4.0091599999999996</v>
      </c>
      <c r="BN337" s="88"/>
      <c r="BO337" s="195"/>
      <c r="BP337" s="195"/>
      <c r="BQ337" s="195"/>
      <c r="BR337" s="195"/>
      <c r="BS337" s="195"/>
      <c r="BT337" s="195"/>
      <c r="BU337" s="195"/>
      <c r="BV337" s="195"/>
      <c r="BW337" s="195"/>
      <c r="BX337" s="195"/>
    </row>
    <row r="338" spans="1:76" s="124" customFormat="1" ht="15">
      <c r="A338" s="187">
        <v>3009</v>
      </c>
      <c r="B338" s="187" t="s">
        <v>625</v>
      </c>
      <c r="C338" s="187" t="s">
        <v>459</v>
      </c>
      <c r="D338" s="187" t="s">
        <v>684</v>
      </c>
      <c r="E338" s="187" t="s">
        <v>385</v>
      </c>
      <c r="F338" s="187" t="s">
        <v>386</v>
      </c>
      <c r="G338" s="187" t="s">
        <v>387</v>
      </c>
      <c r="H338" s="187" t="b">
        <v>0</v>
      </c>
      <c r="I338" s="187" t="s">
        <v>388</v>
      </c>
      <c r="J338" s="187" t="s">
        <v>389</v>
      </c>
      <c r="K338" s="187" t="b">
        <v>1</v>
      </c>
      <c r="L338" s="187">
        <v>3.3</v>
      </c>
      <c r="M338" s="187">
        <v>0.44</v>
      </c>
      <c r="N338" s="187">
        <v>13.5</v>
      </c>
      <c r="O338" s="187">
        <v>4.0999999999999996</v>
      </c>
      <c r="P338" s="187">
        <v>7.45</v>
      </c>
      <c r="Q338" s="187"/>
      <c r="R338" s="187"/>
      <c r="S338" s="187"/>
      <c r="T338" s="187"/>
      <c r="U338" s="187">
        <v>36.4</v>
      </c>
      <c r="V338" s="187">
        <v>2.38</v>
      </c>
      <c r="W338" s="188">
        <v>39371</v>
      </c>
      <c r="X338" s="691">
        <f t="shared" si="164"/>
        <v>2.0032100000000002</v>
      </c>
      <c r="Y338" s="691">
        <f t="shared" si="138"/>
        <v>4.3164199999999999</v>
      </c>
      <c r="Z338" s="189"/>
      <c r="AA338" s="190">
        <f t="shared" si="146"/>
        <v>2007</v>
      </c>
      <c r="AB338" s="191">
        <f t="shared" si="147"/>
        <v>1.6473559936302233</v>
      </c>
      <c r="AC338" s="192">
        <f>IF(AB338="","",AB338*SFAssumptions!$C$3)</f>
        <v>422.89819339959359</v>
      </c>
      <c r="AD338" s="193">
        <f t="shared" si="148"/>
        <v>14.244185999999999</v>
      </c>
      <c r="AE338" s="194">
        <f>IF(AD338="","",AD338*SFAssumptions!$C$3)</f>
        <v>3656.6719938737997</v>
      </c>
      <c r="AF338" s="192">
        <f t="shared" si="137"/>
        <v>3.3</v>
      </c>
      <c r="AG338" s="192">
        <f t="shared" si="149"/>
        <v>4.3164199999999999</v>
      </c>
      <c r="AH338" s="192">
        <f t="shared" si="150"/>
        <v>2.0032100000000002</v>
      </c>
      <c r="AI338" s="692">
        <f ca="1">IF(AC338="","",AC338*SFAssumptions!$C$8/'SavingsData&amp;Analysis'!AF338)</f>
        <v>484.02714039951258</v>
      </c>
      <c r="AJ338" s="692">
        <f ca="1">IF(OR(AE338="",AF338=""),"",AE338*SFAssumptions!$C$8/AF338)</f>
        <v>4185.2353975447841</v>
      </c>
      <c r="AK338" s="191">
        <f t="shared" si="151"/>
        <v>1.3865546218487395</v>
      </c>
      <c r="AL338" s="692">
        <f>IF(AK338="","",AK338*SFAssumptions!$C$3)</f>
        <v>355.947012605042</v>
      </c>
      <c r="AM338" s="193">
        <f t="shared" si="152"/>
        <v>13.529999999999998</v>
      </c>
      <c r="AN338" s="194">
        <f>IF(AM338="","",AM338*SFAssumptions!$C$3)</f>
        <v>3473.3309489999992</v>
      </c>
      <c r="AO338" s="693">
        <f t="shared" si="153"/>
        <v>4.0999999999999996</v>
      </c>
      <c r="AP338" s="693">
        <f t="shared" si="154"/>
        <v>2.38</v>
      </c>
      <c r="AQ338" s="692">
        <f ca="1">IF(AL338="","",AL338*SFAssumptions!$C$8/'SavingsData&amp;Analysis'!AF338)</f>
        <v>407.39832265533937</v>
      </c>
      <c r="AR338" s="692">
        <f ca="1">IF(OR(AN338="",AF338=""),"",AN338*SFAssumptions!$C$8/AF338)</f>
        <v>3975.3928324708008</v>
      </c>
      <c r="AS338" s="190" t="str">
        <f>IF(OR(AG338="",AH338=""),"No",IF(AND(G338="Horizontal",AH338&gt;='Eff. Standards &amp; Certifications'!$B$21,AG338&lt;='Eff. Standards &amp; Certifications'!$C$21),"Consider",IF(AND(G338="Vertical",AH338&gt;='Eff. Standards &amp; Certifications'!$B$20,AG338&lt;='Eff. Standards &amp; Certifications'!$C$20),"Consider","No")))</f>
        <v>Consider</v>
      </c>
      <c r="AT338" s="190" t="str">
        <f t="shared" si="139"/>
        <v>Residential</v>
      </c>
      <c r="AU338" s="190"/>
      <c r="AV338" s="190" t="str">
        <f t="shared" si="165"/>
        <v>NO</v>
      </c>
      <c r="AW338" s="190" t="str">
        <f t="shared" si="165"/>
        <v>YES</v>
      </c>
      <c r="AX338" s="190" t="str">
        <f t="shared" si="155"/>
        <v>YES</v>
      </c>
      <c r="AY338" s="190" t="str">
        <f t="shared" si="140"/>
        <v>NO</v>
      </c>
      <c r="AZ338" s="190" t="str">
        <f t="shared" si="140"/>
        <v>YES</v>
      </c>
      <c r="BA338" s="190" t="str">
        <f t="shared" si="156"/>
        <v>YES</v>
      </c>
      <c r="BB338" s="190" t="str">
        <f t="shared" si="141"/>
        <v>NO</v>
      </c>
      <c r="BC338" s="190" t="str">
        <f t="shared" si="142"/>
        <v>NO</v>
      </c>
      <c r="BD338" s="190" t="str">
        <f t="shared" si="157"/>
        <v>NO</v>
      </c>
      <c r="BE338" s="190" t="str">
        <f t="shared" si="143"/>
        <v>NO</v>
      </c>
      <c r="BF338" s="190" t="str">
        <f t="shared" si="144"/>
        <v>NO</v>
      </c>
      <c r="BG338" s="190" t="str">
        <f t="shared" si="145"/>
        <v>NO</v>
      </c>
      <c r="BH338" s="88"/>
      <c r="BI338" s="9"/>
      <c r="BJ338" s="694" t="str">
        <f t="shared" si="166"/>
        <v/>
      </c>
      <c r="BK338" s="694">
        <f t="shared" si="166"/>
        <v>2.0032100000000002</v>
      </c>
      <c r="BL338" s="694" t="str">
        <f t="shared" si="167"/>
        <v/>
      </c>
      <c r="BM338" s="694">
        <f t="shared" si="167"/>
        <v>4.3164199999999999</v>
      </c>
      <c r="BN338" s="88"/>
      <c r="BO338" s="195"/>
      <c r="BP338" s="195"/>
      <c r="BQ338" s="195"/>
      <c r="BR338" s="195"/>
      <c r="BS338" s="195"/>
      <c r="BT338" s="195"/>
      <c r="BU338" s="195"/>
      <c r="BV338" s="195"/>
      <c r="BW338" s="195"/>
      <c r="BX338" s="195"/>
    </row>
    <row r="339" spans="1:76" s="124" customFormat="1" ht="15">
      <c r="A339" s="187">
        <v>3014</v>
      </c>
      <c r="B339" s="187" t="s">
        <v>625</v>
      </c>
      <c r="C339" s="187" t="s">
        <v>459</v>
      </c>
      <c r="D339" s="187" t="s">
        <v>685</v>
      </c>
      <c r="E339" s="187" t="s">
        <v>385</v>
      </c>
      <c r="F339" s="187" t="s">
        <v>386</v>
      </c>
      <c r="G339" s="187" t="s">
        <v>387</v>
      </c>
      <c r="H339" s="187" t="b">
        <v>0</v>
      </c>
      <c r="I339" s="187" t="s">
        <v>388</v>
      </c>
      <c r="J339" s="187" t="s">
        <v>389</v>
      </c>
      <c r="K339" s="187" t="b">
        <v>1</v>
      </c>
      <c r="L339" s="187">
        <v>3.3</v>
      </c>
      <c r="M339" s="187">
        <v>0.37</v>
      </c>
      <c r="N339" s="187">
        <v>11.95</v>
      </c>
      <c r="O339" s="187">
        <v>3.7</v>
      </c>
      <c r="P339" s="187">
        <v>8.81</v>
      </c>
      <c r="Q339" s="187"/>
      <c r="R339" s="187"/>
      <c r="S339" s="187"/>
      <c r="T339" s="187"/>
      <c r="U339" s="187">
        <v>34.5</v>
      </c>
      <c r="V339" s="187">
        <v>2.6</v>
      </c>
      <c r="W339" s="188">
        <v>39371</v>
      </c>
      <c r="X339" s="691">
        <f t="shared" si="164"/>
        <v>2.2043999999999997</v>
      </c>
      <c r="Y339" s="691">
        <f t="shared" si="138"/>
        <v>3.9067400000000001</v>
      </c>
      <c r="Z339" s="189"/>
      <c r="AA339" s="190">
        <f t="shared" si="146"/>
        <v>2007</v>
      </c>
      <c r="AB339" s="191">
        <f t="shared" si="147"/>
        <v>1.4970059880239521</v>
      </c>
      <c r="AC339" s="192">
        <f>IF(AB339="","",AB339*SFAssumptions!$C$3)</f>
        <v>384.30134730538924</v>
      </c>
      <c r="AD339" s="193">
        <f t="shared" si="148"/>
        <v>12.892242</v>
      </c>
      <c r="AE339" s="194">
        <f>IF(AD339="","",AD339*SFAssumptions!$C$3)</f>
        <v>3309.6099882185999</v>
      </c>
      <c r="AF339" s="192">
        <f t="shared" si="137"/>
        <v>3.3</v>
      </c>
      <c r="AG339" s="192">
        <f t="shared" si="149"/>
        <v>3.9067400000000001</v>
      </c>
      <c r="AH339" s="192">
        <f t="shared" si="150"/>
        <v>2.2043999999999997</v>
      </c>
      <c r="AI339" s="692">
        <f ca="1">IF(AC339="","",AC339*SFAssumptions!$C$8/'SavingsData&amp;Analysis'!AF339)</f>
        <v>439.85121027023581</v>
      </c>
      <c r="AJ339" s="692">
        <f ca="1">IF(OR(AE339="",AF339=""),"",AE339*SFAssumptions!$C$8/AF339)</f>
        <v>3788.0063888602385</v>
      </c>
      <c r="AK339" s="191">
        <f t="shared" si="151"/>
        <v>1.2692307692307692</v>
      </c>
      <c r="AL339" s="692">
        <f>IF(AK339="","",AK339*SFAssumptions!$C$3)</f>
        <v>325.82841923076921</v>
      </c>
      <c r="AM339" s="193">
        <f t="shared" si="152"/>
        <v>12.209999999999999</v>
      </c>
      <c r="AN339" s="194">
        <f>IF(AM339="","",AM339*SFAssumptions!$C$3)</f>
        <v>3134.4693929999999</v>
      </c>
      <c r="AO339" s="693">
        <f t="shared" si="153"/>
        <v>3.7</v>
      </c>
      <c r="AP339" s="693">
        <f t="shared" si="154"/>
        <v>2.6</v>
      </c>
      <c r="AQ339" s="692">
        <f ca="1">IF(AL339="","",AL339*SFAssumptions!$C$8/'SavingsData&amp;Analysis'!AF339)</f>
        <v>372.92615689219525</v>
      </c>
      <c r="AR339" s="692">
        <f ca="1">IF(OR(AN339="",AF339=""),"",AN339*SFAssumptions!$C$8/AF339)</f>
        <v>3587.5496293029182</v>
      </c>
      <c r="AS339" s="190" t="str">
        <f>IF(OR(AG339="",AH339=""),"No",IF(AND(G339="Horizontal",AH339&gt;='Eff. Standards &amp; Certifications'!$B$21,AG339&lt;='Eff. Standards &amp; Certifications'!$C$21),"Consider",IF(AND(G339="Vertical",AH339&gt;='Eff. Standards &amp; Certifications'!$B$20,AG339&lt;='Eff. Standards &amp; Certifications'!$C$20),"Consider","No")))</f>
        <v>Consider</v>
      </c>
      <c r="AT339" s="190" t="str">
        <f t="shared" si="139"/>
        <v>Residential</v>
      </c>
      <c r="AU339" s="190"/>
      <c r="AV339" s="190" t="str">
        <f t="shared" si="165"/>
        <v>NO</v>
      </c>
      <c r="AW339" s="190" t="str">
        <f t="shared" si="165"/>
        <v>YES</v>
      </c>
      <c r="AX339" s="190" t="str">
        <f t="shared" si="155"/>
        <v>YES</v>
      </c>
      <c r="AY339" s="190" t="str">
        <f t="shared" si="140"/>
        <v>NO</v>
      </c>
      <c r="AZ339" s="190" t="str">
        <f t="shared" si="140"/>
        <v>YES</v>
      </c>
      <c r="BA339" s="190" t="str">
        <f t="shared" si="156"/>
        <v>YES</v>
      </c>
      <c r="BB339" s="190" t="str">
        <f t="shared" si="141"/>
        <v>NO</v>
      </c>
      <c r="BC339" s="190" t="str">
        <f t="shared" si="142"/>
        <v>NO</v>
      </c>
      <c r="BD339" s="190" t="str">
        <f t="shared" si="157"/>
        <v>NO</v>
      </c>
      <c r="BE339" s="190" t="str">
        <f t="shared" si="143"/>
        <v>NO</v>
      </c>
      <c r="BF339" s="190" t="str">
        <f t="shared" si="144"/>
        <v>NO</v>
      </c>
      <c r="BG339" s="190" t="str">
        <f t="shared" si="145"/>
        <v>NO</v>
      </c>
      <c r="BH339" s="88"/>
      <c r="BI339" s="9"/>
      <c r="BJ339" s="694" t="str">
        <f t="shared" si="166"/>
        <v/>
      </c>
      <c r="BK339" s="694">
        <f t="shared" si="166"/>
        <v>2.2043999999999997</v>
      </c>
      <c r="BL339" s="694" t="str">
        <f t="shared" si="167"/>
        <v/>
      </c>
      <c r="BM339" s="694">
        <f t="shared" si="167"/>
        <v>3.9067400000000001</v>
      </c>
      <c r="BN339" s="88"/>
      <c r="BO339" s="195"/>
      <c r="BP339" s="195"/>
      <c r="BQ339" s="195"/>
      <c r="BR339" s="195"/>
      <c r="BS339" s="195"/>
      <c r="BT339" s="195"/>
      <c r="BU339" s="195"/>
      <c r="BV339" s="195"/>
      <c r="BW339" s="195"/>
      <c r="BX339" s="195"/>
    </row>
    <row r="340" spans="1:76" s="124" customFormat="1" ht="15">
      <c r="A340" s="187">
        <v>3425</v>
      </c>
      <c r="B340" s="187" t="s">
        <v>625</v>
      </c>
      <c r="C340" s="187" t="s">
        <v>459</v>
      </c>
      <c r="D340" s="187" t="s">
        <v>686</v>
      </c>
      <c r="E340" s="187" t="s">
        <v>385</v>
      </c>
      <c r="F340" s="187" t="s">
        <v>386</v>
      </c>
      <c r="G340" s="187" t="s">
        <v>387</v>
      </c>
      <c r="H340" s="187" t="b">
        <v>0</v>
      </c>
      <c r="I340" s="187" t="s">
        <v>388</v>
      </c>
      <c r="J340" s="187" t="s">
        <v>389</v>
      </c>
      <c r="K340" s="187" t="b">
        <v>1</v>
      </c>
      <c r="L340" s="187">
        <v>3.8</v>
      </c>
      <c r="M340" s="187">
        <v>0.35</v>
      </c>
      <c r="N340" s="187">
        <v>12.92</v>
      </c>
      <c r="O340" s="187">
        <v>3.4</v>
      </c>
      <c r="P340" s="187">
        <v>10.94</v>
      </c>
      <c r="Q340" s="187"/>
      <c r="R340" s="187"/>
      <c r="S340" s="187"/>
      <c r="T340" s="187"/>
      <c r="U340" s="187">
        <v>36.299999999999997</v>
      </c>
      <c r="V340" s="187">
        <v>2.64</v>
      </c>
      <c r="W340" s="188">
        <v>39685</v>
      </c>
      <c r="X340" s="691">
        <f t="shared" si="164"/>
        <v>2.2409800000000004</v>
      </c>
      <c r="Y340" s="691">
        <f t="shared" si="138"/>
        <v>3.5994799999999998</v>
      </c>
      <c r="Z340" s="189"/>
      <c r="AA340" s="190">
        <f t="shared" si="146"/>
        <v>2008</v>
      </c>
      <c r="AB340" s="191">
        <f t="shared" si="147"/>
        <v>1.6956867084936051</v>
      </c>
      <c r="AC340" s="192">
        <f>IF(AB340="","",AB340*SFAssumptions!$C$3)</f>
        <v>435.30533070353141</v>
      </c>
      <c r="AD340" s="193">
        <f t="shared" si="148"/>
        <v>13.678023999999999</v>
      </c>
      <c r="AE340" s="194">
        <f>IF(AD340="","",AD340*SFAssumptions!$C$3)</f>
        <v>3511.3306785191999</v>
      </c>
      <c r="AF340" s="192">
        <f t="shared" si="137"/>
        <v>3.8</v>
      </c>
      <c r="AG340" s="192">
        <f t="shared" si="149"/>
        <v>3.5994799999999998</v>
      </c>
      <c r="AH340" s="192">
        <f t="shared" si="150"/>
        <v>2.2409800000000004</v>
      </c>
      <c r="AI340" s="692">
        <f ca="1">IF(AC340="","",AC340*SFAssumptions!$C$8/'SavingsData&amp;Analysis'!AF340)</f>
        <v>432.671424073266</v>
      </c>
      <c r="AJ340" s="692">
        <f ca="1">IF(OR(AE340="",AF340=""),"",AE340*SFAssumptions!$C$8/AF340)</f>
        <v>3490.0846323468295</v>
      </c>
      <c r="AK340" s="191">
        <f t="shared" si="151"/>
        <v>1.4393939393939392</v>
      </c>
      <c r="AL340" s="692">
        <f>IF(AK340="","",AK340*SFAssumptions!$C$3)</f>
        <v>369.51156818181812</v>
      </c>
      <c r="AM340" s="193">
        <f t="shared" si="152"/>
        <v>12.92</v>
      </c>
      <c r="AN340" s="194">
        <f>IF(AM340="","",AM340*SFAssumptions!$C$3)</f>
        <v>3316.7358359999998</v>
      </c>
      <c r="AO340" s="693">
        <f t="shared" si="153"/>
        <v>3.4</v>
      </c>
      <c r="AP340" s="693">
        <f t="shared" si="154"/>
        <v>2.64</v>
      </c>
      <c r="AQ340" s="692">
        <f ca="1">IF(AL340="","",AL340*SFAssumptions!$C$8/'SavingsData&amp;Analysis'!AF340)</f>
        <v>367.27576057564681</v>
      </c>
      <c r="AR340" s="692">
        <f ca="1">IF(OR(AN340="",AF340=""),"",AN340*SFAssumptions!$C$8/AF340)</f>
        <v>3296.6672269270061</v>
      </c>
      <c r="AS340" s="190" t="str">
        <f>IF(OR(AG340="",AH340=""),"No",IF(AND(G340="Horizontal",AH340&gt;='Eff. Standards &amp; Certifications'!$B$21,AG340&lt;='Eff. Standards &amp; Certifications'!$C$21),"Consider",IF(AND(G340="Vertical",AH340&gt;='Eff. Standards &amp; Certifications'!$B$20,AG340&lt;='Eff. Standards &amp; Certifications'!$C$20),"Consider","No")))</f>
        <v>Consider</v>
      </c>
      <c r="AT340" s="190" t="str">
        <f t="shared" si="139"/>
        <v>Residential</v>
      </c>
      <c r="AU340" s="190"/>
      <c r="AV340" s="190" t="str">
        <f t="shared" si="165"/>
        <v>NO</v>
      </c>
      <c r="AW340" s="190" t="str">
        <f t="shared" si="165"/>
        <v>YES</v>
      </c>
      <c r="AX340" s="190" t="str">
        <f t="shared" si="155"/>
        <v>YES</v>
      </c>
      <c r="AY340" s="190" t="str">
        <f t="shared" si="140"/>
        <v>NO</v>
      </c>
      <c r="AZ340" s="190" t="str">
        <f t="shared" si="140"/>
        <v>YES</v>
      </c>
      <c r="BA340" s="190" t="str">
        <f t="shared" si="156"/>
        <v>YES</v>
      </c>
      <c r="BB340" s="190" t="str">
        <f t="shared" si="141"/>
        <v>NO</v>
      </c>
      <c r="BC340" s="190" t="str">
        <f t="shared" si="142"/>
        <v>NO</v>
      </c>
      <c r="BD340" s="190" t="str">
        <f t="shared" si="157"/>
        <v>NO</v>
      </c>
      <c r="BE340" s="190" t="str">
        <f t="shared" si="143"/>
        <v>NO</v>
      </c>
      <c r="BF340" s="190" t="str">
        <f t="shared" si="144"/>
        <v>NO</v>
      </c>
      <c r="BG340" s="190" t="str">
        <f t="shared" si="145"/>
        <v>NO</v>
      </c>
      <c r="BH340" s="88"/>
      <c r="BI340" s="9"/>
      <c r="BJ340" s="694" t="str">
        <f t="shared" si="166"/>
        <v/>
      </c>
      <c r="BK340" s="694">
        <f t="shared" si="166"/>
        <v>2.2409800000000004</v>
      </c>
      <c r="BL340" s="694" t="str">
        <f t="shared" si="167"/>
        <v/>
      </c>
      <c r="BM340" s="694">
        <f t="shared" si="167"/>
        <v>3.5994799999999998</v>
      </c>
      <c r="BN340" s="88"/>
      <c r="BO340" s="195"/>
      <c r="BP340" s="195"/>
      <c r="BQ340" s="195"/>
      <c r="BR340" s="195"/>
      <c r="BS340" s="195"/>
      <c r="BT340" s="195"/>
      <c r="BU340" s="195"/>
      <c r="BV340" s="195"/>
      <c r="BW340" s="195"/>
      <c r="BX340" s="195"/>
    </row>
    <row r="341" spans="1:76" s="124" customFormat="1" ht="15">
      <c r="A341" s="187">
        <v>3018</v>
      </c>
      <c r="B341" s="187" t="s">
        <v>625</v>
      </c>
      <c r="C341" s="187" t="s">
        <v>459</v>
      </c>
      <c r="D341" s="187" t="s">
        <v>687</v>
      </c>
      <c r="E341" s="187" t="s">
        <v>385</v>
      </c>
      <c r="F341" s="187" t="s">
        <v>386</v>
      </c>
      <c r="G341" s="187" t="s">
        <v>387</v>
      </c>
      <c r="H341" s="187" t="b">
        <v>0</v>
      </c>
      <c r="I341" s="187" t="s">
        <v>388</v>
      </c>
      <c r="J341" s="187" t="s">
        <v>389</v>
      </c>
      <c r="K341" s="187" t="b">
        <v>1</v>
      </c>
      <c r="L341" s="187">
        <v>3.3</v>
      </c>
      <c r="M341" s="187">
        <v>0.45</v>
      </c>
      <c r="N341" s="187">
        <v>14.77</v>
      </c>
      <c r="O341" s="187">
        <v>4.5</v>
      </c>
      <c r="P341" s="187">
        <v>7.33</v>
      </c>
      <c r="Q341" s="187"/>
      <c r="R341" s="187"/>
      <c r="S341" s="187"/>
      <c r="T341" s="187"/>
      <c r="U341" s="187">
        <v>41.6</v>
      </c>
      <c r="V341" s="187">
        <v>2.13</v>
      </c>
      <c r="W341" s="188">
        <v>39371</v>
      </c>
      <c r="X341" s="691">
        <f t="shared" si="164"/>
        <v>1.7745849999999999</v>
      </c>
      <c r="Y341" s="691">
        <f t="shared" si="138"/>
        <v>4.7261000000000006</v>
      </c>
      <c r="Z341" s="189"/>
      <c r="AA341" s="190">
        <f t="shared" si="146"/>
        <v>2007</v>
      </c>
      <c r="AB341" s="191">
        <f t="shared" si="147"/>
        <v>1.8595897068892164</v>
      </c>
      <c r="AC341" s="192">
        <f>IF(AB341="","",AB341*SFAssumptions!$C$3)</f>
        <v>477.38141030156351</v>
      </c>
      <c r="AD341" s="193">
        <f t="shared" si="148"/>
        <v>15.59613</v>
      </c>
      <c r="AE341" s="194">
        <f>IF(AD341="","",AD341*SFAssumptions!$C$3)</f>
        <v>4003.7339995290004</v>
      </c>
      <c r="AF341" s="192">
        <f t="shared" si="137"/>
        <v>3.3</v>
      </c>
      <c r="AG341" s="192">
        <f t="shared" si="149"/>
        <v>4.7261000000000006</v>
      </c>
      <c r="AH341" s="192">
        <f t="shared" si="150"/>
        <v>1.7745849999999999</v>
      </c>
      <c r="AI341" s="692">
        <f ca="1">IF(AC341="","",AC341*SFAssumptions!$C$8/'SavingsData&amp;Analysis'!AF341)</f>
        <v>546.38577916510496</v>
      </c>
      <c r="AJ341" s="692">
        <f ca="1">IF(OR(AE341="",AF341=""),"",AE341*SFAssumptions!$C$8/AF341)</f>
        <v>4582.464406229331</v>
      </c>
      <c r="AK341" s="191">
        <f t="shared" si="151"/>
        <v>1.5492957746478873</v>
      </c>
      <c r="AL341" s="692">
        <f>IF(AK341="","",AK341*SFAssumptions!$C$3)</f>
        <v>397.7248309859155</v>
      </c>
      <c r="AM341" s="193">
        <f t="shared" si="152"/>
        <v>14.85</v>
      </c>
      <c r="AN341" s="194">
        <f>IF(AM341="","",AM341*SFAssumptions!$C$3)</f>
        <v>3812.192505</v>
      </c>
      <c r="AO341" s="693">
        <f t="shared" si="153"/>
        <v>4.5</v>
      </c>
      <c r="AP341" s="693">
        <f t="shared" si="154"/>
        <v>2.13</v>
      </c>
      <c r="AQ341" s="692">
        <f ca="1">IF(AL341="","",AL341*SFAssumptions!$C$8/'SavingsData&amp;Analysis'!AF341)</f>
        <v>455.21502719235104</v>
      </c>
      <c r="AR341" s="692">
        <f ca="1">IF(OR(AN341="",AF341=""),"",AN341*SFAssumptions!$C$8/AF341)</f>
        <v>4363.2360356386844</v>
      </c>
      <c r="AS341" s="190" t="str">
        <f>IF(OR(AG341="",AH341=""),"No",IF(AND(G341="Horizontal",AH341&gt;='Eff. Standards &amp; Certifications'!$B$21,AG341&lt;='Eff. Standards &amp; Certifications'!$C$21),"Consider",IF(AND(G341="Vertical",AH341&gt;='Eff. Standards &amp; Certifications'!$B$20,AG341&lt;='Eff. Standards &amp; Certifications'!$C$20),"Consider","No")))</f>
        <v>No</v>
      </c>
      <c r="AT341" s="190" t="str">
        <f t="shared" si="139"/>
        <v>Residential</v>
      </c>
      <c r="AU341" s="190"/>
      <c r="AV341" s="190" t="str">
        <f t="shared" si="165"/>
        <v>NO</v>
      </c>
      <c r="AW341" s="190" t="str">
        <f t="shared" si="165"/>
        <v>NO</v>
      </c>
      <c r="AX341" s="190" t="str">
        <f t="shared" si="155"/>
        <v>NO</v>
      </c>
      <c r="AY341" s="190" t="str">
        <f t="shared" si="140"/>
        <v>NO</v>
      </c>
      <c r="AZ341" s="190" t="str">
        <f t="shared" si="140"/>
        <v>NO</v>
      </c>
      <c r="BA341" s="190" t="str">
        <f t="shared" si="156"/>
        <v>NO</v>
      </c>
      <c r="BB341" s="190" t="str">
        <f t="shared" si="141"/>
        <v>NO</v>
      </c>
      <c r="BC341" s="190" t="str">
        <f t="shared" si="142"/>
        <v>NO</v>
      </c>
      <c r="BD341" s="190" t="str">
        <f t="shared" si="157"/>
        <v>NO</v>
      </c>
      <c r="BE341" s="190" t="str">
        <f t="shared" si="143"/>
        <v>NO</v>
      </c>
      <c r="BF341" s="190" t="str">
        <f t="shared" si="144"/>
        <v>NO</v>
      </c>
      <c r="BG341" s="190" t="str">
        <f t="shared" si="145"/>
        <v>NO</v>
      </c>
      <c r="BH341" s="88"/>
      <c r="BI341" s="9"/>
      <c r="BJ341" s="694" t="str">
        <f t="shared" si="166"/>
        <v/>
      </c>
      <c r="BK341" s="694" t="str">
        <f t="shared" si="166"/>
        <v/>
      </c>
      <c r="BL341" s="694" t="str">
        <f t="shared" si="167"/>
        <v/>
      </c>
      <c r="BM341" s="694" t="str">
        <f t="shared" si="167"/>
        <v/>
      </c>
      <c r="BN341" s="88"/>
      <c r="BO341" s="195"/>
      <c r="BP341" s="195"/>
      <c r="BQ341" s="195"/>
      <c r="BR341" s="195"/>
      <c r="BS341" s="195"/>
      <c r="BT341" s="195"/>
      <c r="BU341" s="195"/>
      <c r="BV341" s="195"/>
      <c r="BW341" s="195"/>
      <c r="BX341" s="195"/>
    </row>
    <row r="342" spans="1:76" s="124" customFormat="1" ht="15">
      <c r="A342" s="187">
        <v>3023</v>
      </c>
      <c r="B342" s="187" t="s">
        <v>625</v>
      </c>
      <c r="C342" s="187" t="s">
        <v>459</v>
      </c>
      <c r="D342" s="187" t="s">
        <v>688</v>
      </c>
      <c r="E342" s="187" t="s">
        <v>392</v>
      </c>
      <c r="F342" s="187" t="s">
        <v>386</v>
      </c>
      <c r="G342" s="187" t="s">
        <v>393</v>
      </c>
      <c r="H342" s="187" t="b">
        <v>0</v>
      </c>
      <c r="I342" s="187" t="s">
        <v>388</v>
      </c>
      <c r="J342" s="187" t="s">
        <v>389</v>
      </c>
      <c r="K342" s="187" t="b">
        <v>1</v>
      </c>
      <c r="L342" s="187">
        <v>1.5</v>
      </c>
      <c r="M342" s="187">
        <v>1.17</v>
      </c>
      <c r="N342" s="187">
        <v>20.91</v>
      </c>
      <c r="O342" s="187">
        <v>13.9</v>
      </c>
      <c r="P342" s="187">
        <v>1.28</v>
      </c>
      <c r="Q342" s="187"/>
      <c r="R342" s="187"/>
      <c r="S342" s="187"/>
      <c r="T342" s="187"/>
      <c r="U342" s="187">
        <v>58.4</v>
      </c>
      <c r="V342" s="187">
        <v>0.78</v>
      </c>
      <c r="W342" s="188">
        <v>39371</v>
      </c>
      <c r="X342" s="691">
        <f t="shared" si="164"/>
        <v>0.35589999999999999</v>
      </c>
      <c r="Y342" s="691">
        <f t="shared" si="138"/>
        <v>14.273810000000001</v>
      </c>
      <c r="Z342" s="189"/>
      <c r="AA342" s="190">
        <f t="shared" si="146"/>
        <v>2007</v>
      </c>
      <c r="AB342" s="191">
        <f t="shared" si="147"/>
        <v>4.2146670413037368</v>
      </c>
      <c r="AC342" s="192">
        <f>IF(AB342="","",AB342*SFAssumptions!$C$3)</f>
        <v>1081.9610845743186</v>
      </c>
      <c r="AD342" s="193">
        <f t="shared" si="148"/>
        <v>21.410715000000003</v>
      </c>
      <c r="AE342" s="194">
        <f>IF(AD342="","",AD342*SFAssumptions!$C$3)</f>
        <v>5496.4153030095013</v>
      </c>
      <c r="AF342" s="192">
        <f t="shared" ref="AF342:AF405" si="168">L342</f>
        <v>1.5</v>
      </c>
      <c r="AG342" s="192">
        <f t="shared" si="149"/>
        <v>14.273810000000001</v>
      </c>
      <c r="AH342" s="192">
        <f t="shared" si="150"/>
        <v>0.35589999999999999</v>
      </c>
      <c r="AI342" s="692">
        <f ca="1">IF(AC342="","",AC342*SFAssumptions!$C$8/'SavingsData&amp;Analysis'!AF342)</f>
        <v>2724.3832759755765</v>
      </c>
      <c r="AJ342" s="692">
        <f ca="1">IF(OR(AE342="",AF342=""),"",AE342*SFAssumptions!$C$8/AF342)</f>
        <v>13840.000479524404</v>
      </c>
      <c r="AK342" s="191">
        <f t="shared" si="151"/>
        <v>1.9230769230769229</v>
      </c>
      <c r="AL342" s="692">
        <f>IF(AK342="","",AK342*SFAssumptions!$C$3)</f>
        <v>493.67942307692306</v>
      </c>
      <c r="AM342" s="193">
        <f t="shared" si="152"/>
        <v>20.85</v>
      </c>
      <c r="AN342" s="194">
        <f>IF(AM342="","",AM342*SFAssumptions!$C$3)</f>
        <v>5352.4723050000002</v>
      </c>
      <c r="AO342" s="693">
        <f t="shared" si="153"/>
        <v>13.9</v>
      </c>
      <c r="AP342" s="693">
        <f t="shared" si="154"/>
        <v>0.78</v>
      </c>
      <c r="AQ342" s="692">
        <f ca="1">IF(AL342="","",AL342*SFAssumptions!$C$8/'SavingsData&amp;Analysis'!AF342)</f>
        <v>1243.0871896406509</v>
      </c>
      <c r="AR342" s="692">
        <f ca="1">IF(OR(AN342="",AF342=""),"",AN342*SFAssumptions!$C$8/AF342)</f>
        <v>13477.551310083938</v>
      </c>
      <c r="AS342" s="190" t="str">
        <f>IF(OR(AG342="",AH342=""),"No",IF(AND(G342="Horizontal",AH342&gt;='Eff. Standards &amp; Certifications'!$B$21,AG342&lt;='Eff. Standards &amp; Certifications'!$C$21),"Consider",IF(AND(G342="Vertical",AH342&gt;='Eff. Standards &amp; Certifications'!$B$20,AG342&lt;='Eff. Standards &amp; Certifications'!$C$20),"Consider","No")))</f>
        <v>No</v>
      </c>
      <c r="AT342" s="190" t="str">
        <f t="shared" si="139"/>
        <v>Residential</v>
      </c>
      <c r="AU342" s="190"/>
      <c r="AV342" s="190" t="str">
        <f t="shared" si="165"/>
        <v>NO</v>
      </c>
      <c r="AW342" s="190" t="str">
        <f t="shared" si="165"/>
        <v>NO</v>
      </c>
      <c r="AX342" s="190" t="str">
        <f t="shared" si="155"/>
        <v>NO</v>
      </c>
      <c r="AY342" s="190" t="str">
        <f t="shared" si="140"/>
        <v>NO</v>
      </c>
      <c r="AZ342" s="190" t="str">
        <f t="shared" si="140"/>
        <v>NO</v>
      </c>
      <c r="BA342" s="190" t="str">
        <f t="shared" si="156"/>
        <v>NO</v>
      </c>
      <c r="BB342" s="190" t="str">
        <f t="shared" si="141"/>
        <v>NO</v>
      </c>
      <c r="BC342" s="190" t="str">
        <f t="shared" si="142"/>
        <v>NO</v>
      </c>
      <c r="BD342" s="190" t="str">
        <f t="shared" si="157"/>
        <v>NO</v>
      </c>
      <c r="BE342" s="190" t="str">
        <f t="shared" si="143"/>
        <v>NO</v>
      </c>
      <c r="BF342" s="190" t="str">
        <f t="shared" si="144"/>
        <v>NO</v>
      </c>
      <c r="BG342" s="190" t="str">
        <f t="shared" si="145"/>
        <v>NO</v>
      </c>
      <c r="BH342" s="88"/>
      <c r="BI342" s="9"/>
      <c r="BJ342" s="694" t="str">
        <f t="shared" si="166"/>
        <v/>
      </c>
      <c r="BK342" s="694" t="str">
        <f t="shared" si="166"/>
        <v/>
      </c>
      <c r="BL342" s="694" t="str">
        <f t="shared" si="167"/>
        <v/>
      </c>
      <c r="BM342" s="694" t="str">
        <f t="shared" si="167"/>
        <v/>
      </c>
      <c r="BN342" s="88"/>
      <c r="BO342" s="195"/>
      <c r="BP342" s="195"/>
      <c r="BQ342" s="195"/>
      <c r="BR342" s="195"/>
      <c r="BS342" s="195"/>
      <c r="BT342" s="195"/>
      <c r="BU342" s="195"/>
      <c r="BV342" s="195"/>
      <c r="BW342" s="195"/>
      <c r="BX342" s="195"/>
    </row>
    <row r="343" spans="1:76" s="124" customFormat="1" ht="15">
      <c r="A343" s="187">
        <v>3024</v>
      </c>
      <c r="B343" s="187" t="s">
        <v>625</v>
      </c>
      <c r="C343" s="187" t="s">
        <v>459</v>
      </c>
      <c r="D343" s="187" t="s">
        <v>689</v>
      </c>
      <c r="E343" s="187" t="s">
        <v>392</v>
      </c>
      <c r="F343" s="187" t="s">
        <v>386</v>
      </c>
      <c r="G343" s="187" t="s">
        <v>393</v>
      </c>
      <c r="H343" s="187" t="b">
        <v>0</v>
      </c>
      <c r="I343" s="187" t="s">
        <v>388</v>
      </c>
      <c r="J343" s="187" t="s">
        <v>389</v>
      </c>
      <c r="K343" s="187" t="b">
        <v>1</v>
      </c>
      <c r="L343" s="187">
        <v>2.6</v>
      </c>
      <c r="M343" s="187">
        <v>0.86</v>
      </c>
      <c r="N343" s="187">
        <v>30.72</v>
      </c>
      <c r="O343" s="187">
        <v>11.8</v>
      </c>
      <c r="P343" s="187">
        <v>3.03</v>
      </c>
      <c r="Q343" s="187"/>
      <c r="R343" s="187"/>
      <c r="S343" s="187"/>
      <c r="T343" s="187"/>
      <c r="U343" s="187">
        <v>51.6</v>
      </c>
      <c r="V343" s="187">
        <v>1.31</v>
      </c>
      <c r="W343" s="188">
        <v>39371</v>
      </c>
      <c r="X343" s="691">
        <f t="shared" si="164"/>
        <v>0.88059999999999994</v>
      </c>
      <c r="Y343" s="691">
        <f t="shared" ref="Y343:Y406" si="169">IF($O343="","",IF($G343="Horizontal",O343*slope_FrontLoad_WF+int_FrontLoad_WF,IF($G343="Vertical",O343*slope_TopLoad_WF+int_TopLoad_WF,"")))</f>
        <v>12.197120000000002</v>
      </c>
      <c r="Z343" s="189"/>
      <c r="AA343" s="190">
        <f t="shared" si="146"/>
        <v>2007</v>
      </c>
      <c r="AB343" s="191">
        <f t="shared" si="147"/>
        <v>2.9525323642970704</v>
      </c>
      <c r="AC343" s="192">
        <f>IF(AB343="","",AB343*SFAssumptions!$C$3)</f>
        <v>757.95432659550318</v>
      </c>
      <c r="AD343" s="193">
        <f t="shared" si="148"/>
        <v>31.712512000000007</v>
      </c>
      <c r="AE343" s="194">
        <f>IF(AD343="","",AD343*SFAssumptions!$C$3)</f>
        <v>8141.0236068096019</v>
      </c>
      <c r="AF343" s="192">
        <f t="shared" si="168"/>
        <v>2.6</v>
      </c>
      <c r="AG343" s="192">
        <f t="shared" si="149"/>
        <v>12.197120000000002</v>
      </c>
      <c r="AH343" s="192">
        <f t="shared" si="150"/>
        <v>0.88059999999999994</v>
      </c>
      <c r="AI343" s="692">
        <f ca="1">IF(AC343="","",AC343*SFAssumptions!$C$8/'SavingsData&amp;Analysis'!AF343)</f>
        <v>1101.0765477171335</v>
      </c>
      <c r="AJ343" s="692">
        <f ca="1">IF(OR(AE343="",AF343=""),"",AE343*SFAssumptions!$C$8/AF343)</f>
        <v>11826.425225557627</v>
      </c>
      <c r="AK343" s="191">
        <f t="shared" si="151"/>
        <v>1.9847328244274809</v>
      </c>
      <c r="AL343" s="692">
        <f>IF(AK343="","",AK343*SFAssumptions!$C$3)</f>
        <v>509.50731297709922</v>
      </c>
      <c r="AM343" s="193">
        <f t="shared" si="152"/>
        <v>30.680000000000003</v>
      </c>
      <c r="AN343" s="194">
        <f>IF(AM343="","",AM343*SFAssumptions!$C$3)</f>
        <v>7875.9640440000012</v>
      </c>
      <c r="AO343" s="693">
        <f t="shared" si="153"/>
        <v>11.8</v>
      </c>
      <c r="AP343" s="693">
        <f t="shared" si="154"/>
        <v>1.31</v>
      </c>
      <c r="AQ343" s="692">
        <f ca="1">IF(AL343="","",AL343*SFAssumptions!$C$8/'SavingsData&amp;Analysis'!AF343)</f>
        <v>740.15878467153254</v>
      </c>
      <c r="AR343" s="692">
        <f ca="1">IF(OR(AN343="",AF343=""),"",AN343*SFAssumptions!$C$8/AF343)</f>
        <v>11441.374493452551</v>
      </c>
      <c r="AS343" s="190" t="str">
        <f>IF(OR(AG343="",AH343=""),"No",IF(AND(G343="Horizontal",AH343&gt;='Eff. Standards &amp; Certifications'!$B$21,AG343&lt;='Eff. Standards &amp; Certifications'!$C$21),"Consider",IF(AND(G343="Vertical",AH343&gt;='Eff. Standards &amp; Certifications'!$B$20,AG343&lt;='Eff. Standards &amp; Certifications'!$C$20),"Consider","No")))</f>
        <v>No</v>
      </c>
      <c r="AT343" s="190" t="str">
        <f t="shared" ref="AT343:AT406" si="170">J343</f>
        <v>Residential</v>
      </c>
      <c r="AU343" s="190"/>
      <c r="AV343" s="190" t="str">
        <f t="shared" ref="AV343:AW362" si="171">IF(AND($G343=AV$18,$AS343="Consider",$AT343="Residential",$AH343&gt;=AV$3,$AH343&lt;=AV$4,$AG343&gt;=AV$5,$AG343&lt;=AV$6),"YES","NO")</f>
        <v>NO</v>
      </c>
      <c r="AW343" s="190" t="str">
        <f t="shared" si="171"/>
        <v>NO</v>
      </c>
      <c r="AX343" s="190" t="str">
        <f t="shared" si="155"/>
        <v>NO</v>
      </c>
      <c r="AY343" s="190" t="str">
        <f t="shared" ref="AY343:AZ406" si="172">IF(AND($AS343="Consider",$AT343="Residential",$G343=AY$18,$AH343&gt;=BB$3,$AG343&lt;=BB$6),"NO",IF(AND($AS343="Consider",$AT343="Residential",$G343=AY$18,$AH343&gt;=AY$3,$AG343&lt;=AY$6),"YES","NO"))</f>
        <v>NO</v>
      </c>
      <c r="AZ343" s="190" t="str">
        <f t="shared" si="172"/>
        <v>NO</v>
      </c>
      <c r="BA343" s="190" t="str">
        <f t="shared" si="156"/>
        <v>NO</v>
      </c>
      <c r="BB343" s="190" t="str">
        <f t="shared" ref="BB343:BB406" si="173">IF(AND($AS343="Consider",$AT343="Residential",$G343=BB$18,$AH343&gt;=BB$3,$AG343&lt;=BB$6),"YES","NO")</f>
        <v>NO</v>
      </c>
      <c r="BC343" s="190" t="str">
        <f t="shared" ref="BC343:BC406" si="174">IF(AND($G343=BC$18,$AS343="Consider",$AT343="Residential",$AH343&gt;=BC$3,$AH343&lt;=BC$4,$AG343&gt;=BC$5,$AG343&lt;=BC$6),"YES","NO")</f>
        <v>NO</v>
      </c>
      <c r="BD343" s="190" t="str">
        <f t="shared" si="157"/>
        <v>NO</v>
      </c>
      <c r="BE343" s="190" t="str">
        <f t="shared" ref="BE343:BE406" si="175">IF(AND($AS343="Consider",$AT343="Residential",$AH343&gt;=BG$3,$AG343&lt;=BG$6),"NO",IF(AND($AS343="Consider",$AT343="Residential",$AH343&gt;=BF$3,$AG343&lt;=BF$6),"NO",IF(AND($AS343="Consider",$AT343="Residential",$AH343&gt;=BE$3,$AG343&lt;=BE$6),"YES","NO")))</f>
        <v>NO</v>
      </c>
      <c r="BF343" s="190" t="str">
        <f t="shared" ref="BF343:BF406" si="176">IF(AND($AS343="Consider",$AT343="Residential",$AH343&gt;=BG$3,$AG343&lt;=BG$6),"NO",IF(AND($AS343="Consider",$AT343="Residential",$AH343&gt;=BF$3,$AG343&lt;=BF$6),"YES","NO"))</f>
        <v>NO</v>
      </c>
      <c r="BG343" s="190" t="str">
        <f t="shared" ref="BG343:BG406" si="177">IF(AND($AS343="Consider",$AT343="Residential",$AH343&gt;=BG$3,$AG343&lt;=BG$6),"YES","NO")</f>
        <v>NO</v>
      </c>
      <c r="BH343" s="88"/>
      <c r="BI343" s="9"/>
      <c r="BJ343" s="694" t="str">
        <f t="shared" ref="BJ343:BK362" si="178">IF(AND($G343=BJ$21,$AT343="Residential",$AS343="Consider"),$X343,"")</f>
        <v/>
      </c>
      <c r="BK343" s="694" t="str">
        <f t="shared" si="178"/>
        <v/>
      </c>
      <c r="BL343" s="694" t="str">
        <f t="shared" ref="BL343:BM362" si="179">IF(AND($G343=BL$21,$AT343="Residential",$AS343="Consider"),$Y343,"")</f>
        <v/>
      </c>
      <c r="BM343" s="694" t="str">
        <f t="shared" si="179"/>
        <v/>
      </c>
      <c r="BN343" s="88"/>
      <c r="BO343" s="195"/>
      <c r="BP343" s="195"/>
      <c r="BQ343" s="195"/>
      <c r="BR343" s="195"/>
      <c r="BS343" s="195"/>
      <c r="BT343" s="195"/>
      <c r="BU343" s="195"/>
      <c r="BV343" s="195"/>
      <c r="BW343" s="195"/>
      <c r="BX343" s="195"/>
    </row>
    <row r="344" spans="1:76" s="124" customFormat="1" ht="15">
      <c r="A344" s="187">
        <v>4582</v>
      </c>
      <c r="B344" s="187" t="s">
        <v>625</v>
      </c>
      <c r="C344" s="187" t="s">
        <v>459</v>
      </c>
      <c r="D344" s="187" t="s">
        <v>690</v>
      </c>
      <c r="E344" s="187" t="s">
        <v>392</v>
      </c>
      <c r="F344" s="187" t="s">
        <v>386</v>
      </c>
      <c r="G344" s="187" t="s">
        <v>393</v>
      </c>
      <c r="H344" s="187" t="b">
        <v>0</v>
      </c>
      <c r="I344" s="187" t="s">
        <v>388</v>
      </c>
      <c r="J344" s="187" t="s">
        <v>389</v>
      </c>
      <c r="K344" s="187" t="b">
        <v>1</v>
      </c>
      <c r="L344" s="187">
        <v>3.4</v>
      </c>
      <c r="M344" s="187">
        <v>1.05</v>
      </c>
      <c r="N344" s="187">
        <v>30</v>
      </c>
      <c r="O344" s="187">
        <v>8.9</v>
      </c>
      <c r="P344" s="187">
        <v>3.24</v>
      </c>
      <c r="Q344" s="187"/>
      <c r="R344" s="187"/>
      <c r="S344" s="187"/>
      <c r="T344" s="187"/>
      <c r="U344" s="187">
        <v>50.5</v>
      </c>
      <c r="V344" s="187">
        <v>1.39</v>
      </c>
      <c r="W344" s="188">
        <v>40406</v>
      </c>
      <c r="X344" s="691">
        <f t="shared" si="164"/>
        <v>0.95979999999999988</v>
      </c>
      <c r="Y344" s="691">
        <f t="shared" si="169"/>
        <v>9.3293100000000013</v>
      </c>
      <c r="Z344" s="189"/>
      <c r="AA344" s="190">
        <f t="shared" ref="AA344:AA407" si="180">YEAR(W344)</f>
        <v>2010</v>
      </c>
      <c r="AB344" s="191">
        <f t="shared" ref="AB344:AB407" si="181">IF(OR(L344="",X344=""),"",L344/X344)</f>
        <v>3.5424046676390919</v>
      </c>
      <c r="AC344" s="192">
        <f>IF(AB344="","",AB344*SFAssumptions!$C$3)</f>
        <v>909.3823921650345</v>
      </c>
      <c r="AD344" s="193">
        <f t="shared" ref="AD344:AD407" si="182">IF(OR(Y344="",L344=""),"",Y344*L344)</f>
        <v>31.719654000000002</v>
      </c>
      <c r="AE344" s="194">
        <f>IF(AD344="","",AD344*SFAssumptions!$C$3)</f>
        <v>8142.8570531982004</v>
      </c>
      <c r="AF344" s="192">
        <f t="shared" si="168"/>
        <v>3.4</v>
      </c>
      <c r="AG344" s="192">
        <f t="shared" ref="AG344:AG407" si="183">IF(Y344="","",Y344)</f>
        <v>9.3293100000000013</v>
      </c>
      <c r="AH344" s="192">
        <f t="shared" ref="AH344:AH407" si="184">IF(X344="","",X344)</f>
        <v>0.95979999999999988</v>
      </c>
      <c r="AI344" s="692">
        <f ca="1">IF(AC344="","",AC344*SFAssumptions!$C$8/'SavingsData&amp;Analysis'!AF344)</f>
        <v>1010.2188038338277</v>
      </c>
      <c r="AJ344" s="692">
        <f ca="1">IF(OR(AE344="",AF344=""),"",AE344*SFAssumptions!$C$8/AF344)</f>
        <v>9045.7736843654093</v>
      </c>
      <c r="AK344" s="191">
        <f t="shared" ref="AK344:AK407" si="185">IF(OR(L344="",V344=""),"",L344/V344)</f>
        <v>2.4460431654676258</v>
      </c>
      <c r="AL344" s="692">
        <f>IF(AK344="","",AK344*SFAssumptions!$C$3)</f>
        <v>627.93181294964029</v>
      </c>
      <c r="AM344" s="193">
        <f t="shared" ref="AM344:AM407" si="186">IF(OR(L344="",O344=""),"",O344*L344)</f>
        <v>30.26</v>
      </c>
      <c r="AN344" s="194">
        <f>IF(AM344="","",AM344*SFAssumptions!$C$3)</f>
        <v>7768.1444580000007</v>
      </c>
      <c r="AO344" s="693">
        <f t="shared" ref="AO344:AO407" si="187">IF(O344="","",O344)</f>
        <v>8.9</v>
      </c>
      <c r="AP344" s="693">
        <f t="shared" ref="AP344:AP407" si="188">IF(V344="","",V344)</f>
        <v>1.39</v>
      </c>
      <c r="AQ344" s="692">
        <f ca="1">IF(AL344="","",AL344*SFAssumptions!$C$8/'SavingsData&amp;Analysis'!AF344)</f>
        <v>697.55971792784726</v>
      </c>
      <c r="AR344" s="692">
        <f ca="1">IF(OR(AN344="",AF344=""),"",AN344*SFAssumptions!$C$8/AF344)</f>
        <v>8629.5112704854</v>
      </c>
      <c r="AS344" s="190" t="str">
        <f>IF(OR(AG344="",AH344=""),"No",IF(AND(G344="Horizontal",AH344&gt;='Eff. Standards &amp; Certifications'!$B$21,AG344&lt;='Eff. Standards &amp; Certifications'!$C$21),"Consider",IF(AND(G344="Vertical",AH344&gt;='Eff. Standards &amp; Certifications'!$B$20,AG344&lt;='Eff. Standards &amp; Certifications'!$C$20),"Consider","No")))</f>
        <v>No</v>
      </c>
      <c r="AT344" s="190" t="str">
        <f t="shared" si="170"/>
        <v>Residential</v>
      </c>
      <c r="AU344" s="190"/>
      <c r="AV344" s="190" t="str">
        <f t="shared" si="171"/>
        <v>NO</v>
      </c>
      <c r="AW344" s="190" t="str">
        <f t="shared" si="171"/>
        <v>NO</v>
      </c>
      <c r="AX344" s="190" t="str">
        <f t="shared" ref="AX344:AX407" si="189">IF(OR(AV344="YES",AW344="YES"),"YES","NO")</f>
        <v>NO</v>
      </c>
      <c r="AY344" s="190" t="str">
        <f t="shared" si="172"/>
        <v>NO</v>
      </c>
      <c r="AZ344" s="190" t="str">
        <f t="shared" si="172"/>
        <v>NO</v>
      </c>
      <c r="BA344" s="190" t="str">
        <f t="shared" ref="BA344:BA407" si="190">IF(OR(AY344="YES",AZ344="YES"),"YES","NO")</f>
        <v>NO</v>
      </c>
      <c r="BB344" s="190" t="str">
        <f t="shared" si="173"/>
        <v>NO</v>
      </c>
      <c r="BC344" s="190" t="str">
        <f t="shared" si="174"/>
        <v>NO</v>
      </c>
      <c r="BD344" s="190" t="str">
        <f t="shared" ref="BD344:BD407" si="191">IF(OR(BB344="YES",BC344="YES"),"YES","NO")</f>
        <v>NO</v>
      </c>
      <c r="BE344" s="190" t="str">
        <f t="shared" si="175"/>
        <v>NO</v>
      </c>
      <c r="BF344" s="190" t="str">
        <f t="shared" si="176"/>
        <v>NO</v>
      </c>
      <c r="BG344" s="190" t="str">
        <f t="shared" si="177"/>
        <v>NO</v>
      </c>
      <c r="BH344" s="88"/>
      <c r="BI344" s="9"/>
      <c r="BJ344" s="694" t="str">
        <f t="shared" si="178"/>
        <v/>
      </c>
      <c r="BK344" s="694" t="str">
        <f t="shared" si="178"/>
        <v/>
      </c>
      <c r="BL344" s="694" t="str">
        <f t="shared" si="179"/>
        <v/>
      </c>
      <c r="BM344" s="694" t="str">
        <f t="shared" si="179"/>
        <v/>
      </c>
      <c r="BN344" s="88"/>
      <c r="BO344" s="195"/>
      <c r="BP344" s="195"/>
      <c r="BQ344" s="195"/>
      <c r="BR344" s="195"/>
      <c r="BS344" s="195"/>
      <c r="BT344" s="195"/>
      <c r="BU344" s="195"/>
      <c r="BV344" s="195"/>
      <c r="BW344" s="195"/>
      <c r="BX344" s="195"/>
    </row>
    <row r="345" spans="1:76" s="124" customFormat="1" ht="15">
      <c r="A345" s="187">
        <v>616</v>
      </c>
      <c r="B345" s="187" t="s">
        <v>625</v>
      </c>
      <c r="C345" s="187" t="s">
        <v>459</v>
      </c>
      <c r="D345" s="187" t="s">
        <v>691</v>
      </c>
      <c r="E345" s="187" t="s">
        <v>392</v>
      </c>
      <c r="F345" s="187" t="s">
        <v>386</v>
      </c>
      <c r="G345" s="187" t="s">
        <v>393</v>
      </c>
      <c r="H345" s="187" t="b">
        <v>0</v>
      </c>
      <c r="I345" s="187" t="s">
        <v>388</v>
      </c>
      <c r="J345" s="187" t="s">
        <v>389</v>
      </c>
      <c r="K345" s="187" t="b">
        <v>1</v>
      </c>
      <c r="L345" s="187">
        <v>3.5</v>
      </c>
      <c r="M345" s="187">
        <v>0.75</v>
      </c>
      <c r="N345" s="187">
        <v>35.36</v>
      </c>
      <c r="O345" s="187">
        <v>10.1</v>
      </c>
      <c r="P345" s="187">
        <v>4.67</v>
      </c>
      <c r="Q345" s="187"/>
      <c r="R345" s="187"/>
      <c r="S345" s="187"/>
      <c r="T345" s="187"/>
      <c r="U345" s="187">
        <v>55.6</v>
      </c>
      <c r="V345" s="187">
        <v>1.47</v>
      </c>
      <c r="W345" s="188">
        <v>40170</v>
      </c>
      <c r="X345" s="691">
        <f t="shared" si="164"/>
        <v>1.0390000000000001</v>
      </c>
      <c r="Y345" s="691">
        <f t="shared" si="169"/>
        <v>10.51599</v>
      </c>
      <c r="Z345" s="189"/>
      <c r="AA345" s="190">
        <f t="shared" si="180"/>
        <v>2009</v>
      </c>
      <c r="AB345" s="191">
        <f t="shared" si="181"/>
        <v>3.3686236766121267</v>
      </c>
      <c r="AC345" s="192">
        <f>IF(AB345="","",AB345*SFAssumptions!$C$3)</f>
        <v>864.77050048123192</v>
      </c>
      <c r="AD345" s="193">
        <f t="shared" si="182"/>
        <v>36.805965</v>
      </c>
      <c r="AE345" s="194">
        <f>IF(AD345="","",AD345*SFAssumptions!$C$3)</f>
        <v>9448.5807348345006</v>
      </c>
      <c r="AF345" s="192">
        <f t="shared" si="168"/>
        <v>3.5</v>
      </c>
      <c r="AG345" s="192">
        <f t="shared" si="183"/>
        <v>10.51599</v>
      </c>
      <c r="AH345" s="192">
        <f t="shared" si="184"/>
        <v>1.0390000000000001</v>
      </c>
      <c r="AI345" s="692">
        <f ca="1">IF(AC345="","",AC345*SFAssumptions!$C$8/'SavingsData&amp;Analysis'!AF345)</f>
        <v>933.21271214601313</v>
      </c>
      <c r="AJ345" s="692">
        <f ca="1">IF(OR(AE345="",AF345=""),"",AE345*SFAssumptions!$C$8/AF345)</f>
        <v>10196.388115203566</v>
      </c>
      <c r="AK345" s="191">
        <f t="shared" si="185"/>
        <v>2.3809523809523809</v>
      </c>
      <c r="AL345" s="692">
        <f>IF(AK345="","",AK345*SFAssumptions!$C$3)</f>
        <v>611.2221428571429</v>
      </c>
      <c r="AM345" s="193">
        <f t="shared" si="186"/>
        <v>35.35</v>
      </c>
      <c r="AN345" s="194">
        <f>IF(AM345="","",AM345*SFAssumptions!$C$3)</f>
        <v>9074.8151550000002</v>
      </c>
      <c r="AO345" s="693">
        <f t="shared" si="187"/>
        <v>10.1</v>
      </c>
      <c r="AP345" s="693">
        <f t="shared" si="188"/>
        <v>1.47</v>
      </c>
      <c r="AQ345" s="692">
        <f ca="1">IF(AL345="","",AL345*SFAssumptions!$C$8/'SavingsData&amp;Analysis'!AF345)</f>
        <v>659.59728429912082</v>
      </c>
      <c r="AR345" s="692">
        <f ca="1">IF(OR(AN345="",AF345=""),"",AN345*SFAssumptions!$C$8/AF345)</f>
        <v>9793.0408799890465</v>
      </c>
      <c r="AS345" s="190" t="str">
        <f>IF(OR(AG345="",AH345=""),"No",IF(AND(G345="Horizontal",AH345&gt;='Eff. Standards &amp; Certifications'!$B$21,AG345&lt;='Eff. Standards &amp; Certifications'!$C$21),"Consider",IF(AND(G345="Vertical",AH345&gt;='Eff. Standards &amp; Certifications'!$B$20,AG345&lt;='Eff. Standards &amp; Certifications'!$C$20),"Consider","No")))</f>
        <v>No</v>
      </c>
      <c r="AT345" s="190" t="str">
        <f t="shared" si="170"/>
        <v>Residential</v>
      </c>
      <c r="AU345" s="190"/>
      <c r="AV345" s="190" t="str">
        <f t="shared" si="171"/>
        <v>NO</v>
      </c>
      <c r="AW345" s="190" t="str">
        <f t="shared" si="171"/>
        <v>NO</v>
      </c>
      <c r="AX345" s="190" t="str">
        <f t="shared" si="189"/>
        <v>NO</v>
      </c>
      <c r="AY345" s="190" t="str">
        <f t="shared" si="172"/>
        <v>NO</v>
      </c>
      <c r="AZ345" s="190" t="str">
        <f t="shared" si="172"/>
        <v>NO</v>
      </c>
      <c r="BA345" s="190" t="str">
        <f t="shared" si="190"/>
        <v>NO</v>
      </c>
      <c r="BB345" s="190" t="str">
        <f t="shared" si="173"/>
        <v>NO</v>
      </c>
      <c r="BC345" s="190" t="str">
        <f t="shared" si="174"/>
        <v>NO</v>
      </c>
      <c r="BD345" s="190" t="str">
        <f t="shared" si="191"/>
        <v>NO</v>
      </c>
      <c r="BE345" s="190" t="str">
        <f t="shared" si="175"/>
        <v>NO</v>
      </c>
      <c r="BF345" s="190" t="str">
        <f t="shared" si="176"/>
        <v>NO</v>
      </c>
      <c r="BG345" s="190" t="str">
        <f t="shared" si="177"/>
        <v>NO</v>
      </c>
      <c r="BH345" s="88"/>
      <c r="BI345" s="9"/>
      <c r="BJ345" s="694" t="str">
        <f t="shared" si="178"/>
        <v/>
      </c>
      <c r="BK345" s="694" t="str">
        <f t="shared" si="178"/>
        <v/>
      </c>
      <c r="BL345" s="694" t="str">
        <f t="shared" si="179"/>
        <v/>
      </c>
      <c r="BM345" s="694" t="str">
        <f t="shared" si="179"/>
        <v/>
      </c>
      <c r="BN345" s="88"/>
      <c r="BO345" s="195"/>
      <c r="BP345" s="195"/>
      <c r="BQ345" s="195"/>
      <c r="BR345" s="195"/>
      <c r="BS345" s="195"/>
      <c r="BT345" s="195"/>
      <c r="BU345" s="195"/>
      <c r="BV345" s="195"/>
      <c r="BW345" s="195"/>
      <c r="BX345" s="195"/>
    </row>
    <row r="346" spans="1:76" s="124" customFormat="1" ht="15">
      <c r="A346" s="187">
        <v>4583</v>
      </c>
      <c r="B346" s="187" t="s">
        <v>625</v>
      </c>
      <c r="C346" s="187" t="s">
        <v>459</v>
      </c>
      <c r="D346" s="187" t="s">
        <v>692</v>
      </c>
      <c r="E346" s="187" t="s">
        <v>392</v>
      </c>
      <c r="F346" s="187" t="s">
        <v>386</v>
      </c>
      <c r="G346" s="187" t="s">
        <v>393</v>
      </c>
      <c r="H346" s="187" t="b">
        <v>0</v>
      </c>
      <c r="I346" s="187" t="s">
        <v>388</v>
      </c>
      <c r="J346" s="187" t="s">
        <v>389</v>
      </c>
      <c r="K346" s="187" t="b">
        <v>1</v>
      </c>
      <c r="L346" s="187">
        <v>3.5</v>
      </c>
      <c r="M346" s="187">
        <v>1.07</v>
      </c>
      <c r="N346" s="187">
        <v>29.65</v>
      </c>
      <c r="O346" s="187">
        <v>8.5</v>
      </c>
      <c r="P346" s="187">
        <v>3.28</v>
      </c>
      <c r="Q346" s="187"/>
      <c r="R346" s="187"/>
      <c r="S346" s="187"/>
      <c r="T346" s="187"/>
      <c r="U346" s="187">
        <v>51.1</v>
      </c>
      <c r="V346" s="187">
        <v>1.36</v>
      </c>
      <c r="W346" s="188">
        <v>40406</v>
      </c>
      <c r="X346" s="691">
        <f t="shared" si="164"/>
        <v>0.93010000000000004</v>
      </c>
      <c r="Y346" s="691">
        <f t="shared" si="169"/>
        <v>8.9337499999999999</v>
      </c>
      <c r="Z346" s="189"/>
      <c r="AA346" s="190">
        <f t="shared" si="180"/>
        <v>2010</v>
      </c>
      <c r="AB346" s="191">
        <f t="shared" si="181"/>
        <v>3.7630362326631546</v>
      </c>
      <c r="AC346" s="192">
        <f>IF(AB346="","",AB346*SFAssumptions!$C$3)</f>
        <v>966.02144930652616</v>
      </c>
      <c r="AD346" s="193">
        <f t="shared" si="182"/>
        <v>31.268124999999998</v>
      </c>
      <c r="AE346" s="194">
        <f>IF(AD346="","",AD346*SFAssumptions!$C$3)</f>
        <v>8026.9435535624998</v>
      </c>
      <c r="AF346" s="192">
        <f t="shared" si="168"/>
        <v>3.5</v>
      </c>
      <c r="AG346" s="192">
        <f t="shared" si="183"/>
        <v>8.9337499999999999</v>
      </c>
      <c r="AH346" s="192">
        <f t="shared" si="184"/>
        <v>0.93010000000000004</v>
      </c>
      <c r="AI346" s="692">
        <f ca="1">IF(AC346="","",AC346*SFAssumptions!$C$8/'SavingsData&amp;Analysis'!AF346)</f>
        <v>1042.4771615092009</v>
      </c>
      <c r="AJ346" s="692">
        <f ca="1">IF(OR(AE346="",AF346=""),"",AE346*SFAssumptions!$C$8/AF346)</f>
        <v>8662.2355407526884</v>
      </c>
      <c r="AK346" s="191">
        <f t="shared" si="185"/>
        <v>2.5735294117647056</v>
      </c>
      <c r="AL346" s="692">
        <f>IF(AK346="","",AK346*SFAssumptions!$C$3)</f>
        <v>660.65922794117637</v>
      </c>
      <c r="AM346" s="193">
        <f t="shared" si="186"/>
        <v>29.75</v>
      </c>
      <c r="AN346" s="194">
        <f>IF(AM346="","",AM346*SFAssumptions!$C$3)</f>
        <v>7637.2206750000005</v>
      </c>
      <c r="AO346" s="693">
        <f t="shared" si="187"/>
        <v>8.5</v>
      </c>
      <c r="AP346" s="693">
        <f t="shared" si="188"/>
        <v>1.36</v>
      </c>
      <c r="AQ346" s="692">
        <f ca="1">IF(AL346="","",AL346*SFAssumptions!$C$8/'SavingsData&amp;Analysis'!AF346)</f>
        <v>712.94706464684373</v>
      </c>
      <c r="AR346" s="692">
        <f ca="1">IF(OR(AN346="",AF346=""),"",AN346*SFAssumptions!$C$8/AF346)</f>
        <v>8241.668067317516</v>
      </c>
      <c r="AS346" s="190" t="str">
        <f>IF(OR(AG346="",AH346=""),"No",IF(AND(G346="Horizontal",AH346&gt;='Eff. Standards &amp; Certifications'!$B$21,AG346&lt;='Eff. Standards &amp; Certifications'!$C$21),"Consider",IF(AND(G346="Vertical",AH346&gt;='Eff. Standards &amp; Certifications'!$B$20,AG346&lt;='Eff. Standards &amp; Certifications'!$C$20),"Consider","No")))</f>
        <v>No</v>
      </c>
      <c r="AT346" s="190" t="str">
        <f t="shared" si="170"/>
        <v>Residential</v>
      </c>
      <c r="AU346" s="190"/>
      <c r="AV346" s="190" t="str">
        <f t="shared" si="171"/>
        <v>NO</v>
      </c>
      <c r="AW346" s="190" t="str">
        <f t="shared" si="171"/>
        <v>NO</v>
      </c>
      <c r="AX346" s="190" t="str">
        <f t="shared" si="189"/>
        <v>NO</v>
      </c>
      <c r="AY346" s="190" t="str">
        <f t="shared" si="172"/>
        <v>NO</v>
      </c>
      <c r="AZ346" s="190" t="str">
        <f t="shared" si="172"/>
        <v>NO</v>
      </c>
      <c r="BA346" s="190" t="str">
        <f t="shared" si="190"/>
        <v>NO</v>
      </c>
      <c r="BB346" s="190" t="str">
        <f t="shared" si="173"/>
        <v>NO</v>
      </c>
      <c r="BC346" s="190" t="str">
        <f t="shared" si="174"/>
        <v>NO</v>
      </c>
      <c r="BD346" s="190" t="str">
        <f t="shared" si="191"/>
        <v>NO</v>
      </c>
      <c r="BE346" s="190" t="str">
        <f t="shared" si="175"/>
        <v>NO</v>
      </c>
      <c r="BF346" s="190" t="str">
        <f t="shared" si="176"/>
        <v>NO</v>
      </c>
      <c r="BG346" s="190" t="str">
        <f t="shared" si="177"/>
        <v>NO</v>
      </c>
      <c r="BH346" s="88"/>
      <c r="BI346" s="9"/>
      <c r="BJ346" s="694" t="str">
        <f t="shared" si="178"/>
        <v/>
      </c>
      <c r="BK346" s="694" t="str">
        <f t="shared" si="178"/>
        <v/>
      </c>
      <c r="BL346" s="694" t="str">
        <f t="shared" si="179"/>
        <v/>
      </c>
      <c r="BM346" s="694" t="str">
        <f t="shared" si="179"/>
        <v/>
      </c>
      <c r="BN346" s="88"/>
      <c r="BO346" s="195"/>
      <c r="BP346" s="195"/>
      <c r="BQ346" s="195"/>
      <c r="BR346" s="195"/>
      <c r="BS346" s="195"/>
      <c r="BT346" s="195"/>
      <c r="BU346" s="195"/>
      <c r="BV346" s="195"/>
      <c r="BW346" s="195"/>
      <c r="BX346" s="195"/>
    </row>
    <row r="347" spans="1:76" s="124" customFormat="1" ht="15">
      <c r="A347" s="187">
        <v>4586</v>
      </c>
      <c r="B347" s="187" t="s">
        <v>625</v>
      </c>
      <c r="C347" s="187" t="s">
        <v>459</v>
      </c>
      <c r="D347" s="187" t="s">
        <v>693</v>
      </c>
      <c r="E347" s="187" t="s">
        <v>392</v>
      </c>
      <c r="F347" s="187" t="s">
        <v>386</v>
      </c>
      <c r="G347" s="187" t="s">
        <v>393</v>
      </c>
      <c r="H347" s="187" t="b">
        <v>0</v>
      </c>
      <c r="I347" s="187" t="s">
        <v>388</v>
      </c>
      <c r="J347" s="187" t="s">
        <v>389</v>
      </c>
      <c r="K347" s="187" t="b">
        <v>1</v>
      </c>
      <c r="L347" s="187">
        <v>3.5</v>
      </c>
      <c r="M347" s="187">
        <v>1.04</v>
      </c>
      <c r="N347" s="187">
        <v>29.9</v>
      </c>
      <c r="O347" s="187">
        <v>8.5</v>
      </c>
      <c r="P347" s="187">
        <v>3.38</v>
      </c>
      <c r="Q347" s="187"/>
      <c r="R347" s="187"/>
      <c r="S347" s="187"/>
      <c r="T347" s="187"/>
      <c r="U347" s="187">
        <v>51.1</v>
      </c>
      <c r="V347" s="187">
        <v>1.38</v>
      </c>
      <c r="W347" s="188">
        <v>40406</v>
      </c>
      <c r="X347" s="691">
        <f t="shared" si="164"/>
        <v>0.94989999999999986</v>
      </c>
      <c r="Y347" s="691">
        <f t="shared" si="169"/>
        <v>8.9337499999999999</v>
      </c>
      <c r="Z347" s="189"/>
      <c r="AA347" s="190">
        <f t="shared" si="180"/>
        <v>2010</v>
      </c>
      <c r="AB347" s="191">
        <f t="shared" si="181"/>
        <v>3.6845983787767138</v>
      </c>
      <c r="AC347" s="192">
        <f>IF(AB347="","",AB347*SFAssumptions!$C$3)</f>
        <v>945.88540899042016</v>
      </c>
      <c r="AD347" s="193">
        <f t="shared" si="182"/>
        <v>31.268124999999998</v>
      </c>
      <c r="AE347" s="194">
        <f>IF(AD347="","",AD347*SFAssumptions!$C$3)</f>
        <v>8026.9435535624998</v>
      </c>
      <c r="AF347" s="192">
        <f t="shared" si="168"/>
        <v>3.5</v>
      </c>
      <c r="AG347" s="192">
        <f t="shared" si="183"/>
        <v>8.9337499999999999</v>
      </c>
      <c r="AH347" s="192">
        <f t="shared" si="184"/>
        <v>0.94989999999999986</v>
      </c>
      <c r="AI347" s="692">
        <f ca="1">IF(AC347="","",AC347*SFAssumptions!$C$8/'SavingsData&amp;Analysis'!AF347)</f>
        <v>1020.7474554371069</v>
      </c>
      <c r="AJ347" s="692">
        <f ca="1">IF(OR(AE347="",AF347=""),"",AE347*SFAssumptions!$C$8/AF347)</f>
        <v>8662.2355407526884</v>
      </c>
      <c r="AK347" s="191">
        <f t="shared" si="185"/>
        <v>2.5362318840579712</v>
      </c>
      <c r="AL347" s="692">
        <f>IF(AK347="","",AK347*SFAssumptions!$C$3)</f>
        <v>651.08445652173918</v>
      </c>
      <c r="AM347" s="193">
        <f t="shared" si="186"/>
        <v>29.75</v>
      </c>
      <c r="AN347" s="194">
        <f>IF(AM347="","",AM347*SFAssumptions!$C$3)</f>
        <v>7637.2206750000005</v>
      </c>
      <c r="AO347" s="693">
        <f t="shared" si="187"/>
        <v>8.5</v>
      </c>
      <c r="AP347" s="693">
        <f t="shared" si="188"/>
        <v>1.38</v>
      </c>
      <c r="AQ347" s="692">
        <f ca="1">IF(AL347="","",AL347*SFAssumptions!$C$8/'SavingsData&amp;Analysis'!AF347)</f>
        <v>702.61449849254188</v>
      </c>
      <c r="AR347" s="692">
        <f ca="1">IF(OR(AN347="",AF347=""),"",AN347*SFAssumptions!$C$8/AF347)</f>
        <v>8241.668067317516</v>
      </c>
      <c r="AS347" s="190" t="str">
        <f>IF(OR(AG347="",AH347=""),"No",IF(AND(G347="Horizontal",AH347&gt;='Eff. Standards &amp; Certifications'!$B$21,AG347&lt;='Eff. Standards &amp; Certifications'!$C$21),"Consider",IF(AND(G347="Vertical",AH347&gt;='Eff. Standards &amp; Certifications'!$B$20,AG347&lt;='Eff. Standards &amp; Certifications'!$C$20),"Consider","No")))</f>
        <v>No</v>
      </c>
      <c r="AT347" s="190" t="str">
        <f t="shared" si="170"/>
        <v>Residential</v>
      </c>
      <c r="AU347" s="190"/>
      <c r="AV347" s="190" t="str">
        <f t="shared" si="171"/>
        <v>NO</v>
      </c>
      <c r="AW347" s="190" t="str">
        <f t="shared" si="171"/>
        <v>NO</v>
      </c>
      <c r="AX347" s="190" t="str">
        <f t="shared" si="189"/>
        <v>NO</v>
      </c>
      <c r="AY347" s="190" t="str">
        <f t="shared" si="172"/>
        <v>NO</v>
      </c>
      <c r="AZ347" s="190" t="str">
        <f t="shared" si="172"/>
        <v>NO</v>
      </c>
      <c r="BA347" s="190" t="str">
        <f t="shared" si="190"/>
        <v>NO</v>
      </c>
      <c r="BB347" s="190" t="str">
        <f t="shared" si="173"/>
        <v>NO</v>
      </c>
      <c r="BC347" s="190" t="str">
        <f t="shared" si="174"/>
        <v>NO</v>
      </c>
      <c r="BD347" s="190" t="str">
        <f t="shared" si="191"/>
        <v>NO</v>
      </c>
      <c r="BE347" s="190" t="str">
        <f t="shared" si="175"/>
        <v>NO</v>
      </c>
      <c r="BF347" s="190" t="str">
        <f t="shared" si="176"/>
        <v>NO</v>
      </c>
      <c r="BG347" s="190" t="str">
        <f t="shared" si="177"/>
        <v>NO</v>
      </c>
      <c r="BH347" s="88"/>
      <c r="BI347" s="9"/>
      <c r="BJ347" s="694" t="str">
        <f t="shared" si="178"/>
        <v/>
      </c>
      <c r="BK347" s="694" t="str">
        <f t="shared" si="178"/>
        <v/>
      </c>
      <c r="BL347" s="694" t="str">
        <f t="shared" si="179"/>
        <v/>
      </c>
      <c r="BM347" s="694" t="str">
        <f t="shared" si="179"/>
        <v/>
      </c>
      <c r="BN347" s="88"/>
      <c r="BO347" s="195"/>
      <c r="BP347" s="195"/>
      <c r="BQ347" s="195"/>
      <c r="BR347" s="195"/>
      <c r="BS347" s="195"/>
      <c r="BT347" s="195"/>
      <c r="BU347" s="195"/>
      <c r="BV347" s="195"/>
      <c r="BW347" s="195"/>
      <c r="BX347" s="195"/>
    </row>
    <row r="348" spans="1:76" s="124" customFormat="1" ht="15">
      <c r="A348" s="187">
        <v>4976</v>
      </c>
      <c r="B348" s="187" t="s">
        <v>625</v>
      </c>
      <c r="C348" s="187" t="s">
        <v>459</v>
      </c>
      <c r="D348" s="187" t="s">
        <v>694</v>
      </c>
      <c r="E348" s="187" t="s">
        <v>392</v>
      </c>
      <c r="F348" s="187" t="s">
        <v>386</v>
      </c>
      <c r="G348" s="187" t="s">
        <v>393</v>
      </c>
      <c r="H348" s="187" t="b">
        <v>0</v>
      </c>
      <c r="I348" s="187" t="s">
        <v>388</v>
      </c>
      <c r="J348" s="187" t="s">
        <v>389</v>
      </c>
      <c r="K348" s="187" t="b">
        <v>1</v>
      </c>
      <c r="L348" s="187">
        <v>3.4</v>
      </c>
      <c r="M348" s="187">
        <v>0.38</v>
      </c>
      <c r="N348" s="187">
        <v>19.14</v>
      </c>
      <c r="O348" s="187">
        <v>5.9</v>
      </c>
      <c r="P348" s="187">
        <v>9.26</v>
      </c>
      <c r="Q348" s="187"/>
      <c r="R348" s="187"/>
      <c r="S348" s="187"/>
      <c r="T348" s="187"/>
      <c r="U348" s="187">
        <v>45.8</v>
      </c>
      <c r="V348" s="187">
        <v>2.04</v>
      </c>
      <c r="W348" s="188">
        <v>40640</v>
      </c>
      <c r="X348" s="691">
        <f t="shared" si="164"/>
        <v>1.6032999999999999</v>
      </c>
      <c r="Y348" s="691">
        <f t="shared" si="169"/>
        <v>6.362610000000001</v>
      </c>
      <c r="Z348" s="189"/>
      <c r="AA348" s="190">
        <f t="shared" si="180"/>
        <v>2011</v>
      </c>
      <c r="AB348" s="191">
        <f t="shared" si="181"/>
        <v>2.1206262084450822</v>
      </c>
      <c r="AC348" s="192">
        <f>IF(AB348="","",AB348*SFAssumptions!$C$3)</f>
        <v>544.39295203642496</v>
      </c>
      <c r="AD348" s="193">
        <f t="shared" si="182"/>
        <v>21.632874000000001</v>
      </c>
      <c r="AE348" s="194">
        <f>IF(AD348="","",AD348*SFAssumptions!$C$3)</f>
        <v>5553.4464730242007</v>
      </c>
      <c r="AF348" s="192">
        <f t="shared" si="168"/>
        <v>3.4</v>
      </c>
      <c r="AG348" s="192">
        <f t="shared" si="183"/>
        <v>6.362610000000001</v>
      </c>
      <c r="AH348" s="192">
        <f t="shared" si="184"/>
        <v>1.6032999999999999</v>
      </c>
      <c r="AI348" s="692">
        <f ca="1">IF(AC348="","",AC348*SFAssumptions!$C$8/'SavingsData&amp;Analysis'!AF348)</f>
        <v>604.75769220963502</v>
      </c>
      <c r="AJ348" s="692">
        <f ca="1">IF(OR(AE348="",AF348=""),"",AE348*SFAssumptions!$C$8/AF348)</f>
        <v>6169.2376072700117</v>
      </c>
      <c r="AK348" s="191">
        <f t="shared" si="185"/>
        <v>1.6666666666666665</v>
      </c>
      <c r="AL348" s="692">
        <f>IF(AK348="","",AK348*SFAssumptions!$C$3)</f>
        <v>427.85549999999995</v>
      </c>
      <c r="AM348" s="193">
        <f t="shared" si="186"/>
        <v>20.060000000000002</v>
      </c>
      <c r="AN348" s="194">
        <f>IF(AM348="","",AM348*SFAssumptions!$C$3)</f>
        <v>5149.6687980000006</v>
      </c>
      <c r="AO348" s="693">
        <f t="shared" si="187"/>
        <v>5.9</v>
      </c>
      <c r="AP348" s="693">
        <f t="shared" si="188"/>
        <v>2.04</v>
      </c>
      <c r="AQ348" s="692">
        <f ca="1">IF(AL348="","",AL348*SFAssumptions!$C$8/'SavingsData&amp;Analysis'!AF348)</f>
        <v>475.29804309789586</v>
      </c>
      <c r="AR348" s="692">
        <f ca="1">IF(OR(AN348="",AF348=""),"",AN348*SFAssumptions!$C$8/AF348)</f>
        <v>5720.6872467262765</v>
      </c>
      <c r="AS348" s="190" t="str">
        <f>IF(OR(AG348="",AH348=""),"No",IF(AND(G348="Horizontal",AH348&gt;='Eff. Standards &amp; Certifications'!$B$21,AG348&lt;='Eff. Standards &amp; Certifications'!$C$21),"Consider",IF(AND(G348="Vertical",AH348&gt;='Eff. Standards &amp; Certifications'!$B$20,AG348&lt;='Eff. Standards &amp; Certifications'!$C$20),"Consider","No")))</f>
        <v>Consider</v>
      </c>
      <c r="AT348" s="190" t="str">
        <f t="shared" si="170"/>
        <v>Residential</v>
      </c>
      <c r="AU348" s="190"/>
      <c r="AV348" s="190" t="str">
        <f t="shared" si="171"/>
        <v>YES</v>
      </c>
      <c r="AW348" s="190" t="str">
        <f t="shared" si="171"/>
        <v>NO</v>
      </c>
      <c r="AX348" s="190" t="str">
        <f t="shared" si="189"/>
        <v>YES</v>
      </c>
      <c r="AY348" s="190" t="str">
        <f t="shared" si="172"/>
        <v>YES</v>
      </c>
      <c r="AZ348" s="190" t="str">
        <f t="shared" si="172"/>
        <v>NO</v>
      </c>
      <c r="BA348" s="190" t="str">
        <f t="shared" si="190"/>
        <v>YES</v>
      </c>
      <c r="BB348" s="190" t="str">
        <f t="shared" si="173"/>
        <v>NO</v>
      </c>
      <c r="BC348" s="190" t="str">
        <f t="shared" si="174"/>
        <v>NO</v>
      </c>
      <c r="BD348" s="190" t="str">
        <f t="shared" si="191"/>
        <v>NO</v>
      </c>
      <c r="BE348" s="190" t="str">
        <f t="shared" si="175"/>
        <v>NO</v>
      </c>
      <c r="BF348" s="190" t="str">
        <f t="shared" si="176"/>
        <v>NO</v>
      </c>
      <c r="BG348" s="190" t="str">
        <f t="shared" si="177"/>
        <v>NO</v>
      </c>
      <c r="BH348" s="88"/>
      <c r="BI348" s="9"/>
      <c r="BJ348" s="694">
        <f t="shared" si="178"/>
        <v>1.6032999999999999</v>
      </c>
      <c r="BK348" s="694" t="str">
        <f t="shared" si="178"/>
        <v/>
      </c>
      <c r="BL348" s="694">
        <f t="shared" si="179"/>
        <v>6.362610000000001</v>
      </c>
      <c r="BM348" s="694" t="str">
        <f t="shared" si="179"/>
        <v/>
      </c>
      <c r="BN348" s="88"/>
      <c r="BO348" s="195"/>
      <c r="BP348" s="195"/>
      <c r="BQ348" s="195"/>
      <c r="BR348" s="195"/>
      <c r="BS348" s="195"/>
      <c r="BT348" s="195"/>
      <c r="BU348" s="195"/>
      <c r="BV348" s="195"/>
      <c r="BW348" s="195"/>
      <c r="BX348" s="195"/>
    </row>
    <row r="349" spans="1:76" s="124" customFormat="1" ht="15">
      <c r="A349" s="187">
        <v>4614</v>
      </c>
      <c r="B349" s="187" t="s">
        <v>625</v>
      </c>
      <c r="C349" s="187" t="s">
        <v>459</v>
      </c>
      <c r="D349" s="187" t="s">
        <v>695</v>
      </c>
      <c r="E349" s="187" t="s">
        <v>392</v>
      </c>
      <c r="F349" s="187" t="s">
        <v>386</v>
      </c>
      <c r="G349" s="187" t="s">
        <v>393</v>
      </c>
      <c r="H349" s="187" t="b">
        <v>0</v>
      </c>
      <c r="I349" s="187" t="s">
        <v>388</v>
      </c>
      <c r="J349" s="187" t="s">
        <v>389</v>
      </c>
      <c r="K349" s="187" t="b">
        <v>1</v>
      </c>
      <c r="L349" s="187">
        <v>3.7</v>
      </c>
      <c r="M349" s="187">
        <v>0.33</v>
      </c>
      <c r="N349" s="187">
        <v>13.81</v>
      </c>
      <c r="O349" s="187">
        <v>3.9</v>
      </c>
      <c r="P349" s="187">
        <v>13.36</v>
      </c>
      <c r="Q349" s="187"/>
      <c r="R349" s="187"/>
      <c r="S349" s="187"/>
      <c r="T349" s="187"/>
      <c r="U349" s="187">
        <v>38.9</v>
      </c>
      <c r="V349" s="187">
        <v>2.4</v>
      </c>
      <c r="W349" s="188">
        <v>40429</v>
      </c>
      <c r="X349" s="691">
        <f t="shared" si="164"/>
        <v>1.9596999999999998</v>
      </c>
      <c r="Y349" s="691">
        <f t="shared" si="169"/>
        <v>4.3848099999999999</v>
      </c>
      <c r="Z349" s="189"/>
      <c r="AA349" s="190">
        <f t="shared" si="180"/>
        <v>2010</v>
      </c>
      <c r="AB349" s="191">
        <f t="shared" si="181"/>
        <v>1.8880440883808749</v>
      </c>
      <c r="AC349" s="192">
        <f>IF(AB349="","",AB349*SFAssumptions!$C$3)</f>
        <v>484.68602847374603</v>
      </c>
      <c r="AD349" s="193">
        <f t="shared" si="182"/>
        <v>16.223797000000001</v>
      </c>
      <c r="AE349" s="194">
        <f>IF(AD349="","",AD349*SFAssumptions!$C$3)</f>
        <v>4164.8644664001004</v>
      </c>
      <c r="AF349" s="192">
        <f t="shared" si="168"/>
        <v>3.7</v>
      </c>
      <c r="AG349" s="192">
        <f t="shared" si="183"/>
        <v>4.3848099999999999</v>
      </c>
      <c r="AH349" s="192">
        <f t="shared" si="184"/>
        <v>1.9596999999999998</v>
      </c>
      <c r="AI349" s="692">
        <f ca="1">IF(AC349="","",AC349*SFAssumptions!$C$8/'SavingsData&amp;Analysis'!AF349)</f>
        <v>494.77369389177312</v>
      </c>
      <c r="AJ349" s="692">
        <f ca="1">IF(OR(AE349="",AF349=""),"",AE349*SFAssumptions!$C$8/AF349)</f>
        <v>4251.5468892064137</v>
      </c>
      <c r="AK349" s="191">
        <f t="shared" si="185"/>
        <v>1.5416666666666667</v>
      </c>
      <c r="AL349" s="692">
        <f>IF(AK349="","",AK349*SFAssumptions!$C$3)</f>
        <v>395.76633750000002</v>
      </c>
      <c r="AM349" s="193">
        <f t="shared" si="186"/>
        <v>14.43</v>
      </c>
      <c r="AN349" s="194">
        <f>IF(AM349="","",AM349*SFAssumptions!$C$3)</f>
        <v>3704.3729189999999</v>
      </c>
      <c r="AO349" s="693">
        <f t="shared" si="187"/>
        <v>3.9</v>
      </c>
      <c r="AP349" s="693">
        <f t="shared" si="188"/>
        <v>2.4</v>
      </c>
      <c r="AQ349" s="692">
        <f ca="1">IF(AL349="","",AL349*SFAssumptions!$C$8/'SavingsData&amp;Analysis'!AF349)</f>
        <v>404.00333663321152</v>
      </c>
      <c r="AR349" s="692">
        <f ca="1">IF(OR(AN349="",AF349=""),"",AN349*SFAssumptions!$C$8/AF349)</f>
        <v>3781.4712308868593</v>
      </c>
      <c r="AS349" s="190" t="str">
        <f>IF(OR(AG349="",AH349=""),"No",IF(AND(G349="Horizontal",AH349&gt;='Eff. Standards &amp; Certifications'!$B$21,AG349&lt;='Eff. Standards &amp; Certifications'!$C$21),"Consider",IF(AND(G349="Vertical",AH349&gt;='Eff. Standards &amp; Certifications'!$B$20,AG349&lt;='Eff. Standards &amp; Certifications'!$C$20),"Consider","No")))</f>
        <v>Consider</v>
      </c>
      <c r="AT349" s="190" t="str">
        <f t="shared" si="170"/>
        <v>Residential</v>
      </c>
      <c r="AU349" s="190"/>
      <c r="AV349" s="190" t="str">
        <f t="shared" si="171"/>
        <v>YES</v>
      </c>
      <c r="AW349" s="190" t="str">
        <f t="shared" si="171"/>
        <v>NO</v>
      </c>
      <c r="AX349" s="190" t="str">
        <f t="shared" si="189"/>
        <v>YES</v>
      </c>
      <c r="AY349" s="190" t="str">
        <f t="shared" si="172"/>
        <v>YES</v>
      </c>
      <c r="AZ349" s="190" t="str">
        <f t="shared" si="172"/>
        <v>NO</v>
      </c>
      <c r="BA349" s="190" t="str">
        <f t="shared" si="190"/>
        <v>YES</v>
      </c>
      <c r="BB349" s="190" t="str">
        <f t="shared" si="173"/>
        <v>NO</v>
      </c>
      <c r="BC349" s="190" t="str">
        <f t="shared" si="174"/>
        <v>NO</v>
      </c>
      <c r="BD349" s="190" t="str">
        <f t="shared" si="191"/>
        <v>NO</v>
      </c>
      <c r="BE349" s="190" t="str">
        <f t="shared" si="175"/>
        <v>NO</v>
      </c>
      <c r="BF349" s="190" t="str">
        <f t="shared" si="176"/>
        <v>NO</v>
      </c>
      <c r="BG349" s="190" t="str">
        <f t="shared" si="177"/>
        <v>NO</v>
      </c>
      <c r="BH349" s="88"/>
      <c r="BI349" s="9"/>
      <c r="BJ349" s="694">
        <f t="shared" si="178"/>
        <v>1.9596999999999998</v>
      </c>
      <c r="BK349" s="694" t="str">
        <f t="shared" si="178"/>
        <v/>
      </c>
      <c r="BL349" s="694">
        <f t="shared" si="179"/>
        <v>4.3848099999999999</v>
      </c>
      <c r="BM349" s="694" t="str">
        <f t="shared" si="179"/>
        <v/>
      </c>
      <c r="BN349" s="88"/>
      <c r="BO349" s="195"/>
      <c r="BP349" s="195"/>
      <c r="BQ349" s="195"/>
      <c r="BR349" s="195"/>
      <c r="BS349" s="195"/>
      <c r="BT349" s="195"/>
      <c r="BU349" s="195"/>
      <c r="BV349" s="195"/>
      <c r="BW349" s="195"/>
      <c r="BX349" s="195"/>
    </row>
    <row r="350" spans="1:76" s="124" customFormat="1" ht="15">
      <c r="A350" s="187">
        <v>5932</v>
      </c>
      <c r="B350" s="187" t="s">
        <v>625</v>
      </c>
      <c r="C350" s="187" t="s">
        <v>459</v>
      </c>
      <c r="D350" s="187" t="s">
        <v>696</v>
      </c>
      <c r="E350" s="187" t="s">
        <v>392</v>
      </c>
      <c r="F350" s="187" t="s">
        <v>386</v>
      </c>
      <c r="G350" s="187" t="s">
        <v>393</v>
      </c>
      <c r="H350" s="187" t="b">
        <v>0</v>
      </c>
      <c r="I350" s="187" t="s">
        <v>388</v>
      </c>
      <c r="J350" s="187" t="s">
        <v>389</v>
      </c>
      <c r="K350" s="187" t="b">
        <v>1</v>
      </c>
      <c r="L350" s="187">
        <v>3.6</v>
      </c>
      <c r="M350" s="187">
        <v>0.41</v>
      </c>
      <c r="N350" s="187">
        <v>21.66</v>
      </c>
      <c r="O350" s="187">
        <v>6</v>
      </c>
      <c r="P350" s="187">
        <v>9.4600000000000009</v>
      </c>
      <c r="Q350" s="187"/>
      <c r="R350" s="187"/>
      <c r="S350" s="187"/>
      <c r="T350" s="187"/>
      <c r="U350" s="187">
        <v>44.5</v>
      </c>
      <c r="V350" s="187">
        <v>2</v>
      </c>
      <c r="W350" s="188">
        <v>41502</v>
      </c>
      <c r="X350" s="691">
        <f t="shared" si="164"/>
        <v>1.5636999999999999</v>
      </c>
      <c r="Y350" s="691">
        <f t="shared" si="169"/>
        <v>6.4615</v>
      </c>
      <c r="Z350" s="189"/>
      <c r="AA350" s="190">
        <f t="shared" si="180"/>
        <v>2013</v>
      </c>
      <c r="AB350" s="191">
        <f t="shared" si="181"/>
        <v>2.30223188591162</v>
      </c>
      <c r="AC350" s="192">
        <f>IF(AB350="","",AB350*SFAssumptions!$C$3)</f>
        <v>591.0135447975955</v>
      </c>
      <c r="AD350" s="193">
        <f t="shared" si="182"/>
        <v>23.261400000000002</v>
      </c>
      <c r="AE350" s="194">
        <f>IF(AD350="","",AD350*SFAssumptions!$C$3)</f>
        <v>5971.5107566200004</v>
      </c>
      <c r="AF350" s="192">
        <f t="shared" si="168"/>
        <v>3.6</v>
      </c>
      <c r="AG350" s="192">
        <f t="shared" si="183"/>
        <v>6.4615</v>
      </c>
      <c r="AH350" s="192">
        <f t="shared" si="184"/>
        <v>1.5636999999999999</v>
      </c>
      <c r="AI350" s="692">
        <f ca="1">IF(AC350="","",AC350*SFAssumptions!$C$8/'SavingsData&amp;Analysis'!AF350)</f>
        <v>620.07290907444383</v>
      </c>
      <c r="AJ350" s="692">
        <f ca="1">IF(OR(AE350="",AF350=""),"",AE350*SFAssumptions!$C$8/AF350)</f>
        <v>6265.1221431731919</v>
      </c>
      <c r="AK350" s="191">
        <f t="shared" si="185"/>
        <v>1.8</v>
      </c>
      <c r="AL350" s="692">
        <f>IF(AK350="","",AK350*SFAssumptions!$C$3)</f>
        <v>462.08394000000004</v>
      </c>
      <c r="AM350" s="193">
        <f t="shared" si="186"/>
        <v>21.6</v>
      </c>
      <c r="AN350" s="194">
        <f>IF(AM350="","",AM350*SFAssumptions!$C$3)</f>
        <v>5545.0072800000007</v>
      </c>
      <c r="AO350" s="693">
        <f t="shared" si="187"/>
        <v>6</v>
      </c>
      <c r="AP350" s="693">
        <f t="shared" si="188"/>
        <v>2</v>
      </c>
      <c r="AQ350" s="692">
        <f ca="1">IF(AL350="","",AL350*SFAssumptions!$C$8/'SavingsData&amp;Analysis'!AF350)</f>
        <v>484.8040039598539</v>
      </c>
      <c r="AR350" s="692">
        <f ca="1">IF(OR(AN350="",AF350=""),"",AN350*SFAssumptions!$C$8/AF350)</f>
        <v>5817.6480475182461</v>
      </c>
      <c r="AS350" s="190" t="str">
        <f>IF(OR(AG350="",AH350=""),"No",IF(AND(G350="Horizontal",AH350&gt;='Eff. Standards &amp; Certifications'!$B$21,AG350&lt;='Eff. Standards &amp; Certifications'!$C$21),"Consider",IF(AND(G350="Vertical",AH350&gt;='Eff. Standards &amp; Certifications'!$B$20,AG350&lt;='Eff. Standards &amp; Certifications'!$C$20),"Consider","No")))</f>
        <v>Consider</v>
      </c>
      <c r="AT350" s="190" t="str">
        <f t="shared" si="170"/>
        <v>Residential</v>
      </c>
      <c r="AU350" s="190"/>
      <c r="AV350" s="190" t="str">
        <f t="shared" si="171"/>
        <v>YES</v>
      </c>
      <c r="AW350" s="190" t="str">
        <f t="shared" si="171"/>
        <v>NO</v>
      </c>
      <c r="AX350" s="190" t="str">
        <f t="shared" si="189"/>
        <v>YES</v>
      </c>
      <c r="AY350" s="190" t="str">
        <f t="shared" si="172"/>
        <v>YES</v>
      </c>
      <c r="AZ350" s="190" t="str">
        <f t="shared" si="172"/>
        <v>NO</v>
      </c>
      <c r="BA350" s="190" t="str">
        <f t="shared" si="190"/>
        <v>YES</v>
      </c>
      <c r="BB350" s="190" t="str">
        <f t="shared" si="173"/>
        <v>NO</v>
      </c>
      <c r="BC350" s="190" t="str">
        <f t="shared" si="174"/>
        <v>NO</v>
      </c>
      <c r="BD350" s="190" t="str">
        <f t="shared" si="191"/>
        <v>NO</v>
      </c>
      <c r="BE350" s="190" t="str">
        <f t="shared" si="175"/>
        <v>NO</v>
      </c>
      <c r="BF350" s="190" t="str">
        <f t="shared" si="176"/>
        <v>NO</v>
      </c>
      <c r="BG350" s="190" t="str">
        <f t="shared" si="177"/>
        <v>NO</v>
      </c>
      <c r="BH350" s="88"/>
      <c r="BI350" s="9"/>
      <c r="BJ350" s="694">
        <f t="shared" si="178"/>
        <v>1.5636999999999999</v>
      </c>
      <c r="BK350" s="694" t="str">
        <f t="shared" si="178"/>
        <v/>
      </c>
      <c r="BL350" s="694">
        <f t="shared" si="179"/>
        <v>6.4615</v>
      </c>
      <c r="BM350" s="694" t="str">
        <f t="shared" si="179"/>
        <v/>
      </c>
      <c r="BN350" s="88"/>
      <c r="BO350" s="195"/>
      <c r="BP350" s="195"/>
      <c r="BQ350" s="195"/>
      <c r="BR350" s="195"/>
      <c r="BS350" s="195"/>
      <c r="BT350" s="195"/>
      <c r="BU350" s="195"/>
      <c r="BV350" s="195"/>
      <c r="BW350" s="195"/>
      <c r="BX350" s="195"/>
    </row>
    <row r="351" spans="1:76" s="124" customFormat="1" ht="15">
      <c r="A351" s="187">
        <v>5774</v>
      </c>
      <c r="B351" s="187" t="s">
        <v>625</v>
      </c>
      <c r="C351" s="187" t="s">
        <v>459</v>
      </c>
      <c r="D351" s="187" t="s">
        <v>697</v>
      </c>
      <c r="E351" s="187" t="s">
        <v>392</v>
      </c>
      <c r="F351" s="187" t="s">
        <v>386</v>
      </c>
      <c r="G351" s="187" t="s">
        <v>393</v>
      </c>
      <c r="H351" s="187" t="b">
        <v>0</v>
      </c>
      <c r="I351" s="187" t="s">
        <v>388</v>
      </c>
      <c r="J351" s="187" t="s">
        <v>389</v>
      </c>
      <c r="K351" s="187" t="b">
        <v>1</v>
      </c>
      <c r="L351" s="187">
        <v>2.9</v>
      </c>
      <c r="M351" s="187">
        <v>0.36</v>
      </c>
      <c r="N351" s="187">
        <v>19.55</v>
      </c>
      <c r="O351" s="187">
        <v>6.9</v>
      </c>
      <c r="P351" s="187">
        <v>8.0500000000000007</v>
      </c>
      <c r="Q351" s="187"/>
      <c r="R351" s="187"/>
      <c r="S351" s="187"/>
      <c r="T351" s="187"/>
      <c r="U351" s="187">
        <v>47.2</v>
      </c>
      <c r="V351" s="187">
        <v>1.85</v>
      </c>
      <c r="W351" s="188">
        <v>41346</v>
      </c>
      <c r="X351" s="691">
        <f t="shared" si="164"/>
        <v>1.4152</v>
      </c>
      <c r="Y351" s="691">
        <f t="shared" si="169"/>
        <v>7.3515100000000002</v>
      </c>
      <c r="Z351" s="189"/>
      <c r="AA351" s="190">
        <f t="shared" si="180"/>
        <v>2013</v>
      </c>
      <c r="AB351" s="191">
        <f t="shared" si="181"/>
        <v>2.0491803278688523</v>
      </c>
      <c r="AC351" s="192">
        <f>IF(AB351="","",AB351*SFAssumptions!$C$3)</f>
        <v>526.05184426229505</v>
      </c>
      <c r="AD351" s="193">
        <f t="shared" si="182"/>
        <v>21.319379000000001</v>
      </c>
      <c r="AE351" s="194">
        <f>IF(AD351="","",AD351*SFAssumptions!$C$3)</f>
        <v>5472.9681370407006</v>
      </c>
      <c r="AF351" s="192">
        <f t="shared" si="168"/>
        <v>2.9</v>
      </c>
      <c r="AG351" s="192">
        <f t="shared" si="183"/>
        <v>7.3515100000000002</v>
      </c>
      <c r="AH351" s="192">
        <f t="shared" si="184"/>
        <v>1.4152</v>
      </c>
      <c r="AI351" s="692">
        <f ca="1">IF(AC351="","",AC351*SFAssumptions!$C$8/'SavingsData&amp;Analysis'!AF351)</f>
        <v>685.13850192178325</v>
      </c>
      <c r="AJ351" s="692">
        <f ca="1">IF(OR(AE351="",AF351=""),"",AE351*SFAssumptions!$C$8/AF351)</f>
        <v>7128.0829663018112</v>
      </c>
      <c r="AK351" s="191">
        <f t="shared" si="185"/>
        <v>1.5675675675675675</v>
      </c>
      <c r="AL351" s="692">
        <f>IF(AK351="","",AK351*SFAssumptions!$C$3)</f>
        <v>402.41544324324326</v>
      </c>
      <c r="AM351" s="193">
        <f t="shared" si="186"/>
        <v>20.010000000000002</v>
      </c>
      <c r="AN351" s="194">
        <f>IF(AM351="","",AM351*SFAssumptions!$C$3)</f>
        <v>5136.8331330000001</v>
      </c>
      <c r="AO351" s="693">
        <f t="shared" si="187"/>
        <v>6.9</v>
      </c>
      <c r="AP351" s="693">
        <f t="shared" si="188"/>
        <v>1.85</v>
      </c>
      <c r="AQ351" s="692">
        <f ca="1">IF(AL351="","",AL351*SFAssumptions!$C$8/'SavingsData&amp;Analysis'!AF351)</f>
        <v>524.11243671335558</v>
      </c>
      <c r="AR351" s="692">
        <f ca="1">IF(OR(AN351="",AF351=""),"",AN351*SFAssumptions!$C$8/AF351)</f>
        <v>6690.2952546459837</v>
      </c>
      <c r="AS351" s="190" t="str">
        <f>IF(OR(AG351="",AH351=""),"No",IF(AND(G351="Horizontal",AH351&gt;='Eff. Standards &amp; Certifications'!$B$21,AG351&lt;='Eff. Standards &amp; Certifications'!$C$21),"Consider",IF(AND(G351="Vertical",AH351&gt;='Eff. Standards &amp; Certifications'!$B$20,AG351&lt;='Eff. Standards &amp; Certifications'!$C$20),"Consider","No")))</f>
        <v>Consider</v>
      </c>
      <c r="AT351" s="190" t="str">
        <f t="shared" si="170"/>
        <v>Residential</v>
      </c>
      <c r="AU351" s="190"/>
      <c r="AV351" s="190" t="str">
        <f t="shared" si="171"/>
        <v>YES</v>
      </c>
      <c r="AW351" s="190" t="str">
        <f t="shared" si="171"/>
        <v>NO</v>
      </c>
      <c r="AX351" s="190" t="str">
        <f t="shared" si="189"/>
        <v>YES</v>
      </c>
      <c r="AY351" s="190" t="str">
        <f t="shared" si="172"/>
        <v>YES</v>
      </c>
      <c r="AZ351" s="190" t="str">
        <f t="shared" si="172"/>
        <v>NO</v>
      </c>
      <c r="BA351" s="190" t="str">
        <f t="shared" si="190"/>
        <v>YES</v>
      </c>
      <c r="BB351" s="190" t="str">
        <f t="shared" si="173"/>
        <v>NO</v>
      </c>
      <c r="BC351" s="190" t="str">
        <f t="shared" si="174"/>
        <v>NO</v>
      </c>
      <c r="BD351" s="190" t="str">
        <f t="shared" si="191"/>
        <v>NO</v>
      </c>
      <c r="BE351" s="190" t="str">
        <f t="shared" si="175"/>
        <v>NO</v>
      </c>
      <c r="BF351" s="190" t="str">
        <f t="shared" si="176"/>
        <v>NO</v>
      </c>
      <c r="BG351" s="190" t="str">
        <f t="shared" si="177"/>
        <v>NO</v>
      </c>
      <c r="BH351" s="88"/>
      <c r="BI351" s="9"/>
      <c r="BJ351" s="694">
        <f t="shared" si="178"/>
        <v>1.4152</v>
      </c>
      <c r="BK351" s="694" t="str">
        <f t="shared" si="178"/>
        <v/>
      </c>
      <c r="BL351" s="694">
        <f t="shared" si="179"/>
        <v>7.3515100000000002</v>
      </c>
      <c r="BM351" s="694" t="str">
        <f t="shared" si="179"/>
        <v/>
      </c>
      <c r="BN351" s="88"/>
      <c r="BO351" s="195"/>
      <c r="BP351" s="195"/>
      <c r="BQ351" s="195"/>
      <c r="BR351" s="195"/>
      <c r="BS351" s="195"/>
      <c r="BT351" s="195"/>
      <c r="BU351" s="195"/>
      <c r="BV351" s="195"/>
      <c r="BW351" s="195"/>
      <c r="BX351" s="195"/>
    </row>
    <row r="352" spans="1:76" s="124" customFormat="1" ht="15">
      <c r="A352" s="187">
        <v>5915</v>
      </c>
      <c r="B352" s="187" t="s">
        <v>625</v>
      </c>
      <c r="C352" s="187" t="s">
        <v>459</v>
      </c>
      <c r="D352" s="187" t="s">
        <v>698</v>
      </c>
      <c r="E352" s="187" t="s">
        <v>392</v>
      </c>
      <c r="F352" s="187" t="s">
        <v>386</v>
      </c>
      <c r="G352" s="187" t="s">
        <v>393</v>
      </c>
      <c r="H352" s="187" t="b">
        <v>0</v>
      </c>
      <c r="I352" s="187" t="s">
        <v>388</v>
      </c>
      <c r="J352" s="187" t="s">
        <v>389</v>
      </c>
      <c r="K352" s="187" t="b">
        <v>1</v>
      </c>
      <c r="L352" s="187">
        <v>4.5</v>
      </c>
      <c r="M352" s="187">
        <v>0.37</v>
      </c>
      <c r="N352" s="187">
        <v>17.100000000000001</v>
      </c>
      <c r="O352" s="187">
        <v>3.8</v>
      </c>
      <c r="P352" s="187">
        <v>12.86</v>
      </c>
      <c r="Q352" s="187"/>
      <c r="R352" s="187"/>
      <c r="S352" s="187"/>
      <c r="T352" s="187"/>
      <c r="U352" s="187">
        <v>34.5</v>
      </c>
      <c r="V352" s="187">
        <v>2.5</v>
      </c>
      <c r="W352" s="188">
        <v>41472</v>
      </c>
      <c r="X352" s="691">
        <f t="shared" si="164"/>
        <v>2.0587</v>
      </c>
      <c r="Y352" s="691">
        <f t="shared" si="169"/>
        <v>4.28592</v>
      </c>
      <c r="Z352" s="189"/>
      <c r="AA352" s="190">
        <f t="shared" si="180"/>
        <v>2013</v>
      </c>
      <c r="AB352" s="191">
        <f t="shared" si="181"/>
        <v>2.1858454364404722</v>
      </c>
      <c r="AC352" s="192">
        <f>IF(AB352="","",AB352*SFAssumptions!$C$3)</f>
        <v>561.13559527857387</v>
      </c>
      <c r="AD352" s="193">
        <f t="shared" si="182"/>
        <v>19.286639999999998</v>
      </c>
      <c r="AE352" s="194">
        <f>IF(AD352="","",AD352*SFAssumptions!$C$3)</f>
        <v>4951.1370003120001</v>
      </c>
      <c r="AF352" s="192">
        <f t="shared" si="168"/>
        <v>4.5</v>
      </c>
      <c r="AG352" s="192">
        <f t="shared" si="183"/>
        <v>4.28592</v>
      </c>
      <c r="AH352" s="192">
        <f t="shared" si="184"/>
        <v>2.0587</v>
      </c>
      <c r="AI352" s="692">
        <f ca="1">IF(AC352="","",AC352*SFAssumptions!$C$8/'SavingsData&amp;Analysis'!AF352)</f>
        <v>470.9807198327623</v>
      </c>
      <c r="AJ352" s="692">
        <f ca="1">IF(OR(AE352="",AF352=""),"",AE352*SFAssumptions!$C$8/AF352)</f>
        <v>4155.6623533032334</v>
      </c>
      <c r="AK352" s="191">
        <f t="shared" si="185"/>
        <v>1.8</v>
      </c>
      <c r="AL352" s="692">
        <f>IF(AK352="","",AK352*SFAssumptions!$C$3)</f>
        <v>462.08394000000004</v>
      </c>
      <c r="AM352" s="193">
        <f t="shared" si="186"/>
        <v>17.099999999999998</v>
      </c>
      <c r="AN352" s="194">
        <f>IF(AM352="","",AM352*SFAssumptions!$C$3)</f>
        <v>4389.7974299999996</v>
      </c>
      <c r="AO352" s="693">
        <f t="shared" si="187"/>
        <v>3.8</v>
      </c>
      <c r="AP352" s="693">
        <f t="shared" si="188"/>
        <v>2.5</v>
      </c>
      <c r="AQ352" s="692">
        <f ca="1">IF(AL352="","",AL352*SFAssumptions!$C$8/'SavingsData&amp;Analysis'!AF352)</f>
        <v>387.84320316788313</v>
      </c>
      <c r="AR352" s="692">
        <f ca="1">IF(OR(AN352="",AF352=""),"",AN352*SFAssumptions!$C$8/AF352)</f>
        <v>3684.5104300948888</v>
      </c>
      <c r="AS352" s="190" t="str">
        <f>IF(OR(AG352="",AH352=""),"No",IF(AND(G352="Horizontal",AH352&gt;='Eff. Standards &amp; Certifications'!$B$21,AG352&lt;='Eff. Standards &amp; Certifications'!$C$21),"Consider",IF(AND(G352="Vertical",AH352&gt;='Eff. Standards &amp; Certifications'!$B$20,AG352&lt;='Eff. Standards &amp; Certifications'!$C$20),"Consider","No")))</f>
        <v>Consider</v>
      </c>
      <c r="AT352" s="190" t="str">
        <f t="shared" si="170"/>
        <v>Residential</v>
      </c>
      <c r="AU352" s="190"/>
      <c r="AV352" s="190" t="str">
        <f t="shared" si="171"/>
        <v>YES</v>
      </c>
      <c r="AW352" s="190" t="str">
        <f t="shared" si="171"/>
        <v>NO</v>
      </c>
      <c r="AX352" s="190" t="str">
        <f t="shared" si="189"/>
        <v>YES</v>
      </c>
      <c r="AY352" s="190" t="str">
        <f t="shared" si="172"/>
        <v>YES</v>
      </c>
      <c r="AZ352" s="190" t="str">
        <f t="shared" si="172"/>
        <v>NO</v>
      </c>
      <c r="BA352" s="190" t="str">
        <f t="shared" si="190"/>
        <v>YES</v>
      </c>
      <c r="BB352" s="190" t="str">
        <f t="shared" si="173"/>
        <v>NO</v>
      </c>
      <c r="BC352" s="190" t="str">
        <f t="shared" si="174"/>
        <v>NO</v>
      </c>
      <c r="BD352" s="190" t="str">
        <f t="shared" si="191"/>
        <v>NO</v>
      </c>
      <c r="BE352" s="190" t="str">
        <f t="shared" si="175"/>
        <v>NO</v>
      </c>
      <c r="BF352" s="190" t="str">
        <f t="shared" si="176"/>
        <v>NO</v>
      </c>
      <c r="BG352" s="190" t="str">
        <f t="shared" si="177"/>
        <v>NO</v>
      </c>
      <c r="BH352" s="88"/>
      <c r="BI352" s="9"/>
      <c r="BJ352" s="694">
        <f t="shared" si="178"/>
        <v>2.0587</v>
      </c>
      <c r="BK352" s="694" t="str">
        <f t="shared" si="178"/>
        <v/>
      </c>
      <c r="BL352" s="694">
        <f t="shared" si="179"/>
        <v>4.28592</v>
      </c>
      <c r="BM352" s="694" t="str">
        <f t="shared" si="179"/>
        <v/>
      </c>
      <c r="BN352" s="88"/>
      <c r="BO352" s="195"/>
      <c r="BP352" s="195"/>
      <c r="BQ352" s="195"/>
      <c r="BR352" s="195"/>
      <c r="BS352" s="195"/>
      <c r="BT352" s="195"/>
      <c r="BU352" s="195"/>
      <c r="BV352" s="195"/>
      <c r="BW352" s="195"/>
      <c r="BX352" s="195"/>
    </row>
    <row r="353" spans="1:76" s="124" customFormat="1" ht="15">
      <c r="A353" s="187">
        <v>3433</v>
      </c>
      <c r="B353" s="187" t="s">
        <v>625</v>
      </c>
      <c r="C353" s="187" t="s">
        <v>459</v>
      </c>
      <c r="D353" s="187" t="s">
        <v>699</v>
      </c>
      <c r="E353" s="187" t="s">
        <v>392</v>
      </c>
      <c r="F353" s="187" t="s">
        <v>386</v>
      </c>
      <c r="G353" s="187" t="s">
        <v>393</v>
      </c>
      <c r="H353" s="187" t="b">
        <v>0</v>
      </c>
      <c r="I353" s="187" t="s">
        <v>388</v>
      </c>
      <c r="J353" s="187" t="s">
        <v>389</v>
      </c>
      <c r="K353" s="187" t="b">
        <v>1</v>
      </c>
      <c r="L353" s="187">
        <v>3.5</v>
      </c>
      <c r="M353" s="187">
        <v>0.79</v>
      </c>
      <c r="N353" s="187">
        <v>34.68</v>
      </c>
      <c r="O353" s="187">
        <v>9.9</v>
      </c>
      <c r="P353" s="187">
        <v>4.4400000000000004</v>
      </c>
      <c r="Q353" s="187"/>
      <c r="R353" s="187"/>
      <c r="S353" s="187"/>
      <c r="T353" s="187"/>
      <c r="U353" s="187">
        <v>55.4</v>
      </c>
      <c r="V353" s="187">
        <v>1.44</v>
      </c>
      <c r="W353" s="188">
        <v>39696</v>
      </c>
      <c r="X353" s="691">
        <f t="shared" si="164"/>
        <v>1.0093000000000001</v>
      </c>
      <c r="Y353" s="691">
        <f t="shared" si="169"/>
        <v>10.318210000000001</v>
      </c>
      <c r="Z353" s="189"/>
      <c r="AA353" s="190">
        <f t="shared" si="180"/>
        <v>2008</v>
      </c>
      <c r="AB353" s="191">
        <f t="shared" si="181"/>
        <v>3.4677499256910727</v>
      </c>
      <c r="AC353" s="192">
        <f>IF(AB353="","",AB353*SFAssumptions!$C$3)</f>
        <v>890.2175269989101</v>
      </c>
      <c r="AD353" s="193">
        <f t="shared" si="182"/>
        <v>36.113735000000005</v>
      </c>
      <c r="AE353" s="194">
        <f>IF(AD353="","",AD353*SFAssumptions!$C$3)</f>
        <v>9270.8760871755021</v>
      </c>
      <c r="AF353" s="192">
        <f t="shared" si="168"/>
        <v>3.5</v>
      </c>
      <c r="AG353" s="192">
        <f t="shared" si="183"/>
        <v>10.318210000000001</v>
      </c>
      <c r="AH353" s="192">
        <f t="shared" si="184"/>
        <v>1.0093000000000001</v>
      </c>
      <c r="AI353" s="692">
        <f ca="1">IF(AC353="","",AC353*SFAssumptions!$C$8/'SavingsData&amp;Analysis'!AF353)</f>
        <v>960.67374211801018</v>
      </c>
      <c r="AJ353" s="692">
        <f ca="1">IF(OR(AE353="",AF353=""),"",AE353*SFAssumptions!$C$8/AF353)</f>
        <v>10004.61904339721</v>
      </c>
      <c r="AK353" s="191">
        <f t="shared" si="185"/>
        <v>2.4305555555555558</v>
      </c>
      <c r="AL353" s="692">
        <f>IF(AK353="","",AK353*SFAssumptions!$C$3)</f>
        <v>623.95593750000012</v>
      </c>
      <c r="AM353" s="193">
        <f t="shared" si="186"/>
        <v>34.65</v>
      </c>
      <c r="AN353" s="194">
        <f>IF(AM353="","",AM353*SFAssumptions!$C$3)</f>
        <v>8895.1158450000003</v>
      </c>
      <c r="AO353" s="693">
        <f t="shared" si="187"/>
        <v>9.9</v>
      </c>
      <c r="AP353" s="693">
        <f t="shared" si="188"/>
        <v>1.44</v>
      </c>
      <c r="AQ353" s="692">
        <f ca="1">IF(AL353="","",AL353*SFAssumptions!$C$8/'SavingsData&amp;Analysis'!AF353)</f>
        <v>673.33889438868596</v>
      </c>
      <c r="AR353" s="692">
        <f ca="1">IF(OR(AN353="",AF353=""),"",AN353*SFAssumptions!$C$8/AF353)</f>
        <v>9599.1192784051073</v>
      </c>
      <c r="AS353" s="190" t="str">
        <f>IF(OR(AG353="",AH353=""),"No",IF(AND(G353="Horizontal",AH353&gt;='Eff. Standards &amp; Certifications'!$B$21,AG353&lt;='Eff. Standards &amp; Certifications'!$C$21),"Consider",IF(AND(G353="Vertical",AH353&gt;='Eff. Standards &amp; Certifications'!$B$20,AG353&lt;='Eff. Standards &amp; Certifications'!$C$20),"Consider","No")))</f>
        <v>No</v>
      </c>
      <c r="AT353" s="190" t="str">
        <f t="shared" si="170"/>
        <v>Residential</v>
      </c>
      <c r="AU353" s="190"/>
      <c r="AV353" s="190" t="str">
        <f t="shared" si="171"/>
        <v>NO</v>
      </c>
      <c r="AW353" s="190" t="str">
        <f t="shared" si="171"/>
        <v>NO</v>
      </c>
      <c r="AX353" s="190" t="str">
        <f t="shared" si="189"/>
        <v>NO</v>
      </c>
      <c r="AY353" s="190" t="str">
        <f t="shared" si="172"/>
        <v>NO</v>
      </c>
      <c r="AZ353" s="190" t="str">
        <f t="shared" si="172"/>
        <v>NO</v>
      </c>
      <c r="BA353" s="190" t="str">
        <f t="shared" si="190"/>
        <v>NO</v>
      </c>
      <c r="BB353" s="190" t="str">
        <f t="shared" si="173"/>
        <v>NO</v>
      </c>
      <c r="BC353" s="190" t="str">
        <f t="shared" si="174"/>
        <v>NO</v>
      </c>
      <c r="BD353" s="190" t="str">
        <f t="shared" si="191"/>
        <v>NO</v>
      </c>
      <c r="BE353" s="190" t="str">
        <f t="shared" si="175"/>
        <v>NO</v>
      </c>
      <c r="BF353" s="190" t="str">
        <f t="shared" si="176"/>
        <v>NO</v>
      </c>
      <c r="BG353" s="190" t="str">
        <f t="shared" si="177"/>
        <v>NO</v>
      </c>
      <c r="BH353" s="88"/>
      <c r="BI353" s="9"/>
      <c r="BJ353" s="694" t="str">
        <f t="shared" si="178"/>
        <v/>
      </c>
      <c r="BK353" s="694" t="str">
        <f t="shared" si="178"/>
        <v/>
      </c>
      <c r="BL353" s="694" t="str">
        <f t="shared" si="179"/>
        <v/>
      </c>
      <c r="BM353" s="694" t="str">
        <f t="shared" si="179"/>
        <v/>
      </c>
      <c r="BN353" s="88"/>
      <c r="BO353" s="195"/>
      <c r="BP353" s="195"/>
      <c r="BQ353" s="195"/>
      <c r="BR353" s="195"/>
      <c r="BS353" s="195"/>
      <c r="BT353" s="195"/>
      <c r="BU353" s="195"/>
      <c r="BV353" s="195"/>
      <c r="BW353" s="195"/>
      <c r="BX353" s="195"/>
    </row>
    <row r="354" spans="1:76" s="124" customFormat="1" ht="15">
      <c r="A354" s="187">
        <v>3438</v>
      </c>
      <c r="B354" s="187" t="s">
        <v>625</v>
      </c>
      <c r="C354" s="187" t="s">
        <v>459</v>
      </c>
      <c r="D354" s="187" t="s">
        <v>700</v>
      </c>
      <c r="E354" s="187" t="s">
        <v>392</v>
      </c>
      <c r="F354" s="187" t="s">
        <v>386</v>
      </c>
      <c r="G354" s="187" t="s">
        <v>393</v>
      </c>
      <c r="H354" s="187" t="b">
        <v>0</v>
      </c>
      <c r="I354" s="187" t="s">
        <v>388</v>
      </c>
      <c r="J354" s="187" t="s">
        <v>389</v>
      </c>
      <c r="K354" s="187" t="b">
        <v>1</v>
      </c>
      <c r="L354" s="187">
        <v>3.5</v>
      </c>
      <c r="M354" s="187">
        <v>0.77</v>
      </c>
      <c r="N354" s="187">
        <v>35.049999999999997</v>
      </c>
      <c r="O354" s="187">
        <v>10</v>
      </c>
      <c r="P354" s="187">
        <v>4.51</v>
      </c>
      <c r="Q354" s="187"/>
      <c r="R354" s="187"/>
      <c r="S354" s="187"/>
      <c r="T354" s="187"/>
      <c r="U354" s="187">
        <v>53.3</v>
      </c>
      <c r="V354" s="187">
        <v>1.52</v>
      </c>
      <c r="W354" s="188">
        <v>39696</v>
      </c>
      <c r="X354" s="691">
        <f t="shared" si="164"/>
        <v>1.0884999999999998</v>
      </c>
      <c r="Y354" s="691">
        <f t="shared" si="169"/>
        <v>10.4171</v>
      </c>
      <c r="Z354" s="189"/>
      <c r="AA354" s="190">
        <f t="shared" si="180"/>
        <v>2008</v>
      </c>
      <c r="AB354" s="191">
        <f t="shared" si="181"/>
        <v>3.2154340836012869</v>
      </c>
      <c r="AC354" s="192">
        <f>IF(AB354="","",AB354*SFAssumptions!$C$3)</f>
        <v>825.44469453376223</v>
      </c>
      <c r="AD354" s="193">
        <f t="shared" si="182"/>
        <v>36.459849999999996</v>
      </c>
      <c r="AE354" s="194">
        <f>IF(AD354="","",AD354*SFAssumptions!$C$3)</f>
        <v>9359.7284110049986</v>
      </c>
      <c r="AF354" s="192">
        <f t="shared" si="168"/>
        <v>3.5</v>
      </c>
      <c r="AG354" s="192">
        <f t="shared" si="183"/>
        <v>10.4171</v>
      </c>
      <c r="AH354" s="192">
        <f t="shared" si="184"/>
        <v>1.0884999999999998</v>
      </c>
      <c r="AI354" s="692">
        <f ca="1">IF(AC354="","",AC354*SFAssumptions!$C$8/'SavingsData&amp;Analysis'!AF354)</f>
        <v>890.77446754222126</v>
      </c>
      <c r="AJ354" s="692">
        <f ca="1">IF(OR(AE354="",AF354=""),"",AE354*SFAssumptions!$C$8/AF354)</f>
        <v>10100.503579300386</v>
      </c>
      <c r="AK354" s="191">
        <f t="shared" si="185"/>
        <v>2.3026315789473686</v>
      </c>
      <c r="AL354" s="692">
        <f>IF(AK354="","",AK354*SFAssumptions!$C$3)</f>
        <v>591.11615131578958</v>
      </c>
      <c r="AM354" s="193">
        <f t="shared" si="186"/>
        <v>35</v>
      </c>
      <c r="AN354" s="194">
        <f>IF(AM354="","",AM354*SFAssumptions!$C$3)</f>
        <v>8984.9655000000002</v>
      </c>
      <c r="AO354" s="693">
        <f t="shared" si="187"/>
        <v>10</v>
      </c>
      <c r="AP354" s="693">
        <f t="shared" si="188"/>
        <v>1.52</v>
      </c>
      <c r="AQ354" s="692">
        <f ca="1">IF(AL354="","",AL354*SFAssumptions!$C$8/'SavingsData&amp;Analysis'!AF354)</f>
        <v>637.90000521033403</v>
      </c>
      <c r="AR354" s="692">
        <f ca="1">IF(OR(AN354="",AF354=""),"",AN354*SFAssumptions!$C$8/AF354)</f>
        <v>9696.0800791970778</v>
      </c>
      <c r="AS354" s="190" t="str">
        <f>IF(OR(AG354="",AH354=""),"No",IF(AND(G354="Horizontal",AH354&gt;='Eff. Standards &amp; Certifications'!$B$21,AG354&lt;='Eff. Standards &amp; Certifications'!$C$21),"Consider",IF(AND(G354="Vertical",AH354&gt;='Eff. Standards &amp; Certifications'!$B$20,AG354&lt;='Eff. Standards &amp; Certifications'!$C$20),"Consider","No")))</f>
        <v>No</v>
      </c>
      <c r="AT354" s="190" t="str">
        <f t="shared" si="170"/>
        <v>Residential</v>
      </c>
      <c r="AU354" s="190"/>
      <c r="AV354" s="190" t="str">
        <f t="shared" si="171"/>
        <v>NO</v>
      </c>
      <c r="AW354" s="190" t="str">
        <f t="shared" si="171"/>
        <v>NO</v>
      </c>
      <c r="AX354" s="190" t="str">
        <f t="shared" si="189"/>
        <v>NO</v>
      </c>
      <c r="AY354" s="190" t="str">
        <f t="shared" si="172"/>
        <v>NO</v>
      </c>
      <c r="AZ354" s="190" t="str">
        <f t="shared" si="172"/>
        <v>NO</v>
      </c>
      <c r="BA354" s="190" t="str">
        <f t="shared" si="190"/>
        <v>NO</v>
      </c>
      <c r="BB354" s="190" t="str">
        <f t="shared" si="173"/>
        <v>NO</v>
      </c>
      <c r="BC354" s="190" t="str">
        <f t="shared" si="174"/>
        <v>NO</v>
      </c>
      <c r="BD354" s="190" t="str">
        <f t="shared" si="191"/>
        <v>NO</v>
      </c>
      <c r="BE354" s="190" t="str">
        <f t="shared" si="175"/>
        <v>NO</v>
      </c>
      <c r="BF354" s="190" t="str">
        <f t="shared" si="176"/>
        <v>NO</v>
      </c>
      <c r="BG354" s="190" t="str">
        <f t="shared" si="177"/>
        <v>NO</v>
      </c>
      <c r="BH354" s="88"/>
      <c r="BI354" s="9"/>
      <c r="BJ354" s="694" t="str">
        <f t="shared" si="178"/>
        <v/>
      </c>
      <c r="BK354" s="694" t="str">
        <f t="shared" si="178"/>
        <v/>
      </c>
      <c r="BL354" s="694" t="str">
        <f t="shared" si="179"/>
        <v/>
      </c>
      <c r="BM354" s="694" t="str">
        <f t="shared" si="179"/>
        <v/>
      </c>
      <c r="BN354" s="88"/>
      <c r="BO354" s="195"/>
      <c r="BP354" s="195"/>
      <c r="BQ354" s="195"/>
      <c r="BR354" s="195"/>
      <c r="BS354" s="195"/>
      <c r="BT354" s="195"/>
      <c r="BU354" s="195"/>
      <c r="BV354" s="195"/>
      <c r="BW354" s="195"/>
      <c r="BX354" s="195"/>
    </row>
    <row r="355" spans="1:76" s="124" customFormat="1" ht="15">
      <c r="A355" s="187">
        <v>3436</v>
      </c>
      <c r="B355" s="187" t="s">
        <v>625</v>
      </c>
      <c r="C355" s="187" t="s">
        <v>459</v>
      </c>
      <c r="D355" s="187" t="s">
        <v>701</v>
      </c>
      <c r="E355" s="187" t="s">
        <v>392</v>
      </c>
      <c r="F355" s="187" t="s">
        <v>386</v>
      </c>
      <c r="G355" s="187" t="s">
        <v>393</v>
      </c>
      <c r="H355" s="187" t="b">
        <v>0</v>
      </c>
      <c r="I355" s="187" t="s">
        <v>388</v>
      </c>
      <c r="J355" s="187" t="s">
        <v>389</v>
      </c>
      <c r="K355" s="187" t="b">
        <v>1</v>
      </c>
      <c r="L355" s="187">
        <v>3.5</v>
      </c>
      <c r="M355" s="187">
        <v>1.06</v>
      </c>
      <c r="N355" s="187">
        <v>34.94</v>
      </c>
      <c r="O355" s="187">
        <v>10.1</v>
      </c>
      <c r="P355" s="187">
        <v>3.27</v>
      </c>
      <c r="Q355" s="187"/>
      <c r="R355" s="187"/>
      <c r="S355" s="187"/>
      <c r="T355" s="187"/>
      <c r="U355" s="187">
        <v>55.4</v>
      </c>
      <c r="V355" s="187">
        <v>1.31</v>
      </c>
      <c r="W355" s="188">
        <v>39696</v>
      </c>
      <c r="X355" s="691">
        <f t="shared" si="164"/>
        <v>0.88059999999999994</v>
      </c>
      <c r="Y355" s="691">
        <f t="shared" si="169"/>
        <v>10.51599</v>
      </c>
      <c r="Z355" s="189"/>
      <c r="AA355" s="190">
        <f t="shared" si="180"/>
        <v>2008</v>
      </c>
      <c r="AB355" s="191">
        <f t="shared" si="181"/>
        <v>3.9745627980922102</v>
      </c>
      <c r="AC355" s="192">
        <f>IF(AB355="","",AB355*SFAssumptions!$C$3)</f>
        <v>1020.323131955485</v>
      </c>
      <c r="AD355" s="193">
        <f t="shared" si="182"/>
        <v>36.805965</v>
      </c>
      <c r="AE355" s="194">
        <f>IF(AD355="","",AD355*SFAssumptions!$C$3)</f>
        <v>9448.5807348345006</v>
      </c>
      <c r="AF355" s="192">
        <f t="shared" si="168"/>
        <v>3.5</v>
      </c>
      <c r="AG355" s="192">
        <f t="shared" si="183"/>
        <v>10.51599</v>
      </c>
      <c r="AH355" s="192">
        <f t="shared" si="184"/>
        <v>0.88059999999999994</v>
      </c>
      <c r="AI355" s="692">
        <f ca="1">IF(AC355="","",AC355*SFAssumptions!$C$8/'SavingsData&amp;Analysis'!AF355)</f>
        <v>1101.0765477171335</v>
      </c>
      <c r="AJ355" s="692">
        <f ca="1">IF(OR(AE355="",AF355=""),"",AE355*SFAssumptions!$C$8/AF355)</f>
        <v>10196.388115203566</v>
      </c>
      <c r="AK355" s="191">
        <f t="shared" si="185"/>
        <v>2.6717557251908395</v>
      </c>
      <c r="AL355" s="692">
        <f>IF(AK355="","",AK355*SFAssumptions!$C$3)</f>
        <v>685.87522900763349</v>
      </c>
      <c r="AM355" s="193">
        <f t="shared" si="186"/>
        <v>35.35</v>
      </c>
      <c r="AN355" s="194">
        <f>IF(AM355="","",AM355*SFAssumptions!$C$3)</f>
        <v>9074.8151550000002</v>
      </c>
      <c r="AO355" s="693">
        <f t="shared" si="187"/>
        <v>10.1</v>
      </c>
      <c r="AP355" s="693">
        <f t="shared" si="188"/>
        <v>1.31</v>
      </c>
      <c r="AQ355" s="692">
        <f ca="1">IF(AL355="","",AL355*SFAssumptions!$C$8/'SavingsData&amp;Analysis'!AF355)</f>
        <v>740.15878467153254</v>
      </c>
      <c r="AR355" s="692">
        <f ca="1">IF(OR(AN355="",AF355=""),"",AN355*SFAssumptions!$C$8/AF355)</f>
        <v>9793.0408799890465</v>
      </c>
      <c r="AS355" s="190" t="str">
        <f>IF(OR(AG355="",AH355=""),"No",IF(AND(G355="Horizontal",AH355&gt;='Eff. Standards &amp; Certifications'!$B$21,AG355&lt;='Eff. Standards &amp; Certifications'!$C$21),"Consider",IF(AND(G355="Vertical",AH355&gt;='Eff. Standards &amp; Certifications'!$B$20,AG355&lt;='Eff. Standards &amp; Certifications'!$C$20),"Consider","No")))</f>
        <v>No</v>
      </c>
      <c r="AT355" s="190" t="str">
        <f t="shared" si="170"/>
        <v>Residential</v>
      </c>
      <c r="AU355" s="190"/>
      <c r="AV355" s="190" t="str">
        <f t="shared" si="171"/>
        <v>NO</v>
      </c>
      <c r="AW355" s="190" t="str">
        <f t="shared" si="171"/>
        <v>NO</v>
      </c>
      <c r="AX355" s="190" t="str">
        <f t="shared" si="189"/>
        <v>NO</v>
      </c>
      <c r="AY355" s="190" t="str">
        <f t="shared" si="172"/>
        <v>NO</v>
      </c>
      <c r="AZ355" s="190" t="str">
        <f t="shared" si="172"/>
        <v>NO</v>
      </c>
      <c r="BA355" s="190" t="str">
        <f t="shared" si="190"/>
        <v>NO</v>
      </c>
      <c r="BB355" s="190" t="str">
        <f t="shared" si="173"/>
        <v>NO</v>
      </c>
      <c r="BC355" s="190" t="str">
        <f t="shared" si="174"/>
        <v>NO</v>
      </c>
      <c r="BD355" s="190" t="str">
        <f t="shared" si="191"/>
        <v>NO</v>
      </c>
      <c r="BE355" s="190" t="str">
        <f t="shared" si="175"/>
        <v>NO</v>
      </c>
      <c r="BF355" s="190" t="str">
        <f t="shared" si="176"/>
        <v>NO</v>
      </c>
      <c r="BG355" s="190" t="str">
        <f t="shared" si="177"/>
        <v>NO</v>
      </c>
      <c r="BH355" s="88"/>
      <c r="BI355" s="9"/>
      <c r="BJ355" s="694" t="str">
        <f t="shared" si="178"/>
        <v/>
      </c>
      <c r="BK355" s="694" t="str">
        <f t="shared" si="178"/>
        <v/>
      </c>
      <c r="BL355" s="694" t="str">
        <f t="shared" si="179"/>
        <v/>
      </c>
      <c r="BM355" s="694" t="str">
        <f t="shared" si="179"/>
        <v/>
      </c>
      <c r="BN355" s="88"/>
      <c r="BO355" s="195"/>
      <c r="BP355" s="195"/>
      <c r="BQ355" s="195"/>
      <c r="BR355" s="195"/>
      <c r="BS355" s="195"/>
      <c r="BT355" s="195"/>
      <c r="BU355" s="195"/>
      <c r="BV355" s="195"/>
      <c r="BW355" s="195"/>
      <c r="BX355" s="195"/>
    </row>
    <row r="356" spans="1:76" s="124" customFormat="1" ht="15">
      <c r="A356" s="187">
        <v>3343</v>
      </c>
      <c r="B356" s="187" t="s">
        <v>625</v>
      </c>
      <c r="C356" s="187" t="s">
        <v>459</v>
      </c>
      <c r="D356" s="187" t="s">
        <v>702</v>
      </c>
      <c r="E356" s="187" t="s">
        <v>392</v>
      </c>
      <c r="F356" s="187" t="s">
        <v>386</v>
      </c>
      <c r="G356" s="187" t="s">
        <v>393</v>
      </c>
      <c r="H356" s="187" t="b">
        <v>0</v>
      </c>
      <c r="I356" s="187" t="s">
        <v>388</v>
      </c>
      <c r="J356" s="187" t="s">
        <v>389</v>
      </c>
      <c r="K356" s="187" t="b">
        <v>1</v>
      </c>
      <c r="L356" s="187">
        <v>3.5</v>
      </c>
      <c r="M356" s="187">
        <v>0.52</v>
      </c>
      <c r="N356" s="187">
        <v>25.59</v>
      </c>
      <c r="O356" s="187">
        <v>7.4</v>
      </c>
      <c r="P356" s="187">
        <v>6.61</v>
      </c>
      <c r="Q356" s="187"/>
      <c r="R356" s="187"/>
      <c r="S356" s="187"/>
      <c r="T356" s="187"/>
      <c r="U356" s="187">
        <v>46.9</v>
      </c>
      <c r="V356" s="187">
        <v>1.88</v>
      </c>
      <c r="W356" s="188">
        <v>39762</v>
      </c>
      <c r="X356" s="691">
        <f t="shared" si="164"/>
        <v>1.4449000000000001</v>
      </c>
      <c r="Y356" s="691">
        <f t="shared" si="169"/>
        <v>7.8459600000000007</v>
      </c>
      <c r="Z356" s="189"/>
      <c r="AA356" s="190">
        <f t="shared" si="180"/>
        <v>2008</v>
      </c>
      <c r="AB356" s="191">
        <f t="shared" si="181"/>
        <v>2.4223129628347979</v>
      </c>
      <c r="AC356" s="192">
        <f>IF(AB356="","",AB356*SFAssumptions!$C$3)</f>
        <v>621.83995432209838</v>
      </c>
      <c r="AD356" s="193">
        <f t="shared" si="182"/>
        <v>27.460860000000004</v>
      </c>
      <c r="AE356" s="194">
        <f>IF(AD356="","",AD356*SFAssumptions!$C$3)</f>
        <v>7049.5679914380007</v>
      </c>
      <c r="AF356" s="192">
        <f t="shared" si="168"/>
        <v>3.5</v>
      </c>
      <c r="AG356" s="192">
        <f t="shared" si="183"/>
        <v>7.8459600000000007</v>
      </c>
      <c r="AH356" s="192">
        <f t="shared" si="184"/>
        <v>1.4449000000000001</v>
      </c>
      <c r="AI356" s="692">
        <f ca="1">IF(AC356="","",AC356*SFAssumptions!$C$8/'SavingsData&amp;Analysis'!AF356)</f>
        <v>671.05544184352391</v>
      </c>
      <c r="AJ356" s="692">
        <f ca="1">IF(OR(AE356="",AF356=""),"",AE356*SFAssumptions!$C$8/AF356)</f>
        <v>7607.5056458177105</v>
      </c>
      <c r="AK356" s="191">
        <f t="shared" si="185"/>
        <v>1.8617021276595747</v>
      </c>
      <c r="AL356" s="692">
        <f>IF(AK356="","",AK356*SFAssumptions!$C$3)</f>
        <v>477.92369680851067</v>
      </c>
      <c r="AM356" s="193">
        <f t="shared" si="186"/>
        <v>25.900000000000002</v>
      </c>
      <c r="AN356" s="194">
        <f>IF(AM356="","",AM356*SFAssumptions!$C$3)</f>
        <v>6648.8744700000007</v>
      </c>
      <c r="AO356" s="693">
        <f t="shared" si="187"/>
        <v>7.4</v>
      </c>
      <c r="AP356" s="693">
        <f t="shared" si="188"/>
        <v>1.88</v>
      </c>
      <c r="AQ356" s="692">
        <f ca="1">IF(AL356="","",AL356*SFAssumptions!$C$8/'SavingsData&amp;Analysis'!AF356)</f>
        <v>515.74894038282332</v>
      </c>
      <c r="AR356" s="692">
        <f ca="1">IF(OR(AN356="",AF356=""),"",AN356*SFAssumptions!$C$8/AF356)</f>
        <v>7175.0992586058373</v>
      </c>
      <c r="AS356" s="190" t="str">
        <f>IF(OR(AG356="",AH356=""),"No",IF(AND(G356="Horizontal",AH356&gt;='Eff. Standards &amp; Certifications'!$B$21,AG356&lt;='Eff. Standards &amp; Certifications'!$C$21),"Consider",IF(AND(G356="Vertical",AH356&gt;='Eff. Standards &amp; Certifications'!$B$20,AG356&lt;='Eff. Standards &amp; Certifications'!$C$20),"Consider","No")))</f>
        <v>Consider</v>
      </c>
      <c r="AT356" s="190" t="str">
        <f t="shared" si="170"/>
        <v>Residential</v>
      </c>
      <c r="AU356" s="190"/>
      <c r="AV356" s="190" t="str">
        <f t="shared" si="171"/>
        <v>YES</v>
      </c>
      <c r="AW356" s="190" t="str">
        <f t="shared" si="171"/>
        <v>NO</v>
      </c>
      <c r="AX356" s="190" t="str">
        <f t="shared" si="189"/>
        <v>YES</v>
      </c>
      <c r="AY356" s="190" t="str">
        <f t="shared" si="172"/>
        <v>YES</v>
      </c>
      <c r="AZ356" s="190" t="str">
        <f t="shared" si="172"/>
        <v>NO</v>
      </c>
      <c r="BA356" s="190" t="str">
        <f t="shared" si="190"/>
        <v>YES</v>
      </c>
      <c r="BB356" s="190" t="str">
        <f t="shared" si="173"/>
        <v>NO</v>
      </c>
      <c r="BC356" s="190" t="str">
        <f t="shared" si="174"/>
        <v>NO</v>
      </c>
      <c r="BD356" s="190" t="str">
        <f t="shared" si="191"/>
        <v>NO</v>
      </c>
      <c r="BE356" s="190" t="str">
        <f t="shared" si="175"/>
        <v>NO</v>
      </c>
      <c r="BF356" s="190" t="str">
        <f t="shared" si="176"/>
        <v>NO</v>
      </c>
      <c r="BG356" s="190" t="str">
        <f t="shared" si="177"/>
        <v>NO</v>
      </c>
      <c r="BH356" s="88"/>
      <c r="BI356" s="9"/>
      <c r="BJ356" s="694">
        <f t="shared" si="178"/>
        <v>1.4449000000000001</v>
      </c>
      <c r="BK356" s="694" t="str">
        <f t="shared" si="178"/>
        <v/>
      </c>
      <c r="BL356" s="694">
        <f t="shared" si="179"/>
        <v>7.8459600000000007</v>
      </c>
      <c r="BM356" s="694" t="str">
        <f t="shared" si="179"/>
        <v/>
      </c>
      <c r="BN356" s="88"/>
      <c r="BO356" s="195"/>
      <c r="BP356" s="195"/>
      <c r="BQ356" s="195"/>
      <c r="BR356" s="195"/>
      <c r="BS356" s="195"/>
      <c r="BT356" s="195"/>
      <c r="BU356" s="195"/>
      <c r="BV356" s="195"/>
      <c r="BW356" s="195"/>
      <c r="BX356" s="195"/>
    </row>
    <row r="357" spans="1:76" s="124" customFormat="1" ht="15">
      <c r="A357" s="187">
        <v>576</v>
      </c>
      <c r="B357" s="187" t="s">
        <v>625</v>
      </c>
      <c r="C357" s="187" t="s">
        <v>459</v>
      </c>
      <c r="D357" s="187" t="s">
        <v>703</v>
      </c>
      <c r="E357" s="187" t="s">
        <v>385</v>
      </c>
      <c r="F357" s="187" t="s">
        <v>386</v>
      </c>
      <c r="G357" s="187" t="s">
        <v>387</v>
      </c>
      <c r="H357" s="187" t="b">
        <v>0</v>
      </c>
      <c r="I357" s="187" t="s">
        <v>388</v>
      </c>
      <c r="J357" s="187" t="s">
        <v>389</v>
      </c>
      <c r="K357" s="187" t="b">
        <v>1</v>
      </c>
      <c r="L357" s="187">
        <v>3.5</v>
      </c>
      <c r="M357" s="187">
        <v>0.34</v>
      </c>
      <c r="N357" s="187">
        <v>13.29</v>
      </c>
      <c r="O357" s="187">
        <v>3.8</v>
      </c>
      <c r="P357" s="187">
        <v>10.37</v>
      </c>
      <c r="Q357" s="187"/>
      <c r="R357" s="187"/>
      <c r="S357" s="187"/>
      <c r="T357" s="187"/>
      <c r="U357" s="187">
        <v>0.4</v>
      </c>
      <c r="V357" s="187">
        <v>2.2799999999999998</v>
      </c>
      <c r="W357" s="188">
        <v>40255</v>
      </c>
      <c r="X357" s="691">
        <f t="shared" si="164"/>
        <v>1.9117599999999999</v>
      </c>
      <c r="Y357" s="691">
        <f t="shared" si="169"/>
        <v>4.0091599999999996</v>
      </c>
      <c r="Z357" s="189"/>
      <c r="AA357" s="190">
        <f t="shared" si="180"/>
        <v>2010</v>
      </c>
      <c r="AB357" s="191">
        <f t="shared" si="181"/>
        <v>1.8307737372891997</v>
      </c>
      <c r="AC357" s="192">
        <f>IF(AB357="","",AB357*SFAssumptions!$C$3)</f>
        <v>469.98396765284349</v>
      </c>
      <c r="AD357" s="193">
        <f t="shared" si="182"/>
        <v>14.032059999999998</v>
      </c>
      <c r="AE357" s="194">
        <f>IF(AD357="","",AD357*SFAssumptions!$C$3)</f>
        <v>3602.2164283979996</v>
      </c>
      <c r="AF357" s="192">
        <f t="shared" si="168"/>
        <v>3.5</v>
      </c>
      <c r="AG357" s="192">
        <f t="shared" si="183"/>
        <v>4.0091599999999996</v>
      </c>
      <c r="AH357" s="192">
        <f t="shared" si="184"/>
        <v>1.9117599999999999</v>
      </c>
      <c r="AI357" s="692">
        <f ca="1">IF(AC357="","",AC357*SFAssumptions!$C$8/'SavingsData&amp;Analysis'!AF357)</f>
        <v>507.18082181848547</v>
      </c>
      <c r="AJ357" s="692">
        <f ca="1">IF(OR(AE357="",AF357=""),"",AE357*SFAssumptions!$C$8/AF357)</f>
        <v>3887.3136410313746</v>
      </c>
      <c r="AK357" s="191">
        <f t="shared" si="185"/>
        <v>1.5350877192982457</v>
      </c>
      <c r="AL357" s="692">
        <f>IF(AK357="","",AK357*SFAssumptions!$C$3)</f>
        <v>394.07743421052635</v>
      </c>
      <c r="AM357" s="193">
        <f t="shared" si="186"/>
        <v>13.299999999999999</v>
      </c>
      <c r="AN357" s="194">
        <f>IF(AM357="","",AM357*SFAssumptions!$C$3)</f>
        <v>3414.2868899999999</v>
      </c>
      <c r="AO357" s="693">
        <f t="shared" si="187"/>
        <v>3.8</v>
      </c>
      <c r="AP357" s="693">
        <f t="shared" si="188"/>
        <v>2.2799999999999998</v>
      </c>
      <c r="AQ357" s="692">
        <f ca="1">IF(AL357="","",AL357*SFAssumptions!$C$8/'SavingsData&amp;Analysis'!AF357)</f>
        <v>425.26667014022269</v>
      </c>
      <c r="AR357" s="692">
        <f ca="1">IF(OR(AN357="",AF357=""),"",AN357*SFAssumptions!$C$8/AF357)</f>
        <v>3684.5104300948888</v>
      </c>
      <c r="AS357" s="190" t="str">
        <f>IF(OR(AG357="",AH357=""),"No",IF(AND(G357="Horizontal",AH357&gt;='Eff. Standards &amp; Certifications'!$B$21,AG357&lt;='Eff. Standards &amp; Certifications'!$C$21),"Consider",IF(AND(G357="Vertical",AH357&gt;='Eff. Standards &amp; Certifications'!$B$20,AG357&lt;='Eff. Standards &amp; Certifications'!$C$20),"Consider","No")))</f>
        <v>Consider</v>
      </c>
      <c r="AT357" s="190" t="str">
        <f t="shared" si="170"/>
        <v>Residential</v>
      </c>
      <c r="AU357" s="190"/>
      <c r="AV357" s="190" t="str">
        <f t="shared" si="171"/>
        <v>NO</v>
      </c>
      <c r="AW357" s="190" t="str">
        <f t="shared" si="171"/>
        <v>YES</v>
      </c>
      <c r="AX357" s="190" t="str">
        <f t="shared" si="189"/>
        <v>YES</v>
      </c>
      <c r="AY357" s="190" t="str">
        <f t="shared" si="172"/>
        <v>NO</v>
      </c>
      <c r="AZ357" s="190" t="str">
        <f t="shared" si="172"/>
        <v>YES</v>
      </c>
      <c r="BA357" s="190" t="str">
        <f t="shared" si="190"/>
        <v>YES</v>
      </c>
      <c r="BB357" s="190" t="str">
        <f t="shared" si="173"/>
        <v>NO</v>
      </c>
      <c r="BC357" s="190" t="str">
        <f t="shared" si="174"/>
        <v>NO</v>
      </c>
      <c r="BD357" s="190" t="str">
        <f t="shared" si="191"/>
        <v>NO</v>
      </c>
      <c r="BE357" s="190" t="str">
        <f t="shared" si="175"/>
        <v>NO</v>
      </c>
      <c r="BF357" s="190" t="str">
        <f t="shared" si="176"/>
        <v>NO</v>
      </c>
      <c r="BG357" s="190" t="str">
        <f t="shared" si="177"/>
        <v>NO</v>
      </c>
      <c r="BH357" s="88"/>
      <c r="BI357" s="9"/>
      <c r="BJ357" s="694" t="str">
        <f t="shared" si="178"/>
        <v/>
      </c>
      <c r="BK357" s="694">
        <f t="shared" si="178"/>
        <v>1.9117599999999999</v>
      </c>
      <c r="BL357" s="694" t="str">
        <f t="shared" si="179"/>
        <v/>
      </c>
      <c r="BM357" s="694">
        <f t="shared" si="179"/>
        <v>4.0091599999999996</v>
      </c>
      <c r="BN357" s="88"/>
      <c r="BO357" s="195"/>
      <c r="BP357" s="195"/>
      <c r="BQ357" s="195"/>
      <c r="BR357" s="195"/>
      <c r="BS357" s="195"/>
      <c r="BT357" s="195"/>
      <c r="BU357" s="195"/>
      <c r="BV357" s="195"/>
      <c r="BW357" s="195"/>
      <c r="BX357" s="195"/>
    </row>
    <row r="358" spans="1:76" s="124" customFormat="1" ht="15">
      <c r="A358" s="187">
        <v>544</v>
      </c>
      <c r="B358" s="187" t="s">
        <v>625</v>
      </c>
      <c r="C358" s="187" t="s">
        <v>459</v>
      </c>
      <c r="D358" s="187" t="s">
        <v>704</v>
      </c>
      <c r="E358" s="187" t="s">
        <v>385</v>
      </c>
      <c r="F358" s="187" t="s">
        <v>386</v>
      </c>
      <c r="G358" s="187" t="s">
        <v>387</v>
      </c>
      <c r="H358" s="187" t="b">
        <v>0</v>
      </c>
      <c r="I358" s="187" t="s">
        <v>388</v>
      </c>
      <c r="J358" s="187" t="s">
        <v>389</v>
      </c>
      <c r="K358" s="187" t="b">
        <v>1</v>
      </c>
      <c r="L358" s="187">
        <v>3.5</v>
      </c>
      <c r="M358" s="187">
        <v>0.34</v>
      </c>
      <c r="N358" s="187">
        <v>13.2</v>
      </c>
      <c r="O358" s="187">
        <v>3.8</v>
      </c>
      <c r="P358" s="187">
        <v>10.43</v>
      </c>
      <c r="Q358" s="187"/>
      <c r="R358" s="187"/>
      <c r="S358" s="187"/>
      <c r="T358" s="187"/>
      <c r="U358" s="187">
        <v>38.200000000000003</v>
      </c>
      <c r="V358" s="187">
        <v>2.46</v>
      </c>
      <c r="W358" s="188">
        <v>40316</v>
      </c>
      <c r="X358" s="691">
        <f t="shared" si="164"/>
        <v>2.0763699999999998</v>
      </c>
      <c r="Y358" s="691">
        <f t="shared" si="169"/>
        <v>4.0091599999999996</v>
      </c>
      <c r="Z358" s="189"/>
      <c r="AA358" s="190">
        <f t="shared" si="180"/>
        <v>2010</v>
      </c>
      <c r="AB358" s="191">
        <f t="shared" si="181"/>
        <v>1.6856340632931512</v>
      </c>
      <c r="AC358" s="192">
        <f>IF(AB358="","",AB358*SFAssumptions!$C$3)</f>
        <v>432.72468298039371</v>
      </c>
      <c r="AD358" s="193">
        <f t="shared" si="182"/>
        <v>14.032059999999998</v>
      </c>
      <c r="AE358" s="194">
        <f>IF(AD358="","",AD358*SFAssumptions!$C$3)</f>
        <v>3602.2164283979996</v>
      </c>
      <c r="AF358" s="192">
        <f t="shared" si="168"/>
        <v>3.5</v>
      </c>
      <c r="AG358" s="192">
        <f t="shared" si="183"/>
        <v>4.0091599999999996</v>
      </c>
      <c r="AH358" s="192">
        <f t="shared" si="184"/>
        <v>2.0763699999999998</v>
      </c>
      <c r="AI358" s="692">
        <f ca="1">IF(AC358="","",AC358*SFAssumptions!$C$8/'SavingsData&amp;Analysis'!AF358)</f>
        <v>466.9726531975071</v>
      </c>
      <c r="AJ358" s="692">
        <f ca="1">IF(OR(AE358="",AF358=""),"",AE358*SFAssumptions!$C$8/AF358)</f>
        <v>3887.3136410313746</v>
      </c>
      <c r="AK358" s="191">
        <f t="shared" si="185"/>
        <v>1.4227642276422765</v>
      </c>
      <c r="AL358" s="692">
        <f>IF(AK358="","",AK358*SFAssumptions!$C$3)</f>
        <v>365.24250000000001</v>
      </c>
      <c r="AM358" s="193">
        <f t="shared" si="186"/>
        <v>13.299999999999999</v>
      </c>
      <c r="AN358" s="194">
        <f>IF(AM358="","",AM358*SFAssumptions!$C$3)</f>
        <v>3414.2868899999999</v>
      </c>
      <c r="AO358" s="693">
        <f t="shared" si="187"/>
        <v>3.8</v>
      </c>
      <c r="AP358" s="693">
        <f t="shared" si="188"/>
        <v>2.46</v>
      </c>
      <c r="AQ358" s="692">
        <f ca="1">IF(AL358="","",AL358*SFAssumptions!$C$8/'SavingsData&amp;Analysis'!AF358)</f>
        <v>394.1495967153283</v>
      </c>
      <c r="AR358" s="692">
        <f ca="1">IF(OR(AN358="",AF358=""),"",AN358*SFAssumptions!$C$8/AF358)</f>
        <v>3684.5104300948888</v>
      </c>
      <c r="AS358" s="190" t="str">
        <f>IF(OR(AG358="",AH358=""),"No",IF(AND(G358="Horizontal",AH358&gt;='Eff. Standards &amp; Certifications'!$B$21,AG358&lt;='Eff. Standards &amp; Certifications'!$C$21),"Consider",IF(AND(G358="Vertical",AH358&gt;='Eff. Standards &amp; Certifications'!$B$20,AG358&lt;='Eff. Standards &amp; Certifications'!$C$20),"Consider","No")))</f>
        <v>Consider</v>
      </c>
      <c r="AT358" s="190" t="str">
        <f t="shared" si="170"/>
        <v>Residential</v>
      </c>
      <c r="AU358" s="190"/>
      <c r="AV358" s="190" t="str">
        <f t="shared" si="171"/>
        <v>NO</v>
      </c>
      <c r="AW358" s="190" t="str">
        <f t="shared" si="171"/>
        <v>YES</v>
      </c>
      <c r="AX358" s="190" t="str">
        <f t="shared" si="189"/>
        <v>YES</v>
      </c>
      <c r="AY358" s="190" t="str">
        <f t="shared" si="172"/>
        <v>NO</v>
      </c>
      <c r="AZ358" s="190" t="str">
        <f t="shared" si="172"/>
        <v>YES</v>
      </c>
      <c r="BA358" s="190" t="str">
        <f t="shared" si="190"/>
        <v>YES</v>
      </c>
      <c r="BB358" s="190" t="str">
        <f t="shared" si="173"/>
        <v>NO</v>
      </c>
      <c r="BC358" s="190" t="str">
        <f t="shared" si="174"/>
        <v>NO</v>
      </c>
      <c r="BD358" s="190" t="str">
        <f t="shared" si="191"/>
        <v>NO</v>
      </c>
      <c r="BE358" s="190" t="str">
        <f t="shared" si="175"/>
        <v>NO</v>
      </c>
      <c r="BF358" s="190" t="str">
        <f t="shared" si="176"/>
        <v>NO</v>
      </c>
      <c r="BG358" s="190" t="str">
        <f t="shared" si="177"/>
        <v>NO</v>
      </c>
      <c r="BH358" s="88"/>
      <c r="BI358" s="9"/>
      <c r="BJ358" s="694" t="str">
        <f t="shared" si="178"/>
        <v/>
      </c>
      <c r="BK358" s="694">
        <f t="shared" si="178"/>
        <v>2.0763699999999998</v>
      </c>
      <c r="BL358" s="694" t="str">
        <f t="shared" si="179"/>
        <v/>
      </c>
      <c r="BM358" s="694">
        <f t="shared" si="179"/>
        <v>4.0091599999999996</v>
      </c>
      <c r="BN358" s="88"/>
      <c r="BO358" s="195"/>
      <c r="BP358" s="195"/>
      <c r="BQ358" s="195"/>
      <c r="BR358" s="195"/>
      <c r="BS358" s="195"/>
      <c r="BT358" s="195"/>
      <c r="BU358" s="195"/>
      <c r="BV358" s="195"/>
      <c r="BW358" s="195"/>
      <c r="BX358" s="195"/>
    </row>
    <row r="359" spans="1:76" s="124" customFormat="1" ht="15">
      <c r="A359" s="187">
        <v>3055</v>
      </c>
      <c r="B359" s="187" t="s">
        <v>625</v>
      </c>
      <c r="C359" s="187" t="s">
        <v>705</v>
      </c>
      <c r="D359" s="187" t="s">
        <v>706</v>
      </c>
      <c r="E359" s="187" t="s">
        <v>385</v>
      </c>
      <c r="F359" s="187" t="s">
        <v>386</v>
      </c>
      <c r="G359" s="187" t="s">
        <v>387</v>
      </c>
      <c r="H359" s="187" t="b">
        <v>0</v>
      </c>
      <c r="I359" s="187" t="s">
        <v>388</v>
      </c>
      <c r="J359" s="187" t="s">
        <v>389</v>
      </c>
      <c r="K359" s="187" t="b">
        <v>1</v>
      </c>
      <c r="L359" s="187">
        <v>3.3</v>
      </c>
      <c r="M359" s="187">
        <v>0.55000000000000004</v>
      </c>
      <c r="N359" s="187">
        <v>13.99</v>
      </c>
      <c r="O359" s="187">
        <v>4.2</v>
      </c>
      <c r="P359" s="187">
        <v>6.03</v>
      </c>
      <c r="Q359" s="187"/>
      <c r="R359" s="187"/>
      <c r="S359" s="187"/>
      <c r="T359" s="187"/>
      <c r="U359" s="187">
        <v>38.5</v>
      </c>
      <c r="V359" s="187">
        <v>2.09</v>
      </c>
      <c r="W359" s="188">
        <v>39371</v>
      </c>
      <c r="X359" s="691">
        <f t="shared" si="164"/>
        <v>1.7380049999999998</v>
      </c>
      <c r="Y359" s="691">
        <f t="shared" si="169"/>
        <v>4.4188400000000003</v>
      </c>
      <c r="Z359" s="189"/>
      <c r="AA359" s="190">
        <f t="shared" si="180"/>
        <v>2007</v>
      </c>
      <c r="AB359" s="191">
        <f t="shared" si="181"/>
        <v>1.8987287148195777</v>
      </c>
      <c r="AC359" s="192">
        <f>IF(AB359="","",AB359*SFAssumptions!$C$3)</f>
        <v>487.4289141860927</v>
      </c>
      <c r="AD359" s="193">
        <f t="shared" si="182"/>
        <v>14.582172</v>
      </c>
      <c r="AE359" s="194">
        <f>IF(AD359="","",AD359*SFAssumptions!$C$3)</f>
        <v>3743.4374952876001</v>
      </c>
      <c r="AF359" s="192">
        <f t="shared" si="168"/>
        <v>3.3</v>
      </c>
      <c r="AG359" s="192">
        <f t="shared" si="183"/>
        <v>4.4188400000000003</v>
      </c>
      <c r="AH359" s="192">
        <f t="shared" si="184"/>
        <v>1.7380049999999998</v>
      </c>
      <c r="AI359" s="692">
        <f ca="1">IF(AC359="","",AC359*SFAssumptions!$C$8/'SavingsData&amp;Analysis'!AF359)</f>
        <v>557.88562628974466</v>
      </c>
      <c r="AJ359" s="692">
        <f ca="1">IF(OR(AE359="",AF359=""),"",AE359*SFAssumptions!$C$8/AF359)</f>
        <v>4284.5426497159215</v>
      </c>
      <c r="AK359" s="191">
        <f t="shared" si="185"/>
        <v>1.5789473684210527</v>
      </c>
      <c r="AL359" s="692">
        <f>IF(AK359="","",AK359*SFAssumptions!$C$3)</f>
        <v>405.33678947368423</v>
      </c>
      <c r="AM359" s="193">
        <f t="shared" si="186"/>
        <v>13.86</v>
      </c>
      <c r="AN359" s="194">
        <f>IF(AM359="","",AM359*SFAssumptions!$C$3)</f>
        <v>3558.0463380000001</v>
      </c>
      <c r="AO359" s="693">
        <f t="shared" si="187"/>
        <v>4.2</v>
      </c>
      <c r="AP359" s="693">
        <f t="shared" si="188"/>
        <v>2.09</v>
      </c>
      <c r="AQ359" s="692">
        <f ca="1">IF(AL359="","",AL359*SFAssumptions!$C$8/'SavingsData&amp;Analysis'!AF359)</f>
        <v>463.92727651660658</v>
      </c>
      <c r="AR359" s="692">
        <f ca="1">IF(OR(AN359="",AF359=""),"",AN359*SFAssumptions!$C$8/AF359)</f>
        <v>4072.3536332627727</v>
      </c>
      <c r="AS359" s="190" t="str">
        <f>IF(OR(AG359="",AH359=""),"No",IF(AND(G359="Horizontal",AH359&gt;='Eff. Standards &amp; Certifications'!$B$21,AG359&lt;='Eff. Standards &amp; Certifications'!$C$21),"Consider",IF(AND(G359="Vertical",AH359&gt;='Eff. Standards &amp; Certifications'!$B$20,AG359&lt;='Eff. Standards &amp; Certifications'!$C$20),"Consider","No")))</f>
        <v>No</v>
      </c>
      <c r="AT359" s="190" t="str">
        <f t="shared" si="170"/>
        <v>Residential</v>
      </c>
      <c r="AU359" s="190"/>
      <c r="AV359" s="190" t="str">
        <f t="shared" si="171"/>
        <v>NO</v>
      </c>
      <c r="AW359" s="190" t="str">
        <f t="shared" si="171"/>
        <v>NO</v>
      </c>
      <c r="AX359" s="190" t="str">
        <f t="shared" si="189"/>
        <v>NO</v>
      </c>
      <c r="AY359" s="190" t="str">
        <f t="shared" si="172"/>
        <v>NO</v>
      </c>
      <c r="AZ359" s="190" t="str">
        <f t="shared" si="172"/>
        <v>NO</v>
      </c>
      <c r="BA359" s="190" t="str">
        <f t="shared" si="190"/>
        <v>NO</v>
      </c>
      <c r="BB359" s="190" t="str">
        <f t="shared" si="173"/>
        <v>NO</v>
      </c>
      <c r="BC359" s="190" t="str">
        <f t="shared" si="174"/>
        <v>NO</v>
      </c>
      <c r="BD359" s="190" t="str">
        <f t="shared" si="191"/>
        <v>NO</v>
      </c>
      <c r="BE359" s="190" t="str">
        <f t="shared" si="175"/>
        <v>NO</v>
      </c>
      <c r="BF359" s="190" t="str">
        <f t="shared" si="176"/>
        <v>NO</v>
      </c>
      <c r="BG359" s="190" t="str">
        <f t="shared" si="177"/>
        <v>NO</v>
      </c>
      <c r="BH359" s="88"/>
      <c r="BI359" s="9"/>
      <c r="BJ359" s="694" t="str">
        <f t="shared" si="178"/>
        <v/>
      </c>
      <c r="BK359" s="694" t="str">
        <f t="shared" si="178"/>
        <v/>
      </c>
      <c r="BL359" s="694" t="str">
        <f t="shared" si="179"/>
        <v/>
      </c>
      <c r="BM359" s="694" t="str">
        <f t="shared" si="179"/>
        <v/>
      </c>
      <c r="BN359" s="88"/>
      <c r="BO359" s="195"/>
      <c r="BP359" s="195"/>
      <c r="BQ359" s="195"/>
      <c r="BR359" s="195"/>
      <c r="BS359" s="195"/>
      <c r="BT359" s="195"/>
      <c r="BU359" s="195"/>
      <c r="BV359" s="195"/>
      <c r="BW359" s="195"/>
      <c r="BX359" s="195"/>
    </row>
    <row r="360" spans="1:76" s="124" customFormat="1" ht="15">
      <c r="A360" s="187">
        <v>4669</v>
      </c>
      <c r="B360" s="187" t="s">
        <v>625</v>
      </c>
      <c r="C360" s="187" t="s">
        <v>557</v>
      </c>
      <c r="D360" s="187" t="s">
        <v>707</v>
      </c>
      <c r="E360" s="187" t="s">
        <v>392</v>
      </c>
      <c r="F360" s="187" t="s">
        <v>386</v>
      </c>
      <c r="G360" s="187" t="s">
        <v>387</v>
      </c>
      <c r="H360" s="187" t="b">
        <v>0</v>
      </c>
      <c r="I360" s="187" t="s">
        <v>388</v>
      </c>
      <c r="J360" s="187" t="s">
        <v>389</v>
      </c>
      <c r="K360" s="187" t="b">
        <v>1</v>
      </c>
      <c r="L360" s="187">
        <v>3.6</v>
      </c>
      <c r="M360" s="187">
        <v>0.32</v>
      </c>
      <c r="N360" s="187">
        <v>13.55</v>
      </c>
      <c r="O360" s="187">
        <v>3.9</v>
      </c>
      <c r="P360" s="187">
        <v>12.03</v>
      </c>
      <c r="Q360" s="187"/>
      <c r="R360" s="187"/>
      <c r="S360" s="187"/>
      <c r="T360" s="187"/>
      <c r="U360" s="187">
        <v>39.6</v>
      </c>
      <c r="V360" s="187">
        <v>2.41</v>
      </c>
      <c r="W360" s="188">
        <v>40520</v>
      </c>
      <c r="X360" s="691">
        <f t="shared" si="164"/>
        <v>2.0306449999999998</v>
      </c>
      <c r="Y360" s="691">
        <f t="shared" si="169"/>
        <v>4.11158</v>
      </c>
      <c r="Z360" s="189"/>
      <c r="AA360" s="190">
        <f t="shared" si="180"/>
        <v>2010</v>
      </c>
      <c r="AB360" s="191">
        <f t="shared" si="181"/>
        <v>1.7728357246096687</v>
      </c>
      <c r="AC360" s="192">
        <f>IF(AB360="","",AB360*SFAssumptions!$C$3)</f>
        <v>455.11050922243925</v>
      </c>
      <c r="AD360" s="193">
        <f t="shared" si="182"/>
        <v>14.801688</v>
      </c>
      <c r="AE360" s="194">
        <f>IF(AD360="","",AD360*SFAssumptions!$C$3)</f>
        <v>3799.7901720504001</v>
      </c>
      <c r="AF360" s="192">
        <f t="shared" si="168"/>
        <v>3.6</v>
      </c>
      <c r="AG360" s="192">
        <f t="shared" si="183"/>
        <v>4.11158</v>
      </c>
      <c r="AH360" s="192">
        <f t="shared" si="184"/>
        <v>2.0306449999999998</v>
      </c>
      <c r="AI360" s="692">
        <f ca="1">IF(AC360="","",AC360*SFAssumptions!$C$8/'SavingsData&amp;Analysis'!AF360)</f>
        <v>477.48769869657565</v>
      </c>
      <c r="AJ360" s="692">
        <f ca="1">IF(OR(AE360="",AF360=""),"",AE360*SFAssumptions!$C$8/AF360)</f>
        <v>3986.620893202512</v>
      </c>
      <c r="AK360" s="191">
        <f t="shared" si="185"/>
        <v>1.4937759336099585</v>
      </c>
      <c r="AL360" s="692">
        <f>IF(AK360="","",AK360*SFAssumptions!$C$3)</f>
        <v>383.47214937759338</v>
      </c>
      <c r="AM360" s="193">
        <f t="shared" si="186"/>
        <v>14.04</v>
      </c>
      <c r="AN360" s="194">
        <f>IF(AM360="","",AM360*SFAssumptions!$C$3)</f>
        <v>3604.2547319999999</v>
      </c>
      <c r="AO360" s="693">
        <f t="shared" si="187"/>
        <v>3.9</v>
      </c>
      <c r="AP360" s="693">
        <f t="shared" si="188"/>
        <v>2.41</v>
      </c>
      <c r="AQ360" s="692">
        <f ca="1">IF(AL360="","",AL360*SFAssumptions!$C$8/'SavingsData&amp;Analysis'!AF360)</f>
        <v>402.32697424054265</v>
      </c>
      <c r="AR360" s="692">
        <f ca="1">IF(OR(AN360="",AF360=""),"",AN360*SFAssumptions!$C$8/AF360)</f>
        <v>3781.4712308868598</v>
      </c>
      <c r="AS360" s="190" t="str">
        <f>IF(OR(AG360="",AH360=""),"No",IF(AND(G360="Horizontal",AH360&gt;='Eff. Standards &amp; Certifications'!$B$21,AG360&lt;='Eff. Standards &amp; Certifications'!$C$21),"Consider",IF(AND(G360="Vertical",AH360&gt;='Eff. Standards &amp; Certifications'!$B$20,AG360&lt;='Eff. Standards &amp; Certifications'!$C$20),"Consider","No")))</f>
        <v>Consider</v>
      </c>
      <c r="AT360" s="190" t="str">
        <f t="shared" si="170"/>
        <v>Residential</v>
      </c>
      <c r="AU360" s="190"/>
      <c r="AV360" s="190" t="str">
        <f t="shared" si="171"/>
        <v>NO</v>
      </c>
      <c r="AW360" s="190" t="str">
        <f t="shared" si="171"/>
        <v>YES</v>
      </c>
      <c r="AX360" s="190" t="str">
        <f t="shared" si="189"/>
        <v>YES</v>
      </c>
      <c r="AY360" s="190" t="str">
        <f t="shared" si="172"/>
        <v>NO</v>
      </c>
      <c r="AZ360" s="190" t="str">
        <f t="shared" si="172"/>
        <v>YES</v>
      </c>
      <c r="BA360" s="190" t="str">
        <f t="shared" si="190"/>
        <v>YES</v>
      </c>
      <c r="BB360" s="190" t="str">
        <f t="shared" si="173"/>
        <v>NO</v>
      </c>
      <c r="BC360" s="190" t="str">
        <f t="shared" si="174"/>
        <v>NO</v>
      </c>
      <c r="BD360" s="190" t="str">
        <f t="shared" si="191"/>
        <v>NO</v>
      </c>
      <c r="BE360" s="190" t="str">
        <f t="shared" si="175"/>
        <v>NO</v>
      </c>
      <c r="BF360" s="190" t="str">
        <f t="shared" si="176"/>
        <v>NO</v>
      </c>
      <c r="BG360" s="190" t="str">
        <f t="shared" si="177"/>
        <v>NO</v>
      </c>
      <c r="BH360" s="88"/>
      <c r="BI360" s="9"/>
      <c r="BJ360" s="694" t="str">
        <f t="shared" si="178"/>
        <v/>
      </c>
      <c r="BK360" s="694">
        <f t="shared" si="178"/>
        <v>2.0306449999999998</v>
      </c>
      <c r="BL360" s="694" t="str">
        <f t="shared" si="179"/>
        <v/>
      </c>
      <c r="BM360" s="694">
        <f t="shared" si="179"/>
        <v>4.11158</v>
      </c>
      <c r="BN360" s="88"/>
      <c r="BO360" s="195"/>
      <c r="BP360" s="195"/>
      <c r="BQ360" s="195"/>
      <c r="BR360" s="195"/>
      <c r="BS360" s="195"/>
      <c r="BT360" s="195"/>
      <c r="BU360" s="195"/>
      <c r="BV360" s="195"/>
      <c r="BW360" s="195"/>
      <c r="BX360" s="195"/>
    </row>
    <row r="361" spans="1:76" s="124" customFormat="1" ht="15">
      <c r="A361" s="187">
        <v>3319</v>
      </c>
      <c r="B361" s="187" t="s">
        <v>625</v>
      </c>
      <c r="C361" s="187" t="s">
        <v>557</v>
      </c>
      <c r="D361" s="187" t="s">
        <v>708</v>
      </c>
      <c r="E361" s="187" t="s">
        <v>385</v>
      </c>
      <c r="F361" s="187" t="s">
        <v>386</v>
      </c>
      <c r="G361" s="187" t="s">
        <v>387</v>
      </c>
      <c r="H361" s="187" t="b">
        <v>0</v>
      </c>
      <c r="I361" s="187" t="s">
        <v>388</v>
      </c>
      <c r="J361" s="187" t="s">
        <v>389</v>
      </c>
      <c r="K361" s="187" t="b">
        <v>1</v>
      </c>
      <c r="L361" s="187">
        <v>3</v>
      </c>
      <c r="M361" s="187">
        <v>0.35</v>
      </c>
      <c r="N361" s="187">
        <v>13.07</v>
      </c>
      <c r="O361" s="187">
        <v>4.4000000000000004</v>
      </c>
      <c r="P361" s="187">
        <v>8.59</v>
      </c>
      <c r="Q361" s="187"/>
      <c r="R361" s="187"/>
      <c r="S361" s="187"/>
      <c r="T361" s="187"/>
      <c r="U361" s="187">
        <v>39</v>
      </c>
      <c r="V361" s="187">
        <v>2.35</v>
      </c>
      <c r="W361" s="188">
        <v>39623</v>
      </c>
      <c r="X361" s="691">
        <f t="shared" si="164"/>
        <v>1.9757749999999998</v>
      </c>
      <c r="Y361" s="691">
        <f t="shared" si="169"/>
        <v>4.6236800000000011</v>
      </c>
      <c r="Z361" s="189"/>
      <c r="AA361" s="190">
        <f t="shared" si="180"/>
        <v>2008</v>
      </c>
      <c r="AB361" s="191">
        <f t="shared" si="181"/>
        <v>1.5183915172527238</v>
      </c>
      <c r="AC361" s="192">
        <f>IF(AB361="","",AB361*SFAssumptions!$C$3)</f>
        <v>389.79129708595366</v>
      </c>
      <c r="AD361" s="193">
        <f t="shared" si="182"/>
        <v>13.871040000000004</v>
      </c>
      <c r="AE361" s="194">
        <f>IF(AD361="","",AD361*SFAssumptions!$C$3)</f>
        <v>3560.8804528320011</v>
      </c>
      <c r="AF361" s="192">
        <f t="shared" si="168"/>
        <v>3</v>
      </c>
      <c r="AG361" s="192">
        <f t="shared" si="183"/>
        <v>4.6236800000000011</v>
      </c>
      <c r="AH361" s="192">
        <f t="shared" si="184"/>
        <v>1.9757749999999998</v>
      </c>
      <c r="AI361" s="692">
        <f ca="1">IF(AC361="","",AC361*SFAssumptions!$C$8/'SavingsData&amp;Analysis'!AF361)</f>
        <v>490.74819142853198</v>
      </c>
      <c r="AJ361" s="692">
        <f ca="1">IF(OR(AE361="",AF361=""),"",AE361*SFAssumptions!$C$8/AF361)</f>
        <v>4483.1571540581954</v>
      </c>
      <c r="AK361" s="191">
        <f t="shared" si="185"/>
        <v>1.2765957446808509</v>
      </c>
      <c r="AL361" s="692">
        <f>IF(AK361="","",AK361*SFAssumptions!$C$3)</f>
        <v>327.71910638297868</v>
      </c>
      <c r="AM361" s="193">
        <f t="shared" si="186"/>
        <v>13.200000000000001</v>
      </c>
      <c r="AN361" s="194">
        <f>IF(AM361="","",AM361*SFAssumptions!$C$3)</f>
        <v>3388.6155600000002</v>
      </c>
      <c r="AO361" s="693">
        <f t="shared" si="187"/>
        <v>4.4000000000000004</v>
      </c>
      <c r="AP361" s="693">
        <f t="shared" si="188"/>
        <v>2.35</v>
      </c>
      <c r="AQ361" s="692">
        <f ca="1">IF(AL361="","",AL361*SFAssumptions!$C$8/'SavingsData&amp;Analysis'!AF361)</f>
        <v>412.59915230625853</v>
      </c>
      <c r="AR361" s="692">
        <f ca="1">IF(OR(AN361="",AF361=""),"",AN361*SFAssumptions!$C$8/AF361)</f>
        <v>4266.2752348467138</v>
      </c>
      <c r="AS361" s="190" t="str">
        <f>IF(OR(AG361="",AH361=""),"No",IF(AND(G361="Horizontal",AH361&gt;='Eff. Standards &amp; Certifications'!$B$21,AG361&lt;='Eff. Standards &amp; Certifications'!$C$21),"Consider",IF(AND(G361="Vertical",AH361&gt;='Eff. Standards &amp; Certifications'!$B$20,AG361&lt;='Eff. Standards &amp; Certifications'!$C$20),"Consider","No")))</f>
        <v>Consider</v>
      </c>
      <c r="AT361" s="190" t="str">
        <f t="shared" si="170"/>
        <v>Residential</v>
      </c>
      <c r="AU361" s="190"/>
      <c r="AV361" s="190" t="str">
        <f t="shared" si="171"/>
        <v>NO</v>
      </c>
      <c r="AW361" s="190" t="str">
        <f t="shared" si="171"/>
        <v>YES</v>
      </c>
      <c r="AX361" s="190" t="str">
        <f t="shared" si="189"/>
        <v>YES</v>
      </c>
      <c r="AY361" s="190" t="str">
        <f t="shared" si="172"/>
        <v>NO</v>
      </c>
      <c r="AZ361" s="190" t="str">
        <f t="shared" si="172"/>
        <v>YES</v>
      </c>
      <c r="BA361" s="190" t="str">
        <f t="shared" si="190"/>
        <v>YES</v>
      </c>
      <c r="BB361" s="190" t="str">
        <f t="shared" si="173"/>
        <v>NO</v>
      </c>
      <c r="BC361" s="190" t="str">
        <f t="shared" si="174"/>
        <v>NO</v>
      </c>
      <c r="BD361" s="190" t="str">
        <f t="shared" si="191"/>
        <v>NO</v>
      </c>
      <c r="BE361" s="190" t="str">
        <f t="shared" si="175"/>
        <v>NO</v>
      </c>
      <c r="BF361" s="190" t="str">
        <f t="shared" si="176"/>
        <v>NO</v>
      </c>
      <c r="BG361" s="190" t="str">
        <f t="shared" si="177"/>
        <v>NO</v>
      </c>
      <c r="BH361" s="88"/>
      <c r="BI361" s="9"/>
      <c r="BJ361" s="694" t="str">
        <f t="shared" si="178"/>
        <v/>
      </c>
      <c r="BK361" s="694">
        <f t="shared" si="178"/>
        <v>1.9757749999999998</v>
      </c>
      <c r="BL361" s="694" t="str">
        <f t="shared" si="179"/>
        <v/>
      </c>
      <c r="BM361" s="694">
        <f t="shared" si="179"/>
        <v>4.6236800000000011</v>
      </c>
      <c r="BN361" s="88"/>
      <c r="BO361" s="195"/>
      <c r="BP361" s="195"/>
      <c r="BQ361" s="195"/>
      <c r="BR361" s="195"/>
      <c r="BS361" s="195"/>
      <c r="BT361" s="195"/>
      <c r="BU361" s="195"/>
      <c r="BV361" s="195"/>
      <c r="BW361" s="195"/>
      <c r="BX361" s="195"/>
    </row>
    <row r="362" spans="1:76" s="124" customFormat="1" ht="15">
      <c r="A362" s="187">
        <v>621</v>
      </c>
      <c r="B362" s="187" t="s">
        <v>625</v>
      </c>
      <c r="C362" s="187" t="s">
        <v>557</v>
      </c>
      <c r="D362" s="187" t="s">
        <v>709</v>
      </c>
      <c r="E362" s="187" t="s">
        <v>385</v>
      </c>
      <c r="F362" s="187" t="s">
        <v>386</v>
      </c>
      <c r="G362" s="187" t="s">
        <v>387</v>
      </c>
      <c r="H362" s="187" t="b">
        <v>0</v>
      </c>
      <c r="I362" s="187" t="s">
        <v>388</v>
      </c>
      <c r="J362" s="187" t="s">
        <v>389</v>
      </c>
      <c r="K362" s="187" t="b">
        <v>1</v>
      </c>
      <c r="L362" s="187">
        <v>3.5</v>
      </c>
      <c r="M362" s="187">
        <v>0.35</v>
      </c>
      <c r="N362" s="187">
        <v>13.32</v>
      </c>
      <c r="O362" s="187">
        <v>3.9</v>
      </c>
      <c r="P362" s="187">
        <v>9.77</v>
      </c>
      <c r="Q362" s="187"/>
      <c r="R362" s="187"/>
      <c r="S362" s="187"/>
      <c r="T362" s="187"/>
      <c r="U362" s="187">
        <v>38.4</v>
      </c>
      <c r="V362" s="187">
        <v>2.4500000000000002</v>
      </c>
      <c r="W362" s="188">
        <v>40170</v>
      </c>
      <c r="X362" s="691">
        <f t="shared" si="164"/>
        <v>2.0672250000000005</v>
      </c>
      <c r="Y362" s="691">
        <f t="shared" si="169"/>
        <v>4.11158</v>
      </c>
      <c r="Z362" s="189"/>
      <c r="AA362" s="190">
        <f t="shared" si="180"/>
        <v>2009</v>
      </c>
      <c r="AB362" s="191">
        <f t="shared" si="181"/>
        <v>1.6930909794531313</v>
      </c>
      <c r="AC362" s="192">
        <f>IF(AB362="","",AB362*SFAssumptions!$C$3)</f>
        <v>434.63897253564551</v>
      </c>
      <c r="AD362" s="193">
        <f t="shared" si="182"/>
        <v>14.39053</v>
      </c>
      <c r="AE362" s="194">
        <f>IF(AD362="","",AD362*SFAssumptions!$C$3)</f>
        <v>3694.2404450489998</v>
      </c>
      <c r="AF362" s="192">
        <f t="shared" si="168"/>
        <v>3.5</v>
      </c>
      <c r="AG362" s="192">
        <f t="shared" si="183"/>
        <v>4.11158</v>
      </c>
      <c r="AH362" s="192">
        <f t="shared" si="184"/>
        <v>2.0672250000000005</v>
      </c>
      <c r="AI362" s="692">
        <f ca="1">IF(AC362="","",AC362*SFAssumptions!$C$8/'SavingsData&amp;Analysis'!AF362)</f>
        <v>469.03844908982211</v>
      </c>
      <c r="AJ362" s="692">
        <f ca="1">IF(OR(AE362="",AF362=""),"",AE362*SFAssumptions!$C$8/AF362)</f>
        <v>3986.6208932025115</v>
      </c>
      <c r="AK362" s="191">
        <f t="shared" si="185"/>
        <v>1.4285714285714284</v>
      </c>
      <c r="AL362" s="692">
        <f>IF(AK362="","",AK362*SFAssumptions!$C$3)</f>
        <v>366.73328571428567</v>
      </c>
      <c r="AM362" s="193">
        <f t="shared" si="186"/>
        <v>13.65</v>
      </c>
      <c r="AN362" s="194">
        <f>IF(AM362="","",AM362*SFAssumptions!$C$3)</f>
        <v>3504.1365450000003</v>
      </c>
      <c r="AO362" s="693">
        <f t="shared" si="187"/>
        <v>3.9</v>
      </c>
      <c r="AP362" s="693">
        <f t="shared" si="188"/>
        <v>2.4500000000000002</v>
      </c>
      <c r="AQ362" s="692">
        <f ca="1">IF(AL362="","",AL362*SFAssumptions!$C$8/'SavingsData&amp;Analysis'!AF362)</f>
        <v>395.75837057947246</v>
      </c>
      <c r="AR362" s="692">
        <f ca="1">IF(OR(AN362="",AF362=""),"",AN362*SFAssumptions!$C$8/AF362)</f>
        <v>3781.4712308868607</v>
      </c>
      <c r="AS362" s="190" t="str">
        <f>IF(OR(AG362="",AH362=""),"No",IF(AND(G362="Horizontal",AH362&gt;='Eff. Standards &amp; Certifications'!$B$21,AG362&lt;='Eff. Standards &amp; Certifications'!$C$21),"Consider",IF(AND(G362="Vertical",AH362&gt;='Eff. Standards &amp; Certifications'!$B$20,AG362&lt;='Eff. Standards &amp; Certifications'!$C$20),"Consider","No")))</f>
        <v>Consider</v>
      </c>
      <c r="AT362" s="190" t="str">
        <f t="shared" si="170"/>
        <v>Residential</v>
      </c>
      <c r="AU362" s="190"/>
      <c r="AV362" s="190" t="str">
        <f t="shared" si="171"/>
        <v>NO</v>
      </c>
      <c r="AW362" s="190" t="str">
        <f t="shared" si="171"/>
        <v>YES</v>
      </c>
      <c r="AX362" s="190" t="str">
        <f t="shared" si="189"/>
        <v>YES</v>
      </c>
      <c r="AY362" s="190" t="str">
        <f t="shared" si="172"/>
        <v>NO</v>
      </c>
      <c r="AZ362" s="190" t="str">
        <f t="shared" si="172"/>
        <v>YES</v>
      </c>
      <c r="BA362" s="190" t="str">
        <f t="shared" si="190"/>
        <v>YES</v>
      </c>
      <c r="BB362" s="190" t="str">
        <f t="shared" si="173"/>
        <v>NO</v>
      </c>
      <c r="BC362" s="190" t="str">
        <f t="shared" si="174"/>
        <v>NO</v>
      </c>
      <c r="BD362" s="190" t="str">
        <f t="shared" si="191"/>
        <v>NO</v>
      </c>
      <c r="BE362" s="190" t="str">
        <f t="shared" si="175"/>
        <v>NO</v>
      </c>
      <c r="BF362" s="190" t="str">
        <f t="shared" si="176"/>
        <v>NO</v>
      </c>
      <c r="BG362" s="190" t="str">
        <f t="shared" si="177"/>
        <v>NO</v>
      </c>
      <c r="BH362" s="88"/>
      <c r="BI362" s="9"/>
      <c r="BJ362" s="694" t="str">
        <f t="shared" si="178"/>
        <v/>
      </c>
      <c r="BK362" s="694">
        <f t="shared" si="178"/>
        <v>2.0672250000000005</v>
      </c>
      <c r="BL362" s="694" t="str">
        <f t="shared" si="179"/>
        <v/>
      </c>
      <c r="BM362" s="694">
        <f t="shared" si="179"/>
        <v>4.11158</v>
      </c>
      <c r="BN362" s="88"/>
      <c r="BO362" s="195"/>
      <c r="BP362" s="195"/>
      <c r="BQ362" s="195"/>
      <c r="BR362" s="195"/>
      <c r="BS362" s="195"/>
      <c r="BT362" s="195"/>
      <c r="BU362" s="195"/>
      <c r="BV362" s="195"/>
      <c r="BW362" s="195"/>
      <c r="BX362" s="195"/>
    </row>
    <row r="363" spans="1:76" s="124" customFormat="1" ht="15">
      <c r="A363" s="187">
        <v>4983</v>
      </c>
      <c r="B363" s="187" t="s">
        <v>625</v>
      </c>
      <c r="C363" s="187" t="s">
        <v>557</v>
      </c>
      <c r="D363" s="187" t="s">
        <v>710</v>
      </c>
      <c r="E363" s="187" t="s">
        <v>392</v>
      </c>
      <c r="F363" s="187" t="s">
        <v>386</v>
      </c>
      <c r="G363" s="187" t="s">
        <v>393</v>
      </c>
      <c r="H363" s="187" t="b">
        <v>0</v>
      </c>
      <c r="I363" s="187" t="s">
        <v>388</v>
      </c>
      <c r="J363" s="187" t="s">
        <v>389</v>
      </c>
      <c r="K363" s="187" t="b">
        <v>1</v>
      </c>
      <c r="L363" s="187">
        <v>2.5</v>
      </c>
      <c r="M363" s="187">
        <v>0.74</v>
      </c>
      <c r="N363" s="187">
        <v>23</v>
      </c>
      <c r="O363" s="187">
        <v>9.4</v>
      </c>
      <c r="P363" s="187">
        <v>3.62</v>
      </c>
      <c r="Q363" s="187"/>
      <c r="R363" s="187"/>
      <c r="S363" s="187"/>
      <c r="T363" s="187"/>
      <c r="U363" s="187">
        <v>50.5</v>
      </c>
      <c r="V363" s="187">
        <v>1.4</v>
      </c>
      <c r="W363" s="188">
        <v>40640</v>
      </c>
      <c r="X363" s="691">
        <f t="shared" si="164"/>
        <v>0.9696999999999999</v>
      </c>
      <c r="Y363" s="691">
        <f t="shared" si="169"/>
        <v>9.82376</v>
      </c>
      <c r="Z363" s="189"/>
      <c r="AA363" s="190">
        <f t="shared" si="180"/>
        <v>2011</v>
      </c>
      <c r="AB363" s="191">
        <f t="shared" si="181"/>
        <v>2.5781169433845523</v>
      </c>
      <c r="AC363" s="192">
        <f>IF(AB363="","",AB363*SFAssumptions!$C$3)</f>
        <v>661.83690832216166</v>
      </c>
      <c r="AD363" s="193">
        <f t="shared" si="182"/>
        <v>24.5594</v>
      </c>
      <c r="AE363" s="194">
        <f>IF(AD363="","",AD363*SFAssumptions!$C$3)</f>
        <v>6304.7246200199997</v>
      </c>
      <c r="AF363" s="192">
        <f t="shared" si="168"/>
        <v>2.5</v>
      </c>
      <c r="AG363" s="192">
        <f t="shared" si="183"/>
        <v>9.82376</v>
      </c>
      <c r="AH363" s="192">
        <f t="shared" si="184"/>
        <v>0.9696999999999999</v>
      </c>
      <c r="AI363" s="692">
        <f ca="1">IF(AC363="","",AC363*SFAssumptions!$C$8/'SavingsData&amp;Analysis'!AF363)</f>
        <v>999.90513346365674</v>
      </c>
      <c r="AJ363" s="692">
        <f ca="1">IF(OR(AE363="",AF363=""),"",AE363*SFAssumptions!$C$8/AF363)</f>
        <v>9525.1963638813068</v>
      </c>
      <c r="AK363" s="191">
        <f t="shared" si="185"/>
        <v>1.7857142857142858</v>
      </c>
      <c r="AL363" s="692">
        <f>IF(AK363="","",AK363*SFAssumptions!$C$3)</f>
        <v>458.41660714285717</v>
      </c>
      <c r="AM363" s="193">
        <f t="shared" si="186"/>
        <v>23.5</v>
      </c>
      <c r="AN363" s="194">
        <f>IF(AM363="","",AM363*SFAssumptions!$C$3)</f>
        <v>6032.7625500000004</v>
      </c>
      <c r="AO363" s="693">
        <f t="shared" si="187"/>
        <v>9.4</v>
      </c>
      <c r="AP363" s="693">
        <f t="shared" si="188"/>
        <v>1.4</v>
      </c>
      <c r="AQ363" s="692">
        <f ca="1">IF(AL363="","",AL363*SFAssumptions!$C$8/'SavingsData&amp;Analysis'!AF363)</f>
        <v>692.57714851407695</v>
      </c>
      <c r="AR363" s="692">
        <f ca="1">IF(OR(AN363="",AF363=""),"",AN363*SFAssumptions!$C$8/AF363)</f>
        <v>9114.3152744452527</v>
      </c>
      <c r="AS363" s="190" t="str">
        <f>IF(OR(AG363="",AH363=""),"No",IF(AND(G363="Horizontal",AH363&gt;='Eff. Standards &amp; Certifications'!$B$21,AG363&lt;='Eff. Standards &amp; Certifications'!$C$21),"Consider",IF(AND(G363="Vertical",AH363&gt;='Eff. Standards &amp; Certifications'!$B$20,AG363&lt;='Eff. Standards &amp; Certifications'!$C$20),"Consider","No")))</f>
        <v>No</v>
      </c>
      <c r="AT363" s="190" t="str">
        <f t="shared" si="170"/>
        <v>Residential</v>
      </c>
      <c r="AU363" s="190"/>
      <c r="AV363" s="190" t="str">
        <f t="shared" ref="AV363:AW382" si="192">IF(AND($G363=AV$18,$AS363="Consider",$AT363="Residential",$AH363&gt;=AV$3,$AH363&lt;=AV$4,$AG363&gt;=AV$5,$AG363&lt;=AV$6),"YES","NO")</f>
        <v>NO</v>
      </c>
      <c r="AW363" s="190" t="str">
        <f t="shared" si="192"/>
        <v>NO</v>
      </c>
      <c r="AX363" s="190" t="str">
        <f t="shared" si="189"/>
        <v>NO</v>
      </c>
      <c r="AY363" s="190" t="str">
        <f t="shared" si="172"/>
        <v>NO</v>
      </c>
      <c r="AZ363" s="190" t="str">
        <f t="shared" si="172"/>
        <v>NO</v>
      </c>
      <c r="BA363" s="190" t="str">
        <f t="shared" si="190"/>
        <v>NO</v>
      </c>
      <c r="BB363" s="190" t="str">
        <f t="shared" si="173"/>
        <v>NO</v>
      </c>
      <c r="BC363" s="190" t="str">
        <f t="shared" si="174"/>
        <v>NO</v>
      </c>
      <c r="BD363" s="190" t="str">
        <f t="shared" si="191"/>
        <v>NO</v>
      </c>
      <c r="BE363" s="190" t="str">
        <f t="shared" si="175"/>
        <v>NO</v>
      </c>
      <c r="BF363" s="190" t="str">
        <f t="shared" si="176"/>
        <v>NO</v>
      </c>
      <c r="BG363" s="190" t="str">
        <f t="shared" si="177"/>
        <v>NO</v>
      </c>
      <c r="BH363" s="88"/>
      <c r="BI363" s="9"/>
      <c r="BJ363" s="694" t="str">
        <f t="shared" ref="BJ363:BK382" si="193">IF(AND($G363=BJ$21,$AT363="Residential",$AS363="Consider"),$X363,"")</f>
        <v/>
      </c>
      <c r="BK363" s="694" t="str">
        <f t="shared" si="193"/>
        <v/>
      </c>
      <c r="BL363" s="694" t="str">
        <f t="shared" ref="BL363:BM382" si="194">IF(AND($G363=BL$21,$AT363="Residential",$AS363="Consider"),$Y363,"")</f>
        <v/>
      </c>
      <c r="BM363" s="694" t="str">
        <f t="shared" si="194"/>
        <v/>
      </c>
      <c r="BN363" s="88"/>
      <c r="BO363" s="195"/>
      <c r="BP363" s="195"/>
      <c r="BQ363" s="195"/>
      <c r="BR363" s="195"/>
      <c r="BS363" s="195"/>
      <c r="BT363" s="195"/>
      <c r="BU363" s="195"/>
      <c r="BV363" s="195"/>
      <c r="BW363" s="195"/>
      <c r="BX363" s="195"/>
    </row>
    <row r="364" spans="1:76" s="124" customFormat="1" ht="15">
      <c r="A364" s="187">
        <v>3063</v>
      </c>
      <c r="B364" s="187" t="s">
        <v>625</v>
      </c>
      <c r="C364" s="187" t="s">
        <v>557</v>
      </c>
      <c r="D364" s="187" t="s">
        <v>711</v>
      </c>
      <c r="E364" s="187" t="s">
        <v>385</v>
      </c>
      <c r="F364" s="187" t="s">
        <v>386</v>
      </c>
      <c r="G364" s="187" t="s">
        <v>387</v>
      </c>
      <c r="H364" s="187" t="b">
        <v>0</v>
      </c>
      <c r="I364" s="187" t="s">
        <v>388</v>
      </c>
      <c r="J364" s="187" t="s">
        <v>389</v>
      </c>
      <c r="K364" s="187" t="b">
        <v>1</v>
      </c>
      <c r="L364" s="187">
        <v>3.3</v>
      </c>
      <c r="M364" s="187">
        <v>0.56000000000000005</v>
      </c>
      <c r="N364" s="187">
        <v>14.94</v>
      </c>
      <c r="O364" s="187">
        <v>4.5</v>
      </c>
      <c r="P364" s="187">
        <v>5.91</v>
      </c>
      <c r="Q364" s="187"/>
      <c r="R364" s="187"/>
      <c r="S364" s="187"/>
      <c r="T364" s="187"/>
      <c r="U364" s="187">
        <v>42.9</v>
      </c>
      <c r="V364" s="187">
        <v>1.95</v>
      </c>
      <c r="W364" s="188">
        <v>39371</v>
      </c>
      <c r="X364" s="691">
        <f t="shared" si="164"/>
        <v>1.6099749999999999</v>
      </c>
      <c r="Y364" s="691">
        <f t="shared" si="169"/>
        <v>4.7261000000000006</v>
      </c>
      <c r="Z364" s="189"/>
      <c r="AA364" s="190">
        <f t="shared" si="180"/>
        <v>2007</v>
      </c>
      <c r="AB364" s="191">
        <f t="shared" si="181"/>
        <v>2.0497212689638036</v>
      </c>
      <c r="AC364" s="192">
        <f>IF(AB364="","",AB364*SFAssumptions!$C$3)</f>
        <v>526.19071103588556</v>
      </c>
      <c r="AD364" s="193">
        <f t="shared" si="182"/>
        <v>15.59613</v>
      </c>
      <c r="AE364" s="194">
        <f>IF(AD364="","",AD364*SFAssumptions!$C$3)</f>
        <v>4003.7339995290004</v>
      </c>
      <c r="AF364" s="192">
        <f t="shared" si="168"/>
        <v>3.3</v>
      </c>
      <c r="AG364" s="192">
        <f t="shared" si="183"/>
        <v>4.7261000000000006</v>
      </c>
      <c r="AH364" s="192">
        <f t="shared" si="184"/>
        <v>1.6099749999999999</v>
      </c>
      <c r="AI364" s="692">
        <f ca="1">IF(AC364="","",AC364*SFAssumptions!$C$8/'SavingsData&amp;Analysis'!AF364)</f>
        <v>602.25035042140883</v>
      </c>
      <c r="AJ364" s="692">
        <f ca="1">IF(OR(AE364="",AF364=""),"",AE364*SFAssumptions!$C$8/AF364)</f>
        <v>4582.464406229331</v>
      </c>
      <c r="AK364" s="191">
        <f t="shared" si="185"/>
        <v>1.6923076923076923</v>
      </c>
      <c r="AL364" s="692">
        <f>IF(AK364="","",AK364*SFAssumptions!$C$3)</f>
        <v>434.43789230769232</v>
      </c>
      <c r="AM364" s="193">
        <f t="shared" si="186"/>
        <v>14.85</v>
      </c>
      <c r="AN364" s="194">
        <f>IF(AM364="","",AM364*SFAssumptions!$C$3)</f>
        <v>3812.192505</v>
      </c>
      <c r="AO364" s="693">
        <f t="shared" si="187"/>
        <v>4.5</v>
      </c>
      <c r="AP364" s="693">
        <f t="shared" si="188"/>
        <v>1.95</v>
      </c>
      <c r="AQ364" s="692">
        <f ca="1">IF(AL364="","",AL364*SFAssumptions!$C$8/'SavingsData&amp;Analysis'!AF364)</f>
        <v>497.23487585626037</v>
      </c>
      <c r="AR364" s="692">
        <f ca="1">IF(OR(AN364="",AF364=""),"",AN364*SFAssumptions!$C$8/AF364)</f>
        <v>4363.2360356386844</v>
      </c>
      <c r="AS364" s="190" t="str">
        <f>IF(OR(AG364="",AH364=""),"No",IF(AND(G364="Horizontal",AH364&gt;='Eff. Standards &amp; Certifications'!$B$21,AG364&lt;='Eff. Standards &amp; Certifications'!$C$21),"Consider",IF(AND(G364="Vertical",AH364&gt;='Eff. Standards &amp; Certifications'!$B$20,AG364&lt;='Eff. Standards &amp; Certifications'!$C$20),"Consider","No")))</f>
        <v>No</v>
      </c>
      <c r="AT364" s="190" t="str">
        <f t="shared" si="170"/>
        <v>Residential</v>
      </c>
      <c r="AU364" s="190"/>
      <c r="AV364" s="190" t="str">
        <f t="shared" si="192"/>
        <v>NO</v>
      </c>
      <c r="AW364" s="190" t="str">
        <f t="shared" si="192"/>
        <v>NO</v>
      </c>
      <c r="AX364" s="190" t="str">
        <f t="shared" si="189"/>
        <v>NO</v>
      </c>
      <c r="AY364" s="190" t="str">
        <f t="shared" si="172"/>
        <v>NO</v>
      </c>
      <c r="AZ364" s="190" t="str">
        <f t="shared" si="172"/>
        <v>NO</v>
      </c>
      <c r="BA364" s="190" t="str">
        <f t="shared" si="190"/>
        <v>NO</v>
      </c>
      <c r="BB364" s="190" t="str">
        <f t="shared" si="173"/>
        <v>NO</v>
      </c>
      <c r="BC364" s="190" t="str">
        <f t="shared" si="174"/>
        <v>NO</v>
      </c>
      <c r="BD364" s="190" t="str">
        <f t="shared" si="191"/>
        <v>NO</v>
      </c>
      <c r="BE364" s="190" t="str">
        <f t="shared" si="175"/>
        <v>NO</v>
      </c>
      <c r="BF364" s="190" t="str">
        <f t="shared" si="176"/>
        <v>NO</v>
      </c>
      <c r="BG364" s="190" t="str">
        <f t="shared" si="177"/>
        <v>NO</v>
      </c>
      <c r="BH364" s="88"/>
      <c r="BI364" s="9"/>
      <c r="BJ364" s="694" t="str">
        <f t="shared" si="193"/>
        <v/>
      </c>
      <c r="BK364" s="694" t="str">
        <f t="shared" si="193"/>
        <v/>
      </c>
      <c r="BL364" s="694" t="str">
        <f t="shared" si="194"/>
        <v/>
      </c>
      <c r="BM364" s="694" t="str">
        <f t="shared" si="194"/>
        <v/>
      </c>
      <c r="BN364" s="88"/>
      <c r="BO364" s="195"/>
      <c r="BP364" s="195"/>
      <c r="BQ364" s="195"/>
      <c r="BR364" s="195"/>
      <c r="BS364" s="195"/>
      <c r="BT364" s="195"/>
      <c r="BU364" s="195"/>
      <c r="BV364" s="195"/>
      <c r="BW364" s="195"/>
      <c r="BX364" s="195"/>
    </row>
    <row r="365" spans="1:76" s="124" customFormat="1" ht="15">
      <c r="A365" s="187">
        <v>3064</v>
      </c>
      <c r="B365" s="187" t="s">
        <v>625</v>
      </c>
      <c r="C365" s="187" t="s">
        <v>557</v>
      </c>
      <c r="D365" s="187" t="s">
        <v>712</v>
      </c>
      <c r="E365" s="187" t="s">
        <v>385</v>
      </c>
      <c r="F365" s="187" t="s">
        <v>386</v>
      </c>
      <c r="G365" s="187" t="s">
        <v>387</v>
      </c>
      <c r="H365" s="187" t="b">
        <v>0</v>
      </c>
      <c r="I365" s="187" t="s">
        <v>388</v>
      </c>
      <c r="J365" s="187" t="s">
        <v>389</v>
      </c>
      <c r="K365" s="187" t="b">
        <v>1</v>
      </c>
      <c r="L365" s="187">
        <v>3.3</v>
      </c>
      <c r="M365" s="187">
        <v>0.54</v>
      </c>
      <c r="N365" s="187">
        <v>14.41</v>
      </c>
      <c r="O365" s="187">
        <v>4.4000000000000004</v>
      </c>
      <c r="P365" s="187">
        <v>6.08</v>
      </c>
      <c r="Q365" s="187"/>
      <c r="R365" s="187"/>
      <c r="S365" s="187"/>
      <c r="T365" s="187"/>
      <c r="U365" s="187">
        <v>38.700000000000003</v>
      </c>
      <c r="V365" s="187">
        <v>2.12</v>
      </c>
      <c r="W365" s="188">
        <v>39371</v>
      </c>
      <c r="X365" s="691">
        <f t="shared" si="164"/>
        <v>1.7654400000000001</v>
      </c>
      <c r="Y365" s="691">
        <f t="shared" si="169"/>
        <v>4.6236800000000011</v>
      </c>
      <c r="Z365" s="189"/>
      <c r="AA365" s="190">
        <f t="shared" si="180"/>
        <v>2007</v>
      </c>
      <c r="AB365" s="191">
        <f t="shared" si="181"/>
        <v>1.8692224034801521</v>
      </c>
      <c r="AC365" s="192">
        <f>IF(AB365="","",AB365*SFAssumptions!$C$3)</f>
        <v>479.85425163132135</v>
      </c>
      <c r="AD365" s="193">
        <f t="shared" si="182"/>
        <v>15.258144000000003</v>
      </c>
      <c r="AE365" s="194">
        <f>IF(AD365="","",AD365*SFAssumptions!$C$3)</f>
        <v>3916.9684981152009</v>
      </c>
      <c r="AF365" s="192">
        <f t="shared" si="168"/>
        <v>3.3</v>
      </c>
      <c r="AG365" s="192">
        <f t="shared" si="183"/>
        <v>4.6236800000000011</v>
      </c>
      <c r="AH365" s="192">
        <f t="shared" si="184"/>
        <v>1.7654400000000001</v>
      </c>
      <c r="AI365" s="692">
        <f ca="1">IF(AC365="","",AC365*SFAssumptions!$C$8/'SavingsData&amp;Analysis'!AF365)</f>
        <v>549.21606393856928</v>
      </c>
      <c r="AJ365" s="692">
        <f ca="1">IF(OR(AE365="",AF365=""),"",AE365*SFAssumptions!$C$8/AF365)</f>
        <v>4483.1571540581954</v>
      </c>
      <c r="AK365" s="191">
        <f t="shared" si="185"/>
        <v>1.5566037735849054</v>
      </c>
      <c r="AL365" s="692">
        <f>IF(AK365="","",AK365*SFAssumptions!$C$3)</f>
        <v>399.60089150943389</v>
      </c>
      <c r="AM365" s="193">
        <f t="shared" si="186"/>
        <v>14.52</v>
      </c>
      <c r="AN365" s="194">
        <f>IF(AM365="","",AM365*SFAssumptions!$C$3)</f>
        <v>3727.477116</v>
      </c>
      <c r="AO365" s="693">
        <f t="shared" si="187"/>
        <v>4.4000000000000004</v>
      </c>
      <c r="AP365" s="693">
        <f t="shared" si="188"/>
        <v>2.12</v>
      </c>
      <c r="AQ365" s="692">
        <f ca="1">IF(AL365="","",AL365*SFAssumptions!$C$8/'SavingsData&amp;Analysis'!AF365)</f>
        <v>457.36226788665448</v>
      </c>
      <c r="AR365" s="692">
        <f ca="1">IF(OR(AN365="",AF365=""),"",AN365*SFAssumptions!$C$8/AF365)</f>
        <v>4266.2752348467138</v>
      </c>
      <c r="AS365" s="190" t="str">
        <f>IF(OR(AG365="",AH365=""),"No",IF(AND(G365="Horizontal",AH365&gt;='Eff. Standards &amp; Certifications'!$B$21,AG365&lt;='Eff. Standards &amp; Certifications'!$C$21),"Consider",IF(AND(G365="Vertical",AH365&gt;='Eff. Standards &amp; Certifications'!$B$20,AG365&lt;='Eff. Standards &amp; Certifications'!$C$20),"Consider","No")))</f>
        <v>No</v>
      </c>
      <c r="AT365" s="190" t="str">
        <f t="shared" si="170"/>
        <v>Residential</v>
      </c>
      <c r="AU365" s="190"/>
      <c r="AV365" s="190" t="str">
        <f t="shared" si="192"/>
        <v>NO</v>
      </c>
      <c r="AW365" s="190" t="str">
        <f t="shared" si="192"/>
        <v>NO</v>
      </c>
      <c r="AX365" s="190" t="str">
        <f t="shared" si="189"/>
        <v>NO</v>
      </c>
      <c r="AY365" s="190" t="str">
        <f t="shared" si="172"/>
        <v>NO</v>
      </c>
      <c r="AZ365" s="190" t="str">
        <f t="shared" si="172"/>
        <v>NO</v>
      </c>
      <c r="BA365" s="190" t="str">
        <f t="shared" si="190"/>
        <v>NO</v>
      </c>
      <c r="BB365" s="190" t="str">
        <f t="shared" si="173"/>
        <v>NO</v>
      </c>
      <c r="BC365" s="190" t="str">
        <f t="shared" si="174"/>
        <v>NO</v>
      </c>
      <c r="BD365" s="190" t="str">
        <f t="shared" si="191"/>
        <v>NO</v>
      </c>
      <c r="BE365" s="190" t="str">
        <f t="shared" si="175"/>
        <v>NO</v>
      </c>
      <c r="BF365" s="190" t="str">
        <f t="shared" si="176"/>
        <v>NO</v>
      </c>
      <c r="BG365" s="190" t="str">
        <f t="shared" si="177"/>
        <v>NO</v>
      </c>
      <c r="BH365" s="88"/>
      <c r="BI365" s="9"/>
      <c r="BJ365" s="694" t="str">
        <f t="shared" si="193"/>
        <v/>
      </c>
      <c r="BK365" s="694" t="str">
        <f t="shared" si="193"/>
        <v/>
      </c>
      <c r="BL365" s="694" t="str">
        <f t="shared" si="194"/>
        <v/>
      </c>
      <c r="BM365" s="694" t="str">
        <f t="shared" si="194"/>
        <v/>
      </c>
      <c r="BN365" s="88"/>
      <c r="BO365" s="195"/>
      <c r="BP365" s="195"/>
      <c r="BQ365" s="195"/>
      <c r="BR365" s="195"/>
      <c r="BS365" s="195"/>
      <c r="BT365" s="195"/>
      <c r="BU365" s="195"/>
      <c r="BV365" s="195"/>
      <c r="BW365" s="195"/>
      <c r="BX365" s="195"/>
    </row>
    <row r="366" spans="1:76" s="124" customFormat="1" ht="15">
      <c r="A366" s="187">
        <v>3065</v>
      </c>
      <c r="B366" s="187" t="s">
        <v>625</v>
      </c>
      <c r="C366" s="187" t="s">
        <v>557</v>
      </c>
      <c r="D366" s="187" t="s">
        <v>713</v>
      </c>
      <c r="E366" s="187" t="s">
        <v>385</v>
      </c>
      <c r="F366" s="187" t="s">
        <v>386</v>
      </c>
      <c r="G366" s="187" t="s">
        <v>387</v>
      </c>
      <c r="H366" s="187" t="b">
        <v>0</v>
      </c>
      <c r="I366" s="187" t="s">
        <v>388</v>
      </c>
      <c r="J366" s="187" t="s">
        <v>389</v>
      </c>
      <c r="K366" s="187" t="b">
        <v>1</v>
      </c>
      <c r="L366" s="187">
        <v>3.5</v>
      </c>
      <c r="M366" s="187">
        <v>0.57999999999999996</v>
      </c>
      <c r="N366" s="187">
        <v>14.99</v>
      </c>
      <c r="O366" s="187">
        <v>4.3</v>
      </c>
      <c r="P366" s="187">
        <v>6.06</v>
      </c>
      <c r="Q366" s="187"/>
      <c r="R366" s="187"/>
      <c r="S366" s="187"/>
      <c r="T366" s="187"/>
      <c r="U366" s="187">
        <v>36.799999999999997</v>
      </c>
      <c r="V366" s="187">
        <v>2.15</v>
      </c>
      <c r="W366" s="188">
        <v>39371</v>
      </c>
      <c r="X366" s="691">
        <f t="shared" si="164"/>
        <v>1.7928749999999998</v>
      </c>
      <c r="Y366" s="691">
        <f t="shared" si="169"/>
        <v>4.5212599999999998</v>
      </c>
      <c r="Z366" s="189"/>
      <c r="AA366" s="190">
        <f t="shared" si="180"/>
        <v>2007</v>
      </c>
      <c r="AB366" s="191">
        <f t="shared" si="181"/>
        <v>1.9521717911176186</v>
      </c>
      <c r="AC366" s="192">
        <f>IF(AB366="","",AB366*SFAssumptions!$C$3)</f>
        <v>501.1484626647146</v>
      </c>
      <c r="AD366" s="193">
        <f t="shared" si="182"/>
        <v>15.82441</v>
      </c>
      <c r="AE366" s="194">
        <f>IF(AD366="","",AD366*SFAssumptions!$C$3)</f>
        <v>4062.3365116530003</v>
      </c>
      <c r="AF366" s="192">
        <f t="shared" si="168"/>
        <v>3.5</v>
      </c>
      <c r="AG366" s="192">
        <f t="shared" si="183"/>
        <v>4.5212599999999998</v>
      </c>
      <c r="AH366" s="192">
        <f t="shared" si="184"/>
        <v>1.7928749999999998</v>
      </c>
      <c r="AI366" s="692">
        <f ca="1">IF(AC366="","",AC366*SFAssumptions!$C$8/'SavingsData&amp;Analysis'!AF366)</f>
        <v>540.81182900074339</v>
      </c>
      <c r="AJ366" s="692">
        <f ca="1">IF(OR(AE366="",AF366=""),"",AE366*SFAssumptions!$C$8/AF366)</f>
        <v>4383.849901887058</v>
      </c>
      <c r="AK366" s="191">
        <f t="shared" si="185"/>
        <v>1.6279069767441861</v>
      </c>
      <c r="AL366" s="692">
        <f>IF(AK366="","",AK366*SFAssumptions!$C$3)</f>
        <v>417.90537209302329</v>
      </c>
      <c r="AM366" s="193">
        <f t="shared" si="186"/>
        <v>15.049999999999999</v>
      </c>
      <c r="AN366" s="194">
        <f>IF(AM366="","",AM366*SFAssumptions!$C$3)</f>
        <v>3863.5351649999998</v>
      </c>
      <c r="AO366" s="693">
        <f t="shared" si="187"/>
        <v>4.3</v>
      </c>
      <c r="AP366" s="693">
        <f t="shared" si="188"/>
        <v>2.15</v>
      </c>
      <c r="AQ366" s="692">
        <f ca="1">IF(AL366="","",AL366*SFAssumptions!$C$8/'SavingsData&amp;Analysis'!AF366)</f>
        <v>450.98046879986407</v>
      </c>
      <c r="AR366" s="692">
        <f ca="1">IF(OR(AN366="",AF366=""),"",AN366*SFAssumptions!$C$8/AF366)</f>
        <v>4169.3144340547424</v>
      </c>
      <c r="AS366" s="190" t="str">
        <f>IF(OR(AG366="",AH366=""),"No",IF(AND(G366="Horizontal",AH366&gt;='Eff. Standards &amp; Certifications'!$B$21,AG366&lt;='Eff. Standards &amp; Certifications'!$C$21),"Consider",IF(AND(G366="Vertical",AH366&gt;='Eff. Standards &amp; Certifications'!$B$20,AG366&lt;='Eff. Standards &amp; Certifications'!$C$20),"Consider","No")))</f>
        <v>No</v>
      </c>
      <c r="AT366" s="190" t="str">
        <f t="shared" si="170"/>
        <v>Residential</v>
      </c>
      <c r="AU366" s="190"/>
      <c r="AV366" s="190" t="str">
        <f t="shared" si="192"/>
        <v>NO</v>
      </c>
      <c r="AW366" s="190" t="str">
        <f t="shared" si="192"/>
        <v>NO</v>
      </c>
      <c r="AX366" s="190" t="str">
        <f t="shared" si="189"/>
        <v>NO</v>
      </c>
      <c r="AY366" s="190" t="str">
        <f t="shared" si="172"/>
        <v>NO</v>
      </c>
      <c r="AZ366" s="190" t="str">
        <f t="shared" si="172"/>
        <v>NO</v>
      </c>
      <c r="BA366" s="190" t="str">
        <f t="shared" si="190"/>
        <v>NO</v>
      </c>
      <c r="BB366" s="190" t="str">
        <f t="shared" si="173"/>
        <v>NO</v>
      </c>
      <c r="BC366" s="190" t="str">
        <f t="shared" si="174"/>
        <v>NO</v>
      </c>
      <c r="BD366" s="190" t="str">
        <f t="shared" si="191"/>
        <v>NO</v>
      </c>
      <c r="BE366" s="190" t="str">
        <f t="shared" si="175"/>
        <v>NO</v>
      </c>
      <c r="BF366" s="190" t="str">
        <f t="shared" si="176"/>
        <v>NO</v>
      </c>
      <c r="BG366" s="190" t="str">
        <f t="shared" si="177"/>
        <v>NO</v>
      </c>
      <c r="BH366" s="88"/>
      <c r="BI366" s="9"/>
      <c r="BJ366" s="694" t="str">
        <f t="shared" si="193"/>
        <v/>
      </c>
      <c r="BK366" s="694" t="str">
        <f t="shared" si="193"/>
        <v/>
      </c>
      <c r="BL366" s="694" t="str">
        <f t="shared" si="194"/>
        <v/>
      </c>
      <c r="BM366" s="694" t="str">
        <f t="shared" si="194"/>
        <v/>
      </c>
      <c r="BN366" s="88"/>
      <c r="BO366" s="195"/>
      <c r="BP366" s="195"/>
      <c r="BQ366" s="195"/>
      <c r="BR366" s="195"/>
      <c r="BS366" s="195"/>
      <c r="BT366" s="195"/>
      <c r="BU366" s="195"/>
      <c r="BV366" s="195"/>
      <c r="BW366" s="195"/>
      <c r="BX366" s="195"/>
    </row>
    <row r="367" spans="1:76" s="124" customFormat="1" ht="15">
      <c r="A367" s="187">
        <v>5931</v>
      </c>
      <c r="B367" s="187" t="s">
        <v>625</v>
      </c>
      <c r="C367" s="187" t="s">
        <v>557</v>
      </c>
      <c r="D367" s="187" t="s">
        <v>714</v>
      </c>
      <c r="E367" s="187" t="s">
        <v>385</v>
      </c>
      <c r="F367" s="187" t="s">
        <v>386</v>
      </c>
      <c r="G367" s="187" t="s">
        <v>387</v>
      </c>
      <c r="H367" s="187" t="b">
        <v>0</v>
      </c>
      <c r="I367" s="187" t="s">
        <v>388</v>
      </c>
      <c r="J367" s="187" t="s">
        <v>389</v>
      </c>
      <c r="K367" s="187" t="b">
        <v>1</v>
      </c>
      <c r="L367" s="187">
        <v>3.1</v>
      </c>
      <c r="M367" s="187">
        <v>0.37</v>
      </c>
      <c r="N367" s="187">
        <v>11.44</v>
      </c>
      <c r="O367" s="187">
        <v>3.7</v>
      </c>
      <c r="P367" s="187">
        <v>8.7799999999999994</v>
      </c>
      <c r="Q367" s="187"/>
      <c r="R367" s="187"/>
      <c r="S367" s="187"/>
      <c r="T367" s="187"/>
      <c r="U367" s="187">
        <v>35.299999999999997</v>
      </c>
      <c r="V367" s="187">
        <v>2.4900000000000002</v>
      </c>
      <c r="W367" s="188">
        <v>41502</v>
      </c>
      <c r="X367" s="691">
        <f t="shared" si="164"/>
        <v>2.1038050000000004</v>
      </c>
      <c r="Y367" s="691">
        <f t="shared" si="169"/>
        <v>3.9067400000000001</v>
      </c>
      <c r="Z367" s="189"/>
      <c r="AA367" s="190">
        <f t="shared" si="180"/>
        <v>2013</v>
      </c>
      <c r="AB367" s="191">
        <f t="shared" si="181"/>
        <v>1.473520597203638</v>
      </c>
      <c r="AC367" s="192">
        <f>IF(AB367="","",AB367*SFAssumptions!$C$3)</f>
        <v>378.27233512611667</v>
      </c>
      <c r="AD367" s="193">
        <f t="shared" si="182"/>
        <v>12.110894</v>
      </c>
      <c r="AE367" s="194">
        <f>IF(AD367="","",AD367*SFAssumptions!$C$3)</f>
        <v>3109.0275646902001</v>
      </c>
      <c r="AF367" s="192">
        <f t="shared" si="168"/>
        <v>3.1</v>
      </c>
      <c r="AG367" s="192">
        <f t="shared" si="183"/>
        <v>3.9067400000000001</v>
      </c>
      <c r="AH367" s="192">
        <f t="shared" si="184"/>
        <v>2.1038050000000004</v>
      </c>
      <c r="AI367" s="692">
        <f ca="1">IF(AC367="","",AC367*SFAssumptions!$C$8/'SavingsData&amp;Analysis'!AF367)</f>
        <v>460.88302286557337</v>
      </c>
      <c r="AJ367" s="692">
        <f ca="1">IF(OR(AE367="",AF367=""),"",AE367*SFAssumptions!$C$8/AF367)</f>
        <v>3788.006388860239</v>
      </c>
      <c r="AK367" s="191">
        <f t="shared" si="185"/>
        <v>1.2449799196787148</v>
      </c>
      <c r="AL367" s="692">
        <f>IF(AK367="","",AK367*SFAssumptions!$C$3)</f>
        <v>319.60290361445783</v>
      </c>
      <c r="AM367" s="193">
        <f t="shared" si="186"/>
        <v>11.47</v>
      </c>
      <c r="AN367" s="194">
        <f>IF(AM367="","",AM367*SFAssumptions!$C$3)</f>
        <v>2944.5015510000003</v>
      </c>
      <c r="AO367" s="693">
        <f t="shared" si="187"/>
        <v>3.7</v>
      </c>
      <c r="AP367" s="693">
        <f t="shared" si="188"/>
        <v>2.4900000000000002</v>
      </c>
      <c r="AQ367" s="692">
        <f ca="1">IF(AL367="","",AL367*SFAssumptions!$C$8/'SavingsData&amp;Analysis'!AF367)</f>
        <v>389.40080639345689</v>
      </c>
      <c r="AR367" s="692">
        <f ca="1">IF(OR(AN367="",AF367=""),"",AN367*SFAssumptions!$C$8/AF367)</f>
        <v>3587.5496293029187</v>
      </c>
      <c r="AS367" s="190" t="str">
        <f>IF(OR(AG367="",AH367=""),"No",IF(AND(G367="Horizontal",AH367&gt;='Eff. Standards &amp; Certifications'!$B$21,AG367&lt;='Eff. Standards &amp; Certifications'!$C$21),"Consider",IF(AND(G367="Vertical",AH367&gt;='Eff. Standards &amp; Certifications'!$B$20,AG367&lt;='Eff. Standards &amp; Certifications'!$C$20),"Consider","No")))</f>
        <v>Consider</v>
      </c>
      <c r="AT367" s="190" t="str">
        <f t="shared" si="170"/>
        <v>Residential</v>
      </c>
      <c r="AU367" s="190"/>
      <c r="AV367" s="190" t="str">
        <f t="shared" si="192"/>
        <v>NO</v>
      </c>
      <c r="AW367" s="190" t="str">
        <f t="shared" si="192"/>
        <v>YES</v>
      </c>
      <c r="AX367" s="190" t="str">
        <f t="shared" si="189"/>
        <v>YES</v>
      </c>
      <c r="AY367" s="190" t="str">
        <f t="shared" si="172"/>
        <v>NO</v>
      </c>
      <c r="AZ367" s="190" t="str">
        <f t="shared" si="172"/>
        <v>YES</v>
      </c>
      <c r="BA367" s="190" t="str">
        <f t="shared" si="190"/>
        <v>YES</v>
      </c>
      <c r="BB367" s="190" t="str">
        <f t="shared" si="173"/>
        <v>NO</v>
      </c>
      <c r="BC367" s="190" t="str">
        <f t="shared" si="174"/>
        <v>NO</v>
      </c>
      <c r="BD367" s="190" t="str">
        <f t="shared" si="191"/>
        <v>NO</v>
      </c>
      <c r="BE367" s="190" t="str">
        <f t="shared" si="175"/>
        <v>NO</v>
      </c>
      <c r="BF367" s="190" t="str">
        <f t="shared" si="176"/>
        <v>NO</v>
      </c>
      <c r="BG367" s="190" t="str">
        <f t="shared" si="177"/>
        <v>NO</v>
      </c>
      <c r="BH367" s="88"/>
      <c r="BI367" s="9"/>
      <c r="BJ367" s="694" t="str">
        <f t="shared" si="193"/>
        <v/>
      </c>
      <c r="BK367" s="694">
        <f t="shared" si="193"/>
        <v>2.1038050000000004</v>
      </c>
      <c r="BL367" s="694" t="str">
        <f t="shared" si="194"/>
        <v/>
      </c>
      <c r="BM367" s="694">
        <f t="shared" si="194"/>
        <v>3.9067400000000001</v>
      </c>
      <c r="BN367" s="88"/>
      <c r="BO367" s="195"/>
      <c r="BP367" s="195"/>
      <c r="BQ367" s="195"/>
      <c r="BR367" s="195"/>
      <c r="BS367" s="195"/>
      <c r="BT367" s="195"/>
      <c r="BU367" s="195"/>
      <c r="BV367" s="195"/>
      <c r="BW367" s="195"/>
      <c r="BX367" s="195"/>
    </row>
    <row r="368" spans="1:76" s="124" customFormat="1" ht="15">
      <c r="A368" s="187">
        <v>4611</v>
      </c>
      <c r="B368" s="187" t="s">
        <v>625</v>
      </c>
      <c r="C368" s="187" t="s">
        <v>557</v>
      </c>
      <c r="D368" s="187" t="s">
        <v>715</v>
      </c>
      <c r="E368" s="187" t="s">
        <v>385</v>
      </c>
      <c r="F368" s="187" t="s">
        <v>386</v>
      </c>
      <c r="G368" s="187" t="s">
        <v>387</v>
      </c>
      <c r="H368" s="187" t="b">
        <v>0</v>
      </c>
      <c r="I368" s="187" t="s">
        <v>388</v>
      </c>
      <c r="J368" s="187" t="s">
        <v>389</v>
      </c>
      <c r="K368" s="187" t="b">
        <v>1</v>
      </c>
      <c r="L368" s="187">
        <v>4.3</v>
      </c>
      <c r="M368" s="187">
        <v>0.32</v>
      </c>
      <c r="N368" s="187">
        <v>11.36</v>
      </c>
      <c r="O368" s="187">
        <v>2.7</v>
      </c>
      <c r="P368" s="187">
        <v>14.31</v>
      </c>
      <c r="Q368" s="187"/>
      <c r="R368" s="187"/>
      <c r="S368" s="187"/>
      <c r="T368" s="187"/>
      <c r="U368" s="187">
        <v>30.5</v>
      </c>
      <c r="V368" s="187">
        <v>3.25</v>
      </c>
      <c r="W368" s="188">
        <v>40429</v>
      </c>
      <c r="X368" s="691">
        <f t="shared" si="164"/>
        <v>2.7988249999999999</v>
      </c>
      <c r="Y368" s="691">
        <f t="shared" si="169"/>
        <v>2.8825400000000001</v>
      </c>
      <c r="Z368" s="189"/>
      <c r="AA368" s="190">
        <f t="shared" si="180"/>
        <v>2010</v>
      </c>
      <c r="AB368" s="191">
        <f t="shared" si="181"/>
        <v>1.5363590077979152</v>
      </c>
      <c r="AC368" s="192">
        <f>IF(AB368="","",AB368*SFAssumptions!$C$3)</f>
        <v>394.40379087652855</v>
      </c>
      <c r="AD368" s="193">
        <f t="shared" si="182"/>
        <v>12.394921999999999</v>
      </c>
      <c r="AE368" s="194">
        <f>IF(AD368="","",AD368*SFAssumptions!$C$3)</f>
        <v>3181.9413298626</v>
      </c>
      <c r="AF368" s="192">
        <f t="shared" si="168"/>
        <v>4.3</v>
      </c>
      <c r="AG368" s="192">
        <f t="shared" si="183"/>
        <v>2.8825400000000001</v>
      </c>
      <c r="AH368" s="192">
        <f t="shared" si="184"/>
        <v>2.7988249999999999</v>
      </c>
      <c r="AI368" s="692">
        <f ca="1">IF(AC368="","",AC368*SFAssumptions!$C$8/'SavingsData&amp;Analysis'!AF368)</f>
        <v>346.43395279079891</v>
      </c>
      <c r="AJ368" s="692">
        <f ca="1">IF(OR(AE368="",AF368=""),"",AE368*SFAssumptions!$C$8/AF368)</f>
        <v>2794.9338671488745</v>
      </c>
      <c r="AK368" s="191">
        <f t="shared" si="185"/>
        <v>1.323076923076923</v>
      </c>
      <c r="AL368" s="692">
        <f>IF(AK368="","",AK368*SFAssumptions!$C$3)</f>
        <v>339.65144307692304</v>
      </c>
      <c r="AM368" s="193">
        <f t="shared" si="186"/>
        <v>11.61</v>
      </c>
      <c r="AN368" s="194">
        <f>IF(AM368="","",AM368*SFAssumptions!$C$3)</f>
        <v>2980.441413</v>
      </c>
      <c r="AO368" s="693">
        <f t="shared" si="187"/>
        <v>2.7</v>
      </c>
      <c r="AP368" s="693">
        <f t="shared" si="188"/>
        <v>3.25</v>
      </c>
      <c r="AQ368" s="692">
        <f ca="1">IF(AL368="","",AL368*SFAssumptions!$C$8/'SavingsData&amp;Analysis'!AF368)</f>
        <v>298.34092551375619</v>
      </c>
      <c r="AR368" s="692">
        <f ca="1">IF(OR(AN368="",AF368=""),"",AN368*SFAssumptions!$C$8/AF368)</f>
        <v>2617.941621383211</v>
      </c>
      <c r="AS368" s="190" t="str">
        <f>IF(OR(AG368="",AH368=""),"No",IF(AND(G368="Horizontal",AH368&gt;='Eff. Standards &amp; Certifications'!$B$21,AG368&lt;='Eff. Standards &amp; Certifications'!$C$21),"Consider",IF(AND(G368="Vertical",AH368&gt;='Eff. Standards &amp; Certifications'!$B$20,AG368&lt;='Eff. Standards &amp; Certifications'!$C$20),"Consider","No")))</f>
        <v>Consider</v>
      </c>
      <c r="AT368" s="190" t="str">
        <f t="shared" si="170"/>
        <v>Residential</v>
      </c>
      <c r="AU368" s="190"/>
      <c r="AV368" s="190" t="str">
        <f t="shared" si="192"/>
        <v>NO</v>
      </c>
      <c r="AW368" s="190" t="str">
        <f t="shared" si="192"/>
        <v>YES</v>
      </c>
      <c r="AX368" s="190" t="str">
        <f t="shared" si="189"/>
        <v>YES</v>
      </c>
      <c r="AY368" s="190" t="str">
        <f t="shared" si="172"/>
        <v>NO</v>
      </c>
      <c r="AZ368" s="190" t="str">
        <f t="shared" si="172"/>
        <v>NO</v>
      </c>
      <c r="BA368" s="190" t="str">
        <f t="shared" si="190"/>
        <v>NO</v>
      </c>
      <c r="BB368" s="190" t="str">
        <f t="shared" si="173"/>
        <v>NO</v>
      </c>
      <c r="BC368" s="190" t="str">
        <f t="shared" si="174"/>
        <v>YES</v>
      </c>
      <c r="BD368" s="190" t="str">
        <f t="shared" si="191"/>
        <v>YES</v>
      </c>
      <c r="BE368" s="190" t="str">
        <f t="shared" si="175"/>
        <v>NO</v>
      </c>
      <c r="BF368" s="190" t="str">
        <f t="shared" si="176"/>
        <v>YES</v>
      </c>
      <c r="BG368" s="190" t="str">
        <f t="shared" si="177"/>
        <v>NO</v>
      </c>
      <c r="BH368" s="88"/>
      <c r="BI368" s="9"/>
      <c r="BJ368" s="694" t="str">
        <f t="shared" si="193"/>
        <v/>
      </c>
      <c r="BK368" s="694">
        <f t="shared" si="193"/>
        <v>2.7988249999999999</v>
      </c>
      <c r="BL368" s="694" t="str">
        <f t="shared" si="194"/>
        <v/>
      </c>
      <c r="BM368" s="694">
        <f t="shared" si="194"/>
        <v>2.8825400000000001</v>
      </c>
      <c r="BN368" s="88"/>
      <c r="BO368" s="195"/>
      <c r="BP368" s="195"/>
      <c r="BQ368" s="195"/>
      <c r="BR368" s="195"/>
      <c r="BS368" s="195"/>
      <c r="BT368" s="195"/>
      <c r="BU368" s="195"/>
      <c r="BV368" s="195"/>
      <c r="BW368" s="195"/>
      <c r="BX368" s="195"/>
    </row>
    <row r="369" spans="1:76" s="124" customFormat="1" ht="15">
      <c r="A369" s="187">
        <v>4612</v>
      </c>
      <c r="B369" s="187" t="s">
        <v>625</v>
      </c>
      <c r="C369" s="187" t="s">
        <v>557</v>
      </c>
      <c r="D369" s="187" t="s">
        <v>716</v>
      </c>
      <c r="E369" s="187" t="s">
        <v>385</v>
      </c>
      <c r="F369" s="187" t="s">
        <v>386</v>
      </c>
      <c r="G369" s="187" t="s">
        <v>387</v>
      </c>
      <c r="H369" s="187" t="b">
        <v>0</v>
      </c>
      <c r="I369" s="187" t="s">
        <v>388</v>
      </c>
      <c r="J369" s="187" t="s">
        <v>389</v>
      </c>
      <c r="K369" s="187" t="b">
        <v>1</v>
      </c>
      <c r="L369" s="187">
        <v>4.3</v>
      </c>
      <c r="M369" s="187">
        <v>0.28999999999999998</v>
      </c>
      <c r="N369" s="187">
        <v>11.75</v>
      </c>
      <c r="O369" s="187">
        <v>2.7</v>
      </c>
      <c r="P369" s="187">
        <v>14.84</v>
      </c>
      <c r="Q369" s="187"/>
      <c r="R369" s="187"/>
      <c r="S369" s="187"/>
      <c r="T369" s="187"/>
      <c r="U369" s="187">
        <v>30.2</v>
      </c>
      <c r="V369" s="187">
        <v>3.3</v>
      </c>
      <c r="W369" s="188">
        <v>40429</v>
      </c>
      <c r="X369" s="691">
        <f t="shared" si="164"/>
        <v>2.8445499999999999</v>
      </c>
      <c r="Y369" s="691">
        <f t="shared" si="169"/>
        <v>2.8825400000000001</v>
      </c>
      <c r="Z369" s="189"/>
      <c r="AA369" s="190">
        <f t="shared" si="180"/>
        <v>2010</v>
      </c>
      <c r="AB369" s="191">
        <f t="shared" si="181"/>
        <v>1.5116626531437309</v>
      </c>
      <c r="AC369" s="192">
        <f>IF(AB369="","",AB369*SFAssumptions!$C$3)</f>
        <v>388.06390817528256</v>
      </c>
      <c r="AD369" s="193">
        <f t="shared" si="182"/>
        <v>12.394921999999999</v>
      </c>
      <c r="AE369" s="194">
        <f>IF(AD369="","",AD369*SFAssumptions!$C$3)</f>
        <v>3181.9413298626</v>
      </c>
      <c r="AF369" s="192">
        <f t="shared" si="168"/>
        <v>4.3</v>
      </c>
      <c r="AG369" s="192">
        <f t="shared" si="183"/>
        <v>2.8825400000000001</v>
      </c>
      <c r="AH369" s="192">
        <f t="shared" si="184"/>
        <v>2.8445499999999999</v>
      </c>
      <c r="AI369" s="692">
        <f ca="1">IF(AC369="","",AC369*SFAssumptions!$C$8/'SavingsData&amp;Analysis'!AF369)</f>
        <v>340.86516599100304</v>
      </c>
      <c r="AJ369" s="692">
        <f ca="1">IF(OR(AE369="",AF369=""),"",AE369*SFAssumptions!$C$8/AF369)</f>
        <v>2794.9338671488745</v>
      </c>
      <c r="AK369" s="191">
        <f t="shared" si="185"/>
        <v>1.303030303030303</v>
      </c>
      <c r="AL369" s="692">
        <f>IF(AK369="","",AK369*SFAssumptions!$C$3)</f>
        <v>334.50520909090909</v>
      </c>
      <c r="AM369" s="193">
        <f t="shared" si="186"/>
        <v>11.61</v>
      </c>
      <c r="AN369" s="194">
        <f>IF(AM369="","",AM369*SFAssumptions!$C$3)</f>
        <v>2980.441413</v>
      </c>
      <c r="AO369" s="693">
        <f t="shared" si="187"/>
        <v>2.7</v>
      </c>
      <c r="AP369" s="693">
        <f t="shared" si="188"/>
        <v>3.3</v>
      </c>
      <c r="AQ369" s="692">
        <f ca="1">IF(AL369="","",AL369*SFAssumptions!$C$8/'SavingsData&amp;Analysis'!AF369)</f>
        <v>293.82060846051746</v>
      </c>
      <c r="AR369" s="692">
        <f ca="1">IF(OR(AN369="",AF369=""),"",AN369*SFAssumptions!$C$8/AF369)</f>
        <v>2617.941621383211</v>
      </c>
      <c r="AS369" s="190" t="str">
        <f>IF(OR(AG369="",AH369=""),"No",IF(AND(G369="Horizontal",AH369&gt;='Eff. Standards &amp; Certifications'!$B$21,AG369&lt;='Eff. Standards &amp; Certifications'!$C$21),"Consider",IF(AND(G369="Vertical",AH369&gt;='Eff. Standards &amp; Certifications'!$B$20,AG369&lt;='Eff. Standards &amp; Certifications'!$C$20),"Consider","No")))</f>
        <v>Consider</v>
      </c>
      <c r="AT369" s="190" t="str">
        <f t="shared" si="170"/>
        <v>Residential</v>
      </c>
      <c r="AU369" s="190"/>
      <c r="AV369" s="190" t="str">
        <f t="shared" si="192"/>
        <v>NO</v>
      </c>
      <c r="AW369" s="190" t="str">
        <f t="shared" si="192"/>
        <v>YES</v>
      </c>
      <c r="AX369" s="190" t="str">
        <f t="shared" si="189"/>
        <v>YES</v>
      </c>
      <c r="AY369" s="190" t="str">
        <f t="shared" si="172"/>
        <v>NO</v>
      </c>
      <c r="AZ369" s="190" t="str">
        <f t="shared" si="172"/>
        <v>NO</v>
      </c>
      <c r="BA369" s="190" t="str">
        <f t="shared" si="190"/>
        <v>NO</v>
      </c>
      <c r="BB369" s="190" t="str">
        <f t="shared" si="173"/>
        <v>NO</v>
      </c>
      <c r="BC369" s="190" t="str">
        <f t="shared" si="174"/>
        <v>YES</v>
      </c>
      <c r="BD369" s="190" t="str">
        <f t="shared" si="191"/>
        <v>YES</v>
      </c>
      <c r="BE369" s="190" t="str">
        <f t="shared" si="175"/>
        <v>NO</v>
      </c>
      <c r="BF369" s="190" t="str">
        <f t="shared" si="176"/>
        <v>YES</v>
      </c>
      <c r="BG369" s="190" t="str">
        <f t="shared" si="177"/>
        <v>NO</v>
      </c>
      <c r="BH369" s="88"/>
      <c r="BI369" s="9"/>
      <c r="BJ369" s="694" t="str">
        <f t="shared" si="193"/>
        <v/>
      </c>
      <c r="BK369" s="694">
        <f t="shared" si="193"/>
        <v>2.8445499999999999</v>
      </c>
      <c r="BL369" s="694" t="str">
        <f t="shared" si="194"/>
        <v/>
      </c>
      <c r="BM369" s="694">
        <f t="shared" si="194"/>
        <v>2.8825400000000001</v>
      </c>
      <c r="BN369" s="88"/>
      <c r="BO369" s="195"/>
      <c r="BP369" s="195"/>
      <c r="BQ369" s="195"/>
      <c r="BR369" s="195"/>
      <c r="BS369" s="195"/>
      <c r="BT369" s="195"/>
      <c r="BU369" s="195"/>
      <c r="BV369" s="195"/>
      <c r="BW369" s="195"/>
      <c r="BX369" s="195"/>
    </row>
    <row r="370" spans="1:76" s="124" customFormat="1" ht="15">
      <c r="A370" s="187">
        <v>633</v>
      </c>
      <c r="B370" s="187" t="s">
        <v>625</v>
      </c>
      <c r="C370" s="187" t="s">
        <v>557</v>
      </c>
      <c r="D370" s="187" t="s">
        <v>717</v>
      </c>
      <c r="E370" s="187" t="s">
        <v>385</v>
      </c>
      <c r="F370" s="187" t="s">
        <v>386</v>
      </c>
      <c r="G370" s="187" t="s">
        <v>387</v>
      </c>
      <c r="H370" s="187" t="b">
        <v>0</v>
      </c>
      <c r="I370" s="187" t="s">
        <v>388</v>
      </c>
      <c r="J370" s="187" t="s">
        <v>389</v>
      </c>
      <c r="K370" s="187" t="b">
        <v>1</v>
      </c>
      <c r="L370" s="187">
        <v>3.5</v>
      </c>
      <c r="M370" s="187">
        <v>0.41</v>
      </c>
      <c r="N370" s="187">
        <v>13.16</v>
      </c>
      <c r="O370" s="187">
        <v>3.8</v>
      </c>
      <c r="P370" s="187">
        <v>8.41</v>
      </c>
      <c r="Q370" s="187"/>
      <c r="R370" s="187"/>
      <c r="S370" s="187"/>
      <c r="T370" s="187"/>
      <c r="U370" s="187">
        <v>38.4</v>
      </c>
      <c r="V370" s="187">
        <v>3.8</v>
      </c>
      <c r="W370" s="188">
        <v>40255</v>
      </c>
      <c r="X370" s="691">
        <f t="shared" si="164"/>
        <v>3.3018000000000001</v>
      </c>
      <c r="Y370" s="691">
        <f t="shared" si="169"/>
        <v>4.0091599999999996</v>
      </c>
      <c r="Z370" s="189"/>
      <c r="AA370" s="190">
        <f t="shared" si="180"/>
        <v>2010</v>
      </c>
      <c r="AB370" s="191">
        <f t="shared" si="181"/>
        <v>1.0600278635895573</v>
      </c>
      <c r="AC370" s="192">
        <f>IF(AB370="","",AB370*SFAssumptions!$C$3)</f>
        <v>272.12325095402508</v>
      </c>
      <c r="AD370" s="193">
        <f t="shared" si="182"/>
        <v>14.032059999999998</v>
      </c>
      <c r="AE370" s="194">
        <f>IF(AD370="","",AD370*SFAssumptions!$C$3)</f>
        <v>3602.2164283979996</v>
      </c>
      <c r="AF370" s="192">
        <f t="shared" si="168"/>
        <v>3.5</v>
      </c>
      <c r="AG370" s="192">
        <f t="shared" si="183"/>
        <v>4.0091599999999996</v>
      </c>
      <c r="AH370" s="192">
        <f t="shared" si="184"/>
        <v>3.3018000000000001</v>
      </c>
      <c r="AI370" s="692">
        <f ca="1">IF(AC370="","",AC370*SFAssumptions!$C$8/'SavingsData&amp;Analysis'!AF370)</f>
        <v>293.66043004412978</v>
      </c>
      <c r="AJ370" s="692">
        <f ca="1">IF(OR(AE370="",AF370=""),"",AE370*SFAssumptions!$C$8/AF370)</f>
        <v>3887.3136410313746</v>
      </c>
      <c r="AK370" s="191">
        <f t="shared" si="185"/>
        <v>0.92105263157894746</v>
      </c>
      <c r="AL370" s="692">
        <f>IF(AK370="","",AK370*SFAssumptions!$C$3)</f>
        <v>236.4464605263158</v>
      </c>
      <c r="AM370" s="193">
        <f t="shared" si="186"/>
        <v>13.299999999999999</v>
      </c>
      <c r="AN370" s="194">
        <f>IF(AM370="","",AM370*SFAssumptions!$C$3)</f>
        <v>3414.2868899999999</v>
      </c>
      <c r="AO370" s="693">
        <f t="shared" si="187"/>
        <v>3.8</v>
      </c>
      <c r="AP370" s="693">
        <f t="shared" si="188"/>
        <v>3.8</v>
      </c>
      <c r="AQ370" s="692">
        <f ca="1">IF(AL370="","",AL370*SFAssumptions!$C$8/'SavingsData&amp;Analysis'!AF370)</f>
        <v>255.16000208413359</v>
      </c>
      <c r="AR370" s="692">
        <f ca="1">IF(OR(AN370="",AF370=""),"",AN370*SFAssumptions!$C$8/AF370)</f>
        <v>3684.5104300948888</v>
      </c>
      <c r="AS370" s="190" t="str">
        <f>IF(OR(AG370="",AH370=""),"No",IF(AND(G370="Horizontal",AH370&gt;='Eff. Standards &amp; Certifications'!$B$21,AG370&lt;='Eff. Standards &amp; Certifications'!$C$21),"Consider",IF(AND(G370="Vertical",AH370&gt;='Eff. Standards &amp; Certifications'!$B$20,AG370&lt;='Eff. Standards &amp; Certifications'!$C$20),"Consider","No")))</f>
        <v>Consider</v>
      </c>
      <c r="AT370" s="190" t="str">
        <f t="shared" si="170"/>
        <v>Residential</v>
      </c>
      <c r="AU370" s="190"/>
      <c r="AV370" s="190" t="str">
        <f t="shared" si="192"/>
        <v>NO</v>
      </c>
      <c r="AW370" s="190" t="str">
        <f t="shared" si="192"/>
        <v>YES</v>
      </c>
      <c r="AX370" s="190" t="str">
        <f t="shared" si="189"/>
        <v>YES</v>
      </c>
      <c r="AY370" s="190" t="str">
        <f t="shared" si="172"/>
        <v>NO</v>
      </c>
      <c r="AZ370" s="190" t="str">
        <f t="shared" si="172"/>
        <v>YES</v>
      </c>
      <c r="BA370" s="190" t="str">
        <f t="shared" si="190"/>
        <v>YES</v>
      </c>
      <c r="BB370" s="190" t="str">
        <f t="shared" si="173"/>
        <v>NO</v>
      </c>
      <c r="BC370" s="190" t="str">
        <f t="shared" si="174"/>
        <v>NO</v>
      </c>
      <c r="BD370" s="190" t="str">
        <f t="shared" si="191"/>
        <v>NO</v>
      </c>
      <c r="BE370" s="190" t="str">
        <f t="shared" si="175"/>
        <v>NO</v>
      </c>
      <c r="BF370" s="190" t="str">
        <f t="shared" si="176"/>
        <v>NO</v>
      </c>
      <c r="BG370" s="190" t="str">
        <f t="shared" si="177"/>
        <v>NO</v>
      </c>
      <c r="BH370" s="88"/>
      <c r="BI370" s="9"/>
      <c r="BJ370" s="694" t="str">
        <f t="shared" si="193"/>
        <v/>
      </c>
      <c r="BK370" s="694">
        <f t="shared" si="193"/>
        <v>3.3018000000000001</v>
      </c>
      <c r="BL370" s="694" t="str">
        <f t="shared" si="194"/>
        <v/>
      </c>
      <c r="BM370" s="694">
        <f t="shared" si="194"/>
        <v>4.0091599999999996</v>
      </c>
      <c r="BN370" s="88"/>
      <c r="BO370" s="195"/>
      <c r="BP370" s="195"/>
      <c r="BQ370" s="195"/>
      <c r="BR370" s="195"/>
      <c r="BS370" s="195"/>
      <c r="BT370" s="195"/>
      <c r="BU370" s="195"/>
      <c r="BV370" s="195"/>
      <c r="BW370" s="195"/>
      <c r="BX370" s="195"/>
    </row>
    <row r="371" spans="1:76" s="124" customFormat="1" ht="15">
      <c r="A371" s="187">
        <v>4978</v>
      </c>
      <c r="B371" s="187" t="s">
        <v>625</v>
      </c>
      <c r="C371" s="187" t="s">
        <v>557</v>
      </c>
      <c r="D371" s="187" t="s">
        <v>718</v>
      </c>
      <c r="E371" s="187" t="s">
        <v>385</v>
      </c>
      <c r="F371" s="187" t="s">
        <v>386</v>
      </c>
      <c r="G371" s="187" t="s">
        <v>387</v>
      </c>
      <c r="H371" s="187" t="b">
        <v>0</v>
      </c>
      <c r="I371" s="187" t="s">
        <v>388</v>
      </c>
      <c r="J371" s="187" t="s">
        <v>389</v>
      </c>
      <c r="K371" s="187" t="b">
        <v>1</v>
      </c>
      <c r="L371" s="187">
        <v>3.5</v>
      </c>
      <c r="M371" s="187">
        <v>0.39</v>
      </c>
      <c r="N371" s="187">
        <v>12.33</v>
      </c>
      <c r="O371" s="187">
        <v>3.7</v>
      </c>
      <c r="P371" s="187">
        <v>9.44</v>
      </c>
      <c r="Q371" s="187"/>
      <c r="R371" s="187"/>
      <c r="S371" s="187"/>
      <c r="T371" s="187"/>
      <c r="U371" s="187">
        <v>36.9</v>
      </c>
      <c r="V371" s="187">
        <v>2.46</v>
      </c>
      <c r="W371" s="188">
        <v>40640</v>
      </c>
      <c r="X371" s="691">
        <f t="shared" si="164"/>
        <v>2.0763699999999998</v>
      </c>
      <c r="Y371" s="691">
        <f t="shared" si="169"/>
        <v>3.9067400000000001</v>
      </c>
      <c r="Z371" s="189"/>
      <c r="AA371" s="190">
        <f t="shared" si="180"/>
        <v>2011</v>
      </c>
      <c r="AB371" s="191">
        <f t="shared" si="181"/>
        <v>1.6856340632931512</v>
      </c>
      <c r="AC371" s="192">
        <f>IF(AB371="","",AB371*SFAssumptions!$C$3)</f>
        <v>432.72468298039371</v>
      </c>
      <c r="AD371" s="193">
        <f t="shared" si="182"/>
        <v>13.673590000000001</v>
      </c>
      <c r="AE371" s="194">
        <f>IF(AD371="","",AD371*SFAssumptions!$C$3)</f>
        <v>3510.1924117470003</v>
      </c>
      <c r="AF371" s="192">
        <f t="shared" si="168"/>
        <v>3.5</v>
      </c>
      <c r="AG371" s="192">
        <f t="shared" si="183"/>
        <v>3.9067400000000001</v>
      </c>
      <c r="AH371" s="192">
        <f t="shared" si="184"/>
        <v>2.0763699999999998</v>
      </c>
      <c r="AI371" s="692">
        <f ca="1">IF(AC371="","",AC371*SFAssumptions!$C$8/'SavingsData&amp;Analysis'!AF371)</f>
        <v>466.9726531975071</v>
      </c>
      <c r="AJ371" s="692">
        <f ca="1">IF(OR(AE371="",AF371=""),"",AE371*SFAssumptions!$C$8/AF371)</f>
        <v>3788.006388860239</v>
      </c>
      <c r="AK371" s="191">
        <f t="shared" si="185"/>
        <v>1.4227642276422765</v>
      </c>
      <c r="AL371" s="692">
        <f>IF(AK371="","",AK371*SFAssumptions!$C$3)</f>
        <v>365.24250000000001</v>
      </c>
      <c r="AM371" s="193">
        <f t="shared" si="186"/>
        <v>12.950000000000001</v>
      </c>
      <c r="AN371" s="194">
        <f>IF(AM371="","",AM371*SFAssumptions!$C$3)</f>
        <v>3324.4372350000003</v>
      </c>
      <c r="AO371" s="693">
        <f t="shared" si="187"/>
        <v>3.7</v>
      </c>
      <c r="AP371" s="693">
        <f t="shared" si="188"/>
        <v>2.46</v>
      </c>
      <c r="AQ371" s="692">
        <f ca="1">IF(AL371="","",AL371*SFAssumptions!$C$8/'SavingsData&amp;Analysis'!AF371)</f>
        <v>394.1495967153283</v>
      </c>
      <c r="AR371" s="692">
        <f ca="1">IF(OR(AN371="",AF371=""),"",AN371*SFAssumptions!$C$8/AF371)</f>
        <v>3587.5496293029187</v>
      </c>
      <c r="AS371" s="190" t="str">
        <f>IF(OR(AG371="",AH371=""),"No",IF(AND(G371="Horizontal",AH371&gt;='Eff. Standards &amp; Certifications'!$B$21,AG371&lt;='Eff. Standards &amp; Certifications'!$C$21),"Consider",IF(AND(G371="Vertical",AH371&gt;='Eff. Standards &amp; Certifications'!$B$20,AG371&lt;='Eff. Standards &amp; Certifications'!$C$20),"Consider","No")))</f>
        <v>Consider</v>
      </c>
      <c r="AT371" s="190" t="str">
        <f t="shared" si="170"/>
        <v>Residential</v>
      </c>
      <c r="AU371" s="190"/>
      <c r="AV371" s="190" t="str">
        <f t="shared" si="192"/>
        <v>NO</v>
      </c>
      <c r="AW371" s="190" t="str">
        <f t="shared" si="192"/>
        <v>YES</v>
      </c>
      <c r="AX371" s="190" t="str">
        <f t="shared" si="189"/>
        <v>YES</v>
      </c>
      <c r="AY371" s="190" t="str">
        <f t="shared" si="172"/>
        <v>NO</v>
      </c>
      <c r="AZ371" s="190" t="str">
        <f t="shared" si="172"/>
        <v>YES</v>
      </c>
      <c r="BA371" s="190" t="str">
        <f t="shared" si="190"/>
        <v>YES</v>
      </c>
      <c r="BB371" s="190" t="str">
        <f t="shared" si="173"/>
        <v>NO</v>
      </c>
      <c r="BC371" s="190" t="str">
        <f t="shared" si="174"/>
        <v>NO</v>
      </c>
      <c r="BD371" s="190" t="str">
        <f t="shared" si="191"/>
        <v>NO</v>
      </c>
      <c r="BE371" s="190" t="str">
        <f t="shared" si="175"/>
        <v>NO</v>
      </c>
      <c r="BF371" s="190" t="str">
        <f t="shared" si="176"/>
        <v>NO</v>
      </c>
      <c r="BG371" s="190" t="str">
        <f t="shared" si="177"/>
        <v>NO</v>
      </c>
      <c r="BH371" s="88"/>
      <c r="BI371" s="9"/>
      <c r="BJ371" s="694" t="str">
        <f t="shared" si="193"/>
        <v/>
      </c>
      <c r="BK371" s="694">
        <f t="shared" si="193"/>
        <v>2.0763699999999998</v>
      </c>
      <c r="BL371" s="694" t="str">
        <f t="shared" si="194"/>
        <v/>
      </c>
      <c r="BM371" s="694">
        <f t="shared" si="194"/>
        <v>3.9067400000000001</v>
      </c>
      <c r="BN371" s="88"/>
      <c r="BO371" s="195"/>
      <c r="BP371" s="195"/>
      <c r="BQ371" s="195"/>
      <c r="BR371" s="195"/>
      <c r="BS371" s="195"/>
      <c r="BT371" s="195"/>
      <c r="BU371" s="195"/>
      <c r="BV371" s="195"/>
      <c r="BW371" s="195"/>
      <c r="BX371" s="195"/>
    </row>
    <row r="372" spans="1:76" s="124" customFormat="1" ht="15">
      <c r="A372" s="187">
        <v>527</v>
      </c>
      <c r="B372" s="187" t="s">
        <v>625</v>
      </c>
      <c r="C372" s="187" t="s">
        <v>557</v>
      </c>
      <c r="D372" s="187" t="s">
        <v>719</v>
      </c>
      <c r="E372" s="187" t="s">
        <v>385</v>
      </c>
      <c r="F372" s="187" t="s">
        <v>386</v>
      </c>
      <c r="G372" s="187" t="s">
        <v>387</v>
      </c>
      <c r="H372" s="187" t="b">
        <v>0</v>
      </c>
      <c r="I372" s="187" t="s">
        <v>388</v>
      </c>
      <c r="J372" s="187" t="s">
        <v>389</v>
      </c>
      <c r="K372" s="187" t="b">
        <v>1</v>
      </c>
      <c r="L372" s="187">
        <v>3.5</v>
      </c>
      <c r="M372" s="187">
        <v>0.41</v>
      </c>
      <c r="N372" s="187">
        <v>13.16</v>
      </c>
      <c r="O372" s="187">
        <v>3.8</v>
      </c>
      <c r="P372" s="187">
        <v>8.41</v>
      </c>
      <c r="Q372" s="187"/>
      <c r="R372" s="187"/>
      <c r="S372" s="187"/>
      <c r="T372" s="187"/>
      <c r="U372" s="187">
        <v>38.4</v>
      </c>
      <c r="V372" s="187">
        <v>2.35</v>
      </c>
      <c r="W372" s="188">
        <v>40309</v>
      </c>
      <c r="X372" s="691">
        <f t="shared" ref="X372:X435" si="195">IF($V372="","",IF($G372="Horizontal",V372*slope_FrontLoad_MEF+int_FrontLoad_MEF,IF($G372="Vertical",V372*slope_TopLoad_MEF+int_TopLoad_MEF,"")))</f>
        <v>1.9757749999999998</v>
      </c>
      <c r="Y372" s="691">
        <f t="shared" si="169"/>
        <v>4.0091599999999996</v>
      </c>
      <c r="Z372" s="189"/>
      <c r="AA372" s="190">
        <f t="shared" si="180"/>
        <v>2010</v>
      </c>
      <c r="AB372" s="191">
        <f t="shared" si="181"/>
        <v>1.7714567701281776</v>
      </c>
      <c r="AC372" s="192">
        <f>IF(AB372="","",AB372*SFAssumptions!$C$3)</f>
        <v>454.75651326694589</v>
      </c>
      <c r="AD372" s="193">
        <f t="shared" si="182"/>
        <v>14.032059999999998</v>
      </c>
      <c r="AE372" s="194">
        <f>IF(AD372="","",AD372*SFAssumptions!$C$3)</f>
        <v>3602.2164283979996</v>
      </c>
      <c r="AF372" s="192">
        <f t="shared" si="168"/>
        <v>3.5</v>
      </c>
      <c r="AG372" s="192">
        <f t="shared" si="183"/>
        <v>4.0091599999999996</v>
      </c>
      <c r="AH372" s="192">
        <f t="shared" si="184"/>
        <v>1.9757749999999998</v>
      </c>
      <c r="AI372" s="692">
        <f ca="1">IF(AC372="","",AC372*SFAssumptions!$C$8/'SavingsData&amp;Analysis'!AF372)</f>
        <v>490.74819142853192</v>
      </c>
      <c r="AJ372" s="692">
        <f ca="1">IF(OR(AE372="",AF372=""),"",AE372*SFAssumptions!$C$8/AF372)</f>
        <v>3887.3136410313746</v>
      </c>
      <c r="AK372" s="191">
        <f t="shared" si="185"/>
        <v>1.4893617021276595</v>
      </c>
      <c r="AL372" s="692">
        <f>IF(AK372="","",AK372*SFAssumptions!$C$3)</f>
        <v>382.33895744680848</v>
      </c>
      <c r="AM372" s="193">
        <f t="shared" si="186"/>
        <v>13.299999999999999</v>
      </c>
      <c r="AN372" s="194">
        <f>IF(AM372="","",AM372*SFAssumptions!$C$3)</f>
        <v>3414.2868899999999</v>
      </c>
      <c r="AO372" s="693">
        <f t="shared" si="187"/>
        <v>3.8</v>
      </c>
      <c r="AP372" s="693">
        <f t="shared" si="188"/>
        <v>2.35</v>
      </c>
      <c r="AQ372" s="692">
        <f ca="1">IF(AL372="","",AL372*SFAssumptions!$C$8/'SavingsData&amp;Analysis'!AF372)</f>
        <v>412.59915230625853</v>
      </c>
      <c r="AR372" s="692">
        <f ca="1">IF(OR(AN372="",AF372=""),"",AN372*SFAssumptions!$C$8/AF372)</f>
        <v>3684.5104300948888</v>
      </c>
      <c r="AS372" s="190" t="str">
        <f>IF(OR(AG372="",AH372=""),"No",IF(AND(G372="Horizontal",AH372&gt;='Eff. Standards &amp; Certifications'!$B$21,AG372&lt;='Eff. Standards &amp; Certifications'!$C$21),"Consider",IF(AND(G372="Vertical",AH372&gt;='Eff. Standards &amp; Certifications'!$B$20,AG372&lt;='Eff. Standards &amp; Certifications'!$C$20),"Consider","No")))</f>
        <v>Consider</v>
      </c>
      <c r="AT372" s="190" t="str">
        <f t="shared" si="170"/>
        <v>Residential</v>
      </c>
      <c r="AU372" s="190"/>
      <c r="AV372" s="190" t="str">
        <f t="shared" si="192"/>
        <v>NO</v>
      </c>
      <c r="AW372" s="190" t="str">
        <f t="shared" si="192"/>
        <v>YES</v>
      </c>
      <c r="AX372" s="190" t="str">
        <f t="shared" si="189"/>
        <v>YES</v>
      </c>
      <c r="AY372" s="190" t="str">
        <f t="shared" si="172"/>
        <v>NO</v>
      </c>
      <c r="AZ372" s="190" t="str">
        <f t="shared" si="172"/>
        <v>YES</v>
      </c>
      <c r="BA372" s="190" t="str">
        <f t="shared" si="190"/>
        <v>YES</v>
      </c>
      <c r="BB372" s="190" t="str">
        <f t="shared" si="173"/>
        <v>NO</v>
      </c>
      <c r="BC372" s="190" t="str">
        <f t="shared" si="174"/>
        <v>NO</v>
      </c>
      <c r="BD372" s="190" t="str">
        <f t="shared" si="191"/>
        <v>NO</v>
      </c>
      <c r="BE372" s="190" t="str">
        <f t="shared" si="175"/>
        <v>NO</v>
      </c>
      <c r="BF372" s="190" t="str">
        <f t="shared" si="176"/>
        <v>NO</v>
      </c>
      <c r="BG372" s="190" t="str">
        <f t="shared" si="177"/>
        <v>NO</v>
      </c>
      <c r="BH372" s="88"/>
      <c r="BI372" s="9"/>
      <c r="BJ372" s="694" t="str">
        <f t="shared" si="193"/>
        <v/>
      </c>
      <c r="BK372" s="694">
        <f t="shared" si="193"/>
        <v>1.9757749999999998</v>
      </c>
      <c r="BL372" s="694" t="str">
        <f t="shared" si="194"/>
        <v/>
      </c>
      <c r="BM372" s="694">
        <f t="shared" si="194"/>
        <v>4.0091599999999996</v>
      </c>
      <c r="BN372" s="88"/>
      <c r="BO372" s="195"/>
      <c r="BP372" s="195"/>
      <c r="BQ372" s="195"/>
      <c r="BR372" s="195"/>
      <c r="BS372" s="195"/>
      <c r="BT372" s="195"/>
      <c r="BU372" s="195"/>
      <c r="BV372" s="195"/>
      <c r="BW372" s="195"/>
      <c r="BX372" s="195"/>
    </row>
    <row r="373" spans="1:76" s="124" customFormat="1" ht="15">
      <c r="A373" s="187">
        <v>3431</v>
      </c>
      <c r="B373" s="187" t="s">
        <v>625</v>
      </c>
      <c r="C373" s="187" t="s">
        <v>557</v>
      </c>
      <c r="D373" s="187" t="s">
        <v>720</v>
      </c>
      <c r="E373" s="187" t="s">
        <v>385</v>
      </c>
      <c r="F373" s="187" t="s">
        <v>386</v>
      </c>
      <c r="G373" s="187" t="s">
        <v>387</v>
      </c>
      <c r="H373" s="187" t="b">
        <v>0</v>
      </c>
      <c r="I373" s="187" t="s">
        <v>388</v>
      </c>
      <c r="J373" s="187" t="s">
        <v>389</v>
      </c>
      <c r="K373" s="187" t="b">
        <v>1</v>
      </c>
      <c r="L373" s="187">
        <v>3.5</v>
      </c>
      <c r="M373" s="187">
        <v>0.41</v>
      </c>
      <c r="N373" s="187">
        <v>14.87</v>
      </c>
      <c r="O373" s="187">
        <v>4.3</v>
      </c>
      <c r="P373" s="187">
        <v>8.5299999999999994</v>
      </c>
      <c r="Q373" s="187"/>
      <c r="R373" s="187"/>
      <c r="S373" s="187"/>
      <c r="T373" s="187"/>
      <c r="U373" s="187">
        <v>42.6</v>
      </c>
      <c r="V373" s="187">
        <v>2.1800000000000002</v>
      </c>
      <c r="W373" s="188">
        <v>39696</v>
      </c>
      <c r="X373" s="691">
        <f t="shared" si="195"/>
        <v>1.8203100000000001</v>
      </c>
      <c r="Y373" s="691">
        <f t="shared" si="169"/>
        <v>4.5212599999999998</v>
      </c>
      <c r="Z373" s="189"/>
      <c r="AA373" s="190">
        <f t="shared" si="180"/>
        <v>2008</v>
      </c>
      <c r="AB373" s="191">
        <f t="shared" si="181"/>
        <v>1.9227494218017809</v>
      </c>
      <c r="AC373" s="192">
        <f>IF(AB373="","",AB373*SFAssumptions!$C$3)</f>
        <v>493.59534914382715</v>
      </c>
      <c r="AD373" s="193">
        <f t="shared" si="182"/>
        <v>15.82441</v>
      </c>
      <c r="AE373" s="194">
        <f>IF(AD373="","",AD373*SFAssumptions!$C$3)</f>
        <v>4062.3365116530003</v>
      </c>
      <c r="AF373" s="192">
        <f t="shared" si="168"/>
        <v>3.5</v>
      </c>
      <c r="AG373" s="192">
        <f t="shared" si="183"/>
        <v>4.5212599999999998</v>
      </c>
      <c r="AH373" s="192">
        <f t="shared" si="184"/>
        <v>1.8203100000000001</v>
      </c>
      <c r="AI373" s="692">
        <f ca="1">IF(AC373="","",AC373*SFAssumptions!$C$8/'SavingsData&amp;Analysis'!AF373)</f>
        <v>532.66092474342702</v>
      </c>
      <c r="AJ373" s="692">
        <f ca="1">IF(OR(AE373="",AF373=""),"",AE373*SFAssumptions!$C$8/AF373)</f>
        <v>4383.849901887058</v>
      </c>
      <c r="AK373" s="191">
        <f t="shared" si="185"/>
        <v>1.6055045871559632</v>
      </c>
      <c r="AL373" s="692">
        <f>IF(AK373="","",AK373*SFAssumptions!$C$3)</f>
        <v>412.15438073394495</v>
      </c>
      <c r="AM373" s="193">
        <f t="shared" si="186"/>
        <v>15.049999999999999</v>
      </c>
      <c r="AN373" s="194">
        <f>IF(AM373="","",AM373*SFAssumptions!$C$3)</f>
        <v>3863.5351649999998</v>
      </c>
      <c r="AO373" s="693">
        <f t="shared" si="187"/>
        <v>4.3</v>
      </c>
      <c r="AP373" s="693">
        <f t="shared" si="188"/>
        <v>2.1800000000000002</v>
      </c>
      <c r="AQ373" s="692">
        <f ca="1">IF(AL373="","",AL373*SFAssumptions!$C$8/'SavingsData&amp;Analysis'!AF373)</f>
        <v>444.77431555949892</v>
      </c>
      <c r="AR373" s="692">
        <f ca="1">IF(OR(AN373="",AF373=""),"",AN373*SFAssumptions!$C$8/AF373)</f>
        <v>4169.3144340547424</v>
      </c>
      <c r="AS373" s="190" t="str">
        <f>IF(OR(AG373="",AH373=""),"No",IF(AND(G373="Horizontal",AH373&gt;='Eff. Standards &amp; Certifications'!$B$21,AG373&lt;='Eff. Standards &amp; Certifications'!$C$21),"Consider",IF(AND(G373="Vertical",AH373&gt;='Eff. Standards &amp; Certifications'!$B$20,AG373&lt;='Eff. Standards &amp; Certifications'!$C$20),"Consider","No")))</f>
        <v>No</v>
      </c>
      <c r="AT373" s="190" t="str">
        <f t="shared" si="170"/>
        <v>Residential</v>
      </c>
      <c r="AU373" s="190"/>
      <c r="AV373" s="190" t="str">
        <f t="shared" si="192"/>
        <v>NO</v>
      </c>
      <c r="AW373" s="190" t="str">
        <f t="shared" si="192"/>
        <v>NO</v>
      </c>
      <c r="AX373" s="190" t="str">
        <f t="shared" si="189"/>
        <v>NO</v>
      </c>
      <c r="AY373" s="190" t="str">
        <f t="shared" si="172"/>
        <v>NO</v>
      </c>
      <c r="AZ373" s="190" t="str">
        <f t="shared" si="172"/>
        <v>NO</v>
      </c>
      <c r="BA373" s="190" t="str">
        <f t="shared" si="190"/>
        <v>NO</v>
      </c>
      <c r="BB373" s="190" t="str">
        <f t="shared" si="173"/>
        <v>NO</v>
      </c>
      <c r="BC373" s="190" t="str">
        <f t="shared" si="174"/>
        <v>NO</v>
      </c>
      <c r="BD373" s="190" t="str">
        <f t="shared" si="191"/>
        <v>NO</v>
      </c>
      <c r="BE373" s="190" t="str">
        <f t="shared" si="175"/>
        <v>NO</v>
      </c>
      <c r="BF373" s="190" t="str">
        <f t="shared" si="176"/>
        <v>NO</v>
      </c>
      <c r="BG373" s="190" t="str">
        <f t="shared" si="177"/>
        <v>NO</v>
      </c>
      <c r="BH373" s="88"/>
      <c r="BI373" s="9"/>
      <c r="BJ373" s="694" t="str">
        <f t="shared" si="193"/>
        <v/>
      </c>
      <c r="BK373" s="694" t="str">
        <f t="shared" si="193"/>
        <v/>
      </c>
      <c r="BL373" s="694" t="str">
        <f t="shared" si="194"/>
        <v/>
      </c>
      <c r="BM373" s="694" t="str">
        <f t="shared" si="194"/>
        <v/>
      </c>
      <c r="BN373" s="88"/>
      <c r="BO373" s="195"/>
      <c r="BP373" s="195"/>
      <c r="BQ373" s="195"/>
      <c r="BR373" s="195"/>
      <c r="BS373" s="195"/>
      <c r="BT373" s="195"/>
      <c r="BU373" s="195"/>
      <c r="BV373" s="195"/>
      <c r="BW373" s="195"/>
      <c r="BX373" s="195"/>
    </row>
    <row r="374" spans="1:76" s="124" customFormat="1" ht="15">
      <c r="A374" s="187">
        <v>625</v>
      </c>
      <c r="B374" s="187" t="s">
        <v>625</v>
      </c>
      <c r="C374" s="187" t="s">
        <v>557</v>
      </c>
      <c r="D374" s="187" t="s">
        <v>721</v>
      </c>
      <c r="E374" s="187" t="s">
        <v>385</v>
      </c>
      <c r="F374" s="187" t="s">
        <v>386</v>
      </c>
      <c r="G374" s="187" t="s">
        <v>387</v>
      </c>
      <c r="H374" s="187" t="b">
        <v>0</v>
      </c>
      <c r="I374" s="187" t="s">
        <v>388</v>
      </c>
      <c r="J374" s="187" t="s">
        <v>389</v>
      </c>
      <c r="K374" s="187" t="b">
        <v>1</v>
      </c>
      <c r="L374" s="187">
        <v>3.5</v>
      </c>
      <c r="M374" s="187">
        <v>0.41</v>
      </c>
      <c r="N374" s="187">
        <v>14.52</v>
      </c>
      <c r="O374" s="187">
        <v>4.0999999999999996</v>
      </c>
      <c r="P374" s="187">
        <v>8.5399999999999991</v>
      </c>
      <c r="Q374" s="187"/>
      <c r="R374" s="187"/>
      <c r="S374" s="187"/>
      <c r="T374" s="187"/>
      <c r="U374" s="187">
        <v>38.700000000000003</v>
      </c>
      <c r="V374" s="187">
        <v>2.31</v>
      </c>
      <c r="W374" s="188">
        <v>40170</v>
      </c>
      <c r="X374" s="691">
        <f t="shared" si="195"/>
        <v>1.939195</v>
      </c>
      <c r="Y374" s="691">
        <f t="shared" si="169"/>
        <v>4.3164199999999999</v>
      </c>
      <c r="Z374" s="189"/>
      <c r="AA374" s="190">
        <f t="shared" si="180"/>
        <v>2009</v>
      </c>
      <c r="AB374" s="191">
        <f t="shared" si="181"/>
        <v>1.8048726404513213</v>
      </c>
      <c r="AC374" s="192">
        <f>IF(AB374="","",AB374*SFAssumptions!$C$3)</f>
        <v>463.33481160997218</v>
      </c>
      <c r="AD374" s="193">
        <f t="shared" si="182"/>
        <v>15.107469999999999</v>
      </c>
      <c r="AE374" s="194">
        <f>IF(AD374="","",AD374*SFAssumptions!$C$3)</f>
        <v>3878.2884783509999</v>
      </c>
      <c r="AF374" s="192">
        <f t="shared" si="168"/>
        <v>3.5</v>
      </c>
      <c r="AG374" s="192">
        <f t="shared" si="183"/>
        <v>4.3164199999999999</v>
      </c>
      <c r="AH374" s="192">
        <f t="shared" si="184"/>
        <v>1.939195</v>
      </c>
      <c r="AI374" s="692">
        <f ca="1">IF(AC374="","",AC374*SFAssumptions!$C$8/'SavingsData&amp;Analysis'!AF374)</f>
        <v>500.00541870193956</v>
      </c>
      <c r="AJ374" s="692">
        <f ca="1">IF(OR(AE374="",AF374=""),"",AE374*SFAssumptions!$C$8/AF374)</f>
        <v>4185.235397544785</v>
      </c>
      <c r="AK374" s="191">
        <f t="shared" si="185"/>
        <v>1.5151515151515151</v>
      </c>
      <c r="AL374" s="692">
        <f>IF(AK374="","",AK374*SFAssumptions!$C$3)</f>
        <v>388.95954545454543</v>
      </c>
      <c r="AM374" s="193">
        <f t="shared" si="186"/>
        <v>14.349999999999998</v>
      </c>
      <c r="AN374" s="194">
        <f>IF(AM374="","",AM374*SFAssumptions!$C$3)</f>
        <v>3683.8358549999994</v>
      </c>
      <c r="AO374" s="693">
        <f t="shared" si="187"/>
        <v>4.0999999999999996</v>
      </c>
      <c r="AP374" s="693">
        <f t="shared" si="188"/>
        <v>2.31</v>
      </c>
      <c r="AQ374" s="692">
        <f ca="1">IF(AL374="","",AL374*SFAssumptions!$C$8/'SavingsData&amp;Analysis'!AF374)</f>
        <v>419.74372637216777</v>
      </c>
      <c r="AR374" s="692">
        <f ca="1">IF(OR(AN374="",AF374=""),"",AN374*SFAssumptions!$C$8/AF374)</f>
        <v>3975.3928324708008</v>
      </c>
      <c r="AS374" s="190" t="str">
        <f>IF(OR(AG374="",AH374=""),"No",IF(AND(G374="Horizontal",AH374&gt;='Eff. Standards &amp; Certifications'!$B$21,AG374&lt;='Eff. Standards &amp; Certifications'!$C$21),"Consider",IF(AND(G374="Vertical",AH374&gt;='Eff. Standards &amp; Certifications'!$B$20,AG374&lt;='Eff. Standards &amp; Certifications'!$C$20),"Consider","No")))</f>
        <v>Consider</v>
      </c>
      <c r="AT374" s="190" t="str">
        <f t="shared" si="170"/>
        <v>Residential</v>
      </c>
      <c r="AU374" s="190"/>
      <c r="AV374" s="190" t="str">
        <f t="shared" si="192"/>
        <v>NO</v>
      </c>
      <c r="AW374" s="190" t="str">
        <f t="shared" si="192"/>
        <v>YES</v>
      </c>
      <c r="AX374" s="190" t="str">
        <f t="shared" si="189"/>
        <v>YES</v>
      </c>
      <c r="AY374" s="190" t="str">
        <f t="shared" si="172"/>
        <v>NO</v>
      </c>
      <c r="AZ374" s="190" t="str">
        <f t="shared" si="172"/>
        <v>YES</v>
      </c>
      <c r="BA374" s="190" t="str">
        <f t="shared" si="190"/>
        <v>YES</v>
      </c>
      <c r="BB374" s="190" t="str">
        <f t="shared" si="173"/>
        <v>NO</v>
      </c>
      <c r="BC374" s="190" t="str">
        <f t="shared" si="174"/>
        <v>NO</v>
      </c>
      <c r="BD374" s="190" t="str">
        <f t="shared" si="191"/>
        <v>NO</v>
      </c>
      <c r="BE374" s="190" t="str">
        <f t="shared" si="175"/>
        <v>NO</v>
      </c>
      <c r="BF374" s="190" t="str">
        <f t="shared" si="176"/>
        <v>NO</v>
      </c>
      <c r="BG374" s="190" t="str">
        <f t="shared" si="177"/>
        <v>NO</v>
      </c>
      <c r="BH374" s="88"/>
      <c r="BI374" s="9"/>
      <c r="BJ374" s="694" t="str">
        <f t="shared" si="193"/>
        <v/>
      </c>
      <c r="BK374" s="694">
        <f t="shared" si="193"/>
        <v>1.939195</v>
      </c>
      <c r="BL374" s="694" t="str">
        <f t="shared" si="194"/>
        <v/>
      </c>
      <c r="BM374" s="694">
        <f t="shared" si="194"/>
        <v>4.3164199999999999</v>
      </c>
      <c r="BN374" s="88"/>
      <c r="BO374" s="195"/>
      <c r="BP374" s="195"/>
      <c r="BQ374" s="195"/>
      <c r="BR374" s="195"/>
      <c r="BS374" s="195"/>
      <c r="BT374" s="195"/>
      <c r="BU374" s="195"/>
      <c r="BV374" s="195"/>
      <c r="BW374" s="195"/>
      <c r="BX374" s="195"/>
    </row>
    <row r="375" spans="1:76" s="124" customFormat="1" ht="15">
      <c r="A375" s="187">
        <v>626</v>
      </c>
      <c r="B375" s="187" t="s">
        <v>625</v>
      </c>
      <c r="C375" s="187" t="s">
        <v>557</v>
      </c>
      <c r="D375" s="187" t="s">
        <v>722</v>
      </c>
      <c r="E375" s="187" t="s">
        <v>385</v>
      </c>
      <c r="F375" s="187" t="s">
        <v>386</v>
      </c>
      <c r="G375" s="187" t="s">
        <v>387</v>
      </c>
      <c r="H375" s="187" t="b">
        <v>0</v>
      </c>
      <c r="I375" s="187" t="s">
        <v>388</v>
      </c>
      <c r="J375" s="187" t="s">
        <v>389</v>
      </c>
      <c r="K375" s="187" t="b">
        <v>1</v>
      </c>
      <c r="L375" s="187">
        <v>3.9</v>
      </c>
      <c r="M375" s="187">
        <v>0.42</v>
      </c>
      <c r="N375" s="187">
        <v>14.69</v>
      </c>
      <c r="O375" s="187">
        <v>3.8</v>
      </c>
      <c r="P375" s="187">
        <v>9.15</v>
      </c>
      <c r="Q375" s="187"/>
      <c r="R375" s="187"/>
      <c r="S375" s="187"/>
      <c r="T375" s="187"/>
      <c r="U375" s="187">
        <v>35</v>
      </c>
      <c r="V375" s="187">
        <v>2.59</v>
      </c>
      <c r="W375" s="188">
        <v>40170</v>
      </c>
      <c r="X375" s="691">
        <f t="shared" si="195"/>
        <v>2.1952549999999995</v>
      </c>
      <c r="Y375" s="691">
        <f t="shared" si="169"/>
        <v>4.0091599999999996</v>
      </c>
      <c r="Z375" s="189"/>
      <c r="AA375" s="190">
        <f t="shared" si="180"/>
        <v>2009</v>
      </c>
      <c r="AB375" s="191">
        <f t="shared" si="181"/>
        <v>1.7765589874524832</v>
      </c>
      <c r="AC375" s="192">
        <f>IF(AB375="","",AB375*SFAssumptions!$C$3)</f>
        <v>456.06632031358555</v>
      </c>
      <c r="AD375" s="193">
        <f t="shared" si="182"/>
        <v>15.635723999999998</v>
      </c>
      <c r="AE375" s="194">
        <f>IF(AD375="","",AD375*SFAssumptions!$C$3)</f>
        <v>4013.8983059291995</v>
      </c>
      <c r="AF375" s="192">
        <f t="shared" si="168"/>
        <v>3.9</v>
      </c>
      <c r="AG375" s="192">
        <f t="shared" si="183"/>
        <v>4.0091599999999996</v>
      </c>
      <c r="AH375" s="192">
        <f t="shared" si="184"/>
        <v>2.1952549999999995</v>
      </c>
      <c r="AI375" s="692">
        <f ca="1">IF(AC375="","",AC375*SFAssumptions!$C$8/'SavingsData&amp;Analysis'!AF375)</f>
        <v>441.68354378862949</v>
      </c>
      <c r="AJ375" s="692">
        <f ca="1">IF(OR(AE375="",AF375=""),"",AE375*SFAssumptions!$C$8/AF375)</f>
        <v>3887.313641031375</v>
      </c>
      <c r="AK375" s="191">
        <f t="shared" si="185"/>
        <v>1.5057915057915059</v>
      </c>
      <c r="AL375" s="692">
        <f>IF(AK375="","",AK375*SFAssumptions!$C$3)</f>
        <v>386.5567065637066</v>
      </c>
      <c r="AM375" s="193">
        <f t="shared" si="186"/>
        <v>14.819999999999999</v>
      </c>
      <c r="AN375" s="194">
        <f>IF(AM375="","",AM375*SFAssumptions!$C$3)</f>
        <v>3804.4911059999995</v>
      </c>
      <c r="AO375" s="693">
        <f t="shared" si="187"/>
        <v>3.8</v>
      </c>
      <c r="AP375" s="693">
        <f t="shared" si="188"/>
        <v>2.59</v>
      </c>
      <c r="AQ375" s="692">
        <f ca="1">IF(AL375="","",AL375*SFAssumptions!$C$8/'SavingsData&amp;Analysis'!AF375)</f>
        <v>374.36602622382543</v>
      </c>
      <c r="AR375" s="692">
        <f ca="1">IF(OR(AN375="",AF375=""),"",AN375*SFAssumptions!$C$8/AF375)</f>
        <v>3684.5104300948888</v>
      </c>
      <c r="AS375" s="190" t="str">
        <f>IF(OR(AG375="",AH375=""),"No",IF(AND(G375="Horizontal",AH375&gt;='Eff. Standards &amp; Certifications'!$B$21,AG375&lt;='Eff. Standards &amp; Certifications'!$C$21),"Consider",IF(AND(G375="Vertical",AH375&gt;='Eff. Standards &amp; Certifications'!$B$20,AG375&lt;='Eff. Standards &amp; Certifications'!$C$20),"Consider","No")))</f>
        <v>Consider</v>
      </c>
      <c r="AT375" s="190" t="str">
        <f t="shared" si="170"/>
        <v>Residential</v>
      </c>
      <c r="AU375" s="190"/>
      <c r="AV375" s="190" t="str">
        <f t="shared" si="192"/>
        <v>NO</v>
      </c>
      <c r="AW375" s="190" t="str">
        <f t="shared" si="192"/>
        <v>YES</v>
      </c>
      <c r="AX375" s="190" t="str">
        <f t="shared" si="189"/>
        <v>YES</v>
      </c>
      <c r="AY375" s="190" t="str">
        <f t="shared" si="172"/>
        <v>NO</v>
      </c>
      <c r="AZ375" s="190" t="str">
        <f t="shared" si="172"/>
        <v>YES</v>
      </c>
      <c r="BA375" s="190" t="str">
        <f t="shared" si="190"/>
        <v>YES</v>
      </c>
      <c r="BB375" s="190" t="str">
        <f t="shared" si="173"/>
        <v>NO</v>
      </c>
      <c r="BC375" s="190" t="str">
        <f t="shared" si="174"/>
        <v>NO</v>
      </c>
      <c r="BD375" s="190" t="str">
        <f t="shared" si="191"/>
        <v>NO</v>
      </c>
      <c r="BE375" s="190" t="str">
        <f t="shared" si="175"/>
        <v>NO</v>
      </c>
      <c r="BF375" s="190" t="str">
        <f t="shared" si="176"/>
        <v>NO</v>
      </c>
      <c r="BG375" s="190" t="str">
        <f t="shared" si="177"/>
        <v>NO</v>
      </c>
      <c r="BH375" s="88"/>
      <c r="BI375" s="9"/>
      <c r="BJ375" s="694" t="str">
        <f t="shared" si="193"/>
        <v/>
      </c>
      <c r="BK375" s="694">
        <f t="shared" si="193"/>
        <v>2.1952549999999995</v>
      </c>
      <c r="BL375" s="694" t="str">
        <f t="shared" si="194"/>
        <v/>
      </c>
      <c r="BM375" s="694">
        <f t="shared" si="194"/>
        <v>4.0091599999999996</v>
      </c>
      <c r="BN375" s="88"/>
      <c r="BO375" s="195"/>
      <c r="BP375" s="195"/>
      <c r="BQ375" s="195"/>
      <c r="BR375" s="195"/>
      <c r="BS375" s="195"/>
      <c r="BT375" s="195"/>
      <c r="BU375" s="195"/>
      <c r="BV375" s="195"/>
      <c r="BW375" s="195"/>
      <c r="BX375" s="195"/>
    </row>
    <row r="376" spans="1:76" s="124" customFormat="1" ht="15">
      <c r="A376" s="187">
        <v>628</v>
      </c>
      <c r="B376" s="187" t="s">
        <v>625</v>
      </c>
      <c r="C376" s="187" t="s">
        <v>557</v>
      </c>
      <c r="D376" s="187" t="s">
        <v>723</v>
      </c>
      <c r="E376" s="187" t="s">
        <v>385</v>
      </c>
      <c r="F376" s="187" t="s">
        <v>386</v>
      </c>
      <c r="G376" s="187" t="s">
        <v>387</v>
      </c>
      <c r="H376" s="187" t="b">
        <v>0</v>
      </c>
      <c r="I376" s="187" t="s">
        <v>388</v>
      </c>
      <c r="J376" s="187" t="s">
        <v>389</v>
      </c>
      <c r="K376" s="187" t="b">
        <v>1</v>
      </c>
      <c r="L376" s="187">
        <v>3.9</v>
      </c>
      <c r="M376" s="187">
        <v>0.37</v>
      </c>
      <c r="N376" s="187">
        <v>13.95</v>
      </c>
      <c r="O376" s="187">
        <v>3.6</v>
      </c>
      <c r="P376" s="187">
        <v>10.31</v>
      </c>
      <c r="Q376" s="187"/>
      <c r="R376" s="187"/>
      <c r="S376" s="187"/>
      <c r="T376" s="187"/>
      <c r="U376" s="187">
        <v>35.200000000000003</v>
      </c>
      <c r="V376" s="187">
        <v>2.66</v>
      </c>
      <c r="W376" s="188">
        <v>40170</v>
      </c>
      <c r="X376" s="691">
        <f t="shared" si="195"/>
        <v>2.2592699999999999</v>
      </c>
      <c r="Y376" s="691">
        <f t="shared" si="169"/>
        <v>3.8043200000000001</v>
      </c>
      <c r="Z376" s="189"/>
      <c r="AA376" s="190">
        <f t="shared" si="180"/>
        <v>2009</v>
      </c>
      <c r="AB376" s="191">
        <f t="shared" si="181"/>
        <v>1.7262213015708614</v>
      </c>
      <c r="AC376" s="192">
        <f>IF(AB376="","",AB376*SFAssumptions!$C$3)</f>
        <v>443.143966856551</v>
      </c>
      <c r="AD376" s="193">
        <f t="shared" si="182"/>
        <v>14.836848</v>
      </c>
      <c r="AE376" s="194">
        <f>IF(AD376="","",AD376*SFAssumptions!$C$3)</f>
        <v>3808.8162116784001</v>
      </c>
      <c r="AF376" s="192">
        <f t="shared" si="168"/>
        <v>3.9</v>
      </c>
      <c r="AG376" s="192">
        <f t="shared" si="183"/>
        <v>3.8043200000000001</v>
      </c>
      <c r="AH376" s="192">
        <f t="shared" si="184"/>
        <v>2.2592699999999999</v>
      </c>
      <c r="AI376" s="692">
        <f ca="1">IF(AC376="","",AC376*SFAssumptions!$C$8/'SavingsData&amp;Analysis'!AF376)</f>
        <v>429.1687172935097</v>
      </c>
      <c r="AJ376" s="692">
        <f ca="1">IF(OR(AE376="",AF376=""),"",AE376*SFAssumptions!$C$8/AF376)</f>
        <v>3688.6991366891025</v>
      </c>
      <c r="AK376" s="191">
        <f t="shared" si="185"/>
        <v>1.4661654135338344</v>
      </c>
      <c r="AL376" s="692">
        <f>IF(AK376="","",AK376*SFAssumptions!$C$3)</f>
        <v>376.38416165413531</v>
      </c>
      <c r="AM376" s="193">
        <f t="shared" si="186"/>
        <v>14.04</v>
      </c>
      <c r="AN376" s="194">
        <f>IF(AM376="","",AM376*SFAssumptions!$C$3)</f>
        <v>3604.2547319999999</v>
      </c>
      <c r="AO376" s="693">
        <f t="shared" si="187"/>
        <v>3.6</v>
      </c>
      <c r="AP376" s="693">
        <f t="shared" si="188"/>
        <v>2.66</v>
      </c>
      <c r="AQ376" s="692">
        <f ca="1">IF(AL376="","",AL376*SFAssumptions!$C$8/'SavingsData&amp;Analysis'!AF376)</f>
        <v>364.51428869161941</v>
      </c>
      <c r="AR376" s="692">
        <f ca="1">IF(OR(AN376="",AF376=""),"",AN376*SFAssumptions!$C$8/AF376)</f>
        <v>3490.5888285109477</v>
      </c>
      <c r="AS376" s="190" t="str">
        <f>IF(OR(AG376="",AH376=""),"No",IF(AND(G376="Horizontal",AH376&gt;='Eff. Standards &amp; Certifications'!$B$21,AG376&lt;='Eff. Standards &amp; Certifications'!$C$21),"Consider",IF(AND(G376="Vertical",AH376&gt;='Eff. Standards &amp; Certifications'!$B$20,AG376&lt;='Eff. Standards &amp; Certifications'!$C$20),"Consider","No")))</f>
        <v>Consider</v>
      </c>
      <c r="AT376" s="190" t="str">
        <f t="shared" si="170"/>
        <v>Residential</v>
      </c>
      <c r="AU376" s="190"/>
      <c r="AV376" s="190" t="str">
        <f t="shared" si="192"/>
        <v>NO</v>
      </c>
      <c r="AW376" s="190" t="str">
        <f t="shared" si="192"/>
        <v>YES</v>
      </c>
      <c r="AX376" s="190" t="str">
        <f t="shared" si="189"/>
        <v>YES</v>
      </c>
      <c r="AY376" s="190" t="str">
        <f t="shared" si="172"/>
        <v>NO</v>
      </c>
      <c r="AZ376" s="190" t="str">
        <f t="shared" si="172"/>
        <v>YES</v>
      </c>
      <c r="BA376" s="190" t="str">
        <f t="shared" si="190"/>
        <v>YES</v>
      </c>
      <c r="BB376" s="190" t="str">
        <f t="shared" si="173"/>
        <v>NO</v>
      </c>
      <c r="BC376" s="190" t="str">
        <f t="shared" si="174"/>
        <v>NO</v>
      </c>
      <c r="BD376" s="190" t="str">
        <f t="shared" si="191"/>
        <v>NO</v>
      </c>
      <c r="BE376" s="190" t="str">
        <f t="shared" si="175"/>
        <v>NO</v>
      </c>
      <c r="BF376" s="190" t="str">
        <f t="shared" si="176"/>
        <v>NO</v>
      </c>
      <c r="BG376" s="190" t="str">
        <f t="shared" si="177"/>
        <v>NO</v>
      </c>
      <c r="BH376" s="88"/>
      <c r="BI376" s="9"/>
      <c r="BJ376" s="694" t="str">
        <f t="shared" si="193"/>
        <v/>
      </c>
      <c r="BK376" s="694">
        <f t="shared" si="193"/>
        <v>2.2592699999999999</v>
      </c>
      <c r="BL376" s="694" t="str">
        <f t="shared" si="194"/>
        <v/>
      </c>
      <c r="BM376" s="694">
        <f t="shared" si="194"/>
        <v>3.8043200000000001</v>
      </c>
      <c r="BN376" s="88"/>
      <c r="BO376" s="195"/>
      <c r="BP376" s="195"/>
      <c r="BQ376" s="195"/>
      <c r="BR376" s="195"/>
      <c r="BS376" s="195"/>
      <c r="BT376" s="195"/>
      <c r="BU376" s="195"/>
      <c r="BV376" s="195"/>
      <c r="BW376" s="195"/>
      <c r="BX376" s="195"/>
    </row>
    <row r="377" spans="1:76" s="124" customFormat="1" ht="15">
      <c r="A377" s="187">
        <v>554</v>
      </c>
      <c r="B377" s="187" t="s">
        <v>625</v>
      </c>
      <c r="C377" s="187" t="s">
        <v>557</v>
      </c>
      <c r="D377" s="187" t="s">
        <v>724</v>
      </c>
      <c r="E377" s="187" t="s">
        <v>385</v>
      </c>
      <c r="F377" s="187" t="s">
        <v>386</v>
      </c>
      <c r="G377" s="187" t="s">
        <v>387</v>
      </c>
      <c r="H377" s="187" t="b">
        <v>0</v>
      </c>
      <c r="I377" s="187" t="s">
        <v>388</v>
      </c>
      <c r="J377" s="187" t="s">
        <v>389</v>
      </c>
      <c r="K377" s="187" t="b">
        <v>1</v>
      </c>
      <c r="L377" s="187">
        <v>3.8</v>
      </c>
      <c r="M377" s="187">
        <v>0.36</v>
      </c>
      <c r="N377" s="187">
        <v>13.45</v>
      </c>
      <c r="O377" s="187">
        <v>3.5</v>
      </c>
      <c r="P377" s="187">
        <v>10.57</v>
      </c>
      <c r="Q377" s="187"/>
      <c r="R377" s="187"/>
      <c r="S377" s="187"/>
      <c r="T377" s="187"/>
      <c r="U377" s="187">
        <v>37.1</v>
      </c>
      <c r="V377" s="187">
        <v>2.58</v>
      </c>
      <c r="W377" s="188">
        <v>40316</v>
      </c>
      <c r="X377" s="691">
        <f t="shared" si="195"/>
        <v>2.1861100000000002</v>
      </c>
      <c r="Y377" s="691">
        <f t="shared" si="169"/>
        <v>3.7018999999999997</v>
      </c>
      <c r="Z377" s="189"/>
      <c r="AA377" s="190">
        <f t="shared" si="180"/>
        <v>2010</v>
      </c>
      <c r="AB377" s="191">
        <f t="shared" si="181"/>
        <v>1.7382473891981645</v>
      </c>
      <c r="AC377" s="192">
        <f>IF(AB377="","",AB377*SFAssumptions!$C$3)</f>
        <v>446.23122349744517</v>
      </c>
      <c r="AD377" s="193">
        <f t="shared" si="182"/>
        <v>14.067219999999999</v>
      </c>
      <c r="AE377" s="194">
        <f>IF(AD377="","",AD377*SFAssumptions!$C$3)</f>
        <v>3611.2424680259996</v>
      </c>
      <c r="AF377" s="192">
        <f t="shared" si="168"/>
        <v>3.8</v>
      </c>
      <c r="AG377" s="192">
        <f t="shared" si="183"/>
        <v>3.7018999999999997</v>
      </c>
      <c r="AH377" s="192">
        <f t="shared" si="184"/>
        <v>2.1861100000000002</v>
      </c>
      <c r="AI377" s="692">
        <f ca="1">IF(AC377="","",AC377*SFAssumptions!$C$8/'SavingsData&amp;Analysis'!AF377)</f>
        <v>443.53120745054349</v>
      </c>
      <c r="AJ377" s="692">
        <f ca="1">IF(OR(AE377="",AF377=""),"",AE377*SFAssumptions!$C$8/AF377)</f>
        <v>3589.391884517966</v>
      </c>
      <c r="AK377" s="191">
        <f t="shared" si="185"/>
        <v>1.4728682170542635</v>
      </c>
      <c r="AL377" s="692">
        <f>IF(AK377="","",AK377*SFAssumptions!$C$3)</f>
        <v>378.10486046511625</v>
      </c>
      <c r="AM377" s="193">
        <f t="shared" si="186"/>
        <v>13.299999999999999</v>
      </c>
      <c r="AN377" s="194">
        <f>IF(AM377="","",AM377*SFAssumptions!$C$3)</f>
        <v>3414.2868899999999</v>
      </c>
      <c r="AO377" s="693">
        <f t="shared" si="187"/>
        <v>3.5</v>
      </c>
      <c r="AP377" s="693">
        <f t="shared" si="188"/>
        <v>2.58</v>
      </c>
      <c r="AQ377" s="692">
        <f ca="1">IF(AL377="","",AL377*SFAssumptions!$C$8/'SavingsData&amp;Analysis'!AF377)</f>
        <v>375.81705733322002</v>
      </c>
      <c r="AR377" s="692">
        <f ca="1">IF(OR(AN377="",AF377=""),"",AN377*SFAssumptions!$C$8/AF377)</f>
        <v>3393.6280277189767</v>
      </c>
      <c r="AS377" s="190" t="str">
        <f>IF(OR(AG377="",AH377=""),"No",IF(AND(G377="Horizontal",AH377&gt;='Eff. Standards &amp; Certifications'!$B$21,AG377&lt;='Eff. Standards &amp; Certifications'!$C$21),"Consider",IF(AND(G377="Vertical",AH377&gt;='Eff. Standards &amp; Certifications'!$B$20,AG377&lt;='Eff. Standards &amp; Certifications'!$C$20),"Consider","No")))</f>
        <v>Consider</v>
      </c>
      <c r="AT377" s="190" t="str">
        <f t="shared" si="170"/>
        <v>Residential</v>
      </c>
      <c r="AU377" s="190"/>
      <c r="AV377" s="190" t="str">
        <f t="shared" si="192"/>
        <v>NO</v>
      </c>
      <c r="AW377" s="190" t="str">
        <f t="shared" si="192"/>
        <v>YES</v>
      </c>
      <c r="AX377" s="190" t="str">
        <f t="shared" si="189"/>
        <v>YES</v>
      </c>
      <c r="AY377" s="190" t="str">
        <f t="shared" si="172"/>
        <v>NO</v>
      </c>
      <c r="AZ377" s="190" t="str">
        <f t="shared" si="172"/>
        <v>YES</v>
      </c>
      <c r="BA377" s="190" t="str">
        <f t="shared" si="190"/>
        <v>YES</v>
      </c>
      <c r="BB377" s="190" t="str">
        <f t="shared" si="173"/>
        <v>NO</v>
      </c>
      <c r="BC377" s="190" t="str">
        <f t="shared" si="174"/>
        <v>NO</v>
      </c>
      <c r="BD377" s="190" t="str">
        <f t="shared" si="191"/>
        <v>NO</v>
      </c>
      <c r="BE377" s="190" t="str">
        <f t="shared" si="175"/>
        <v>NO</v>
      </c>
      <c r="BF377" s="190" t="str">
        <f t="shared" si="176"/>
        <v>NO</v>
      </c>
      <c r="BG377" s="190" t="str">
        <f t="shared" si="177"/>
        <v>NO</v>
      </c>
      <c r="BH377" s="88"/>
      <c r="BI377" s="9"/>
      <c r="BJ377" s="694" t="str">
        <f t="shared" si="193"/>
        <v/>
      </c>
      <c r="BK377" s="694">
        <f t="shared" si="193"/>
        <v>2.1861100000000002</v>
      </c>
      <c r="BL377" s="694" t="str">
        <f t="shared" si="194"/>
        <v/>
      </c>
      <c r="BM377" s="694">
        <f t="shared" si="194"/>
        <v>3.7018999999999997</v>
      </c>
      <c r="BN377" s="88"/>
      <c r="BO377" s="195"/>
      <c r="BP377" s="195"/>
      <c r="BQ377" s="195"/>
      <c r="BR377" s="195"/>
      <c r="BS377" s="195"/>
      <c r="BT377" s="195"/>
      <c r="BU377" s="195"/>
      <c r="BV377" s="195"/>
      <c r="BW377" s="195"/>
      <c r="BX377" s="195"/>
    </row>
    <row r="378" spans="1:76" s="124" customFormat="1" ht="15">
      <c r="A378" s="187">
        <v>629</v>
      </c>
      <c r="B378" s="187" t="s">
        <v>625</v>
      </c>
      <c r="C378" s="187" t="s">
        <v>557</v>
      </c>
      <c r="D378" s="187" t="s">
        <v>725</v>
      </c>
      <c r="E378" s="187" t="s">
        <v>385</v>
      </c>
      <c r="F378" s="187" t="s">
        <v>386</v>
      </c>
      <c r="G378" s="187" t="s">
        <v>387</v>
      </c>
      <c r="H378" s="187" t="b">
        <v>0</v>
      </c>
      <c r="I378" s="187" t="s">
        <v>388</v>
      </c>
      <c r="J378" s="187" t="s">
        <v>389</v>
      </c>
      <c r="K378" s="187" t="b">
        <v>1</v>
      </c>
      <c r="L378" s="187">
        <v>3.9</v>
      </c>
      <c r="M378" s="187">
        <v>0.35</v>
      </c>
      <c r="N378" s="187">
        <v>13.24</v>
      </c>
      <c r="O378" s="187">
        <v>3.4</v>
      </c>
      <c r="P378" s="187">
        <v>11.16</v>
      </c>
      <c r="Q378" s="187"/>
      <c r="R378" s="187"/>
      <c r="S378" s="187"/>
      <c r="T378" s="187"/>
      <c r="U378" s="187">
        <v>36.5</v>
      </c>
      <c r="V378" s="187">
        <v>2.63</v>
      </c>
      <c r="W378" s="188">
        <v>40170</v>
      </c>
      <c r="X378" s="691">
        <f t="shared" si="195"/>
        <v>2.2318350000000002</v>
      </c>
      <c r="Y378" s="691">
        <f t="shared" si="169"/>
        <v>3.5994799999999998</v>
      </c>
      <c r="Z378" s="189"/>
      <c r="AA378" s="190">
        <f t="shared" si="180"/>
        <v>2009</v>
      </c>
      <c r="AB378" s="191">
        <f t="shared" si="181"/>
        <v>1.7474410070636941</v>
      </c>
      <c r="AC378" s="192">
        <f>IF(AB378="","",AB378*SFAssumptions!$C$3)</f>
        <v>448.59134747864425</v>
      </c>
      <c r="AD378" s="193">
        <f t="shared" si="182"/>
        <v>14.037971999999998</v>
      </c>
      <c r="AE378" s="194">
        <f>IF(AD378="","",AD378*SFAssumptions!$C$3)</f>
        <v>3603.7341174275994</v>
      </c>
      <c r="AF378" s="192">
        <f t="shared" si="168"/>
        <v>3.9</v>
      </c>
      <c r="AG378" s="192">
        <f t="shared" si="183"/>
        <v>3.5994799999999998</v>
      </c>
      <c r="AH378" s="192">
        <f t="shared" si="184"/>
        <v>2.2318350000000002</v>
      </c>
      <c r="AI378" s="692">
        <f ca="1">IF(AC378="","",AC378*SFAssumptions!$C$8/'SavingsData&amp;Analysis'!AF378)</f>
        <v>434.44430610672725</v>
      </c>
      <c r="AJ378" s="692">
        <f ca="1">IF(OR(AE378="",AF378=""),"",AE378*SFAssumptions!$C$8/AF378)</f>
        <v>3490.0846323468286</v>
      </c>
      <c r="AK378" s="191">
        <f t="shared" si="185"/>
        <v>1.4828897338403042</v>
      </c>
      <c r="AL378" s="692">
        <f>IF(AK378="","",AK378*SFAssumptions!$C$3)</f>
        <v>380.67751711026619</v>
      </c>
      <c r="AM378" s="193">
        <f t="shared" si="186"/>
        <v>13.26</v>
      </c>
      <c r="AN378" s="194">
        <f>IF(AM378="","",AM378*SFAssumptions!$C$3)</f>
        <v>3404.0183579999998</v>
      </c>
      <c r="AO378" s="693">
        <f t="shared" si="187"/>
        <v>3.4</v>
      </c>
      <c r="AP378" s="693">
        <f t="shared" si="188"/>
        <v>2.63</v>
      </c>
      <c r="AQ378" s="692">
        <f ca="1">IF(AL378="","",AL378*SFAssumptions!$C$8/'SavingsData&amp;Analysis'!AF378)</f>
        <v>368.67224635730332</v>
      </c>
      <c r="AR378" s="692">
        <f ca="1">IF(OR(AN378="",AF378=""),"",AN378*SFAssumptions!$C$8/AF378)</f>
        <v>3296.6672269270057</v>
      </c>
      <c r="AS378" s="190" t="str">
        <f>IF(OR(AG378="",AH378=""),"No",IF(AND(G378="Horizontal",AH378&gt;='Eff. Standards &amp; Certifications'!$B$21,AG378&lt;='Eff. Standards &amp; Certifications'!$C$21),"Consider",IF(AND(G378="Vertical",AH378&gt;='Eff. Standards &amp; Certifications'!$B$20,AG378&lt;='Eff. Standards &amp; Certifications'!$C$20),"Consider","No")))</f>
        <v>Consider</v>
      </c>
      <c r="AT378" s="190" t="str">
        <f t="shared" si="170"/>
        <v>Residential</v>
      </c>
      <c r="AU378" s="190"/>
      <c r="AV378" s="190" t="str">
        <f t="shared" si="192"/>
        <v>NO</v>
      </c>
      <c r="AW378" s="190" t="str">
        <f t="shared" si="192"/>
        <v>YES</v>
      </c>
      <c r="AX378" s="190" t="str">
        <f t="shared" si="189"/>
        <v>YES</v>
      </c>
      <c r="AY378" s="190" t="str">
        <f t="shared" si="172"/>
        <v>NO</v>
      </c>
      <c r="AZ378" s="190" t="str">
        <f t="shared" si="172"/>
        <v>YES</v>
      </c>
      <c r="BA378" s="190" t="str">
        <f t="shared" si="190"/>
        <v>YES</v>
      </c>
      <c r="BB378" s="190" t="str">
        <f t="shared" si="173"/>
        <v>NO</v>
      </c>
      <c r="BC378" s="190" t="str">
        <f t="shared" si="174"/>
        <v>NO</v>
      </c>
      <c r="BD378" s="190" t="str">
        <f t="shared" si="191"/>
        <v>NO</v>
      </c>
      <c r="BE378" s="190" t="str">
        <f t="shared" si="175"/>
        <v>NO</v>
      </c>
      <c r="BF378" s="190" t="str">
        <f t="shared" si="176"/>
        <v>NO</v>
      </c>
      <c r="BG378" s="190" t="str">
        <f t="shared" si="177"/>
        <v>NO</v>
      </c>
      <c r="BH378" s="88"/>
      <c r="BI378" s="9"/>
      <c r="BJ378" s="694" t="str">
        <f t="shared" si="193"/>
        <v/>
      </c>
      <c r="BK378" s="694">
        <f t="shared" si="193"/>
        <v>2.2318350000000002</v>
      </c>
      <c r="BL378" s="694" t="str">
        <f t="shared" si="194"/>
        <v/>
      </c>
      <c r="BM378" s="694">
        <f t="shared" si="194"/>
        <v>3.5994799999999998</v>
      </c>
      <c r="BN378" s="88"/>
      <c r="BO378" s="195"/>
      <c r="BP378" s="195"/>
      <c r="BQ378" s="195"/>
      <c r="BR378" s="195"/>
      <c r="BS378" s="195"/>
      <c r="BT378" s="195"/>
      <c r="BU378" s="195"/>
      <c r="BV378" s="195"/>
      <c r="BW378" s="195"/>
      <c r="BX378" s="195"/>
    </row>
    <row r="379" spans="1:76" s="124" customFormat="1" ht="15">
      <c r="A379" s="187">
        <v>3067</v>
      </c>
      <c r="B379" s="187" t="s">
        <v>625</v>
      </c>
      <c r="C379" s="187" t="s">
        <v>557</v>
      </c>
      <c r="D379" s="187" t="s">
        <v>726</v>
      </c>
      <c r="E379" s="187" t="s">
        <v>385</v>
      </c>
      <c r="F379" s="187" t="s">
        <v>386</v>
      </c>
      <c r="G379" s="187" t="s">
        <v>387</v>
      </c>
      <c r="H379" s="187" t="b">
        <v>0</v>
      </c>
      <c r="I379" s="187" t="s">
        <v>388</v>
      </c>
      <c r="J379" s="187" t="s">
        <v>389</v>
      </c>
      <c r="K379" s="187" t="b">
        <v>1</v>
      </c>
      <c r="L379" s="187">
        <v>3.3</v>
      </c>
      <c r="M379" s="187">
        <v>0.47</v>
      </c>
      <c r="N379" s="187">
        <v>13.87</v>
      </c>
      <c r="O379" s="187">
        <v>4.3</v>
      </c>
      <c r="P379" s="187">
        <v>7</v>
      </c>
      <c r="Q379" s="187"/>
      <c r="R379" s="187"/>
      <c r="S379" s="187"/>
      <c r="T379" s="187"/>
      <c r="U379" s="187">
        <v>36.6</v>
      </c>
      <c r="V379" s="187">
        <v>2.31</v>
      </c>
      <c r="W379" s="188">
        <v>39371</v>
      </c>
      <c r="X379" s="691">
        <f t="shared" si="195"/>
        <v>1.939195</v>
      </c>
      <c r="Y379" s="691">
        <f t="shared" si="169"/>
        <v>4.5212599999999998</v>
      </c>
      <c r="Z379" s="189"/>
      <c r="AA379" s="190">
        <f t="shared" si="180"/>
        <v>2007</v>
      </c>
      <c r="AB379" s="191">
        <f t="shared" si="181"/>
        <v>1.70173706099696</v>
      </c>
      <c r="AC379" s="192">
        <f>IF(AB379="","",AB379*SFAssumptions!$C$3)</f>
        <v>436.85853666083091</v>
      </c>
      <c r="AD379" s="193">
        <f t="shared" si="182"/>
        <v>14.920157999999999</v>
      </c>
      <c r="AE379" s="194">
        <f>IF(AD379="","",AD379*SFAssumptions!$C$3)</f>
        <v>3830.2029967013996</v>
      </c>
      <c r="AF379" s="192">
        <f t="shared" si="168"/>
        <v>3.3</v>
      </c>
      <c r="AG379" s="192">
        <f t="shared" si="183"/>
        <v>4.5212599999999998</v>
      </c>
      <c r="AH379" s="192">
        <f t="shared" si="184"/>
        <v>1.939195</v>
      </c>
      <c r="AI379" s="692">
        <f ca="1">IF(AC379="","",AC379*SFAssumptions!$C$8/'SavingsData&amp;Analysis'!AF379)</f>
        <v>500.00541870193956</v>
      </c>
      <c r="AJ379" s="692">
        <f ca="1">IF(OR(AE379="",AF379=""),"",AE379*SFAssumptions!$C$8/AF379)</f>
        <v>4383.8499018870571</v>
      </c>
      <c r="AK379" s="191">
        <f t="shared" si="185"/>
        <v>1.4285714285714284</v>
      </c>
      <c r="AL379" s="692">
        <f>IF(AK379="","",AK379*SFAssumptions!$C$3)</f>
        <v>366.73328571428567</v>
      </c>
      <c r="AM379" s="193">
        <f t="shared" si="186"/>
        <v>14.19</v>
      </c>
      <c r="AN379" s="194">
        <f>IF(AM379="","",AM379*SFAssumptions!$C$3)</f>
        <v>3642.7617270000001</v>
      </c>
      <c r="AO379" s="693">
        <f t="shared" si="187"/>
        <v>4.3</v>
      </c>
      <c r="AP379" s="693">
        <f t="shared" si="188"/>
        <v>2.31</v>
      </c>
      <c r="AQ379" s="692">
        <f ca="1">IF(AL379="","",AL379*SFAssumptions!$C$8/'SavingsData&amp;Analysis'!AF379)</f>
        <v>419.74372637216783</v>
      </c>
      <c r="AR379" s="692">
        <f ca="1">IF(OR(AN379="",AF379=""),"",AN379*SFAssumptions!$C$8/AF379)</f>
        <v>4169.3144340547433</v>
      </c>
      <c r="AS379" s="190" t="str">
        <f>IF(OR(AG379="",AH379=""),"No",IF(AND(G379="Horizontal",AH379&gt;='Eff. Standards &amp; Certifications'!$B$21,AG379&lt;='Eff. Standards &amp; Certifications'!$C$21),"Consider",IF(AND(G379="Vertical",AH379&gt;='Eff. Standards &amp; Certifications'!$B$20,AG379&lt;='Eff. Standards &amp; Certifications'!$C$20),"Consider","No")))</f>
        <v>Consider</v>
      </c>
      <c r="AT379" s="190" t="str">
        <f t="shared" si="170"/>
        <v>Residential</v>
      </c>
      <c r="AU379" s="190"/>
      <c r="AV379" s="190" t="str">
        <f t="shared" si="192"/>
        <v>NO</v>
      </c>
      <c r="AW379" s="190" t="str">
        <f t="shared" si="192"/>
        <v>YES</v>
      </c>
      <c r="AX379" s="190" t="str">
        <f t="shared" si="189"/>
        <v>YES</v>
      </c>
      <c r="AY379" s="190" t="str">
        <f t="shared" si="172"/>
        <v>NO</v>
      </c>
      <c r="AZ379" s="190" t="str">
        <f t="shared" si="172"/>
        <v>YES</v>
      </c>
      <c r="BA379" s="190" t="str">
        <f t="shared" si="190"/>
        <v>YES</v>
      </c>
      <c r="BB379" s="190" t="str">
        <f t="shared" si="173"/>
        <v>NO</v>
      </c>
      <c r="BC379" s="190" t="str">
        <f t="shared" si="174"/>
        <v>NO</v>
      </c>
      <c r="BD379" s="190" t="str">
        <f t="shared" si="191"/>
        <v>NO</v>
      </c>
      <c r="BE379" s="190" t="str">
        <f t="shared" si="175"/>
        <v>NO</v>
      </c>
      <c r="BF379" s="190" t="str">
        <f t="shared" si="176"/>
        <v>NO</v>
      </c>
      <c r="BG379" s="190" t="str">
        <f t="shared" si="177"/>
        <v>NO</v>
      </c>
      <c r="BH379" s="88"/>
      <c r="BI379" s="9"/>
      <c r="BJ379" s="694" t="str">
        <f t="shared" si="193"/>
        <v/>
      </c>
      <c r="BK379" s="694">
        <f t="shared" si="193"/>
        <v>1.939195</v>
      </c>
      <c r="BL379" s="694" t="str">
        <f t="shared" si="194"/>
        <v/>
      </c>
      <c r="BM379" s="694">
        <f t="shared" si="194"/>
        <v>4.5212599999999998</v>
      </c>
      <c r="BN379" s="88"/>
      <c r="BO379" s="195"/>
      <c r="BP379" s="195"/>
      <c r="BQ379" s="195"/>
      <c r="BR379" s="195"/>
      <c r="BS379" s="195"/>
      <c r="BT379" s="195"/>
      <c r="BU379" s="195"/>
      <c r="BV379" s="195"/>
      <c r="BW379" s="195"/>
      <c r="BX379" s="195"/>
    </row>
    <row r="380" spans="1:76" s="124" customFormat="1" ht="15">
      <c r="A380" s="187">
        <v>3068</v>
      </c>
      <c r="B380" s="187" t="s">
        <v>625</v>
      </c>
      <c r="C380" s="187" t="s">
        <v>557</v>
      </c>
      <c r="D380" s="187" t="s">
        <v>727</v>
      </c>
      <c r="E380" s="187" t="s">
        <v>385</v>
      </c>
      <c r="F380" s="187" t="s">
        <v>386</v>
      </c>
      <c r="G380" s="187" t="s">
        <v>387</v>
      </c>
      <c r="H380" s="187" t="b">
        <v>0</v>
      </c>
      <c r="I380" s="187" t="s">
        <v>388</v>
      </c>
      <c r="J380" s="187" t="s">
        <v>389</v>
      </c>
      <c r="K380" s="187" t="b">
        <v>1</v>
      </c>
      <c r="L380" s="187">
        <v>3.3</v>
      </c>
      <c r="M380" s="187">
        <v>0.39</v>
      </c>
      <c r="N380" s="187">
        <v>12.79</v>
      </c>
      <c r="O380" s="187">
        <v>3.9</v>
      </c>
      <c r="P380" s="187">
        <v>8.34</v>
      </c>
      <c r="Q380" s="187"/>
      <c r="R380" s="187"/>
      <c r="S380" s="187"/>
      <c r="T380" s="187"/>
      <c r="U380" s="187">
        <v>35.799999999999997</v>
      </c>
      <c r="V380" s="187">
        <v>2.48</v>
      </c>
      <c r="W380" s="188">
        <v>39371</v>
      </c>
      <c r="X380" s="691">
        <f t="shared" si="195"/>
        <v>2.0946600000000002</v>
      </c>
      <c r="Y380" s="691">
        <f t="shared" si="169"/>
        <v>4.11158</v>
      </c>
      <c r="Z380" s="189"/>
      <c r="AA380" s="190">
        <f t="shared" si="180"/>
        <v>2007</v>
      </c>
      <c r="AB380" s="191">
        <f t="shared" si="181"/>
        <v>1.5754346767494485</v>
      </c>
      <c r="AC380" s="192">
        <f>IF(AB380="","",AB380*SFAssumptions!$C$3)</f>
        <v>404.43503480278417</v>
      </c>
      <c r="AD380" s="193">
        <f t="shared" si="182"/>
        <v>13.568213999999999</v>
      </c>
      <c r="AE380" s="194">
        <f>IF(AD380="","",AD380*SFAssumptions!$C$3)</f>
        <v>3483.1409910461998</v>
      </c>
      <c r="AF380" s="192">
        <f t="shared" si="168"/>
        <v>3.3</v>
      </c>
      <c r="AG380" s="192">
        <f t="shared" si="183"/>
        <v>4.11158</v>
      </c>
      <c r="AH380" s="192">
        <f t="shared" si="184"/>
        <v>2.0946600000000002</v>
      </c>
      <c r="AI380" s="692">
        <f ca="1">IF(AC380="","",AC380*SFAssumptions!$C$8/'SavingsData&amp;Analysis'!AF380)</f>
        <v>462.89517531232161</v>
      </c>
      <c r="AJ380" s="692">
        <f ca="1">IF(OR(AE380="",AF380=""),"",AE380*SFAssumptions!$C$8/AF380)</f>
        <v>3986.6208932025115</v>
      </c>
      <c r="AK380" s="191">
        <f t="shared" si="185"/>
        <v>1.3306451612903225</v>
      </c>
      <c r="AL380" s="692">
        <f>IF(AK380="","",AK380*SFAssumptions!$C$3)</f>
        <v>341.59431048387097</v>
      </c>
      <c r="AM380" s="193">
        <f t="shared" si="186"/>
        <v>12.87</v>
      </c>
      <c r="AN380" s="194">
        <f>IF(AM380="","",AM380*SFAssumptions!$C$3)</f>
        <v>3303.9001709999998</v>
      </c>
      <c r="AO380" s="693">
        <f t="shared" si="187"/>
        <v>3.9</v>
      </c>
      <c r="AP380" s="693">
        <f t="shared" si="188"/>
        <v>2.48</v>
      </c>
      <c r="AQ380" s="692">
        <f ca="1">IF(AL380="","",AL380*SFAssumptions!$C$8/'SavingsData&amp;Analysis'!AF380)</f>
        <v>390.97097093536598</v>
      </c>
      <c r="AR380" s="692">
        <f ca="1">IF(OR(AN380="",AF380=""),"",AN380*SFAssumptions!$C$8/AF380)</f>
        <v>3781.4712308868598</v>
      </c>
      <c r="AS380" s="190" t="str">
        <f>IF(OR(AG380="",AH380=""),"No",IF(AND(G380="Horizontal",AH380&gt;='Eff. Standards &amp; Certifications'!$B$21,AG380&lt;='Eff. Standards &amp; Certifications'!$C$21),"Consider",IF(AND(G380="Vertical",AH380&gt;='Eff. Standards &amp; Certifications'!$B$20,AG380&lt;='Eff. Standards &amp; Certifications'!$C$20),"Consider","No")))</f>
        <v>Consider</v>
      </c>
      <c r="AT380" s="190" t="str">
        <f t="shared" si="170"/>
        <v>Residential</v>
      </c>
      <c r="AU380" s="190"/>
      <c r="AV380" s="190" t="str">
        <f t="shared" si="192"/>
        <v>NO</v>
      </c>
      <c r="AW380" s="190" t="str">
        <f t="shared" si="192"/>
        <v>YES</v>
      </c>
      <c r="AX380" s="190" t="str">
        <f t="shared" si="189"/>
        <v>YES</v>
      </c>
      <c r="AY380" s="190" t="str">
        <f t="shared" si="172"/>
        <v>NO</v>
      </c>
      <c r="AZ380" s="190" t="str">
        <f t="shared" si="172"/>
        <v>YES</v>
      </c>
      <c r="BA380" s="190" t="str">
        <f t="shared" si="190"/>
        <v>YES</v>
      </c>
      <c r="BB380" s="190" t="str">
        <f t="shared" si="173"/>
        <v>NO</v>
      </c>
      <c r="BC380" s="190" t="str">
        <f t="shared" si="174"/>
        <v>NO</v>
      </c>
      <c r="BD380" s="190" t="str">
        <f t="shared" si="191"/>
        <v>NO</v>
      </c>
      <c r="BE380" s="190" t="str">
        <f t="shared" si="175"/>
        <v>NO</v>
      </c>
      <c r="BF380" s="190" t="str">
        <f t="shared" si="176"/>
        <v>NO</v>
      </c>
      <c r="BG380" s="190" t="str">
        <f t="shared" si="177"/>
        <v>NO</v>
      </c>
      <c r="BH380" s="88"/>
      <c r="BI380" s="9"/>
      <c r="BJ380" s="694" t="str">
        <f t="shared" si="193"/>
        <v/>
      </c>
      <c r="BK380" s="694">
        <f t="shared" si="193"/>
        <v>2.0946600000000002</v>
      </c>
      <c r="BL380" s="694" t="str">
        <f t="shared" si="194"/>
        <v/>
      </c>
      <c r="BM380" s="694">
        <f t="shared" si="194"/>
        <v>4.11158</v>
      </c>
      <c r="BN380" s="88"/>
      <c r="BO380" s="195"/>
      <c r="BP380" s="195"/>
      <c r="BQ380" s="195"/>
      <c r="BR380" s="195"/>
      <c r="BS380" s="195"/>
      <c r="BT380" s="195"/>
      <c r="BU380" s="195"/>
      <c r="BV380" s="195"/>
      <c r="BW380" s="195"/>
      <c r="BX380" s="195"/>
    </row>
    <row r="381" spans="1:76" s="124" customFormat="1" ht="15">
      <c r="A381" s="187">
        <v>3069</v>
      </c>
      <c r="B381" s="187" t="s">
        <v>625</v>
      </c>
      <c r="C381" s="187" t="s">
        <v>557</v>
      </c>
      <c r="D381" s="187" t="s">
        <v>728</v>
      </c>
      <c r="E381" s="187" t="s">
        <v>392</v>
      </c>
      <c r="F381" s="187" t="s">
        <v>386</v>
      </c>
      <c r="G381" s="187" t="s">
        <v>393</v>
      </c>
      <c r="H381" s="187" t="b">
        <v>0</v>
      </c>
      <c r="I381" s="187" t="s">
        <v>388</v>
      </c>
      <c r="J381" s="187" t="s">
        <v>389</v>
      </c>
      <c r="K381" s="187" t="b">
        <v>1</v>
      </c>
      <c r="L381" s="187">
        <v>3.2</v>
      </c>
      <c r="M381" s="187">
        <v>1.03</v>
      </c>
      <c r="N381" s="187">
        <v>35.049999999999997</v>
      </c>
      <c r="O381" s="187">
        <v>11</v>
      </c>
      <c r="P381" s="187">
        <v>3.12</v>
      </c>
      <c r="Q381" s="187"/>
      <c r="R381" s="187"/>
      <c r="S381" s="187"/>
      <c r="T381" s="187"/>
      <c r="U381" s="187">
        <v>55.1</v>
      </c>
      <c r="V381" s="187">
        <v>1.28</v>
      </c>
      <c r="W381" s="188">
        <v>39371</v>
      </c>
      <c r="X381" s="691">
        <f t="shared" si="195"/>
        <v>0.8509000000000001</v>
      </c>
      <c r="Y381" s="691">
        <f t="shared" si="169"/>
        <v>11.406000000000001</v>
      </c>
      <c r="Z381" s="189"/>
      <c r="AA381" s="190">
        <f t="shared" si="180"/>
        <v>2007</v>
      </c>
      <c r="AB381" s="191">
        <f t="shared" si="181"/>
        <v>3.7607239393583263</v>
      </c>
      <c r="AC381" s="192">
        <f>IF(AB381="","",AB381*SFAssumptions!$C$3)</f>
        <v>965.42785286167589</v>
      </c>
      <c r="AD381" s="193">
        <f t="shared" si="182"/>
        <v>36.499200000000002</v>
      </c>
      <c r="AE381" s="194">
        <f>IF(AD381="","",AD381*SFAssumptions!$C$3)</f>
        <v>9369.830079360001</v>
      </c>
      <c r="AF381" s="192">
        <f t="shared" si="168"/>
        <v>3.2</v>
      </c>
      <c r="AG381" s="192">
        <f t="shared" si="183"/>
        <v>11.406000000000001</v>
      </c>
      <c r="AH381" s="192">
        <f t="shared" si="184"/>
        <v>0.8509000000000001</v>
      </c>
      <c r="AI381" s="692">
        <f ca="1">IF(AC381="","",AC381*SFAssumptions!$C$8/'SavingsData&amp;Analysis'!AF381)</f>
        <v>1139.5087647428695</v>
      </c>
      <c r="AJ381" s="692">
        <f ca="1">IF(OR(AE381="",AF381=""),"",AE381*SFAssumptions!$C$8/AF381)</f>
        <v>11059.348938332187</v>
      </c>
      <c r="AK381" s="191">
        <f t="shared" si="185"/>
        <v>2.5</v>
      </c>
      <c r="AL381" s="692">
        <f>IF(AK381="","",AK381*SFAssumptions!$C$3)</f>
        <v>641.78324999999995</v>
      </c>
      <c r="AM381" s="193">
        <f t="shared" si="186"/>
        <v>35.200000000000003</v>
      </c>
      <c r="AN381" s="194">
        <f>IF(AM381="","",AM381*SFAssumptions!$C$3)</f>
        <v>9036.3081600000005</v>
      </c>
      <c r="AO381" s="693">
        <f t="shared" si="187"/>
        <v>11</v>
      </c>
      <c r="AP381" s="693">
        <f t="shared" si="188"/>
        <v>1.28</v>
      </c>
      <c r="AQ381" s="692">
        <f ca="1">IF(AL381="","",AL381*SFAssumptions!$C$8/'SavingsData&amp;Analysis'!AF381)</f>
        <v>757.50625618727156</v>
      </c>
      <c r="AR381" s="692">
        <f ca="1">IF(OR(AN381="",AF381=""),"",AN381*SFAssumptions!$C$8/AF381)</f>
        <v>10665.688087116783</v>
      </c>
      <c r="AS381" s="190" t="str">
        <f>IF(OR(AG381="",AH381=""),"No",IF(AND(G381="Horizontal",AH381&gt;='Eff. Standards &amp; Certifications'!$B$21,AG381&lt;='Eff. Standards &amp; Certifications'!$C$21),"Consider",IF(AND(G381="Vertical",AH381&gt;='Eff. Standards &amp; Certifications'!$B$20,AG381&lt;='Eff. Standards &amp; Certifications'!$C$20),"Consider","No")))</f>
        <v>No</v>
      </c>
      <c r="AT381" s="190" t="str">
        <f t="shared" si="170"/>
        <v>Residential</v>
      </c>
      <c r="AU381" s="190"/>
      <c r="AV381" s="190" t="str">
        <f t="shared" si="192"/>
        <v>NO</v>
      </c>
      <c r="AW381" s="190" t="str">
        <f t="shared" si="192"/>
        <v>NO</v>
      </c>
      <c r="AX381" s="190" t="str">
        <f t="shared" si="189"/>
        <v>NO</v>
      </c>
      <c r="AY381" s="190" t="str">
        <f t="shared" si="172"/>
        <v>NO</v>
      </c>
      <c r="AZ381" s="190" t="str">
        <f t="shared" si="172"/>
        <v>NO</v>
      </c>
      <c r="BA381" s="190" t="str">
        <f t="shared" si="190"/>
        <v>NO</v>
      </c>
      <c r="BB381" s="190" t="str">
        <f t="shared" si="173"/>
        <v>NO</v>
      </c>
      <c r="BC381" s="190" t="str">
        <f t="shared" si="174"/>
        <v>NO</v>
      </c>
      <c r="BD381" s="190" t="str">
        <f t="shared" si="191"/>
        <v>NO</v>
      </c>
      <c r="BE381" s="190" t="str">
        <f t="shared" si="175"/>
        <v>NO</v>
      </c>
      <c r="BF381" s="190" t="str">
        <f t="shared" si="176"/>
        <v>NO</v>
      </c>
      <c r="BG381" s="190" t="str">
        <f t="shared" si="177"/>
        <v>NO</v>
      </c>
      <c r="BH381" s="88"/>
      <c r="BI381" s="9"/>
      <c r="BJ381" s="694" t="str">
        <f t="shared" si="193"/>
        <v/>
      </c>
      <c r="BK381" s="694" t="str">
        <f t="shared" si="193"/>
        <v/>
      </c>
      <c r="BL381" s="694" t="str">
        <f t="shared" si="194"/>
        <v/>
      </c>
      <c r="BM381" s="694" t="str">
        <f t="shared" si="194"/>
        <v/>
      </c>
      <c r="BN381" s="88"/>
      <c r="BO381" s="195"/>
      <c r="BP381" s="195"/>
      <c r="BQ381" s="195"/>
      <c r="BR381" s="195"/>
      <c r="BS381" s="195"/>
      <c r="BT381" s="195"/>
      <c r="BU381" s="195"/>
      <c r="BV381" s="195"/>
      <c r="BW381" s="195"/>
      <c r="BX381" s="195"/>
    </row>
    <row r="382" spans="1:76" s="124" customFormat="1" ht="15">
      <c r="A382" s="187">
        <v>3070</v>
      </c>
      <c r="B382" s="187" t="s">
        <v>625</v>
      </c>
      <c r="C382" s="187" t="s">
        <v>557</v>
      </c>
      <c r="D382" s="187" t="s">
        <v>729</v>
      </c>
      <c r="E382" s="187" t="s">
        <v>392</v>
      </c>
      <c r="F382" s="187" t="s">
        <v>386</v>
      </c>
      <c r="G382" s="187" t="s">
        <v>393</v>
      </c>
      <c r="H382" s="187" t="b">
        <v>0</v>
      </c>
      <c r="I382" s="187" t="s">
        <v>388</v>
      </c>
      <c r="J382" s="187" t="s">
        <v>389</v>
      </c>
      <c r="K382" s="187" t="b">
        <v>1</v>
      </c>
      <c r="L382" s="187">
        <v>3.2</v>
      </c>
      <c r="M382" s="187">
        <v>1.04</v>
      </c>
      <c r="N382" s="187">
        <v>36.42</v>
      </c>
      <c r="O382" s="187">
        <v>11.4</v>
      </c>
      <c r="P382" s="187">
        <v>3.07</v>
      </c>
      <c r="Q382" s="187"/>
      <c r="R382" s="187"/>
      <c r="S382" s="187"/>
      <c r="T382" s="187"/>
      <c r="U382" s="187">
        <v>53.3</v>
      </c>
      <c r="V382" s="187">
        <v>1.29</v>
      </c>
      <c r="W382" s="188">
        <v>39371</v>
      </c>
      <c r="X382" s="691">
        <f t="shared" si="195"/>
        <v>0.86080000000000012</v>
      </c>
      <c r="Y382" s="691">
        <f t="shared" si="169"/>
        <v>11.80156</v>
      </c>
      <c r="Z382" s="189"/>
      <c r="AA382" s="190">
        <f t="shared" si="180"/>
        <v>2007</v>
      </c>
      <c r="AB382" s="191">
        <f t="shared" si="181"/>
        <v>3.7174721189591073</v>
      </c>
      <c r="AC382" s="192">
        <f>IF(AB382="","",AB382*SFAssumptions!$C$3)</f>
        <v>954.32453531598503</v>
      </c>
      <c r="AD382" s="193">
        <f t="shared" si="182"/>
        <v>37.764991999999999</v>
      </c>
      <c r="AE382" s="194">
        <f>IF(AD382="","",AD382*SFAssumptions!$C$3)</f>
        <v>9694.7757207935992</v>
      </c>
      <c r="AF382" s="192">
        <f t="shared" si="168"/>
        <v>3.2</v>
      </c>
      <c r="AG382" s="192">
        <f t="shared" si="183"/>
        <v>11.80156</v>
      </c>
      <c r="AH382" s="192">
        <f t="shared" si="184"/>
        <v>0.86080000000000012</v>
      </c>
      <c r="AI382" s="692">
        <f ca="1">IF(AC382="","",AC382*SFAssumptions!$C$8/'SavingsData&amp;Analysis'!AF382)</f>
        <v>1126.4033549253106</v>
      </c>
      <c r="AJ382" s="692">
        <f ca="1">IF(OR(AE382="",AF382=""),"",AE382*SFAssumptions!$C$8/AF382)</f>
        <v>11442.887081944904</v>
      </c>
      <c r="AK382" s="191">
        <f t="shared" si="185"/>
        <v>2.4806201550387597</v>
      </c>
      <c r="AL382" s="692">
        <f>IF(AK382="","",AK382*SFAssumptions!$C$3)</f>
        <v>636.80818604651165</v>
      </c>
      <c r="AM382" s="193">
        <f t="shared" si="186"/>
        <v>36.480000000000004</v>
      </c>
      <c r="AN382" s="194">
        <f>IF(AM382="","",AM382*SFAssumptions!$C$3)</f>
        <v>9364.9011840000003</v>
      </c>
      <c r="AO382" s="693">
        <f t="shared" si="187"/>
        <v>11.4</v>
      </c>
      <c r="AP382" s="693">
        <f t="shared" si="188"/>
        <v>1.29</v>
      </c>
      <c r="AQ382" s="692">
        <f ca="1">IF(AL382="","",AL382*SFAssumptions!$C$8/'SavingsData&amp;Analysis'!AF382)</f>
        <v>751.63411466644004</v>
      </c>
      <c r="AR382" s="692">
        <f ca="1">IF(OR(AN382="",AF382=""),"",AN382*SFAssumptions!$C$8/AF382)</f>
        <v>11053.531290284667</v>
      </c>
      <c r="AS382" s="190" t="str">
        <f>IF(OR(AG382="",AH382=""),"No",IF(AND(G382="Horizontal",AH382&gt;='Eff. Standards &amp; Certifications'!$B$21,AG382&lt;='Eff. Standards &amp; Certifications'!$C$21),"Consider",IF(AND(G382="Vertical",AH382&gt;='Eff. Standards &amp; Certifications'!$B$20,AG382&lt;='Eff. Standards &amp; Certifications'!$C$20),"Consider","No")))</f>
        <v>No</v>
      </c>
      <c r="AT382" s="190" t="str">
        <f t="shared" si="170"/>
        <v>Residential</v>
      </c>
      <c r="AU382" s="190"/>
      <c r="AV382" s="190" t="str">
        <f t="shared" si="192"/>
        <v>NO</v>
      </c>
      <c r="AW382" s="190" t="str">
        <f t="shared" si="192"/>
        <v>NO</v>
      </c>
      <c r="AX382" s="190" t="str">
        <f t="shared" si="189"/>
        <v>NO</v>
      </c>
      <c r="AY382" s="190" t="str">
        <f t="shared" si="172"/>
        <v>NO</v>
      </c>
      <c r="AZ382" s="190" t="str">
        <f t="shared" si="172"/>
        <v>NO</v>
      </c>
      <c r="BA382" s="190" t="str">
        <f t="shared" si="190"/>
        <v>NO</v>
      </c>
      <c r="BB382" s="190" t="str">
        <f t="shared" si="173"/>
        <v>NO</v>
      </c>
      <c r="BC382" s="190" t="str">
        <f t="shared" si="174"/>
        <v>NO</v>
      </c>
      <c r="BD382" s="190" t="str">
        <f t="shared" si="191"/>
        <v>NO</v>
      </c>
      <c r="BE382" s="190" t="str">
        <f t="shared" si="175"/>
        <v>NO</v>
      </c>
      <c r="BF382" s="190" t="str">
        <f t="shared" si="176"/>
        <v>NO</v>
      </c>
      <c r="BG382" s="190" t="str">
        <f t="shared" si="177"/>
        <v>NO</v>
      </c>
      <c r="BH382" s="88"/>
      <c r="BI382" s="9"/>
      <c r="BJ382" s="694" t="str">
        <f t="shared" si="193"/>
        <v/>
      </c>
      <c r="BK382" s="694" t="str">
        <f t="shared" si="193"/>
        <v/>
      </c>
      <c r="BL382" s="694" t="str">
        <f t="shared" si="194"/>
        <v/>
      </c>
      <c r="BM382" s="694" t="str">
        <f t="shared" si="194"/>
        <v/>
      </c>
      <c r="BN382" s="88"/>
      <c r="BO382" s="195"/>
      <c r="BP382" s="195"/>
      <c r="BQ382" s="195"/>
      <c r="BR382" s="195"/>
      <c r="BS382" s="195"/>
      <c r="BT382" s="195"/>
      <c r="BU382" s="195"/>
      <c r="BV382" s="195"/>
      <c r="BW382" s="195"/>
      <c r="BX382" s="195"/>
    </row>
    <row r="383" spans="1:76" s="124" customFormat="1" ht="15">
      <c r="A383" s="187">
        <v>3077</v>
      </c>
      <c r="B383" s="187" t="s">
        <v>625</v>
      </c>
      <c r="C383" s="187" t="s">
        <v>557</v>
      </c>
      <c r="D383" s="187" t="s">
        <v>730</v>
      </c>
      <c r="E383" s="187" t="s">
        <v>392</v>
      </c>
      <c r="F383" s="187" t="s">
        <v>386</v>
      </c>
      <c r="G383" s="187" t="s">
        <v>393</v>
      </c>
      <c r="H383" s="187" t="b">
        <v>0</v>
      </c>
      <c r="I383" s="187" t="s">
        <v>388</v>
      </c>
      <c r="J383" s="187" t="s">
        <v>389</v>
      </c>
      <c r="K383" s="187" t="b">
        <v>1</v>
      </c>
      <c r="L383" s="187">
        <v>3.2</v>
      </c>
      <c r="M383" s="187">
        <v>0.99</v>
      </c>
      <c r="N383" s="187">
        <v>35.869999999999997</v>
      </c>
      <c r="O383" s="187">
        <v>11.2</v>
      </c>
      <c r="P383" s="187">
        <v>3.24</v>
      </c>
      <c r="Q383" s="187"/>
      <c r="R383" s="187"/>
      <c r="S383" s="187"/>
      <c r="T383" s="187"/>
      <c r="U383" s="187">
        <v>51.3</v>
      </c>
      <c r="V383" s="187">
        <v>1.36</v>
      </c>
      <c r="W383" s="188">
        <v>39371</v>
      </c>
      <c r="X383" s="691">
        <f t="shared" si="195"/>
        <v>0.93010000000000004</v>
      </c>
      <c r="Y383" s="691">
        <f t="shared" si="169"/>
        <v>11.60378</v>
      </c>
      <c r="Z383" s="189"/>
      <c r="AA383" s="190">
        <f t="shared" si="180"/>
        <v>2007</v>
      </c>
      <c r="AB383" s="191">
        <f t="shared" si="181"/>
        <v>3.4404902698634556</v>
      </c>
      <c r="AC383" s="192">
        <f>IF(AB383="","",AB383*SFAssumptions!$C$3)</f>
        <v>883.21961079453831</v>
      </c>
      <c r="AD383" s="193">
        <f t="shared" si="182"/>
        <v>37.132096000000004</v>
      </c>
      <c r="AE383" s="194">
        <f>IF(AD383="","",AD383*SFAssumptions!$C$3)</f>
        <v>9532.302900076802</v>
      </c>
      <c r="AF383" s="192">
        <f t="shared" si="168"/>
        <v>3.2</v>
      </c>
      <c r="AG383" s="192">
        <f t="shared" si="183"/>
        <v>11.60378</v>
      </c>
      <c r="AH383" s="192">
        <f t="shared" si="184"/>
        <v>0.93010000000000004</v>
      </c>
      <c r="AI383" s="692">
        <f ca="1">IF(AC383="","",AC383*SFAssumptions!$C$8/'SavingsData&amp;Analysis'!AF383)</f>
        <v>1042.4771615092009</v>
      </c>
      <c r="AJ383" s="692">
        <f ca="1">IF(OR(AE383="",AF383=""),"",AE383*SFAssumptions!$C$8/AF383)</f>
        <v>11251.118010138547</v>
      </c>
      <c r="AK383" s="191">
        <f t="shared" si="185"/>
        <v>2.3529411764705883</v>
      </c>
      <c r="AL383" s="692">
        <f>IF(AK383="","",AK383*SFAssumptions!$C$3)</f>
        <v>604.03129411764712</v>
      </c>
      <c r="AM383" s="193">
        <f t="shared" si="186"/>
        <v>35.839999999999996</v>
      </c>
      <c r="AN383" s="194">
        <f>IF(AM383="","",AM383*SFAssumptions!$C$3)</f>
        <v>9200.6046719999995</v>
      </c>
      <c r="AO383" s="693">
        <f t="shared" si="187"/>
        <v>11.2</v>
      </c>
      <c r="AP383" s="693">
        <f t="shared" si="188"/>
        <v>1.36</v>
      </c>
      <c r="AQ383" s="692">
        <f ca="1">IF(AL383="","",AL383*SFAssumptions!$C$8/'SavingsData&amp;Analysis'!AF383)</f>
        <v>712.94706464684396</v>
      </c>
      <c r="AR383" s="692">
        <f ca="1">IF(OR(AN383="",AF383=""),"",AN383*SFAssumptions!$C$8/AF383)</f>
        <v>10859.609688700724</v>
      </c>
      <c r="AS383" s="190" t="str">
        <f>IF(OR(AG383="",AH383=""),"No",IF(AND(G383="Horizontal",AH383&gt;='Eff. Standards &amp; Certifications'!$B$21,AG383&lt;='Eff. Standards &amp; Certifications'!$C$21),"Consider",IF(AND(G383="Vertical",AH383&gt;='Eff. Standards &amp; Certifications'!$B$20,AG383&lt;='Eff. Standards &amp; Certifications'!$C$20),"Consider","No")))</f>
        <v>No</v>
      </c>
      <c r="AT383" s="190" t="str">
        <f t="shared" si="170"/>
        <v>Residential</v>
      </c>
      <c r="AU383" s="190"/>
      <c r="AV383" s="190" t="str">
        <f t="shared" ref="AV383:AW402" si="196">IF(AND($G383=AV$18,$AS383="Consider",$AT383="Residential",$AH383&gt;=AV$3,$AH383&lt;=AV$4,$AG383&gt;=AV$5,$AG383&lt;=AV$6),"YES","NO")</f>
        <v>NO</v>
      </c>
      <c r="AW383" s="190" t="str">
        <f t="shared" si="196"/>
        <v>NO</v>
      </c>
      <c r="AX383" s="190" t="str">
        <f t="shared" si="189"/>
        <v>NO</v>
      </c>
      <c r="AY383" s="190" t="str">
        <f t="shared" si="172"/>
        <v>NO</v>
      </c>
      <c r="AZ383" s="190" t="str">
        <f t="shared" si="172"/>
        <v>NO</v>
      </c>
      <c r="BA383" s="190" t="str">
        <f t="shared" si="190"/>
        <v>NO</v>
      </c>
      <c r="BB383" s="190" t="str">
        <f t="shared" si="173"/>
        <v>NO</v>
      </c>
      <c r="BC383" s="190" t="str">
        <f t="shared" si="174"/>
        <v>NO</v>
      </c>
      <c r="BD383" s="190" t="str">
        <f t="shared" si="191"/>
        <v>NO</v>
      </c>
      <c r="BE383" s="190" t="str">
        <f t="shared" si="175"/>
        <v>NO</v>
      </c>
      <c r="BF383" s="190" t="str">
        <f t="shared" si="176"/>
        <v>NO</v>
      </c>
      <c r="BG383" s="190" t="str">
        <f t="shared" si="177"/>
        <v>NO</v>
      </c>
      <c r="BH383" s="88"/>
      <c r="BI383" s="9"/>
      <c r="BJ383" s="694" t="str">
        <f t="shared" ref="BJ383:BK402" si="197">IF(AND($G383=BJ$21,$AT383="Residential",$AS383="Consider"),$X383,"")</f>
        <v/>
      </c>
      <c r="BK383" s="694" t="str">
        <f t="shared" si="197"/>
        <v/>
      </c>
      <c r="BL383" s="694" t="str">
        <f t="shared" ref="BL383:BM402" si="198">IF(AND($G383=BL$21,$AT383="Residential",$AS383="Consider"),$Y383,"")</f>
        <v/>
      </c>
      <c r="BM383" s="694" t="str">
        <f t="shared" si="198"/>
        <v/>
      </c>
      <c r="BN383" s="88"/>
      <c r="BO383" s="195"/>
      <c r="BP383" s="195"/>
      <c r="BQ383" s="195"/>
      <c r="BR383" s="195"/>
      <c r="BS383" s="195"/>
      <c r="BT383" s="195"/>
      <c r="BU383" s="195"/>
      <c r="BV383" s="195"/>
      <c r="BW383" s="195"/>
      <c r="BX383" s="195"/>
    </row>
    <row r="384" spans="1:76" s="124" customFormat="1" ht="15">
      <c r="A384" s="187">
        <v>3084</v>
      </c>
      <c r="B384" s="187" t="s">
        <v>625</v>
      </c>
      <c r="C384" s="187" t="s">
        <v>557</v>
      </c>
      <c r="D384" s="187" t="s">
        <v>731</v>
      </c>
      <c r="E384" s="187" t="s">
        <v>392</v>
      </c>
      <c r="F384" s="187" t="s">
        <v>386</v>
      </c>
      <c r="G384" s="187" t="s">
        <v>393</v>
      </c>
      <c r="H384" s="187" t="b">
        <v>0</v>
      </c>
      <c r="I384" s="187" t="s">
        <v>388</v>
      </c>
      <c r="J384" s="187" t="s">
        <v>389</v>
      </c>
      <c r="K384" s="187" t="b">
        <v>1</v>
      </c>
      <c r="L384" s="187">
        <v>3.2</v>
      </c>
      <c r="M384" s="187">
        <v>1.07</v>
      </c>
      <c r="N384" s="187">
        <v>36.979999999999997</v>
      </c>
      <c r="O384" s="187">
        <v>11.7</v>
      </c>
      <c r="P384" s="187">
        <v>2.94</v>
      </c>
      <c r="Q384" s="187"/>
      <c r="R384" s="187"/>
      <c r="S384" s="187"/>
      <c r="T384" s="187"/>
      <c r="U384" s="187">
        <v>50.6</v>
      </c>
      <c r="V384" s="187">
        <v>1.32</v>
      </c>
      <c r="W384" s="188">
        <v>39371</v>
      </c>
      <c r="X384" s="691">
        <f t="shared" si="195"/>
        <v>0.89049999999999996</v>
      </c>
      <c r="Y384" s="691">
        <f t="shared" si="169"/>
        <v>12.098229999999999</v>
      </c>
      <c r="Z384" s="189"/>
      <c r="AA384" s="190">
        <f t="shared" si="180"/>
        <v>2007</v>
      </c>
      <c r="AB384" s="191">
        <f t="shared" si="181"/>
        <v>3.5934868051656377</v>
      </c>
      <c r="AC384" s="192">
        <f>IF(AB384="","",AB384*SFAssumptions!$C$3)</f>
        <v>922.49585626052794</v>
      </c>
      <c r="AD384" s="193">
        <f t="shared" si="182"/>
        <v>38.714336000000003</v>
      </c>
      <c r="AE384" s="194">
        <f>IF(AD384="","",AD384*SFAssumptions!$C$3)</f>
        <v>9938.4849518688006</v>
      </c>
      <c r="AF384" s="192">
        <f t="shared" si="168"/>
        <v>3.2</v>
      </c>
      <c r="AG384" s="192">
        <f t="shared" si="183"/>
        <v>12.098229999999999</v>
      </c>
      <c r="AH384" s="192">
        <f t="shared" si="184"/>
        <v>0.89049999999999996</v>
      </c>
      <c r="AI384" s="692">
        <f ca="1">IF(AC384="","",AC384*SFAssumptions!$C$8/'SavingsData&amp;Analysis'!AF384)</f>
        <v>1088.8354945757526</v>
      </c>
      <c r="AJ384" s="692">
        <f ca="1">IF(OR(AE384="",AF384=""),"",AE384*SFAssumptions!$C$8/AF384)</f>
        <v>11730.540689654446</v>
      </c>
      <c r="AK384" s="191">
        <f t="shared" si="185"/>
        <v>2.4242424242424243</v>
      </c>
      <c r="AL384" s="692">
        <f>IF(AK384="","",AK384*SFAssumptions!$C$3)</f>
        <v>622.33527272727281</v>
      </c>
      <c r="AM384" s="193">
        <f t="shared" si="186"/>
        <v>37.44</v>
      </c>
      <c r="AN384" s="194">
        <f>IF(AM384="","",AM384*SFAssumptions!$C$3)</f>
        <v>9611.3459519999997</v>
      </c>
      <c r="AO384" s="693">
        <f t="shared" si="187"/>
        <v>11.7</v>
      </c>
      <c r="AP384" s="693">
        <f t="shared" si="188"/>
        <v>1.32</v>
      </c>
      <c r="AQ384" s="692">
        <f ca="1">IF(AL384="","",AL384*SFAssumptions!$C$8/'SavingsData&amp;Analysis'!AF384)</f>
        <v>734.55152115129374</v>
      </c>
      <c r="AR384" s="692">
        <f ca="1">IF(OR(AN384="",AF384=""),"",AN384*SFAssumptions!$C$8/AF384)</f>
        <v>11344.413692660579</v>
      </c>
      <c r="AS384" s="190" t="str">
        <f>IF(OR(AG384="",AH384=""),"No",IF(AND(G384="Horizontal",AH384&gt;='Eff. Standards &amp; Certifications'!$B$21,AG384&lt;='Eff. Standards &amp; Certifications'!$C$21),"Consider",IF(AND(G384="Vertical",AH384&gt;='Eff. Standards &amp; Certifications'!$B$20,AG384&lt;='Eff. Standards &amp; Certifications'!$C$20),"Consider","No")))</f>
        <v>No</v>
      </c>
      <c r="AT384" s="190" t="str">
        <f t="shared" si="170"/>
        <v>Residential</v>
      </c>
      <c r="AU384" s="190"/>
      <c r="AV384" s="190" t="str">
        <f t="shared" si="196"/>
        <v>NO</v>
      </c>
      <c r="AW384" s="190" t="str">
        <f t="shared" si="196"/>
        <v>NO</v>
      </c>
      <c r="AX384" s="190" t="str">
        <f t="shared" si="189"/>
        <v>NO</v>
      </c>
      <c r="AY384" s="190" t="str">
        <f t="shared" si="172"/>
        <v>NO</v>
      </c>
      <c r="AZ384" s="190" t="str">
        <f t="shared" si="172"/>
        <v>NO</v>
      </c>
      <c r="BA384" s="190" t="str">
        <f t="shared" si="190"/>
        <v>NO</v>
      </c>
      <c r="BB384" s="190" t="str">
        <f t="shared" si="173"/>
        <v>NO</v>
      </c>
      <c r="BC384" s="190" t="str">
        <f t="shared" si="174"/>
        <v>NO</v>
      </c>
      <c r="BD384" s="190" t="str">
        <f t="shared" si="191"/>
        <v>NO</v>
      </c>
      <c r="BE384" s="190" t="str">
        <f t="shared" si="175"/>
        <v>NO</v>
      </c>
      <c r="BF384" s="190" t="str">
        <f t="shared" si="176"/>
        <v>NO</v>
      </c>
      <c r="BG384" s="190" t="str">
        <f t="shared" si="177"/>
        <v>NO</v>
      </c>
      <c r="BH384" s="88"/>
      <c r="BI384" s="9"/>
      <c r="BJ384" s="694" t="str">
        <f t="shared" si="197"/>
        <v/>
      </c>
      <c r="BK384" s="694" t="str">
        <f t="shared" si="197"/>
        <v/>
      </c>
      <c r="BL384" s="694" t="str">
        <f t="shared" si="198"/>
        <v/>
      </c>
      <c r="BM384" s="694" t="str">
        <f t="shared" si="198"/>
        <v/>
      </c>
      <c r="BN384" s="88"/>
      <c r="BO384" s="195"/>
      <c r="BP384" s="195"/>
      <c r="BQ384" s="195"/>
      <c r="BR384" s="195"/>
      <c r="BS384" s="195"/>
      <c r="BT384" s="195"/>
      <c r="BU384" s="195"/>
      <c r="BV384" s="195"/>
      <c r="BW384" s="195"/>
      <c r="BX384" s="195"/>
    </row>
    <row r="385" spans="1:76" s="124" customFormat="1" ht="15">
      <c r="A385" s="187">
        <v>3096</v>
      </c>
      <c r="B385" s="187" t="s">
        <v>625</v>
      </c>
      <c r="C385" s="187" t="s">
        <v>557</v>
      </c>
      <c r="D385" s="187" t="s">
        <v>732</v>
      </c>
      <c r="E385" s="187" t="s">
        <v>392</v>
      </c>
      <c r="F385" s="187" t="s">
        <v>386</v>
      </c>
      <c r="G385" s="187" t="s">
        <v>393</v>
      </c>
      <c r="H385" s="187" t="b">
        <v>0</v>
      </c>
      <c r="I385" s="187" t="s">
        <v>388</v>
      </c>
      <c r="J385" s="187" t="s">
        <v>389</v>
      </c>
      <c r="K385" s="187" t="b">
        <v>1</v>
      </c>
      <c r="L385" s="187">
        <v>3.8</v>
      </c>
      <c r="M385" s="187">
        <v>1.18</v>
      </c>
      <c r="N385" s="187">
        <v>42.26</v>
      </c>
      <c r="O385" s="187">
        <v>11.2</v>
      </c>
      <c r="P385" s="187">
        <v>3.2</v>
      </c>
      <c r="Q385" s="187"/>
      <c r="R385" s="187"/>
      <c r="S385" s="187"/>
      <c r="T385" s="187"/>
      <c r="U385" s="187">
        <v>38.9</v>
      </c>
      <c r="V385" s="187">
        <v>1.6</v>
      </c>
      <c r="W385" s="188">
        <v>39371</v>
      </c>
      <c r="X385" s="691">
        <f t="shared" si="195"/>
        <v>1.1677</v>
      </c>
      <c r="Y385" s="691">
        <f t="shared" si="169"/>
        <v>11.60378</v>
      </c>
      <c r="Z385" s="189"/>
      <c r="AA385" s="190">
        <f t="shared" si="180"/>
        <v>2007</v>
      </c>
      <c r="AB385" s="191">
        <f t="shared" si="181"/>
        <v>3.2542605121178383</v>
      </c>
      <c r="AC385" s="192">
        <f>IF(AB385="","",AB385*SFAssumptions!$C$3)</f>
        <v>835.41195512546028</v>
      </c>
      <c r="AD385" s="193">
        <f t="shared" si="182"/>
        <v>44.094363999999999</v>
      </c>
      <c r="AE385" s="194">
        <f>IF(AD385="","",AD385*SFAssumptions!$C$3)</f>
        <v>11319.609693841199</v>
      </c>
      <c r="AF385" s="192">
        <f t="shared" si="168"/>
        <v>3.8</v>
      </c>
      <c r="AG385" s="192">
        <f t="shared" si="183"/>
        <v>11.60378</v>
      </c>
      <c r="AH385" s="192">
        <f t="shared" si="184"/>
        <v>1.1677</v>
      </c>
      <c r="AI385" s="692">
        <f ca="1">IF(AC385="","",AC385*SFAssumptions!$C$8/'SavingsData&amp;Analysis'!AF385)</f>
        <v>830.35711905430128</v>
      </c>
      <c r="AJ385" s="692">
        <f ca="1">IF(OR(AE385="",AF385=""),"",AE385*SFAssumptions!$C$8/AF385)</f>
        <v>11251.118010138545</v>
      </c>
      <c r="AK385" s="191">
        <f t="shared" si="185"/>
        <v>2.3749999999999996</v>
      </c>
      <c r="AL385" s="692">
        <f>IF(AK385="","",AK385*SFAssumptions!$C$3)</f>
        <v>609.69408749999991</v>
      </c>
      <c r="AM385" s="193">
        <f t="shared" si="186"/>
        <v>42.559999999999995</v>
      </c>
      <c r="AN385" s="194">
        <f>IF(AM385="","",AM385*SFAssumptions!$C$3)</f>
        <v>10925.718047999999</v>
      </c>
      <c r="AO385" s="693">
        <f t="shared" si="187"/>
        <v>11.2</v>
      </c>
      <c r="AP385" s="693">
        <f t="shared" si="188"/>
        <v>1.6</v>
      </c>
      <c r="AQ385" s="692">
        <f ca="1">IF(AL385="","",AL385*SFAssumptions!$C$8/'SavingsData&amp;Analysis'!AF385)</f>
        <v>606.00500494981725</v>
      </c>
      <c r="AR385" s="692">
        <f ca="1">IF(OR(AN385="",AF385=""),"",AN385*SFAssumptions!$C$8/AF385)</f>
        <v>10859.609688700724</v>
      </c>
      <c r="AS385" s="190" t="str">
        <f>IF(OR(AG385="",AH385=""),"No",IF(AND(G385="Horizontal",AH385&gt;='Eff. Standards &amp; Certifications'!$B$21,AG385&lt;='Eff. Standards &amp; Certifications'!$C$21),"Consider",IF(AND(G385="Vertical",AH385&gt;='Eff. Standards &amp; Certifications'!$B$20,AG385&lt;='Eff. Standards &amp; Certifications'!$C$20),"Consider","No")))</f>
        <v>No</v>
      </c>
      <c r="AT385" s="190" t="str">
        <f t="shared" si="170"/>
        <v>Residential</v>
      </c>
      <c r="AU385" s="190"/>
      <c r="AV385" s="190" t="str">
        <f t="shared" si="196"/>
        <v>NO</v>
      </c>
      <c r="AW385" s="190" t="str">
        <f t="shared" si="196"/>
        <v>NO</v>
      </c>
      <c r="AX385" s="190" t="str">
        <f t="shared" si="189"/>
        <v>NO</v>
      </c>
      <c r="AY385" s="190" t="str">
        <f t="shared" si="172"/>
        <v>NO</v>
      </c>
      <c r="AZ385" s="190" t="str">
        <f t="shared" si="172"/>
        <v>NO</v>
      </c>
      <c r="BA385" s="190" t="str">
        <f t="shared" si="190"/>
        <v>NO</v>
      </c>
      <c r="BB385" s="190" t="str">
        <f t="shared" si="173"/>
        <v>NO</v>
      </c>
      <c r="BC385" s="190" t="str">
        <f t="shared" si="174"/>
        <v>NO</v>
      </c>
      <c r="BD385" s="190" t="str">
        <f t="shared" si="191"/>
        <v>NO</v>
      </c>
      <c r="BE385" s="190" t="str">
        <f t="shared" si="175"/>
        <v>NO</v>
      </c>
      <c r="BF385" s="190" t="str">
        <f t="shared" si="176"/>
        <v>NO</v>
      </c>
      <c r="BG385" s="190" t="str">
        <f t="shared" si="177"/>
        <v>NO</v>
      </c>
      <c r="BH385" s="88"/>
      <c r="BI385" s="9"/>
      <c r="BJ385" s="694" t="str">
        <f t="shared" si="197"/>
        <v/>
      </c>
      <c r="BK385" s="694" t="str">
        <f t="shared" si="197"/>
        <v/>
      </c>
      <c r="BL385" s="694" t="str">
        <f t="shared" si="198"/>
        <v/>
      </c>
      <c r="BM385" s="694" t="str">
        <f t="shared" si="198"/>
        <v/>
      </c>
      <c r="BN385" s="88"/>
      <c r="BO385" s="195"/>
      <c r="BP385" s="195"/>
      <c r="BQ385" s="195"/>
      <c r="BR385" s="195"/>
      <c r="BS385" s="195"/>
      <c r="BT385" s="195"/>
      <c r="BU385" s="195"/>
      <c r="BV385" s="195"/>
      <c r="BW385" s="195"/>
      <c r="BX385" s="195"/>
    </row>
    <row r="386" spans="1:76" s="124" customFormat="1" ht="15">
      <c r="A386" s="187">
        <v>3098</v>
      </c>
      <c r="B386" s="187" t="s">
        <v>625</v>
      </c>
      <c r="C386" s="187" t="s">
        <v>557</v>
      </c>
      <c r="D386" s="187" t="s">
        <v>733</v>
      </c>
      <c r="E386" s="187" t="s">
        <v>392</v>
      </c>
      <c r="F386" s="187" t="s">
        <v>386</v>
      </c>
      <c r="G386" s="187" t="s">
        <v>393</v>
      </c>
      <c r="H386" s="187" t="b">
        <v>0</v>
      </c>
      <c r="I386" s="187" t="s">
        <v>388</v>
      </c>
      <c r="J386" s="187" t="s">
        <v>389</v>
      </c>
      <c r="K386" s="187" t="b">
        <v>1</v>
      </c>
      <c r="L386" s="187">
        <v>3.9</v>
      </c>
      <c r="M386" s="187">
        <v>0.79</v>
      </c>
      <c r="N386" s="187">
        <v>27.7</v>
      </c>
      <c r="O386" s="187">
        <v>7.1</v>
      </c>
      <c r="P386" s="187">
        <v>4.9000000000000004</v>
      </c>
      <c r="Q386" s="187"/>
      <c r="R386" s="187"/>
      <c r="S386" s="187"/>
      <c r="T386" s="187"/>
      <c r="U386" s="187">
        <v>37.9</v>
      </c>
      <c r="V386" s="187">
        <v>1.98</v>
      </c>
      <c r="W386" s="188">
        <v>39371</v>
      </c>
      <c r="X386" s="691">
        <f t="shared" si="195"/>
        <v>1.5438999999999998</v>
      </c>
      <c r="Y386" s="691">
        <f t="shared" si="169"/>
        <v>7.5492900000000001</v>
      </c>
      <c r="Z386" s="189"/>
      <c r="AA386" s="190">
        <f t="shared" si="180"/>
        <v>2007</v>
      </c>
      <c r="AB386" s="191">
        <f t="shared" si="181"/>
        <v>2.5260703413433516</v>
      </c>
      <c r="AC386" s="192">
        <f>IF(AB386="","",AB386*SFAssumptions!$C$3)</f>
        <v>648.47585335837823</v>
      </c>
      <c r="AD386" s="193">
        <f t="shared" si="182"/>
        <v>29.442231</v>
      </c>
      <c r="AE386" s="194">
        <f>IF(AD386="","",AD386*SFAssumptions!$C$3)</f>
        <v>7558.2122793723001</v>
      </c>
      <c r="AF386" s="192">
        <f t="shared" si="168"/>
        <v>3.9</v>
      </c>
      <c r="AG386" s="192">
        <f t="shared" si="183"/>
        <v>7.5492900000000001</v>
      </c>
      <c r="AH386" s="192">
        <f t="shared" si="184"/>
        <v>1.5438999999999998</v>
      </c>
      <c r="AI386" s="692">
        <f ca="1">IF(AC386="","",AC386*SFAssumptions!$C$8/'SavingsData&amp;Analysis'!AF386)</f>
        <v>628.02513629102134</v>
      </c>
      <c r="AJ386" s="692">
        <f ca="1">IF(OR(AE386="",AF386=""),"",AE386*SFAssumptions!$C$8/AF386)</f>
        <v>7319.8520381081707</v>
      </c>
      <c r="AK386" s="191">
        <f t="shared" si="185"/>
        <v>1.9696969696969697</v>
      </c>
      <c r="AL386" s="692">
        <f>IF(AK386="","",AK386*SFAssumptions!$C$3)</f>
        <v>505.64740909090909</v>
      </c>
      <c r="AM386" s="193">
        <f t="shared" si="186"/>
        <v>27.689999999999998</v>
      </c>
      <c r="AN386" s="194">
        <f>IF(AM386="","",AM386*SFAssumptions!$C$3)</f>
        <v>7108.3912769999997</v>
      </c>
      <c r="AO386" s="693">
        <f t="shared" si="187"/>
        <v>7.1</v>
      </c>
      <c r="AP386" s="693">
        <f t="shared" si="188"/>
        <v>1.98</v>
      </c>
      <c r="AQ386" s="692">
        <f ca="1">IF(AL386="","",AL386*SFAssumptions!$C$8/'SavingsData&amp;Analysis'!AF386)</f>
        <v>489.70101410086249</v>
      </c>
      <c r="AR386" s="692">
        <f ca="1">IF(OR(AN386="",AF386=""),"",AN386*SFAssumptions!$C$8/AF386)</f>
        <v>6884.2168562299248</v>
      </c>
      <c r="AS386" s="190" t="str">
        <f>IF(OR(AG386="",AH386=""),"No",IF(AND(G386="Horizontal",AH386&gt;='Eff. Standards &amp; Certifications'!$B$21,AG386&lt;='Eff. Standards &amp; Certifications'!$C$21),"Consider",IF(AND(G386="Vertical",AH386&gt;='Eff. Standards &amp; Certifications'!$B$20,AG386&lt;='Eff. Standards &amp; Certifications'!$C$20),"Consider","No")))</f>
        <v>Consider</v>
      </c>
      <c r="AT386" s="190" t="str">
        <f t="shared" si="170"/>
        <v>Residential</v>
      </c>
      <c r="AU386" s="190"/>
      <c r="AV386" s="190" t="str">
        <f t="shared" si="196"/>
        <v>YES</v>
      </c>
      <c r="AW386" s="190" t="str">
        <f t="shared" si="196"/>
        <v>NO</v>
      </c>
      <c r="AX386" s="190" t="str">
        <f t="shared" si="189"/>
        <v>YES</v>
      </c>
      <c r="AY386" s="190" t="str">
        <f t="shared" si="172"/>
        <v>YES</v>
      </c>
      <c r="AZ386" s="190" t="str">
        <f t="shared" si="172"/>
        <v>NO</v>
      </c>
      <c r="BA386" s="190" t="str">
        <f t="shared" si="190"/>
        <v>YES</v>
      </c>
      <c r="BB386" s="190" t="str">
        <f t="shared" si="173"/>
        <v>NO</v>
      </c>
      <c r="BC386" s="190" t="str">
        <f t="shared" si="174"/>
        <v>NO</v>
      </c>
      <c r="BD386" s="190" t="str">
        <f t="shared" si="191"/>
        <v>NO</v>
      </c>
      <c r="BE386" s="190" t="str">
        <f t="shared" si="175"/>
        <v>NO</v>
      </c>
      <c r="BF386" s="190" t="str">
        <f t="shared" si="176"/>
        <v>NO</v>
      </c>
      <c r="BG386" s="190" t="str">
        <f t="shared" si="177"/>
        <v>NO</v>
      </c>
      <c r="BH386" s="88"/>
      <c r="BI386" s="9"/>
      <c r="BJ386" s="694">
        <f t="shared" si="197"/>
        <v>1.5438999999999998</v>
      </c>
      <c r="BK386" s="694" t="str">
        <f t="shared" si="197"/>
        <v/>
      </c>
      <c r="BL386" s="694">
        <f t="shared" si="198"/>
        <v>7.5492900000000001</v>
      </c>
      <c r="BM386" s="694" t="str">
        <f t="shared" si="198"/>
        <v/>
      </c>
      <c r="BN386" s="88"/>
      <c r="BO386" s="195"/>
      <c r="BP386" s="195"/>
      <c r="BQ386" s="195"/>
      <c r="BR386" s="195"/>
      <c r="BS386" s="195"/>
      <c r="BT386" s="195"/>
      <c r="BU386" s="195"/>
      <c r="BV386" s="195"/>
      <c r="BW386" s="195"/>
      <c r="BX386" s="195"/>
    </row>
    <row r="387" spans="1:76" s="124" customFormat="1" ht="15">
      <c r="A387" s="187">
        <v>6344</v>
      </c>
      <c r="B387" s="187" t="s">
        <v>625</v>
      </c>
      <c r="C387" s="187" t="s">
        <v>557</v>
      </c>
      <c r="D387" s="187" t="s">
        <v>1347</v>
      </c>
      <c r="E387" s="187" t="s">
        <v>392</v>
      </c>
      <c r="F387" s="187" t="s">
        <v>386</v>
      </c>
      <c r="G387" s="187" t="s">
        <v>393</v>
      </c>
      <c r="H387" s="187" t="b">
        <v>0</v>
      </c>
      <c r="I387" s="187" t="s">
        <v>388</v>
      </c>
      <c r="J387" s="187" t="s">
        <v>389</v>
      </c>
      <c r="K387" s="187" t="b">
        <v>1</v>
      </c>
      <c r="L387" s="187">
        <v>2.9</v>
      </c>
      <c r="M387" s="187">
        <v>0.3</v>
      </c>
      <c r="N387" s="187">
        <v>14.94</v>
      </c>
      <c r="O387" s="187">
        <v>5.2</v>
      </c>
      <c r="P387" s="187">
        <v>10.23</v>
      </c>
      <c r="Q387" s="187"/>
      <c r="R387" s="187"/>
      <c r="S387" s="187"/>
      <c r="T387" s="187"/>
      <c r="U387" s="187">
        <v>46.8</v>
      </c>
      <c r="V387" s="187">
        <v>2</v>
      </c>
      <c r="W387" s="188">
        <v>41849</v>
      </c>
      <c r="X387" s="691">
        <f t="shared" si="195"/>
        <v>1.5636999999999999</v>
      </c>
      <c r="Y387" s="691">
        <f t="shared" si="169"/>
        <v>5.6703800000000006</v>
      </c>
      <c r="Z387" s="189"/>
      <c r="AA387" s="190">
        <f t="shared" si="180"/>
        <v>2014</v>
      </c>
      <c r="AB387" s="191">
        <f t="shared" si="181"/>
        <v>1.8545756858732494</v>
      </c>
      <c r="AC387" s="192">
        <f>IF(AB387="","",AB387*SFAssumptions!$C$3)</f>
        <v>476.09424442028524</v>
      </c>
      <c r="AD387" s="193">
        <f t="shared" si="182"/>
        <v>16.444102000000001</v>
      </c>
      <c r="AE387" s="194">
        <f>IF(AD387="","",AD387*SFAssumptions!$C$3)</f>
        <v>4221.4196899566005</v>
      </c>
      <c r="AF387" s="192">
        <f t="shared" si="168"/>
        <v>2.9</v>
      </c>
      <c r="AG387" s="192">
        <f t="shared" si="183"/>
        <v>5.6703800000000006</v>
      </c>
      <c r="AH387" s="192">
        <f t="shared" si="184"/>
        <v>1.5636999999999999</v>
      </c>
      <c r="AI387" s="692">
        <f ca="1">IF(AC387="","",AC387*SFAssumptions!$C$8/'SavingsData&amp;Analysis'!AF387)</f>
        <v>620.07290907444383</v>
      </c>
      <c r="AJ387" s="692">
        <f ca="1">IF(OR(AE387="",AF387=""),"",AE387*SFAssumptions!$C$8/AF387)</f>
        <v>5498.0458559477529</v>
      </c>
      <c r="AK387" s="191">
        <f t="shared" si="185"/>
        <v>1.45</v>
      </c>
      <c r="AL387" s="692">
        <f>IF(AK387="","",AK387*SFAssumptions!$C$3)</f>
        <v>372.234285</v>
      </c>
      <c r="AM387" s="193">
        <f t="shared" si="186"/>
        <v>15.08</v>
      </c>
      <c r="AN387" s="194">
        <f>IF(AM387="","",AM387*SFAssumptions!$C$3)</f>
        <v>3871.2365640000003</v>
      </c>
      <c r="AO387" s="693">
        <f t="shared" si="187"/>
        <v>5.2</v>
      </c>
      <c r="AP387" s="693">
        <f t="shared" si="188"/>
        <v>2</v>
      </c>
      <c r="AQ387" s="692">
        <f ca="1">IF(AL387="","",AL387*SFAssumptions!$C$8/'SavingsData&amp;Analysis'!AF387)</f>
        <v>484.80400395985384</v>
      </c>
      <c r="AR387" s="692">
        <f ca="1">IF(OR(AN387="",AF387=""),"",AN387*SFAssumptions!$C$8/AF387)</f>
        <v>5041.9616411824809</v>
      </c>
      <c r="AS387" s="190" t="str">
        <f>IF(OR(AG387="",AH387=""),"No",IF(AND(G387="Horizontal",AH387&gt;='Eff. Standards &amp; Certifications'!$B$21,AG387&lt;='Eff. Standards &amp; Certifications'!$C$21),"Consider",IF(AND(G387="Vertical",AH387&gt;='Eff. Standards &amp; Certifications'!$B$20,AG387&lt;='Eff. Standards &amp; Certifications'!$C$20),"Consider","No")))</f>
        <v>Consider</v>
      </c>
      <c r="AT387" s="190" t="str">
        <f t="shared" si="170"/>
        <v>Residential</v>
      </c>
      <c r="AU387" s="190"/>
      <c r="AV387" s="190" t="str">
        <f t="shared" si="196"/>
        <v>YES</v>
      </c>
      <c r="AW387" s="190" t="str">
        <f t="shared" si="196"/>
        <v>NO</v>
      </c>
      <c r="AX387" s="190" t="str">
        <f t="shared" si="189"/>
        <v>YES</v>
      </c>
      <c r="AY387" s="190" t="str">
        <f t="shared" si="172"/>
        <v>YES</v>
      </c>
      <c r="AZ387" s="190" t="str">
        <f t="shared" si="172"/>
        <v>NO</v>
      </c>
      <c r="BA387" s="190" t="str">
        <f t="shared" si="190"/>
        <v>YES</v>
      </c>
      <c r="BB387" s="190" t="str">
        <f t="shared" si="173"/>
        <v>NO</v>
      </c>
      <c r="BC387" s="190" t="str">
        <f t="shared" si="174"/>
        <v>NO</v>
      </c>
      <c r="BD387" s="190" t="str">
        <f t="shared" si="191"/>
        <v>NO</v>
      </c>
      <c r="BE387" s="190" t="str">
        <f t="shared" si="175"/>
        <v>NO</v>
      </c>
      <c r="BF387" s="190" t="str">
        <f t="shared" si="176"/>
        <v>NO</v>
      </c>
      <c r="BG387" s="190" t="str">
        <f t="shared" si="177"/>
        <v>NO</v>
      </c>
      <c r="BH387" s="88"/>
      <c r="BI387" s="9"/>
      <c r="BJ387" s="694">
        <f t="shared" si="197"/>
        <v>1.5636999999999999</v>
      </c>
      <c r="BK387" s="694" t="str">
        <f t="shared" si="197"/>
        <v/>
      </c>
      <c r="BL387" s="694">
        <f t="shared" si="198"/>
        <v>5.6703800000000006</v>
      </c>
      <c r="BM387" s="694" t="str">
        <f t="shared" si="198"/>
        <v/>
      </c>
      <c r="BN387" s="88"/>
      <c r="BO387" s="195"/>
      <c r="BP387" s="195"/>
      <c r="BQ387" s="195"/>
      <c r="BR387" s="195"/>
      <c r="BS387" s="195"/>
      <c r="BT387" s="195"/>
      <c r="BU387" s="195"/>
      <c r="BV387" s="195"/>
      <c r="BW387" s="195"/>
      <c r="BX387" s="195"/>
    </row>
    <row r="388" spans="1:76" s="124" customFormat="1" ht="15">
      <c r="A388" s="187">
        <v>634</v>
      </c>
      <c r="B388" s="187" t="s">
        <v>625</v>
      </c>
      <c r="C388" s="187" t="s">
        <v>557</v>
      </c>
      <c r="D388" s="187" t="s">
        <v>734</v>
      </c>
      <c r="E388" s="187" t="s">
        <v>392</v>
      </c>
      <c r="F388" s="187" t="s">
        <v>386</v>
      </c>
      <c r="G388" s="187" t="s">
        <v>393</v>
      </c>
      <c r="H388" s="187" t="b">
        <v>0</v>
      </c>
      <c r="I388" s="187" t="s">
        <v>388</v>
      </c>
      <c r="J388" s="187" t="s">
        <v>389</v>
      </c>
      <c r="K388" s="187" t="b">
        <v>1</v>
      </c>
      <c r="L388" s="187">
        <v>4.0999999999999996</v>
      </c>
      <c r="M388" s="187">
        <v>0.67</v>
      </c>
      <c r="N388" s="187">
        <v>17.510000000000002</v>
      </c>
      <c r="O388" s="187">
        <v>4.3</v>
      </c>
      <c r="P388" s="187">
        <v>6.07</v>
      </c>
      <c r="Q388" s="187"/>
      <c r="R388" s="187"/>
      <c r="S388" s="187"/>
      <c r="T388" s="187"/>
      <c r="U388" s="187">
        <v>36.1</v>
      </c>
      <c r="V388" s="187">
        <v>2.2200000000000002</v>
      </c>
      <c r="W388" s="188">
        <v>40170</v>
      </c>
      <c r="X388" s="691">
        <f t="shared" si="195"/>
        <v>1.7814999999999999</v>
      </c>
      <c r="Y388" s="691">
        <f t="shared" si="169"/>
        <v>4.7803700000000005</v>
      </c>
      <c r="Z388" s="189"/>
      <c r="AA388" s="190">
        <f t="shared" si="180"/>
        <v>2009</v>
      </c>
      <c r="AB388" s="191">
        <f t="shared" si="181"/>
        <v>2.3014313780522033</v>
      </c>
      <c r="AC388" s="192">
        <f>IF(AB388="","",AB388*SFAssumptions!$C$3)</f>
        <v>590.80804378332869</v>
      </c>
      <c r="AD388" s="193">
        <f t="shared" si="182"/>
        <v>19.599516999999999</v>
      </c>
      <c r="AE388" s="194">
        <f>IF(AD388="","",AD388*SFAssumptions!$C$3)</f>
        <v>5031.4566874760994</v>
      </c>
      <c r="AF388" s="192">
        <f t="shared" si="168"/>
        <v>4.0999999999999996</v>
      </c>
      <c r="AG388" s="192">
        <f t="shared" si="183"/>
        <v>4.7803700000000005</v>
      </c>
      <c r="AH388" s="192">
        <f t="shared" si="184"/>
        <v>1.7814999999999999</v>
      </c>
      <c r="AI388" s="692">
        <f ca="1">IF(AC388="","",AC388*SFAssumptions!$C$8/'SavingsData&amp;Analysis'!AF388)</f>
        <v>544.26494971636691</v>
      </c>
      <c r="AJ388" s="692">
        <f ca="1">IF(OR(AE388="",AF388=""),"",AE388*SFAssumptions!$C$8/AF388)</f>
        <v>4635.0850328191327</v>
      </c>
      <c r="AK388" s="191">
        <f t="shared" si="185"/>
        <v>1.8468468468468466</v>
      </c>
      <c r="AL388" s="692">
        <f>IF(AK388="","",AK388*SFAssumptions!$C$3)</f>
        <v>474.11014864864859</v>
      </c>
      <c r="AM388" s="193">
        <f t="shared" si="186"/>
        <v>17.63</v>
      </c>
      <c r="AN388" s="194">
        <f>IF(AM388="","",AM388*SFAssumptions!$C$3)</f>
        <v>4525.8554789999998</v>
      </c>
      <c r="AO388" s="693">
        <f t="shared" si="187"/>
        <v>4.3</v>
      </c>
      <c r="AP388" s="693">
        <f t="shared" si="188"/>
        <v>2.2200000000000002</v>
      </c>
      <c r="AQ388" s="692">
        <f ca="1">IF(AL388="","",AL388*SFAssumptions!$C$8/'SavingsData&amp;Analysis'!AF388)</f>
        <v>436.76036392779622</v>
      </c>
      <c r="AR388" s="692">
        <f ca="1">IF(OR(AN388="",AF388=""),"",AN388*SFAssumptions!$C$8/AF388)</f>
        <v>4169.3144340547433</v>
      </c>
      <c r="AS388" s="190" t="str">
        <f>IF(OR(AG388="",AH388=""),"No",IF(AND(G388="Horizontal",AH388&gt;='Eff. Standards &amp; Certifications'!$B$21,AG388&lt;='Eff. Standards &amp; Certifications'!$C$21),"Consider",IF(AND(G388="Vertical",AH388&gt;='Eff. Standards &amp; Certifications'!$B$20,AG388&lt;='Eff. Standards &amp; Certifications'!$C$20),"Consider","No")))</f>
        <v>Consider</v>
      </c>
      <c r="AT388" s="190" t="str">
        <f t="shared" si="170"/>
        <v>Residential</v>
      </c>
      <c r="AU388" s="190"/>
      <c r="AV388" s="190" t="str">
        <f t="shared" si="196"/>
        <v>YES</v>
      </c>
      <c r="AW388" s="190" t="str">
        <f t="shared" si="196"/>
        <v>NO</v>
      </c>
      <c r="AX388" s="190" t="str">
        <f t="shared" si="189"/>
        <v>YES</v>
      </c>
      <c r="AY388" s="190" t="str">
        <f t="shared" si="172"/>
        <v>YES</v>
      </c>
      <c r="AZ388" s="190" t="str">
        <f t="shared" si="172"/>
        <v>NO</v>
      </c>
      <c r="BA388" s="190" t="str">
        <f t="shared" si="190"/>
        <v>YES</v>
      </c>
      <c r="BB388" s="190" t="str">
        <f t="shared" si="173"/>
        <v>NO</v>
      </c>
      <c r="BC388" s="190" t="str">
        <f t="shared" si="174"/>
        <v>NO</v>
      </c>
      <c r="BD388" s="190" t="str">
        <f t="shared" si="191"/>
        <v>NO</v>
      </c>
      <c r="BE388" s="190" t="str">
        <f t="shared" si="175"/>
        <v>NO</v>
      </c>
      <c r="BF388" s="190" t="str">
        <f t="shared" si="176"/>
        <v>NO</v>
      </c>
      <c r="BG388" s="190" t="str">
        <f t="shared" si="177"/>
        <v>NO</v>
      </c>
      <c r="BH388" s="88"/>
      <c r="BI388" s="9"/>
      <c r="BJ388" s="694">
        <f t="shared" si="197"/>
        <v>1.7814999999999999</v>
      </c>
      <c r="BK388" s="694" t="str">
        <f t="shared" si="197"/>
        <v/>
      </c>
      <c r="BL388" s="694">
        <f t="shared" si="198"/>
        <v>4.7803700000000005</v>
      </c>
      <c r="BM388" s="694" t="str">
        <f t="shared" si="198"/>
        <v/>
      </c>
      <c r="BN388" s="88"/>
      <c r="BO388" s="195"/>
      <c r="BP388" s="195"/>
      <c r="BQ388" s="195"/>
      <c r="BR388" s="195"/>
      <c r="BS388" s="195"/>
      <c r="BT388" s="195"/>
      <c r="BU388" s="195"/>
      <c r="BV388" s="195"/>
      <c r="BW388" s="195"/>
      <c r="BX388" s="195"/>
    </row>
    <row r="389" spans="1:76" s="124" customFormat="1" ht="15">
      <c r="A389" s="187">
        <v>824</v>
      </c>
      <c r="B389" s="187" t="s">
        <v>625</v>
      </c>
      <c r="C389" s="187" t="s">
        <v>557</v>
      </c>
      <c r="D389" s="187" t="s">
        <v>735</v>
      </c>
      <c r="E389" s="187" t="s">
        <v>392</v>
      </c>
      <c r="F389" s="187" t="s">
        <v>386</v>
      </c>
      <c r="G389" s="187" t="s">
        <v>393</v>
      </c>
      <c r="H389" s="187" t="b">
        <v>0</v>
      </c>
      <c r="I389" s="187" t="s">
        <v>388</v>
      </c>
      <c r="J389" s="187" t="s">
        <v>389</v>
      </c>
      <c r="K389" s="187" t="b">
        <v>1</v>
      </c>
      <c r="L389" s="187">
        <v>4.3</v>
      </c>
      <c r="M389" s="187">
        <v>0.72</v>
      </c>
      <c r="N389" s="187">
        <v>18.03</v>
      </c>
      <c r="O389" s="187">
        <v>4.2</v>
      </c>
      <c r="P389" s="187">
        <v>5.99</v>
      </c>
      <c r="Q389" s="187"/>
      <c r="R389" s="187"/>
      <c r="S389" s="187"/>
      <c r="T389" s="187"/>
      <c r="U389" s="187">
        <v>35.700000000000003</v>
      </c>
      <c r="V389" s="187">
        <v>2.21</v>
      </c>
      <c r="W389" s="188">
        <v>39968</v>
      </c>
      <c r="X389" s="691">
        <f t="shared" si="195"/>
        <v>1.7715999999999998</v>
      </c>
      <c r="Y389" s="691">
        <f t="shared" si="169"/>
        <v>4.6814800000000005</v>
      </c>
      <c r="Z389" s="189"/>
      <c r="AA389" s="190">
        <f t="shared" si="180"/>
        <v>2009</v>
      </c>
      <c r="AB389" s="191">
        <f t="shared" si="181"/>
        <v>2.4271844660194177</v>
      </c>
      <c r="AC389" s="192">
        <f>IF(AB389="","",AB389*SFAssumptions!$C$3)</f>
        <v>623.09053398058256</v>
      </c>
      <c r="AD389" s="193">
        <f t="shared" si="182"/>
        <v>20.130364</v>
      </c>
      <c r="AE389" s="194">
        <f>IF(AD389="","",AD389*SFAssumptions!$C$3)</f>
        <v>5167.7321726412001</v>
      </c>
      <c r="AF389" s="192">
        <f t="shared" si="168"/>
        <v>4.3</v>
      </c>
      <c r="AG389" s="192">
        <f t="shared" si="183"/>
        <v>4.6814800000000005</v>
      </c>
      <c r="AH389" s="192">
        <f t="shared" si="184"/>
        <v>1.7715999999999998</v>
      </c>
      <c r="AI389" s="692">
        <f ca="1">IF(AC389="","",AC389*SFAssumptions!$C$8/'SavingsData&amp;Analysis'!AF389)</f>
        <v>547.30639417459236</v>
      </c>
      <c r="AJ389" s="692">
        <f ca="1">IF(OR(AE389="",AF389=""),"",AE389*SFAssumptions!$C$8/AF389)</f>
        <v>4539.2004969159534</v>
      </c>
      <c r="AK389" s="191">
        <f t="shared" si="185"/>
        <v>1.9457013574660633</v>
      </c>
      <c r="AL389" s="692">
        <f>IF(AK389="","",AK389*SFAssumptions!$C$3)</f>
        <v>499.48741628959277</v>
      </c>
      <c r="AM389" s="193">
        <f t="shared" si="186"/>
        <v>18.059999999999999</v>
      </c>
      <c r="AN389" s="194">
        <f>IF(AM389="","",AM389*SFAssumptions!$C$3)</f>
        <v>4636.2421979999999</v>
      </c>
      <c r="AO389" s="693">
        <f t="shared" si="187"/>
        <v>4.2</v>
      </c>
      <c r="AP389" s="693">
        <f t="shared" si="188"/>
        <v>2.21</v>
      </c>
      <c r="AQ389" s="692">
        <f ca="1">IF(AL389="","",AL389*SFAssumptions!$C$8/'SavingsData&amp;Analysis'!AF389)</f>
        <v>438.73665516728857</v>
      </c>
      <c r="AR389" s="692">
        <f ca="1">IF(OR(AN389="",AF389=""),"",AN389*SFAssumptions!$C$8/AF389)</f>
        <v>4072.3536332627727</v>
      </c>
      <c r="AS389" s="190" t="str">
        <f>IF(OR(AG389="",AH389=""),"No",IF(AND(G389="Horizontal",AH389&gt;='Eff. Standards &amp; Certifications'!$B$21,AG389&lt;='Eff. Standards &amp; Certifications'!$C$21),"Consider",IF(AND(G389="Vertical",AH389&gt;='Eff. Standards &amp; Certifications'!$B$20,AG389&lt;='Eff. Standards &amp; Certifications'!$C$20),"Consider","No")))</f>
        <v>Consider</v>
      </c>
      <c r="AT389" s="190" t="str">
        <f t="shared" si="170"/>
        <v>Residential</v>
      </c>
      <c r="AU389" s="190"/>
      <c r="AV389" s="190" t="str">
        <f t="shared" si="196"/>
        <v>YES</v>
      </c>
      <c r="AW389" s="190" t="str">
        <f t="shared" si="196"/>
        <v>NO</v>
      </c>
      <c r="AX389" s="190" t="str">
        <f t="shared" si="189"/>
        <v>YES</v>
      </c>
      <c r="AY389" s="190" t="str">
        <f t="shared" si="172"/>
        <v>YES</v>
      </c>
      <c r="AZ389" s="190" t="str">
        <f t="shared" si="172"/>
        <v>NO</v>
      </c>
      <c r="BA389" s="190" t="str">
        <f t="shared" si="190"/>
        <v>YES</v>
      </c>
      <c r="BB389" s="190" t="str">
        <f t="shared" si="173"/>
        <v>NO</v>
      </c>
      <c r="BC389" s="190" t="str">
        <f t="shared" si="174"/>
        <v>NO</v>
      </c>
      <c r="BD389" s="190" t="str">
        <f t="shared" si="191"/>
        <v>NO</v>
      </c>
      <c r="BE389" s="190" t="str">
        <f t="shared" si="175"/>
        <v>NO</v>
      </c>
      <c r="BF389" s="190" t="str">
        <f t="shared" si="176"/>
        <v>NO</v>
      </c>
      <c r="BG389" s="190" t="str">
        <f t="shared" si="177"/>
        <v>NO</v>
      </c>
      <c r="BH389" s="88"/>
      <c r="BI389" s="9"/>
      <c r="BJ389" s="694">
        <f t="shared" si="197"/>
        <v>1.7715999999999998</v>
      </c>
      <c r="BK389" s="694" t="str">
        <f t="shared" si="197"/>
        <v/>
      </c>
      <c r="BL389" s="694">
        <f t="shared" si="198"/>
        <v>4.6814800000000005</v>
      </c>
      <c r="BM389" s="694" t="str">
        <f t="shared" si="198"/>
        <v/>
      </c>
      <c r="BN389" s="88"/>
      <c r="BO389" s="195"/>
      <c r="BP389" s="195"/>
      <c r="BQ389" s="195"/>
      <c r="BR389" s="195"/>
      <c r="BS389" s="195"/>
      <c r="BT389" s="195"/>
      <c r="BU389" s="195"/>
      <c r="BV389" s="195"/>
      <c r="BW389" s="195"/>
      <c r="BX389" s="195"/>
    </row>
    <row r="390" spans="1:76" s="124" customFormat="1" ht="15">
      <c r="A390" s="187">
        <v>4974</v>
      </c>
      <c r="B390" s="187" t="s">
        <v>625</v>
      </c>
      <c r="C390" s="187" t="s">
        <v>557</v>
      </c>
      <c r="D390" s="187" t="s">
        <v>736</v>
      </c>
      <c r="E390" s="187" t="s">
        <v>392</v>
      </c>
      <c r="F390" s="187" t="s">
        <v>386</v>
      </c>
      <c r="G390" s="187" t="s">
        <v>393</v>
      </c>
      <c r="H390" s="187" t="b">
        <v>0</v>
      </c>
      <c r="I390" s="187" t="s">
        <v>388</v>
      </c>
      <c r="J390" s="187" t="s">
        <v>389</v>
      </c>
      <c r="K390" s="187" t="b">
        <v>1</v>
      </c>
      <c r="L390" s="187">
        <v>4</v>
      </c>
      <c r="M390" s="187">
        <v>0.37</v>
      </c>
      <c r="N390" s="187">
        <v>12.35</v>
      </c>
      <c r="O390" s="187">
        <v>3.2</v>
      </c>
      <c r="P390" s="187">
        <v>11.24</v>
      </c>
      <c r="Q390" s="187"/>
      <c r="R390" s="187"/>
      <c r="S390" s="187"/>
      <c r="T390" s="187"/>
      <c r="U390" s="187"/>
      <c r="V390" s="187">
        <v>2.61</v>
      </c>
      <c r="W390" s="188">
        <v>40640</v>
      </c>
      <c r="X390" s="691">
        <f t="shared" si="195"/>
        <v>2.1675999999999997</v>
      </c>
      <c r="Y390" s="691">
        <f t="shared" si="169"/>
        <v>3.6925800000000004</v>
      </c>
      <c r="Z390" s="189"/>
      <c r="AA390" s="190">
        <f t="shared" si="180"/>
        <v>2011</v>
      </c>
      <c r="AB390" s="191">
        <f t="shared" si="181"/>
        <v>1.8453589223103897</v>
      </c>
      <c r="AC390" s="192">
        <f>IF(AB390="","",AB390*SFAssumptions!$C$3)</f>
        <v>473.72817863074374</v>
      </c>
      <c r="AD390" s="193">
        <f t="shared" si="182"/>
        <v>14.770320000000002</v>
      </c>
      <c r="AE390" s="194">
        <f>IF(AD390="","",AD390*SFAssumptions!$C$3)</f>
        <v>3791.7375892560003</v>
      </c>
      <c r="AF390" s="192">
        <f t="shared" si="168"/>
        <v>4</v>
      </c>
      <c r="AG390" s="192">
        <f t="shared" si="183"/>
        <v>3.6925800000000004</v>
      </c>
      <c r="AH390" s="192">
        <f t="shared" si="184"/>
        <v>2.1675999999999997</v>
      </c>
      <c r="AI390" s="692">
        <f ca="1">IF(AC390="","",AC390*SFAssumptions!$C$8/'SavingsData&amp;Analysis'!AF390)</f>
        <v>447.31869713955888</v>
      </c>
      <c r="AJ390" s="692">
        <f ca="1">IF(OR(AE390="",AF390=""),"",AE390*SFAssumptions!$C$8/AF390)</f>
        <v>3580.3551378841544</v>
      </c>
      <c r="AK390" s="191">
        <f t="shared" si="185"/>
        <v>1.5325670498084292</v>
      </c>
      <c r="AL390" s="692">
        <f>IF(AK390="","",AK390*SFAssumptions!$C$3)</f>
        <v>393.43034482758623</v>
      </c>
      <c r="AM390" s="193">
        <f t="shared" si="186"/>
        <v>12.8</v>
      </c>
      <c r="AN390" s="194">
        <f>IF(AM390="","",AM390*SFAssumptions!$C$3)</f>
        <v>3285.9302400000001</v>
      </c>
      <c r="AO390" s="693">
        <f t="shared" si="187"/>
        <v>3.2</v>
      </c>
      <c r="AP390" s="693">
        <f t="shared" si="188"/>
        <v>2.61</v>
      </c>
      <c r="AQ390" s="692">
        <f ca="1">IF(AL390="","",AL390*SFAssumptions!$C$8/'SavingsData&amp;Analysis'!AF390)</f>
        <v>371.4973210420336</v>
      </c>
      <c r="AR390" s="692">
        <f ca="1">IF(OR(AN390="",AF390=""),"",AN390*SFAssumptions!$C$8/AF390)</f>
        <v>3102.7456253430646</v>
      </c>
      <c r="AS390" s="190" t="str">
        <f>IF(OR(AG390="",AH390=""),"No",IF(AND(G390="Horizontal",AH390&gt;='Eff. Standards &amp; Certifications'!$B$21,AG390&lt;='Eff. Standards &amp; Certifications'!$C$21),"Consider",IF(AND(G390="Vertical",AH390&gt;='Eff. Standards &amp; Certifications'!$B$20,AG390&lt;='Eff. Standards &amp; Certifications'!$C$20),"Consider","No")))</f>
        <v>Consider</v>
      </c>
      <c r="AT390" s="190" t="str">
        <f t="shared" si="170"/>
        <v>Residential</v>
      </c>
      <c r="AU390" s="190"/>
      <c r="AV390" s="190" t="str">
        <f t="shared" si="196"/>
        <v>YES</v>
      </c>
      <c r="AW390" s="190" t="str">
        <f t="shared" si="196"/>
        <v>NO</v>
      </c>
      <c r="AX390" s="190" t="str">
        <f t="shared" si="189"/>
        <v>YES</v>
      </c>
      <c r="AY390" s="190" t="str">
        <f t="shared" si="172"/>
        <v>NO</v>
      </c>
      <c r="AZ390" s="190" t="str">
        <f t="shared" si="172"/>
        <v>NO</v>
      </c>
      <c r="BA390" s="190" t="str">
        <f t="shared" si="190"/>
        <v>NO</v>
      </c>
      <c r="BB390" s="190" t="str">
        <f t="shared" si="173"/>
        <v>YES</v>
      </c>
      <c r="BC390" s="190" t="str">
        <f t="shared" si="174"/>
        <v>NO</v>
      </c>
      <c r="BD390" s="190" t="str">
        <f t="shared" si="191"/>
        <v>YES</v>
      </c>
      <c r="BE390" s="190" t="str">
        <f t="shared" si="175"/>
        <v>NO</v>
      </c>
      <c r="BF390" s="190" t="str">
        <f t="shared" si="176"/>
        <v>NO</v>
      </c>
      <c r="BG390" s="190" t="str">
        <f t="shared" si="177"/>
        <v>NO</v>
      </c>
      <c r="BH390" s="88"/>
      <c r="BI390" s="9"/>
      <c r="BJ390" s="694">
        <f t="shared" si="197"/>
        <v>2.1675999999999997</v>
      </c>
      <c r="BK390" s="694" t="str">
        <f t="shared" si="197"/>
        <v/>
      </c>
      <c r="BL390" s="694">
        <f t="shared" si="198"/>
        <v>3.6925800000000004</v>
      </c>
      <c r="BM390" s="694" t="str">
        <f t="shared" si="198"/>
        <v/>
      </c>
      <c r="BN390" s="88"/>
      <c r="BO390" s="195"/>
      <c r="BP390" s="195"/>
      <c r="BQ390" s="195"/>
      <c r="BR390" s="195"/>
      <c r="BS390" s="195"/>
      <c r="BT390" s="195"/>
      <c r="BU390" s="195"/>
      <c r="BV390" s="195"/>
      <c r="BW390" s="195"/>
      <c r="BX390" s="195"/>
    </row>
    <row r="391" spans="1:76" s="124" customFormat="1" ht="15">
      <c r="A391" s="187">
        <v>3335</v>
      </c>
      <c r="B391" s="187" t="s">
        <v>625</v>
      </c>
      <c r="C391" s="187" t="s">
        <v>557</v>
      </c>
      <c r="D391" s="187" t="s">
        <v>737</v>
      </c>
      <c r="E391" s="187" t="s">
        <v>392</v>
      </c>
      <c r="F391" s="187" t="s">
        <v>386</v>
      </c>
      <c r="G391" s="187" t="s">
        <v>393</v>
      </c>
      <c r="H391" s="187" t="b">
        <v>0</v>
      </c>
      <c r="I391" s="187" t="s">
        <v>388</v>
      </c>
      <c r="J391" s="187" t="s">
        <v>389</v>
      </c>
      <c r="K391" s="187" t="b">
        <v>1</v>
      </c>
      <c r="L391" s="187">
        <v>4.0999999999999996</v>
      </c>
      <c r="M391" s="187">
        <v>0.63</v>
      </c>
      <c r="N391" s="187">
        <v>18.16</v>
      </c>
      <c r="O391" s="187">
        <v>4.5</v>
      </c>
      <c r="P391" s="187">
        <v>6.45</v>
      </c>
      <c r="Q391" s="187"/>
      <c r="R391" s="187"/>
      <c r="S391" s="187"/>
      <c r="T391" s="187"/>
      <c r="U391" s="187">
        <v>36.6</v>
      </c>
      <c r="V391" s="187">
        <v>2.25</v>
      </c>
      <c r="W391" s="188">
        <v>39660</v>
      </c>
      <c r="X391" s="691">
        <f t="shared" si="195"/>
        <v>1.8111999999999999</v>
      </c>
      <c r="Y391" s="691">
        <f t="shared" si="169"/>
        <v>4.9781500000000003</v>
      </c>
      <c r="Z391" s="189"/>
      <c r="AA391" s="190">
        <f t="shared" si="180"/>
        <v>2008</v>
      </c>
      <c r="AB391" s="191">
        <f t="shared" si="181"/>
        <v>2.2636925795053005</v>
      </c>
      <c r="AC391" s="192">
        <f>IF(AB391="","",AB391*SFAssumptions!$C$3)</f>
        <v>581.11999227031811</v>
      </c>
      <c r="AD391" s="193">
        <f t="shared" si="182"/>
        <v>20.410415</v>
      </c>
      <c r="AE391" s="194">
        <f>IF(AD391="","",AD391*SFAssumptions!$C$3)</f>
        <v>5239.6249890195004</v>
      </c>
      <c r="AF391" s="192">
        <f t="shared" si="168"/>
        <v>4.0999999999999996</v>
      </c>
      <c r="AG391" s="192">
        <f t="shared" si="183"/>
        <v>4.9781500000000003</v>
      </c>
      <c r="AH391" s="192">
        <f t="shared" si="184"/>
        <v>1.8111999999999999</v>
      </c>
      <c r="AI391" s="692">
        <f ca="1">IF(AC391="","",AC391*SFAssumptions!$C$8/'SavingsData&amp;Analysis'!AF391)</f>
        <v>535.34011037969742</v>
      </c>
      <c r="AJ391" s="692">
        <f ca="1">IF(OR(AE391="",AF391=""),"",AE391*SFAssumptions!$C$8/AF391)</f>
        <v>4826.8541046254932</v>
      </c>
      <c r="AK391" s="191">
        <f t="shared" si="185"/>
        <v>1.822222222222222</v>
      </c>
      <c r="AL391" s="692">
        <f>IF(AK391="","",AK391*SFAssumptions!$C$3)</f>
        <v>467.78867999999994</v>
      </c>
      <c r="AM391" s="193">
        <f t="shared" si="186"/>
        <v>18.45</v>
      </c>
      <c r="AN391" s="194">
        <f>IF(AM391="","",AM391*SFAssumptions!$C$3)</f>
        <v>4736.360385</v>
      </c>
      <c r="AO391" s="693">
        <f t="shared" si="187"/>
        <v>4.5</v>
      </c>
      <c r="AP391" s="693">
        <f t="shared" si="188"/>
        <v>2.25</v>
      </c>
      <c r="AQ391" s="692">
        <f ca="1">IF(AL391="","",AL391*SFAssumptions!$C$8/'SavingsData&amp;Analysis'!AF391)</f>
        <v>430.93689240875892</v>
      </c>
      <c r="AR391" s="692">
        <f ca="1">IF(OR(AN391="",AF391=""),"",AN391*SFAssumptions!$C$8/AF391)</f>
        <v>4363.2360356386853</v>
      </c>
      <c r="AS391" s="190" t="str">
        <f>IF(OR(AG391="",AH391=""),"No",IF(AND(G391="Horizontal",AH391&gt;='Eff. Standards &amp; Certifications'!$B$21,AG391&lt;='Eff. Standards &amp; Certifications'!$C$21),"Consider",IF(AND(G391="Vertical",AH391&gt;='Eff. Standards &amp; Certifications'!$B$20,AG391&lt;='Eff. Standards &amp; Certifications'!$C$20),"Consider","No")))</f>
        <v>Consider</v>
      </c>
      <c r="AT391" s="190" t="str">
        <f t="shared" si="170"/>
        <v>Residential</v>
      </c>
      <c r="AU391" s="190"/>
      <c r="AV391" s="190" t="str">
        <f t="shared" si="196"/>
        <v>YES</v>
      </c>
      <c r="AW391" s="190" t="str">
        <f t="shared" si="196"/>
        <v>NO</v>
      </c>
      <c r="AX391" s="190" t="str">
        <f t="shared" si="189"/>
        <v>YES</v>
      </c>
      <c r="AY391" s="190" t="str">
        <f t="shared" si="172"/>
        <v>YES</v>
      </c>
      <c r="AZ391" s="190" t="str">
        <f t="shared" si="172"/>
        <v>NO</v>
      </c>
      <c r="BA391" s="190" t="str">
        <f t="shared" si="190"/>
        <v>YES</v>
      </c>
      <c r="BB391" s="190" t="str">
        <f t="shared" si="173"/>
        <v>NO</v>
      </c>
      <c r="BC391" s="190" t="str">
        <f t="shared" si="174"/>
        <v>NO</v>
      </c>
      <c r="BD391" s="190" t="str">
        <f t="shared" si="191"/>
        <v>NO</v>
      </c>
      <c r="BE391" s="190" t="str">
        <f t="shared" si="175"/>
        <v>NO</v>
      </c>
      <c r="BF391" s="190" t="str">
        <f t="shared" si="176"/>
        <v>NO</v>
      </c>
      <c r="BG391" s="190" t="str">
        <f t="shared" si="177"/>
        <v>NO</v>
      </c>
      <c r="BH391" s="88"/>
      <c r="BI391" s="9"/>
      <c r="BJ391" s="694">
        <f t="shared" si="197"/>
        <v>1.8111999999999999</v>
      </c>
      <c r="BK391" s="694" t="str">
        <f t="shared" si="197"/>
        <v/>
      </c>
      <c r="BL391" s="694">
        <f t="shared" si="198"/>
        <v>4.9781500000000003</v>
      </c>
      <c r="BM391" s="694" t="str">
        <f t="shared" si="198"/>
        <v/>
      </c>
      <c r="BN391" s="88"/>
      <c r="BO391" s="195"/>
      <c r="BP391" s="195"/>
      <c r="BQ391" s="195"/>
      <c r="BR391" s="195"/>
      <c r="BS391" s="195"/>
      <c r="BT391" s="195"/>
      <c r="BU391" s="195"/>
      <c r="BV391" s="195"/>
      <c r="BW391" s="195"/>
      <c r="BX391" s="195"/>
    </row>
    <row r="392" spans="1:76" s="124" customFormat="1" ht="15">
      <c r="A392" s="187">
        <v>822</v>
      </c>
      <c r="B392" s="187" t="s">
        <v>625</v>
      </c>
      <c r="C392" s="187" t="s">
        <v>557</v>
      </c>
      <c r="D392" s="187" t="s">
        <v>738</v>
      </c>
      <c r="E392" s="187" t="s">
        <v>392</v>
      </c>
      <c r="F392" s="187" t="s">
        <v>386</v>
      </c>
      <c r="G392" s="187" t="s">
        <v>393</v>
      </c>
      <c r="H392" s="187" t="b">
        <v>0</v>
      </c>
      <c r="I392" s="187" t="s">
        <v>388</v>
      </c>
      <c r="J392" s="187" t="s">
        <v>389</v>
      </c>
      <c r="K392" s="187" t="b">
        <v>1</v>
      </c>
      <c r="L392" s="187">
        <v>4.3</v>
      </c>
      <c r="M392" s="187">
        <v>0.71</v>
      </c>
      <c r="N392" s="187">
        <v>18.82</v>
      </c>
      <c r="O392" s="187">
        <v>4.3</v>
      </c>
      <c r="P392" s="187">
        <v>6.15</v>
      </c>
      <c r="Q392" s="187"/>
      <c r="R392" s="187"/>
      <c r="S392" s="187"/>
      <c r="T392" s="187"/>
      <c r="U392" s="187">
        <v>35.6</v>
      </c>
      <c r="V392" s="187">
        <v>2.25</v>
      </c>
      <c r="W392" s="188">
        <v>39968</v>
      </c>
      <c r="X392" s="691">
        <f t="shared" si="195"/>
        <v>1.8111999999999999</v>
      </c>
      <c r="Y392" s="691">
        <f t="shared" si="169"/>
        <v>4.7803700000000005</v>
      </c>
      <c r="Z392" s="189"/>
      <c r="AA392" s="190">
        <f t="shared" si="180"/>
        <v>2009</v>
      </c>
      <c r="AB392" s="191">
        <f t="shared" si="181"/>
        <v>2.3741166077738516</v>
      </c>
      <c r="AC392" s="192">
        <f>IF(AB392="","",AB392*SFAssumptions!$C$3)</f>
        <v>609.46730896643112</v>
      </c>
      <c r="AD392" s="193">
        <f t="shared" si="182"/>
        <v>20.555591</v>
      </c>
      <c r="AE392" s="194">
        <f>IF(AD392="","",AD392*SFAssumptions!$C$3)</f>
        <v>5276.8935990603004</v>
      </c>
      <c r="AF392" s="192">
        <f t="shared" si="168"/>
        <v>4.3</v>
      </c>
      <c r="AG392" s="192">
        <f t="shared" si="183"/>
        <v>4.7803700000000005</v>
      </c>
      <c r="AH392" s="192">
        <f t="shared" si="184"/>
        <v>1.8111999999999999</v>
      </c>
      <c r="AI392" s="692">
        <f ca="1">IF(AC392="","",AC392*SFAssumptions!$C$8/'SavingsData&amp;Analysis'!AF392)</f>
        <v>535.34011037969731</v>
      </c>
      <c r="AJ392" s="692">
        <f ca="1">IF(OR(AE392="",AF392=""),"",AE392*SFAssumptions!$C$8/AF392)</f>
        <v>4635.0850328191336</v>
      </c>
      <c r="AK392" s="191">
        <f t="shared" si="185"/>
        <v>1.911111111111111</v>
      </c>
      <c r="AL392" s="692">
        <f>IF(AK392="","",AK392*SFAssumptions!$C$3)</f>
        <v>490.60763999999995</v>
      </c>
      <c r="AM392" s="193">
        <f t="shared" si="186"/>
        <v>18.489999999999998</v>
      </c>
      <c r="AN392" s="194">
        <f>IF(AM392="","",AM392*SFAssumptions!$C$3)</f>
        <v>4746.628917</v>
      </c>
      <c r="AO392" s="693">
        <f t="shared" si="187"/>
        <v>4.3</v>
      </c>
      <c r="AP392" s="693">
        <f t="shared" si="188"/>
        <v>2.25</v>
      </c>
      <c r="AQ392" s="692">
        <f ca="1">IF(AL392="","",AL392*SFAssumptions!$C$8/'SavingsData&amp;Analysis'!AF392)</f>
        <v>430.93689240875898</v>
      </c>
      <c r="AR392" s="692">
        <f ca="1">IF(OR(AN392="",AF392=""),"",AN392*SFAssumptions!$C$8/AF392)</f>
        <v>4169.3144340547433</v>
      </c>
      <c r="AS392" s="190" t="str">
        <f>IF(OR(AG392="",AH392=""),"No",IF(AND(G392="Horizontal",AH392&gt;='Eff. Standards &amp; Certifications'!$B$21,AG392&lt;='Eff. Standards &amp; Certifications'!$C$21),"Consider",IF(AND(G392="Vertical",AH392&gt;='Eff. Standards &amp; Certifications'!$B$20,AG392&lt;='Eff. Standards &amp; Certifications'!$C$20),"Consider","No")))</f>
        <v>Consider</v>
      </c>
      <c r="AT392" s="190" t="str">
        <f t="shared" si="170"/>
        <v>Residential</v>
      </c>
      <c r="AU392" s="190"/>
      <c r="AV392" s="190" t="str">
        <f t="shared" si="196"/>
        <v>YES</v>
      </c>
      <c r="AW392" s="190" t="str">
        <f t="shared" si="196"/>
        <v>NO</v>
      </c>
      <c r="AX392" s="190" t="str">
        <f t="shared" si="189"/>
        <v>YES</v>
      </c>
      <c r="AY392" s="190" t="str">
        <f t="shared" si="172"/>
        <v>YES</v>
      </c>
      <c r="AZ392" s="190" t="str">
        <f t="shared" si="172"/>
        <v>NO</v>
      </c>
      <c r="BA392" s="190" t="str">
        <f t="shared" si="190"/>
        <v>YES</v>
      </c>
      <c r="BB392" s="190" t="str">
        <f t="shared" si="173"/>
        <v>NO</v>
      </c>
      <c r="BC392" s="190" t="str">
        <f t="shared" si="174"/>
        <v>NO</v>
      </c>
      <c r="BD392" s="190" t="str">
        <f t="shared" si="191"/>
        <v>NO</v>
      </c>
      <c r="BE392" s="190" t="str">
        <f t="shared" si="175"/>
        <v>NO</v>
      </c>
      <c r="BF392" s="190" t="str">
        <f t="shared" si="176"/>
        <v>NO</v>
      </c>
      <c r="BG392" s="190" t="str">
        <f t="shared" si="177"/>
        <v>NO</v>
      </c>
      <c r="BH392" s="88"/>
      <c r="BI392" s="9"/>
      <c r="BJ392" s="694">
        <f t="shared" si="197"/>
        <v>1.8111999999999999</v>
      </c>
      <c r="BK392" s="694" t="str">
        <f t="shared" si="197"/>
        <v/>
      </c>
      <c r="BL392" s="694">
        <f t="shared" si="198"/>
        <v>4.7803700000000005</v>
      </c>
      <c r="BM392" s="694" t="str">
        <f t="shared" si="198"/>
        <v/>
      </c>
      <c r="BN392" s="88"/>
      <c r="BO392" s="195"/>
      <c r="BP392" s="195"/>
      <c r="BQ392" s="195"/>
      <c r="BR392" s="195"/>
      <c r="BS392" s="195"/>
      <c r="BT392" s="195"/>
      <c r="BU392" s="195"/>
      <c r="BV392" s="195"/>
      <c r="BW392" s="195"/>
      <c r="BX392" s="195"/>
    </row>
    <row r="393" spans="1:76" s="124" customFormat="1" ht="15">
      <c r="A393" s="187">
        <v>3402</v>
      </c>
      <c r="B393" s="187" t="s">
        <v>625</v>
      </c>
      <c r="C393" s="187" t="s">
        <v>557</v>
      </c>
      <c r="D393" s="187" t="s">
        <v>739</v>
      </c>
      <c r="E393" s="187" t="s">
        <v>392</v>
      </c>
      <c r="F393" s="187" t="s">
        <v>386</v>
      </c>
      <c r="G393" s="187" t="s">
        <v>393</v>
      </c>
      <c r="H393" s="187" t="b">
        <v>0</v>
      </c>
      <c r="I393" s="187" t="s">
        <v>388</v>
      </c>
      <c r="J393" s="187" t="s">
        <v>389</v>
      </c>
      <c r="K393" s="187" t="b">
        <v>1</v>
      </c>
      <c r="L393" s="187">
        <v>3.2</v>
      </c>
      <c r="M393" s="187">
        <v>1.02</v>
      </c>
      <c r="N393" s="187">
        <v>35.549999999999997</v>
      </c>
      <c r="O393" s="187">
        <v>11.1</v>
      </c>
      <c r="P393" s="187">
        <v>3.13</v>
      </c>
      <c r="Q393" s="187"/>
      <c r="R393" s="187"/>
      <c r="S393" s="187"/>
      <c r="T393" s="187"/>
      <c r="U393" s="187">
        <v>55.4</v>
      </c>
      <c r="V393" s="187">
        <v>1.27</v>
      </c>
      <c r="W393" s="188">
        <v>39660</v>
      </c>
      <c r="X393" s="691">
        <f t="shared" si="195"/>
        <v>0.84100000000000008</v>
      </c>
      <c r="Y393" s="691">
        <f t="shared" si="169"/>
        <v>11.50489</v>
      </c>
      <c r="Z393" s="189"/>
      <c r="AA393" s="190">
        <f t="shared" si="180"/>
        <v>2008</v>
      </c>
      <c r="AB393" s="191">
        <f t="shared" si="181"/>
        <v>3.8049940546967895</v>
      </c>
      <c r="AC393" s="192">
        <f>IF(AB393="","",AB393*SFAssumptions!$C$3)</f>
        <v>976.79258026159334</v>
      </c>
      <c r="AD393" s="193">
        <f t="shared" si="182"/>
        <v>36.815648000000003</v>
      </c>
      <c r="AE393" s="194">
        <f>IF(AD393="","",AD393*SFAssumptions!$C$3)</f>
        <v>9451.0664897184015</v>
      </c>
      <c r="AF393" s="192">
        <f t="shared" si="168"/>
        <v>3.2</v>
      </c>
      <c r="AG393" s="192">
        <f t="shared" si="183"/>
        <v>11.50489</v>
      </c>
      <c r="AH393" s="192">
        <f t="shared" si="184"/>
        <v>0.84100000000000008</v>
      </c>
      <c r="AI393" s="692">
        <f ca="1">IF(AC393="","",AC393*SFAssumptions!$C$8/'SavingsData&amp;Analysis'!AF393)</f>
        <v>1152.9227204752765</v>
      </c>
      <c r="AJ393" s="692">
        <f ca="1">IF(OR(AE393="",AF393=""),"",AE393*SFAssumptions!$C$8/AF393)</f>
        <v>11155.233474235367</v>
      </c>
      <c r="AK393" s="191">
        <f t="shared" si="185"/>
        <v>2.5196850393700787</v>
      </c>
      <c r="AL393" s="692">
        <f>IF(AK393="","",AK393*SFAssumptions!$C$3)</f>
        <v>646.83666141732283</v>
      </c>
      <c r="AM393" s="193">
        <f t="shared" si="186"/>
        <v>35.520000000000003</v>
      </c>
      <c r="AN393" s="194">
        <f>IF(AM393="","",AM393*SFAssumptions!$C$3)</f>
        <v>9118.4564160000009</v>
      </c>
      <c r="AO393" s="693">
        <f t="shared" si="187"/>
        <v>11.1</v>
      </c>
      <c r="AP393" s="693">
        <f t="shared" si="188"/>
        <v>1.27</v>
      </c>
      <c r="AQ393" s="692">
        <f ca="1">IF(AL393="","",AL393*SFAssumptions!$C$8/'SavingsData&amp;Analysis'!AF393)</f>
        <v>763.47087237772257</v>
      </c>
      <c r="AR393" s="692">
        <f ca="1">IF(OR(AN393="",AF393=""),"",AN393*SFAssumptions!$C$8/AF393)</f>
        <v>10762.648887908756</v>
      </c>
      <c r="AS393" s="190" t="str">
        <f>IF(OR(AG393="",AH393=""),"No",IF(AND(G393="Horizontal",AH393&gt;='Eff. Standards &amp; Certifications'!$B$21,AG393&lt;='Eff. Standards &amp; Certifications'!$C$21),"Consider",IF(AND(G393="Vertical",AH393&gt;='Eff. Standards &amp; Certifications'!$B$20,AG393&lt;='Eff. Standards &amp; Certifications'!$C$20),"Consider","No")))</f>
        <v>No</v>
      </c>
      <c r="AT393" s="190" t="str">
        <f t="shared" si="170"/>
        <v>Residential</v>
      </c>
      <c r="AU393" s="190"/>
      <c r="AV393" s="190" t="str">
        <f t="shared" si="196"/>
        <v>NO</v>
      </c>
      <c r="AW393" s="190" t="str">
        <f t="shared" si="196"/>
        <v>NO</v>
      </c>
      <c r="AX393" s="190" t="str">
        <f t="shared" si="189"/>
        <v>NO</v>
      </c>
      <c r="AY393" s="190" t="str">
        <f t="shared" si="172"/>
        <v>NO</v>
      </c>
      <c r="AZ393" s="190" t="str">
        <f t="shared" si="172"/>
        <v>NO</v>
      </c>
      <c r="BA393" s="190" t="str">
        <f t="shared" si="190"/>
        <v>NO</v>
      </c>
      <c r="BB393" s="190" t="str">
        <f t="shared" si="173"/>
        <v>NO</v>
      </c>
      <c r="BC393" s="190" t="str">
        <f t="shared" si="174"/>
        <v>NO</v>
      </c>
      <c r="BD393" s="190" t="str">
        <f t="shared" si="191"/>
        <v>NO</v>
      </c>
      <c r="BE393" s="190" t="str">
        <f t="shared" si="175"/>
        <v>NO</v>
      </c>
      <c r="BF393" s="190" t="str">
        <f t="shared" si="176"/>
        <v>NO</v>
      </c>
      <c r="BG393" s="190" t="str">
        <f t="shared" si="177"/>
        <v>NO</v>
      </c>
      <c r="BH393" s="88"/>
      <c r="BI393" s="9"/>
      <c r="BJ393" s="694" t="str">
        <f t="shared" si="197"/>
        <v/>
      </c>
      <c r="BK393" s="694" t="str">
        <f t="shared" si="197"/>
        <v/>
      </c>
      <c r="BL393" s="694" t="str">
        <f t="shared" si="198"/>
        <v/>
      </c>
      <c r="BM393" s="694" t="str">
        <f t="shared" si="198"/>
        <v/>
      </c>
      <c r="BN393" s="88"/>
      <c r="BO393" s="195"/>
      <c r="BP393" s="195"/>
      <c r="BQ393" s="195"/>
      <c r="BR393" s="195"/>
      <c r="BS393" s="195"/>
      <c r="BT393" s="195"/>
      <c r="BU393" s="195"/>
      <c r="BV393" s="195"/>
      <c r="BW393" s="195"/>
      <c r="BX393" s="195"/>
    </row>
    <row r="394" spans="1:76" s="124" customFormat="1" ht="15">
      <c r="A394" s="187">
        <v>4990</v>
      </c>
      <c r="B394" s="187" t="s">
        <v>625</v>
      </c>
      <c r="C394" s="187" t="s">
        <v>557</v>
      </c>
      <c r="D394" s="187" t="s">
        <v>740</v>
      </c>
      <c r="E394" s="187" t="s">
        <v>392</v>
      </c>
      <c r="F394" s="187" t="s">
        <v>386</v>
      </c>
      <c r="G394" s="187" t="s">
        <v>393</v>
      </c>
      <c r="H394" s="187" t="b">
        <v>0</v>
      </c>
      <c r="I394" s="187" t="s">
        <v>388</v>
      </c>
      <c r="J394" s="187" t="s">
        <v>389</v>
      </c>
      <c r="K394" s="187" t="b">
        <v>1</v>
      </c>
      <c r="L394" s="187">
        <v>3.4</v>
      </c>
      <c r="M394" s="187">
        <v>0.37</v>
      </c>
      <c r="N394" s="187">
        <v>19.079999999999998</v>
      </c>
      <c r="O394" s="187">
        <v>5.9</v>
      </c>
      <c r="P394" s="187">
        <v>9.67</v>
      </c>
      <c r="Q394" s="187"/>
      <c r="R394" s="187"/>
      <c r="S394" s="187"/>
      <c r="T394" s="187"/>
      <c r="U394" s="187">
        <v>46.7</v>
      </c>
      <c r="V394" s="187">
        <v>2.02</v>
      </c>
      <c r="W394" s="188">
        <v>40640</v>
      </c>
      <c r="X394" s="691">
        <f t="shared" si="195"/>
        <v>1.5834999999999999</v>
      </c>
      <c r="Y394" s="691">
        <f t="shared" si="169"/>
        <v>6.362610000000001</v>
      </c>
      <c r="Z394" s="189"/>
      <c r="AA394" s="190">
        <f t="shared" si="180"/>
        <v>2011</v>
      </c>
      <c r="AB394" s="191">
        <f t="shared" si="181"/>
        <v>2.1471424060625197</v>
      </c>
      <c r="AC394" s="192">
        <f>IF(AB394="","",AB394*SFAssumptions!$C$3)</f>
        <v>551.20001263024949</v>
      </c>
      <c r="AD394" s="193">
        <f t="shared" si="182"/>
        <v>21.632874000000001</v>
      </c>
      <c r="AE394" s="194">
        <f>IF(AD394="","",AD394*SFAssumptions!$C$3)</f>
        <v>5553.4464730242007</v>
      </c>
      <c r="AF394" s="192">
        <f t="shared" si="168"/>
        <v>3.4</v>
      </c>
      <c r="AG394" s="192">
        <f t="shared" si="183"/>
        <v>6.362610000000001</v>
      </c>
      <c r="AH394" s="192">
        <f t="shared" si="184"/>
        <v>1.5834999999999999</v>
      </c>
      <c r="AI394" s="692">
        <f ca="1">IF(AC394="","",AC394*SFAssumptions!$C$8/'SavingsData&amp;Analysis'!AF394)</f>
        <v>612.31955031241409</v>
      </c>
      <c r="AJ394" s="692">
        <f ca="1">IF(OR(AE394="",AF394=""),"",AE394*SFAssumptions!$C$8/AF394)</f>
        <v>6169.2376072700117</v>
      </c>
      <c r="AK394" s="191">
        <f t="shared" si="185"/>
        <v>1.6831683168316831</v>
      </c>
      <c r="AL394" s="692">
        <f>IF(AK394="","",AK394*SFAssumptions!$C$3)</f>
        <v>432.09169306930693</v>
      </c>
      <c r="AM394" s="193">
        <f t="shared" si="186"/>
        <v>20.060000000000002</v>
      </c>
      <c r="AN394" s="194">
        <f>IF(AM394="","",AM394*SFAssumptions!$C$3)</f>
        <v>5149.6687980000006</v>
      </c>
      <c r="AO394" s="693">
        <f t="shared" si="187"/>
        <v>5.9</v>
      </c>
      <c r="AP394" s="693">
        <f t="shared" si="188"/>
        <v>2.02</v>
      </c>
      <c r="AQ394" s="692">
        <f ca="1">IF(AL394="","",AL394*SFAssumptions!$C$8/'SavingsData&amp;Analysis'!AF394)</f>
        <v>480.00396431668702</v>
      </c>
      <c r="AR394" s="692">
        <f ca="1">IF(OR(AN394="",AF394=""),"",AN394*SFAssumptions!$C$8/AF394)</f>
        <v>5720.6872467262765</v>
      </c>
      <c r="AS394" s="190" t="str">
        <f>IF(OR(AG394="",AH394=""),"No",IF(AND(G394="Horizontal",AH394&gt;='Eff. Standards &amp; Certifications'!$B$21,AG394&lt;='Eff. Standards &amp; Certifications'!$C$21),"Consider",IF(AND(G394="Vertical",AH394&gt;='Eff. Standards &amp; Certifications'!$B$20,AG394&lt;='Eff. Standards &amp; Certifications'!$C$20),"Consider","No")))</f>
        <v>Consider</v>
      </c>
      <c r="AT394" s="190" t="str">
        <f t="shared" si="170"/>
        <v>Residential</v>
      </c>
      <c r="AU394" s="190"/>
      <c r="AV394" s="190" t="str">
        <f t="shared" si="196"/>
        <v>YES</v>
      </c>
      <c r="AW394" s="190" t="str">
        <f t="shared" si="196"/>
        <v>NO</v>
      </c>
      <c r="AX394" s="190" t="str">
        <f t="shared" si="189"/>
        <v>YES</v>
      </c>
      <c r="AY394" s="190" t="str">
        <f t="shared" si="172"/>
        <v>YES</v>
      </c>
      <c r="AZ394" s="190" t="str">
        <f t="shared" si="172"/>
        <v>NO</v>
      </c>
      <c r="BA394" s="190" t="str">
        <f t="shared" si="190"/>
        <v>YES</v>
      </c>
      <c r="BB394" s="190" t="str">
        <f t="shared" si="173"/>
        <v>NO</v>
      </c>
      <c r="BC394" s="190" t="str">
        <f t="shared" si="174"/>
        <v>NO</v>
      </c>
      <c r="BD394" s="190" t="str">
        <f t="shared" si="191"/>
        <v>NO</v>
      </c>
      <c r="BE394" s="190" t="str">
        <f t="shared" si="175"/>
        <v>NO</v>
      </c>
      <c r="BF394" s="190" t="str">
        <f t="shared" si="176"/>
        <v>NO</v>
      </c>
      <c r="BG394" s="190" t="str">
        <f t="shared" si="177"/>
        <v>NO</v>
      </c>
      <c r="BH394" s="88"/>
      <c r="BI394" s="9"/>
      <c r="BJ394" s="694">
        <f t="shared" si="197"/>
        <v>1.5834999999999999</v>
      </c>
      <c r="BK394" s="694" t="str">
        <f t="shared" si="197"/>
        <v/>
      </c>
      <c r="BL394" s="694">
        <f t="shared" si="198"/>
        <v>6.362610000000001</v>
      </c>
      <c r="BM394" s="694" t="str">
        <f t="shared" si="198"/>
        <v/>
      </c>
      <c r="BN394" s="88"/>
      <c r="BO394" s="195"/>
      <c r="BP394" s="195"/>
      <c r="BQ394" s="195"/>
      <c r="BR394" s="195"/>
      <c r="BS394" s="195"/>
      <c r="BT394" s="195"/>
      <c r="BU394" s="195"/>
      <c r="BV394" s="195"/>
      <c r="BW394" s="195"/>
      <c r="BX394" s="195"/>
    </row>
    <row r="395" spans="1:76" s="124" customFormat="1" ht="15">
      <c r="A395" s="187">
        <v>635</v>
      </c>
      <c r="B395" s="187" t="s">
        <v>625</v>
      </c>
      <c r="C395" s="187" t="s">
        <v>557</v>
      </c>
      <c r="D395" s="187" t="s">
        <v>741</v>
      </c>
      <c r="E395" s="187" t="s">
        <v>392</v>
      </c>
      <c r="F395" s="187" t="s">
        <v>386</v>
      </c>
      <c r="G395" s="187" t="s">
        <v>393</v>
      </c>
      <c r="H395" s="187" t="b">
        <v>0</v>
      </c>
      <c r="I395" s="187" t="s">
        <v>388</v>
      </c>
      <c r="J395" s="187" t="s">
        <v>389</v>
      </c>
      <c r="K395" s="187" t="b">
        <v>1</v>
      </c>
      <c r="L395" s="187">
        <v>3.5</v>
      </c>
      <c r="M395" s="187">
        <v>1.02</v>
      </c>
      <c r="N395" s="187">
        <v>36.68</v>
      </c>
      <c r="O395" s="187">
        <v>10.5</v>
      </c>
      <c r="P395" s="187">
        <v>3.43</v>
      </c>
      <c r="Q395" s="187"/>
      <c r="R395" s="187"/>
      <c r="S395" s="187"/>
      <c r="T395" s="187"/>
      <c r="U395" s="187">
        <v>54.2</v>
      </c>
      <c r="V395" s="187">
        <v>1.36</v>
      </c>
      <c r="W395" s="188">
        <v>40170</v>
      </c>
      <c r="X395" s="691">
        <f t="shared" si="195"/>
        <v>0.93010000000000004</v>
      </c>
      <c r="Y395" s="691">
        <f t="shared" si="169"/>
        <v>10.91155</v>
      </c>
      <c r="Z395" s="189"/>
      <c r="AA395" s="190">
        <f t="shared" si="180"/>
        <v>2009</v>
      </c>
      <c r="AB395" s="191">
        <f t="shared" si="181"/>
        <v>3.7630362326631546</v>
      </c>
      <c r="AC395" s="192">
        <f>IF(AB395="","",AB395*SFAssumptions!$C$3)</f>
        <v>966.02144930652616</v>
      </c>
      <c r="AD395" s="193">
        <f t="shared" si="182"/>
        <v>38.190424999999998</v>
      </c>
      <c r="AE395" s="194">
        <f>IF(AD395="","",AD395*SFAssumptions!$C$3)</f>
        <v>9803.9900301524995</v>
      </c>
      <c r="AF395" s="192">
        <f t="shared" si="168"/>
        <v>3.5</v>
      </c>
      <c r="AG395" s="192">
        <f t="shared" si="183"/>
        <v>10.91155</v>
      </c>
      <c r="AH395" s="192">
        <f t="shared" si="184"/>
        <v>0.93010000000000004</v>
      </c>
      <c r="AI395" s="692">
        <f ca="1">IF(AC395="","",AC395*SFAssumptions!$C$8/'SavingsData&amp;Analysis'!AF395)</f>
        <v>1042.4771615092009</v>
      </c>
      <c r="AJ395" s="692">
        <f ca="1">IF(OR(AE395="",AF395=""),"",AE395*SFAssumptions!$C$8/AF395)</f>
        <v>10579.926258816286</v>
      </c>
      <c r="AK395" s="191">
        <f t="shared" si="185"/>
        <v>2.5735294117647056</v>
      </c>
      <c r="AL395" s="692">
        <f>IF(AK395="","",AK395*SFAssumptions!$C$3)</f>
        <v>660.65922794117637</v>
      </c>
      <c r="AM395" s="193">
        <f t="shared" si="186"/>
        <v>36.75</v>
      </c>
      <c r="AN395" s="194">
        <f>IF(AM395="","",AM395*SFAssumptions!$C$3)</f>
        <v>9434.2137750000002</v>
      </c>
      <c r="AO395" s="693">
        <f t="shared" si="187"/>
        <v>10.5</v>
      </c>
      <c r="AP395" s="693">
        <f t="shared" si="188"/>
        <v>1.36</v>
      </c>
      <c r="AQ395" s="692">
        <f ca="1">IF(AL395="","",AL395*SFAssumptions!$C$8/'SavingsData&amp;Analysis'!AF395)</f>
        <v>712.94706464684373</v>
      </c>
      <c r="AR395" s="692">
        <f ca="1">IF(OR(AN395="",AF395=""),"",AN395*SFAssumptions!$C$8/AF395)</f>
        <v>10180.884083156931</v>
      </c>
      <c r="AS395" s="190" t="str">
        <f>IF(OR(AG395="",AH395=""),"No",IF(AND(G395="Horizontal",AH395&gt;='Eff. Standards &amp; Certifications'!$B$21,AG395&lt;='Eff. Standards &amp; Certifications'!$C$21),"Consider",IF(AND(G395="Vertical",AH395&gt;='Eff. Standards &amp; Certifications'!$B$20,AG395&lt;='Eff. Standards &amp; Certifications'!$C$20),"Consider","No")))</f>
        <v>No</v>
      </c>
      <c r="AT395" s="190" t="str">
        <f t="shared" si="170"/>
        <v>Residential</v>
      </c>
      <c r="AU395" s="190"/>
      <c r="AV395" s="190" t="str">
        <f t="shared" si="196"/>
        <v>NO</v>
      </c>
      <c r="AW395" s="190" t="str">
        <f t="shared" si="196"/>
        <v>NO</v>
      </c>
      <c r="AX395" s="190" t="str">
        <f t="shared" si="189"/>
        <v>NO</v>
      </c>
      <c r="AY395" s="190" t="str">
        <f t="shared" si="172"/>
        <v>NO</v>
      </c>
      <c r="AZ395" s="190" t="str">
        <f t="shared" si="172"/>
        <v>NO</v>
      </c>
      <c r="BA395" s="190" t="str">
        <f t="shared" si="190"/>
        <v>NO</v>
      </c>
      <c r="BB395" s="190" t="str">
        <f t="shared" si="173"/>
        <v>NO</v>
      </c>
      <c r="BC395" s="190" t="str">
        <f t="shared" si="174"/>
        <v>NO</v>
      </c>
      <c r="BD395" s="190" t="str">
        <f t="shared" si="191"/>
        <v>NO</v>
      </c>
      <c r="BE395" s="190" t="str">
        <f t="shared" si="175"/>
        <v>NO</v>
      </c>
      <c r="BF395" s="190" t="str">
        <f t="shared" si="176"/>
        <v>NO</v>
      </c>
      <c r="BG395" s="190" t="str">
        <f t="shared" si="177"/>
        <v>NO</v>
      </c>
      <c r="BH395" s="88"/>
      <c r="BI395" s="9"/>
      <c r="BJ395" s="694" t="str">
        <f t="shared" si="197"/>
        <v/>
      </c>
      <c r="BK395" s="694" t="str">
        <f t="shared" si="197"/>
        <v/>
      </c>
      <c r="BL395" s="694" t="str">
        <f t="shared" si="198"/>
        <v/>
      </c>
      <c r="BM395" s="694" t="str">
        <f t="shared" si="198"/>
        <v/>
      </c>
      <c r="BN395" s="88"/>
      <c r="BO395" s="195"/>
      <c r="BP395" s="195"/>
      <c r="BQ395" s="195"/>
      <c r="BR395" s="195"/>
      <c r="BS395" s="195"/>
      <c r="BT395" s="195"/>
      <c r="BU395" s="195"/>
      <c r="BV395" s="195"/>
      <c r="BW395" s="195"/>
      <c r="BX395" s="195"/>
    </row>
    <row r="396" spans="1:76" s="124" customFormat="1" ht="15">
      <c r="A396" s="187">
        <v>3403</v>
      </c>
      <c r="B396" s="187" t="s">
        <v>625</v>
      </c>
      <c r="C396" s="187" t="s">
        <v>557</v>
      </c>
      <c r="D396" s="187" t="s">
        <v>742</v>
      </c>
      <c r="E396" s="187" t="s">
        <v>392</v>
      </c>
      <c r="F396" s="187" t="s">
        <v>386</v>
      </c>
      <c r="G396" s="187" t="s">
        <v>393</v>
      </c>
      <c r="H396" s="187" t="b">
        <v>0</v>
      </c>
      <c r="I396" s="187" t="s">
        <v>388</v>
      </c>
      <c r="J396" s="187" t="s">
        <v>389</v>
      </c>
      <c r="K396" s="187" t="b">
        <v>1</v>
      </c>
      <c r="L396" s="187">
        <v>3.5</v>
      </c>
      <c r="M396" s="187">
        <v>1.05</v>
      </c>
      <c r="N396" s="187">
        <v>36.03</v>
      </c>
      <c r="O396" s="187">
        <v>10.3</v>
      </c>
      <c r="P396" s="187">
        <v>3.34</v>
      </c>
      <c r="Q396" s="187"/>
      <c r="R396" s="187"/>
      <c r="S396" s="187"/>
      <c r="T396" s="187"/>
      <c r="U396" s="187">
        <v>52.4</v>
      </c>
      <c r="V396" s="187">
        <v>1.37</v>
      </c>
      <c r="W396" s="188">
        <v>39660</v>
      </c>
      <c r="X396" s="691">
        <f t="shared" si="195"/>
        <v>0.94000000000000006</v>
      </c>
      <c r="Y396" s="691">
        <f t="shared" si="169"/>
        <v>10.71377</v>
      </c>
      <c r="Z396" s="189"/>
      <c r="AA396" s="190">
        <f t="shared" si="180"/>
        <v>2008</v>
      </c>
      <c r="AB396" s="191">
        <f t="shared" si="181"/>
        <v>3.7234042553191489</v>
      </c>
      <c r="AC396" s="192">
        <f>IF(AB396="","",AB396*SFAssumptions!$C$3)</f>
        <v>955.84739361702123</v>
      </c>
      <c r="AD396" s="193">
        <f t="shared" si="182"/>
        <v>37.498195000000003</v>
      </c>
      <c r="AE396" s="194">
        <f>IF(AD396="","",AD396*SFAssumptions!$C$3)</f>
        <v>9626.2853824935009</v>
      </c>
      <c r="AF396" s="192">
        <f t="shared" si="168"/>
        <v>3.5</v>
      </c>
      <c r="AG396" s="192">
        <f t="shared" si="183"/>
        <v>10.71377</v>
      </c>
      <c r="AH396" s="192">
        <f t="shared" si="184"/>
        <v>0.94000000000000006</v>
      </c>
      <c r="AI396" s="692">
        <f ca="1">IF(AC396="","",AC396*SFAssumptions!$C$8/'SavingsData&amp;Analysis'!AF396)</f>
        <v>1031.4978807656464</v>
      </c>
      <c r="AJ396" s="692">
        <f ca="1">IF(OR(AE396="",AF396=""),"",AE396*SFAssumptions!$C$8/AF396)</f>
        <v>10388.157187009927</v>
      </c>
      <c r="AK396" s="191">
        <f t="shared" si="185"/>
        <v>2.554744525547445</v>
      </c>
      <c r="AL396" s="692">
        <f>IF(AK396="","",AK396*SFAssumptions!$C$3)</f>
        <v>655.83689781021894</v>
      </c>
      <c r="AM396" s="193">
        <f t="shared" si="186"/>
        <v>36.050000000000004</v>
      </c>
      <c r="AN396" s="194">
        <f>IF(AM396="","",AM396*SFAssumptions!$C$3)</f>
        <v>9254.514465000002</v>
      </c>
      <c r="AO396" s="693">
        <f t="shared" si="187"/>
        <v>10.3</v>
      </c>
      <c r="AP396" s="693">
        <f t="shared" si="188"/>
        <v>1.37</v>
      </c>
      <c r="AQ396" s="692">
        <f ca="1">IF(AL396="","",AL396*SFAssumptions!$C$8/'SavingsData&amp;Analysis'!AF396)</f>
        <v>707.74307147423917</v>
      </c>
      <c r="AR396" s="692">
        <f ca="1">IF(OR(AN396="",AF396=""),"",AN396*SFAssumptions!$C$8/AF396)</f>
        <v>9986.9624815729912</v>
      </c>
      <c r="AS396" s="190" t="str">
        <f>IF(OR(AG396="",AH396=""),"No",IF(AND(G396="Horizontal",AH396&gt;='Eff. Standards &amp; Certifications'!$B$21,AG396&lt;='Eff. Standards &amp; Certifications'!$C$21),"Consider",IF(AND(G396="Vertical",AH396&gt;='Eff. Standards &amp; Certifications'!$B$20,AG396&lt;='Eff. Standards &amp; Certifications'!$C$20),"Consider","No")))</f>
        <v>No</v>
      </c>
      <c r="AT396" s="190" t="str">
        <f t="shared" si="170"/>
        <v>Residential</v>
      </c>
      <c r="AU396" s="190"/>
      <c r="AV396" s="190" t="str">
        <f t="shared" si="196"/>
        <v>NO</v>
      </c>
      <c r="AW396" s="190" t="str">
        <f t="shared" si="196"/>
        <v>NO</v>
      </c>
      <c r="AX396" s="190" t="str">
        <f t="shared" si="189"/>
        <v>NO</v>
      </c>
      <c r="AY396" s="190" t="str">
        <f t="shared" si="172"/>
        <v>NO</v>
      </c>
      <c r="AZ396" s="190" t="str">
        <f t="shared" si="172"/>
        <v>NO</v>
      </c>
      <c r="BA396" s="190" t="str">
        <f t="shared" si="190"/>
        <v>NO</v>
      </c>
      <c r="BB396" s="190" t="str">
        <f t="shared" si="173"/>
        <v>NO</v>
      </c>
      <c r="BC396" s="190" t="str">
        <f t="shared" si="174"/>
        <v>NO</v>
      </c>
      <c r="BD396" s="190" t="str">
        <f t="shared" si="191"/>
        <v>NO</v>
      </c>
      <c r="BE396" s="190" t="str">
        <f t="shared" si="175"/>
        <v>NO</v>
      </c>
      <c r="BF396" s="190" t="str">
        <f t="shared" si="176"/>
        <v>NO</v>
      </c>
      <c r="BG396" s="190" t="str">
        <f t="shared" si="177"/>
        <v>NO</v>
      </c>
      <c r="BH396" s="88"/>
      <c r="BI396" s="9"/>
      <c r="BJ396" s="694" t="str">
        <f t="shared" si="197"/>
        <v/>
      </c>
      <c r="BK396" s="694" t="str">
        <f t="shared" si="197"/>
        <v/>
      </c>
      <c r="BL396" s="694" t="str">
        <f t="shared" si="198"/>
        <v/>
      </c>
      <c r="BM396" s="694" t="str">
        <f t="shared" si="198"/>
        <v/>
      </c>
      <c r="BN396" s="88"/>
      <c r="BO396" s="195"/>
      <c r="BP396" s="195"/>
      <c r="BQ396" s="195"/>
      <c r="BR396" s="195"/>
      <c r="BS396" s="195"/>
      <c r="BT396" s="195"/>
      <c r="BU396" s="195"/>
      <c r="BV396" s="195"/>
      <c r="BW396" s="195"/>
      <c r="BX396" s="195"/>
    </row>
    <row r="397" spans="1:76" s="124" customFormat="1" ht="15">
      <c r="A397" s="187">
        <v>4513</v>
      </c>
      <c r="B397" s="187" t="s">
        <v>625</v>
      </c>
      <c r="C397" s="187" t="s">
        <v>557</v>
      </c>
      <c r="D397" s="187" t="s">
        <v>743</v>
      </c>
      <c r="E397" s="187" t="s">
        <v>392</v>
      </c>
      <c r="F397" s="187" t="s">
        <v>386</v>
      </c>
      <c r="G397" s="187" t="s">
        <v>393</v>
      </c>
      <c r="H397" s="187" t="b">
        <v>0</v>
      </c>
      <c r="I397" s="187" t="s">
        <v>388</v>
      </c>
      <c r="J397" s="187" t="s">
        <v>389</v>
      </c>
      <c r="K397" s="187" t="b">
        <v>1</v>
      </c>
      <c r="L397" s="187">
        <v>3.5</v>
      </c>
      <c r="M397" s="187">
        <v>0.53</v>
      </c>
      <c r="N397" s="187">
        <v>24.68</v>
      </c>
      <c r="O397" s="187">
        <v>7.1</v>
      </c>
      <c r="P397" s="187">
        <v>6.56</v>
      </c>
      <c r="Q397" s="187"/>
      <c r="R397" s="187"/>
      <c r="S397" s="187"/>
      <c r="T397" s="187"/>
      <c r="U397" s="187">
        <v>46.4</v>
      </c>
      <c r="V397" s="187">
        <v>1.89</v>
      </c>
      <c r="W397" s="188">
        <v>40373</v>
      </c>
      <c r="X397" s="691">
        <f t="shared" si="195"/>
        <v>1.4548000000000001</v>
      </c>
      <c r="Y397" s="691">
        <f t="shared" si="169"/>
        <v>7.5492900000000001</v>
      </c>
      <c r="Z397" s="189"/>
      <c r="AA397" s="190">
        <f t="shared" si="180"/>
        <v>2010</v>
      </c>
      <c r="AB397" s="191">
        <f t="shared" si="181"/>
        <v>2.4058289799285122</v>
      </c>
      <c r="AC397" s="192">
        <f>IF(AB397="","",AB397*SFAssumptions!$C$3)</f>
        <v>617.60829667308212</v>
      </c>
      <c r="AD397" s="193">
        <f t="shared" si="182"/>
        <v>26.422515000000001</v>
      </c>
      <c r="AE397" s="194">
        <f>IF(AD397="","",AD397*SFAssumptions!$C$3)</f>
        <v>6783.0110199495002</v>
      </c>
      <c r="AF397" s="192">
        <f t="shared" si="168"/>
        <v>3.5</v>
      </c>
      <c r="AG397" s="192">
        <f t="shared" si="183"/>
        <v>7.5492900000000001</v>
      </c>
      <c r="AH397" s="192">
        <f t="shared" si="184"/>
        <v>1.4548000000000001</v>
      </c>
      <c r="AI397" s="692">
        <f ca="1">IF(AC397="","",AC397*SFAssumptions!$C$8/'SavingsData&amp;Analysis'!AF397)</f>
        <v>666.48886989256778</v>
      </c>
      <c r="AJ397" s="692">
        <f ca="1">IF(OR(AE397="",AF397=""),"",AE397*SFAssumptions!$C$8/AF397)</f>
        <v>7319.8520381081698</v>
      </c>
      <c r="AK397" s="191">
        <f t="shared" si="185"/>
        <v>1.8518518518518519</v>
      </c>
      <c r="AL397" s="692">
        <f>IF(AK397="","",AK397*SFAssumptions!$C$3)</f>
        <v>475.39499999999998</v>
      </c>
      <c r="AM397" s="193">
        <f t="shared" si="186"/>
        <v>24.849999999999998</v>
      </c>
      <c r="AN397" s="194">
        <f>IF(AM397="","",AM397*SFAssumptions!$C$3)</f>
        <v>6379.3255049999998</v>
      </c>
      <c r="AO397" s="693">
        <f t="shared" si="187"/>
        <v>7.1</v>
      </c>
      <c r="AP397" s="693">
        <f t="shared" si="188"/>
        <v>1.89</v>
      </c>
      <c r="AQ397" s="692">
        <f ca="1">IF(AL397="","",AL397*SFAssumptions!$C$8/'SavingsData&amp;Analysis'!AF397)</f>
        <v>513.0201100104274</v>
      </c>
      <c r="AR397" s="692">
        <f ca="1">IF(OR(AN397="",AF397=""),"",AN397*SFAssumptions!$C$8/AF397)</f>
        <v>6884.2168562299248</v>
      </c>
      <c r="AS397" s="190" t="str">
        <f>IF(OR(AG397="",AH397=""),"No",IF(AND(G397="Horizontal",AH397&gt;='Eff. Standards &amp; Certifications'!$B$21,AG397&lt;='Eff. Standards &amp; Certifications'!$C$21),"Consider",IF(AND(G397="Vertical",AH397&gt;='Eff. Standards &amp; Certifications'!$B$20,AG397&lt;='Eff. Standards &amp; Certifications'!$C$20),"Consider","No")))</f>
        <v>Consider</v>
      </c>
      <c r="AT397" s="190" t="str">
        <f t="shared" si="170"/>
        <v>Residential</v>
      </c>
      <c r="AU397" s="190"/>
      <c r="AV397" s="190" t="str">
        <f t="shared" si="196"/>
        <v>YES</v>
      </c>
      <c r="AW397" s="190" t="str">
        <f t="shared" si="196"/>
        <v>NO</v>
      </c>
      <c r="AX397" s="190" t="str">
        <f t="shared" si="189"/>
        <v>YES</v>
      </c>
      <c r="AY397" s="190" t="str">
        <f t="shared" si="172"/>
        <v>YES</v>
      </c>
      <c r="AZ397" s="190" t="str">
        <f t="shared" si="172"/>
        <v>NO</v>
      </c>
      <c r="BA397" s="190" t="str">
        <f t="shared" si="190"/>
        <v>YES</v>
      </c>
      <c r="BB397" s="190" t="str">
        <f t="shared" si="173"/>
        <v>NO</v>
      </c>
      <c r="BC397" s="190" t="str">
        <f t="shared" si="174"/>
        <v>NO</v>
      </c>
      <c r="BD397" s="190" t="str">
        <f t="shared" si="191"/>
        <v>NO</v>
      </c>
      <c r="BE397" s="190" t="str">
        <f t="shared" si="175"/>
        <v>NO</v>
      </c>
      <c r="BF397" s="190" t="str">
        <f t="shared" si="176"/>
        <v>NO</v>
      </c>
      <c r="BG397" s="190" t="str">
        <f t="shared" si="177"/>
        <v>NO</v>
      </c>
      <c r="BH397" s="88"/>
      <c r="BI397" s="9"/>
      <c r="BJ397" s="694">
        <f t="shared" si="197"/>
        <v>1.4548000000000001</v>
      </c>
      <c r="BK397" s="694" t="str">
        <f t="shared" si="197"/>
        <v/>
      </c>
      <c r="BL397" s="694">
        <f t="shared" si="198"/>
        <v>7.5492900000000001</v>
      </c>
      <c r="BM397" s="694" t="str">
        <f t="shared" si="198"/>
        <v/>
      </c>
      <c r="BN397" s="88"/>
      <c r="BO397" s="195"/>
      <c r="BP397" s="195"/>
      <c r="BQ397" s="195"/>
      <c r="BR397" s="195"/>
      <c r="BS397" s="195"/>
      <c r="BT397" s="195"/>
      <c r="BU397" s="195"/>
      <c r="BV397" s="195"/>
      <c r="BW397" s="195"/>
      <c r="BX397" s="195"/>
    </row>
    <row r="398" spans="1:76" s="124" customFormat="1" ht="15">
      <c r="A398" s="187">
        <v>3386</v>
      </c>
      <c r="B398" s="187" t="s">
        <v>625</v>
      </c>
      <c r="C398" s="187" t="s">
        <v>557</v>
      </c>
      <c r="D398" s="187" t="s">
        <v>744</v>
      </c>
      <c r="E398" s="187" t="s">
        <v>392</v>
      </c>
      <c r="F398" s="187" t="s">
        <v>386</v>
      </c>
      <c r="G398" s="187" t="s">
        <v>393</v>
      </c>
      <c r="H398" s="187" t="b">
        <v>0</v>
      </c>
      <c r="I398" s="187" t="s">
        <v>388</v>
      </c>
      <c r="J398" s="187" t="s">
        <v>389</v>
      </c>
      <c r="K398" s="187" t="b">
        <v>1</v>
      </c>
      <c r="L398" s="187">
        <v>3.4</v>
      </c>
      <c r="M398" s="187">
        <v>0.54</v>
      </c>
      <c r="N398" s="187">
        <v>24.38</v>
      </c>
      <c r="O398" s="187">
        <v>7.1</v>
      </c>
      <c r="P398" s="187">
        <v>6.38</v>
      </c>
      <c r="Q398" s="187"/>
      <c r="R398" s="187"/>
      <c r="S398" s="187"/>
      <c r="T398" s="187"/>
      <c r="U398" s="187">
        <v>46.7</v>
      </c>
      <c r="V398" s="187">
        <v>1.85</v>
      </c>
      <c r="W398" s="188">
        <v>39909</v>
      </c>
      <c r="X398" s="691">
        <f t="shared" si="195"/>
        <v>1.4152</v>
      </c>
      <c r="Y398" s="691">
        <f t="shared" si="169"/>
        <v>7.5492900000000001</v>
      </c>
      <c r="Z398" s="189"/>
      <c r="AA398" s="190">
        <f t="shared" si="180"/>
        <v>2009</v>
      </c>
      <c r="AB398" s="191">
        <f t="shared" si="181"/>
        <v>2.4024872809496891</v>
      </c>
      <c r="AC398" s="192">
        <f>IF(AB398="","",AB398*SFAssumptions!$C$3)</f>
        <v>616.75043810062186</v>
      </c>
      <c r="AD398" s="193">
        <f t="shared" si="182"/>
        <v>25.667586</v>
      </c>
      <c r="AE398" s="194">
        <f>IF(AD398="","",AD398*SFAssumptions!$C$3)</f>
        <v>6589.2107050938002</v>
      </c>
      <c r="AF398" s="192">
        <f t="shared" si="168"/>
        <v>3.4</v>
      </c>
      <c r="AG398" s="192">
        <f t="shared" si="183"/>
        <v>7.5492900000000001</v>
      </c>
      <c r="AH398" s="192">
        <f t="shared" si="184"/>
        <v>1.4152</v>
      </c>
      <c r="AI398" s="692">
        <f ca="1">IF(AC398="","",AC398*SFAssumptions!$C$8/'SavingsData&amp;Analysis'!AF398)</f>
        <v>685.13850192178336</v>
      </c>
      <c r="AJ398" s="692">
        <f ca="1">IF(OR(AE398="",AF398=""),"",AE398*SFAssumptions!$C$8/AF398)</f>
        <v>7319.8520381081707</v>
      </c>
      <c r="AK398" s="191">
        <f t="shared" si="185"/>
        <v>1.8378378378378377</v>
      </c>
      <c r="AL398" s="692">
        <f>IF(AK398="","",AK398*SFAssumptions!$C$3)</f>
        <v>471.79741621621622</v>
      </c>
      <c r="AM398" s="193">
        <f t="shared" si="186"/>
        <v>24.139999999999997</v>
      </c>
      <c r="AN398" s="194">
        <f>IF(AM398="","",AM398*SFAssumptions!$C$3)</f>
        <v>6197.0590619999994</v>
      </c>
      <c r="AO398" s="693">
        <f t="shared" si="187"/>
        <v>7.1</v>
      </c>
      <c r="AP398" s="693">
        <f t="shared" si="188"/>
        <v>1.85</v>
      </c>
      <c r="AQ398" s="692">
        <f ca="1">IF(AL398="","",AL398*SFAssumptions!$C$8/'SavingsData&amp;Analysis'!AF398)</f>
        <v>524.11243671335546</v>
      </c>
      <c r="AR398" s="692">
        <f ca="1">IF(OR(AN398="",AF398=""),"",AN398*SFAssumptions!$C$8/AF398)</f>
        <v>6884.2168562299239</v>
      </c>
      <c r="AS398" s="190" t="str">
        <f>IF(OR(AG398="",AH398=""),"No",IF(AND(G398="Horizontal",AH398&gt;='Eff. Standards &amp; Certifications'!$B$21,AG398&lt;='Eff. Standards &amp; Certifications'!$C$21),"Consider",IF(AND(G398="Vertical",AH398&gt;='Eff. Standards &amp; Certifications'!$B$20,AG398&lt;='Eff. Standards &amp; Certifications'!$C$20),"Consider","No")))</f>
        <v>Consider</v>
      </c>
      <c r="AT398" s="190" t="str">
        <f t="shared" si="170"/>
        <v>Residential</v>
      </c>
      <c r="AU398" s="190"/>
      <c r="AV398" s="190" t="str">
        <f t="shared" si="196"/>
        <v>YES</v>
      </c>
      <c r="AW398" s="190" t="str">
        <f t="shared" si="196"/>
        <v>NO</v>
      </c>
      <c r="AX398" s="190" t="str">
        <f t="shared" si="189"/>
        <v>YES</v>
      </c>
      <c r="AY398" s="190" t="str">
        <f t="shared" si="172"/>
        <v>YES</v>
      </c>
      <c r="AZ398" s="190" t="str">
        <f t="shared" si="172"/>
        <v>NO</v>
      </c>
      <c r="BA398" s="190" t="str">
        <f t="shared" si="190"/>
        <v>YES</v>
      </c>
      <c r="BB398" s="190" t="str">
        <f t="shared" si="173"/>
        <v>NO</v>
      </c>
      <c r="BC398" s="190" t="str">
        <f t="shared" si="174"/>
        <v>NO</v>
      </c>
      <c r="BD398" s="190" t="str">
        <f t="shared" si="191"/>
        <v>NO</v>
      </c>
      <c r="BE398" s="190" t="str">
        <f t="shared" si="175"/>
        <v>NO</v>
      </c>
      <c r="BF398" s="190" t="str">
        <f t="shared" si="176"/>
        <v>NO</v>
      </c>
      <c r="BG398" s="190" t="str">
        <f t="shared" si="177"/>
        <v>NO</v>
      </c>
      <c r="BH398" s="88"/>
      <c r="BI398" s="9"/>
      <c r="BJ398" s="694">
        <f t="shared" si="197"/>
        <v>1.4152</v>
      </c>
      <c r="BK398" s="694" t="str">
        <f t="shared" si="197"/>
        <v/>
      </c>
      <c r="BL398" s="694">
        <f t="shared" si="198"/>
        <v>7.5492900000000001</v>
      </c>
      <c r="BM398" s="694" t="str">
        <f t="shared" si="198"/>
        <v/>
      </c>
      <c r="BN398" s="88"/>
      <c r="BO398" s="195"/>
      <c r="BP398" s="195"/>
      <c r="BQ398" s="195"/>
      <c r="BR398" s="195"/>
      <c r="BS398" s="195"/>
      <c r="BT398" s="195"/>
      <c r="BU398" s="195"/>
      <c r="BV398" s="195"/>
      <c r="BW398" s="195"/>
      <c r="BX398" s="195"/>
    </row>
    <row r="399" spans="1:76" s="124" customFormat="1" ht="15">
      <c r="A399" s="187">
        <v>637</v>
      </c>
      <c r="B399" s="187" t="s">
        <v>625</v>
      </c>
      <c r="C399" s="187" t="s">
        <v>557</v>
      </c>
      <c r="D399" s="187" t="s">
        <v>745</v>
      </c>
      <c r="E399" s="187" t="s">
        <v>392</v>
      </c>
      <c r="F399" s="187" t="s">
        <v>386</v>
      </c>
      <c r="G399" s="187" t="s">
        <v>393</v>
      </c>
      <c r="H399" s="187" t="b">
        <v>0</v>
      </c>
      <c r="I399" s="187" t="s">
        <v>388</v>
      </c>
      <c r="J399" s="187" t="s">
        <v>389</v>
      </c>
      <c r="K399" s="187" t="b">
        <v>1</v>
      </c>
      <c r="L399" s="187">
        <v>3.5</v>
      </c>
      <c r="M399" s="187">
        <v>0.56999999999999995</v>
      </c>
      <c r="N399" s="187">
        <v>24.47</v>
      </c>
      <c r="O399" s="187">
        <v>7.1</v>
      </c>
      <c r="P399" s="187">
        <v>6.07</v>
      </c>
      <c r="Q399" s="187"/>
      <c r="R399" s="187"/>
      <c r="S399" s="187"/>
      <c r="T399" s="187"/>
      <c r="U399" s="187">
        <v>47.4</v>
      </c>
      <c r="V399" s="187">
        <v>1.81</v>
      </c>
      <c r="W399" s="188">
        <v>40170</v>
      </c>
      <c r="X399" s="691">
        <f t="shared" si="195"/>
        <v>1.3755999999999999</v>
      </c>
      <c r="Y399" s="691">
        <f t="shared" si="169"/>
        <v>7.5492900000000001</v>
      </c>
      <c r="Z399" s="189"/>
      <c r="AA399" s="190">
        <f t="shared" si="180"/>
        <v>2009</v>
      </c>
      <c r="AB399" s="191">
        <f t="shared" si="181"/>
        <v>2.544344286129689</v>
      </c>
      <c r="AC399" s="192">
        <f>IF(AB399="","",AB399*SFAssumptions!$C$3)</f>
        <v>653.16701802849673</v>
      </c>
      <c r="AD399" s="193">
        <f t="shared" si="182"/>
        <v>26.422515000000001</v>
      </c>
      <c r="AE399" s="194">
        <f>IF(AD399="","",AD399*SFAssumptions!$C$3)</f>
        <v>6783.0110199495002</v>
      </c>
      <c r="AF399" s="192">
        <f t="shared" si="168"/>
        <v>3.5</v>
      </c>
      <c r="AG399" s="192">
        <f t="shared" si="183"/>
        <v>7.5492900000000001</v>
      </c>
      <c r="AH399" s="192">
        <f t="shared" si="184"/>
        <v>1.3755999999999999</v>
      </c>
      <c r="AI399" s="692">
        <f ca="1">IF(AC399="","",AC399*SFAssumptions!$C$8/'SavingsData&amp;Analysis'!AF399)</f>
        <v>704.86188421031397</v>
      </c>
      <c r="AJ399" s="692">
        <f ca="1">IF(OR(AE399="",AF399=""),"",AE399*SFAssumptions!$C$8/AF399)</f>
        <v>7319.8520381081698</v>
      </c>
      <c r="AK399" s="191">
        <f t="shared" si="185"/>
        <v>1.9337016574585635</v>
      </c>
      <c r="AL399" s="692">
        <f>IF(AK399="","",AK399*SFAssumptions!$C$3)</f>
        <v>496.40693370165747</v>
      </c>
      <c r="AM399" s="193">
        <f t="shared" si="186"/>
        <v>24.849999999999998</v>
      </c>
      <c r="AN399" s="194">
        <f>IF(AM399="","",AM399*SFAssumptions!$C$3)</f>
        <v>6379.3255049999998</v>
      </c>
      <c r="AO399" s="693">
        <f t="shared" si="187"/>
        <v>7.1</v>
      </c>
      <c r="AP399" s="693">
        <f t="shared" si="188"/>
        <v>1.81</v>
      </c>
      <c r="AQ399" s="692">
        <f ca="1">IF(AL399="","",AL399*SFAssumptions!$C$8/'SavingsData&amp;Analysis'!AF399)</f>
        <v>535.69503199983853</v>
      </c>
      <c r="AR399" s="692">
        <f ca="1">IF(OR(AN399="",AF399=""),"",AN399*SFAssumptions!$C$8/AF399)</f>
        <v>6884.2168562299248</v>
      </c>
      <c r="AS399" s="190" t="str">
        <f>IF(OR(AG399="",AH399=""),"No",IF(AND(G399="Horizontal",AH399&gt;='Eff. Standards &amp; Certifications'!$B$21,AG399&lt;='Eff. Standards &amp; Certifications'!$C$21),"Consider",IF(AND(G399="Vertical",AH399&gt;='Eff. Standards &amp; Certifications'!$B$20,AG399&lt;='Eff. Standards &amp; Certifications'!$C$20),"Consider","No")))</f>
        <v>Consider</v>
      </c>
      <c r="AT399" s="190" t="str">
        <f t="shared" si="170"/>
        <v>Residential</v>
      </c>
      <c r="AU399" s="190"/>
      <c r="AV399" s="190" t="str">
        <f t="shared" si="196"/>
        <v>YES</v>
      </c>
      <c r="AW399" s="190" t="str">
        <f t="shared" si="196"/>
        <v>NO</v>
      </c>
      <c r="AX399" s="190" t="str">
        <f t="shared" si="189"/>
        <v>YES</v>
      </c>
      <c r="AY399" s="190" t="str">
        <f t="shared" si="172"/>
        <v>YES</v>
      </c>
      <c r="AZ399" s="190" t="str">
        <f t="shared" si="172"/>
        <v>NO</v>
      </c>
      <c r="BA399" s="190" t="str">
        <f t="shared" si="190"/>
        <v>YES</v>
      </c>
      <c r="BB399" s="190" t="str">
        <f t="shared" si="173"/>
        <v>NO</v>
      </c>
      <c r="BC399" s="190" t="str">
        <f t="shared" si="174"/>
        <v>NO</v>
      </c>
      <c r="BD399" s="190" t="str">
        <f t="shared" si="191"/>
        <v>NO</v>
      </c>
      <c r="BE399" s="190" t="str">
        <f t="shared" si="175"/>
        <v>NO</v>
      </c>
      <c r="BF399" s="190" t="str">
        <f t="shared" si="176"/>
        <v>NO</v>
      </c>
      <c r="BG399" s="190" t="str">
        <f t="shared" si="177"/>
        <v>NO</v>
      </c>
      <c r="BH399" s="88"/>
      <c r="BI399" s="9"/>
      <c r="BJ399" s="694">
        <f t="shared" si="197"/>
        <v>1.3755999999999999</v>
      </c>
      <c r="BK399" s="694" t="str">
        <f t="shared" si="197"/>
        <v/>
      </c>
      <c r="BL399" s="694">
        <f t="shared" si="198"/>
        <v>7.5492900000000001</v>
      </c>
      <c r="BM399" s="694" t="str">
        <f t="shared" si="198"/>
        <v/>
      </c>
      <c r="BN399" s="88"/>
      <c r="BO399" s="195"/>
      <c r="BP399" s="195"/>
      <c r="BQ399" s="195"/>
      <c r="BR399" s="195"/>
      <c r="BS399" s="195"/>
      <c r="BT399" s="195"/>
      <c r="BU399" s="195"/>
      <c r="BV399" s="195"/>
      <c r="BW399" s="195"/>
      <c r="BX399" s="195"/>
    </row>
    <row r="400" spans="1:76" s="124" customFormat="1" ht="15">
      <c r="A400" s="187">
        <v>3115</v>
      </c>
      <c r="B400" s="187" t="s">
        <v>625</v>
      </c>
      <c r="C400" s="187" t="s">
        <v>746</v>
      </c>
      <c r="D400" s="187" t="s">
        <v>747</v>
      </c>
      <c r="E400" s="187" t="s">
        <v>392</v>
      </c>
      <c r="F400" s="187" t="s">
        <v>386</v>
      </c>
      <c r="G400" s="187" t="s">
        <v>393</v>
      </c>
      <c r="H400" s="187" t="b">
        <v>0</v>
      </c>
      <c r="I400" s="187" t="s">
        <v>388</v>
      </c>
      <c r="J400" s="187" t="s">
        <v>389</v>
      </c>
      <c r="K400" s="187" t="b">
        <v>1</v>
      </c>
      <c r="L400" s="187">
        <v>3.2</v>
      </c>
      <c r="M400" s="187">
        <v>1.1000000000000001</v>
      </c>
      <c r="N400" s="187">
        <v>37.46</v>
      </c>
      <c r="O400" s="187">
        <v>11.9</v>
      </c>
      <c r="P400" s="187">
        <v>2.89</v>
      </c>
      <c r="Q400" s="187"/>
      <c r="R400" s="187"/>
      <c r="S400" s="187"/>
      <c r="T400" s="187"/>
      <c r="U400" s="187">
        <v>51.6</v>
      </c>
      <c r="V400" s="187">
        <v>1.28</v>
      </c>
      <c r="W400" s="188">
        <v>39371</v>
      </c>
      <c r="X400" s="691">
        <f t="shared" si="195"/>
        <v>0.8509000000000001</v>
      </c>
      <c r="Y400" s="691">
        <f t="shared" si="169"/>
        <v>12.296010000000001</v>
      </c>
      <c r="Z400" s="189"/>
      <c r="AA400" s="190">
        <f t="shared" si="180"/>
        <v>2007</v>
      </c>
      <c r="AB400" s="191">
        <f t="shared" si="181"/>
        <v>3.7607239393583263</v>
      </c>
      <c r="AC400" s="192">
        <f>IF(AB400="","",AB400*SFAssumptions!$C$3)</f>
        <v>965.42785286167589</v>
      </c>
      <c r="AD400" s="193">
        <f t="shared" si="182"/>
        <v>39.347232000000005</v>
      </c>
      <c r="AE400" s="194">
        <f>IF(AD400="","",AD400*SFAssumptions!$C$3)</f>
        <v>10100.957772585602</v>
      </c>
      <c r="AF400" s="192">
        <f t="shared" si="168"/>
        <v>3.2</v>
      </c>
      <c r="AG400" s="192">
        <f t="shared" si="183"/>
        <v>12.296010000000001</v>
      </c>
      <c r="AH400" s="192">
        <f t="shared" si="184"/>
        <v>0.8509000000000001</v>
      </c>
      <c r="AI400" s="692">
        <f ca="1">IF(AC400="","",AC400*SFAssumptions!$C$8/'SavingsData&amp;Analysis'!AF400)</f>
        <v>1139.5087647428695</v>
      </c>
      <c r="AJ400" s="692">
        <f ca="1">IF(OR(AE400="",AF400=""),"",AE400*SFAssumptions!$C$8/AF400)</f>
        <v>11922.309761460805</v>
      </c>
      <c r="AK400" s="191">
        <f t="shared" si="185"/>
        <v>2.5</v>
      </c>
      <c r="AL400" s="692">
        <f>IF(AK400="","",AK400*SFAssumptions!$C$3)</f>
        <v>641.78324999999995</v>
      </c>
      <c r="AM400" s="193">
        <f t="shared" si="186"/>
        <v>38.080000000000005</v>
      </c>
      <c r="AN400" s="194">
        <f>IF(AM400="","",AM400*SFAssumptions!$C$3)</f>
        <v>9775.6424640000023</v>
      </c>
      <c r="AO400" s="693">
        <f t="shared" si="187"/>
        <v>11.9</v>
      </c>
      <c r="AP400" s="693">
        <f t="shared" si="188"/>
        <v>1.28</v>
      </c>
      <c r="AQ400" s="692">
        <f ca="1">IF(AL400="","",AL400*SFAssumptions!$C$8/'SavingsData&amp;Analysis'!AF400)</f>
        <v>757.50625618727156</v>
      </c>
      <c r="AR400" s="692">
        <f ca="1">IF(OR(AN400="",AF400=""),"",AN400*SFAssumptions!$C$8/AF400)</f>
        <v>11538.335294244522</v>
      </c>
      <c r="AS400" s="190" t="str">
        <f>IF(OR(AG400="",AH400=""),"No",IF(AND(G400="Horizontal",AH400&gt;='Eff. Standards &amp; Certifications'!$B$21,AG400&lt;='Eff. Standards &amp; Certifications'!$C$21),"Consider",IF(AND(G400="Vertical",AH400&gt;='Eff. Standards &amp; Certifications'!$B$20,AG400&lt;='Eff. Standards &amp; Certifications'!$C$20),"Consider","No")))</f>
        <v>No</v>
      </c>
      <c r="AT400" s="190" t="str">
        <f t="shared" si="170"/>
        <v>Residential</v>
      </c>
      <c r="AU400" s="190"/>
      <c r="AV400" s="190" t="str">
        <f t="shared" si="196"/>
        <v>NO</v>
      </c>
      <c r="AW400" s="190" t="str">
        <f t="shared" si="196"/>
        <v>NO</v>
      </c>
      <c r="AX400" s="190" t="str">
        <f t="shared" si="189"/>
        <v>NO</v>
      </c>
      <c r="AY400" s="190" t="str">
        <f t="shared" si="172"/>
        <v>NO</v>
      </c>
      <c r="AZ400" s="190" t="str">
        <f t="shared" si="172"/>
        <v>NO</v>
      </c>
      <c r="BA400" s="190" t="str">
        <f t="shared" si="190"/>
        <v>NO</v>
      </c>
      <c r="BB400" s="190" t="str">
        <f t="shared" si="173"/>
        <v>NO</v>
      </c>
      <c r="BC400" s="190" t="str">
        <f t="shared" si="174"/>
        <v>NO</v>
      </c>
      <c r="BD400" s="190" t="str">
        <f t="shared" si="191"/>
        <v>NO</v>
      </c>
      <c r="BE400" s="190" t="str">
        <f t="shared" si="175"/>
        <v>NO</v>
      </c>
      <c r="BF400" s="190" t="str">
        <f t="shared" si="176"/>
        <v>NO</v>
      </c>
      <c r="BG400" s="190" t="str">
        <f t="shared" si="177"/>
        <v>NO</v>
      </c>
      <c r="BH400" s="88"/>
      <c r="BI400" s="9"/>
      <c r="BJ400" s="694" t="str">
        <f t="shared" si="197"/>
        <v/>
      </c>
      <c r="BK400" s="694" t="str">
        <f t="shared" si="197"/>
        <v/>
      </c>
      <c r="BL400" s="694" t="str">
        <f t="shared" si="198"/>
        <v/>
      </c>
      <c r="BM400" s="694" t="str">
        <f t="shared" si="198"/>
        <v/>
      </c>
      <c r="BN400" s="88"/>
      <c r="BO400" s="195"/>
      <c r="BP400" s="195"/>
      <c r="BQ400" s="195"/>
      <c r="BR400" s="195"/>
      <c r="BS400" s="195"/>
      <c r="BT400" s="195"/>
      <c r="BU400" s="195"/>
      <c r="BV400" s="195"/>
      <c r="BW400" s="195"/>
      <c r="BX400" s="195"/>
    </row>
    <row r="401" spans="1:76" s="124" customFormat="1" ht="15">
      <c r="A401" s="187">
        <v>3443</v>
      </c>
      <c r="B401" s="187" t="s">
        <v>625</v>
      </c>
      <c r="C401" s="187" t="s">
        <v>746</v>
      </c>
      <c r="D401" s="187" t="s">
        <v>748</v>
      </c>
      <c r="E401" s="187" t="s">
        <v>392</v>
      </c>
      <c r="F401" s="187" t="s">
        <v>386</v>
      </c>
      <c r="G401" s="187" t="s">
        <v>393</v>
      </c>
      <c r="H401" s="187" t="b">
        <v>0</v>
      </c>
      <c r="I401" s="187" t="s">
        <v>388</v>
      </c>
      <c r="J401" s="187" t="s">
        <v>389</v>
      </c>
      <c r="K401" s="187" t="b">
        <v>1</v>
      </c>
      <c r="L401" s="187">
        <v>3.2</v>
      </c>
      <c r="M401" s="187">
        <v>0.81</v>
      </c>
      <c r="N401" s="187">
        <v>36.36</v>
      </c>
      <c r="O401" s="187">
        <v>11.3</v>
      </c>
      <c r="P401" s="187">
        <v>3.99</v>
      </c>
      <c r="Q401" s="187"/>
      <c r="R401" s="187"/>
      <c r="S401" s="187"/>
      <c r="T401" s="187"/>
      <c r="U401" s="187">
        <v>51.5</v>
      </c>
      <c r="V401" s="187">
        <v>1.46</v>
      </c>
      <c r="W401" s="188">
        <v>39696</v>
      </c>
      <c r="X401" s="691">
        <f t="shared" si="195"/>
        <v>1.0291000000000001</v>
      </c>
      <c r="Y401" s="691">
        <f t="shared" si="169"/>
        <v>11.702670000000001</v>
      </c>
      <c r="Z401" s="189"/>
      <c r="AA401" s="190">
        <f t="shared" si="180"/>
        <v>2008</v>
      </c>
      <c r="AB401" s="191">
        <f t="shared" si="181"/>
        <v>3.1095131668448155</v>
      </c>
      <c r="AC401" s="192">
        <f>IF(AB401="","",AB401*SFAssumptions!$C$3)</f>
        <v>798.25338645418321</v>
      </c>
      <c r="AD401" s="193">
        <f t="shared" si="182"/>
        <v>37.448544000000005</v>
      </c>
      <c r="AE401" s="194">
        <f>IF(AD401="","",AD401*SFAssumptions!$C$3)</f>
        <v>9613.5393104352024</v>
      </c>
      <c r="AF401" s="192">
        <f t="shared" si="168"/>
        <v>3.2</v>
      </c>
      <c r="AG401" s="192">
        <f t="shared" si="183"/>
        <v>11.702670000000001</v>
      </c>
      <c r="AH401" s="192">
        <f t="shared" si="184"/>
        <v>1.0291000000000001</v>
      </c>
      <c r="AI401" s="692">
        <f ca="1">IF(AC401="","",AC401*SFAssumptions!$C$8/'SavingsData&amp;Analysis'!AF401)</f>
        <v>942.19027103265728</v>
      </c>
      <c r="AJ401" s="692">
        <f ca="1">IF(OR(AE401="",AF401=""),"",AE401*SFAssumptions!$C$8/AF401)</f>
        <v>11347.002546041727</v>
      </c>
      <c r="AK401" s="191">
        <f t="shared" si="185"/>
        <v>2.1917808219178085</v>
      </c>
      <c r="AL401" s="692">
        <f>IF(AK401="","",AK401*SFAssumptions!$C$3)</f>
        <v>562.65928767123296</v>
      </c>
      <c r="AM401" s="193">
        <f t="shared" si="186"/>
        <v>36.160000000000004</v>
      </c>
      <c r="AN401" s="194">
        <f>IF(AM401="","",AM401*SFAssumptions!$C$3)</f>
        <v>9282.7529280000017</v>
      </c>
      <c r="AO401" s="693">
        <f t="shared" si="187"/>
        <v>11.3</v>
      </c>
      <c r="AP401" s="693">
        <f t="shared" si="188"/>
        <v>1.46</v>
      </c>
      <c r="AQ401" s="692">
        <f ca="1">IF(AL401="","",AL401*SFAssumptions!$C$8/'SavingsData&amp;Analysis'!AF401)</f>
        <v>664.11507391760802</v>
      </c>
      <c r="AR401" s="692">
        <f ca="1">IF(OR(AN401="",AF401=""),"",AN401*SFAssumptions!$C$8/AF401)</f>
        <v>10956.570489492698</v>
      </c>
      <c r="AS401" s="190" t="str">
        <f>IF(OR(AG401="",AH401=""),"No",IF(AND(G401="Horizontal",AH401&gt;='Eff. Standards &amp; Certifications'!$B$21,AG401&lt;='Eff. Standards &amp; Certifications'!$C$21),"Consider",IF(AND(G401="Vertical",AH401&gt;='Eff. Standards &amp; Certifications'!$B$20,AG401&lt;='Eff. Standards &amp; Certifications'!$C$20),"Consider","No")))</f>
        <v>No</v>
      </c>
      <c r="AT401" s="190" t="str">
        <f t="shared" si="170"/>
        <v>Residential</v>
      </c>
      <c r="AU401" s="190"/>
      <c r="AV401" s="190" t="str">
        <f t="shared" si="196"/>
        <v>NO</v>
      </c>
      <c r="AW401" s="190" t="str">
        <f t="shared" si="196"/>
        <v>NO</v>
      </c>
      <c r="AX401" s="190" t="str">
        <f t="shared" si="189"/>
        <v>NO</v>
      </c>
      <c r="AY401" s="190" t="str">
        <f t="shared" si="172"/>
        <v>NO</v>
      </c>
      <c r="AZ401" s="190" t="str">
        <f t="shared" si="172"/>
        <v>NO</v>
      </c>
      <c r="BA401" s="190" t="str">
        <f t="shared" si="190"/>
        <v>NO</v>
      </c>
      <c r="BB401" s="190" t="str">
        <f t="shared" si="173"/>
        <v>NO</v>
      </c>
      <c r="BC401" s="190" t="str">
        <f t="shared" si="174"/>
        <v>NO</v>
      </c>
      <c r="BD401" s="190" t="str">
        <f t="shared" si="191"/>
        <v>NO</v>
      </c>
      <c r="BE401" s="190" t="str">
        <f t="shared" si="175"/>
        <v>NO</v>
      </c>
      <c r="BF401" s="190" t="str">
        <f t="shared" si="176"/>
        <v>NO</v>
      </c>
      <c r="BG401" s="190" t="str">
        <f t="shared" si="177"/>
        <v>NO</v>
      </c>
      <c r="BH401" s="88"/>
      <c r="BI401" s="9"/>
      <c r="BJ401" s="694" t="str">
        <f t="shared" si="197"/>
        <v/>
      </c>
      <c r="BK401" s="694" t="str">
        <f t="shared" si="197"/>
        <v/>
      </c>
      <c r="BL401" s="694" t="str">
        <f t="shared" si="198"/>
        <v/>
      </c>
      <c r="BM401" s="694" t="str">
        <f t="shared" si="198"/>
        <v/>
      </c>
      <c r="BN401" s="88"/>
      <c r="BO401" s="195"/>
      <c r="BP401" s="195"/>
      <c r="BQ401" s="195"/>
      <c r="BR401" s="195"/>
      <c r="BS401" s="195"/>
      <c r="BT401" s="195"/>
      <c r="BU401" s="195"/>
      <c r="BV401" s="195"/>
      <c r="BW401" s="195"/>
      <c r="BX401" s="195"/>
    </row>
    <row r="402" spans="1:76" s="124" customFormat="1" ht="15">
      <c r="A402" s="187">
        <v>639</v>
      </c>
      <c r="B402" s="187" t="s">
        <v>625</v>
      </c>
      <c r="C402" s="187" t="s">
        <v>625</v>
      </c>
      <c r="D402" s="187" t="s">
        <v>749</v>
      </c>
      <c r="E402" s="187" t="s">
        <v>392</v>
      </c>
      <c r="F402" s="187" t="s">
        <v>386</v>
      </c>
      <c r="G402" s="187" t="s">
        <v>393</v>
      </c>
      <c r="H402" s="187" t="b">
        <v>0</v>
      </c>
      <c r="I402" s="187" t="s">
        <v>388</v>
      </c>
      <c r="J402" s="187" t="s">
        <v>389</v>
      </c>
      <c r="K402" s="187" t="b">
        <v>1</v>
      </c>
      <c r="L402" s="187">
        <v>3.5</v>
      </c>
      <c r="M402" s="187">
        <v>0.68</v>
      </c>
      <c r="N402" s="187">
        <v>35.43</v>
      </c>
      <c r="O402" s="187">
        <v>10.199999999999999</v>
      </c>
      <c r="P402" s="187">
        <v>5.0999999999999996</v>
      </c>
      <c r="Q402" s="187"/>
      <c r="R402" s="187"/>
      <c r="S402" s="187"/>
      <c r="T402" s="187"/>
      <c r="U402" s="187">
        <v>54.4</v>
      </c>
      <c r="V402" s="187">
        <v>1.55</v>
      </c>
      <c r="W402" s="188">
        <v>40170</v>
      </c>
      <c r="X402" s="691">
        <f t="shared" si="195"/>
        <v>1.1181999999999999</v>
      </c>
      <c r="Y402" s="691">
        <f t="shared" si="169"/>
        <v>10.614879999999999</v>
      </c>
      <c r="Z402" s="189"/>
      <c r="AA402" s="190">
        <f t="shared" si="180"/>
        <v>2009</v>
      </c>
      <c r="AB402" s="191">
        <f t="shared" si="181"/>
        <v>3.1300304060096589</v>
      </c>
      <c r="AC402" s="192">
        <f>IF(AB402="","",AB402*SFAssumptions!$C$3)</f>
        <v>803.52043462707934</v>
      </c>
      <c r="AD402" s="193">
        <f t="shared" si="182"/>
        <v>37.152079999999998</v>
      </c>
      <c r="AE402" s="194">
        <f>IF(AD402="","",AD402*SFAssumptions!$C$3)</f>
        <v>9537.433058663999</v>
      </c>
      <c r="AF402" s="192">
        <f t="shared" si="168"/>
        <v>3.5</v>
      </c>
      <c r="AG402" s="192">
        <f t="shared" si="183"/>
        <v>10.614879999999999</v>
      </c>
      <c r="AH402" s="192">
        <f t="shared" si="184"/>
        <v>1.1181999999999999</v>
      </c>
      <c r="AI402" s="692">
        <f ca="1">IF(AC402="","",AC402*SFAssumptions!$C$8/'SavingsData&amp;Analysis'!AF402)</f>
        <v>867.11501334261118</v>
      </c>
      <c r="AJ402" s="692">
        <f ca="1">IF(OR(AE402="",AF402=""),"",AE402*SFAssumptions!$C$8/AF402)</f>
        <v>10292.272651106745</v>
      </c>
      <c r="AK402" s="191">
        <f t="shared" si="185"/>
        <v>2.258064516129032</v>
      </c>
      <c r="AL402" s="692">
        <f>IF(AK402="","",AK402*SFAssumptions!$C$3)</f>
        <v>579.67519354838703</v>
      </c>
      <c r="AM402" s="193">
        <f t="shared" si="186"/>
        <v>35.699999999999996</v>
      </c>
      <c r="AN402" s="194">
        <f>IF(AM402="","",AM402*SFAssumptions!$C$3)</f>
        <v>9164.6648099999984</v>
      </c>
      <c r="AO402" s="693">
        <f t="shared" si="187"/>
        <v>10.199999999999999</v>
      </c>
      <c r="AP402" s="693">
        <f t="shared" si="188"/>
        <v>1.55</v>
      </c>
      <c r="AQ402" s="692">
        <f ca="1">IF(AL402="","",AL402*SFAssumptions!$C$8/'SavingsData&amp;Analysis'!AF402)</f>
        <v>625.55355349658555</v>
      </c>
      <c r="AR402" s="692">
        <f ca="1">IF(OR(AN402="",AF402=""),"",AN402*SFAssumptions!$C$8/AF402)</f>
        <v>9890.0016807810171</v>
      </c>
      <c r="AS402" s="190" t="str">
        <f>IF(OR(AG402="",AH402=""),"No",IF(AND(G402="Horizontal",AH402&gt;='Eff. Standards &amp; Certifications'!$B$21,AG402&lt;='Eff. Standards &amp; Certifications'!$C$21),"Consider",IF(AND(G402="Vertical",AH402&gt;='Eff. Standards &amp; Certifications'!$B$20,AG402&lt;='Eff. Standards &amp; Certifications'!$C$20),"Consider","No")))</f>
        <v>No</v>
      </c>
      <c r="AT402" s="190" t="str">
        <f t="shared" si="170"/>
        <v>Residential</v>
      </c>
      <c r="AU402" s="190"/>
      <c r="AV402" s="190" t="str">
        <f t="shared" si="196"/>
        <v>NO</v>
      </c>
      <c r="AW402" s="190" t="str">
        <f t="shared" si="196"/>
        <v>NO</v>
      </c>
      <c r="AX402" s="190" t="str">
        <f t="shared" si="189"/>
        <v>NO</v>
      </c>
      <c r="AY402" s="190" t="str">
        <f t="shared" si="172"/>
        <v>NO</v>
      </c>
      <c r="AZ402" s="190" t="str">
        <f t="shared" si="172"/>
        <v>NO</v>
      </c>
      <c r="BA402" s="190" t="str">
        <f t="shared" si="190"/>
        <v>NO</v>
      </c>
      <c r="BB402" s="190" t="str">
        <f t="shared" si="173"/>
        <v>NO</v>
      </c>
      <c r="BC402" s="190" t="str">
        <f t="shared" si="174"/>
        <v>NO</v>
      </c>
      <c r="BD402" s="190" t="str">
        <f t="shared" si="191"/>
        <v>NO</v>
      </c>
      <c r="BE402" s="190" t="str">
        <f t="shared" si="175"/>
        <v>NO</v>
      </c>
      <c r="BF402" s="190" t="str">
        <f t="shared" si="176"/>
        <v>NO</v>
      </c>
      <c r="BG402" s="190" t="str">
        <f t="shared" si="177"/>
        <v>NO</v>
      </c>
      <c r="BH402" s="88"/>
      <c r="BI402" s="9"/>
      <c r="BJ402" s="694" t="str">
        <f t="shared" si="197"/>
        <v/>
      </c>
      <c r="BK402" s="694" t="str">
        <f t="shared" si="197"/>
        <v/>
      </c>
      <c r="BL402" s="694" t="str">
        <f t="shared" si="198"/>
        <v/>
      </c>
      <c r="BM402" s="694" t="str">
        <f t="shared" si="198"/>
        <v/>
      </c>
      <c r="BN402" s="88"/>
      <c r="BO402" s="195"/>
      <c r="BP402" s="195"/>
      <c r="BQ402" s="195"/>
      <c r="BR402" s="195"/>
      <c r="BS402" s="195"/>
      <c r="BT402" s="195"/>
      <c r="BU402" s="195"/>
      <c r="BV402" s="195"/>
      <c r="BW402" s="195"/>
      <c r="BX402" s="195"/>
    </row>
    <row r="403" spans="1:76" s="124" customFormat="1" ht="15">
      <c r="A403" s="187">
        <v>3248</v>
      </c>
      <c r="B403" s="187" t="s">
        <v>625</v>
      </c>
      <c r="C403" s="187" t="s">
        <v>625</v>
      </c>
      <c r="D403" s="187" t="s">
        <v>750</v>
      </c>
      <c r="E403" s="187" t="s">
        <v>392</v>
      </c>
      <c r="F403" s="187" t="s">
        <v>386</v>
      </c>
      <c r="G403" s="187" t="s">
        <v>393</v>
      </c>
      <c r="H403" s="187" t="b">
        <v>0</v>
      </c>
      <c r="I403" s="187" t="s">
        <v>388</v>
      </c>
      <c r="J403" s="187" t="s">
        <v>389</v>
      </c>
      <c r="K403" s="187" t="b">
        <v>1</v>
      </c>
      <c r="L403" s="187">
        <v>3.2</v>
      </c>
      <c r="M403" s="187">
        <v>0.89</v>
      </c>
      <c r="N403" s="187">
        <v>28.67</v>
      </c>
      <c r="O403" s="187">
        <v>9</v>
      </c>
      <c r="P403" s="187">
        <v>3.59</v>
      </c>
      <c r="Q403" s="187"/>
      <c r="R403" s="187"/>
      <c r="S403" s="187"/>
      <c r="T403" s="187"/>
      <c r="U403" s="187">
        <v>50.6</v>
      </c>
      <c r="V403" s="187">
        <v>1.43</v>
      </c>
      <c r="W403" s="188">
        <v>39373</v>
      </c>
      <c r="X403" s="691">
        <f t="shared" si="195"/>
        <v>0.99939999999999996</v>
      </c>
      <c r="Y403" s="691">
        <f t="shared" si="169"/>
        <v>9.4282000000000004</v>
      </c>
      <c r="Z403" s="189"/>
      <c r="AA403" s="190">
        <f t="shared" si="180"/>
        <v>2007</v>
      </c>
      <c r="AB403" s="191">
        <f t="shared" si="181"/>
        <v>3.2019211526916154</v>
      </c>
      <c r="AC403" s="192">
        <f>IF(AB403="","",AB403*SFAssumptions!$C$3)</f>
        <v>821.97574544726842</v>
      </c>
      <c r="AD403" s="193">
        <f t="shared" si="182"/>
        <v>30.170240000000003</v>
      </c>
      <c r="AE403" s="194">
        <f>IF(AD403="","",AD403*SFAssumptions!$C$3)</f>
        <v>7745.1018721920009</v>
      </c>
      <c r="AF403" s="192">
        <f t="shared" si="168"/>
        <v>3.2</v>
      </c>
      <c r="AG403" s="192">
        <f t="shared" si="183"/>
        <v>9.4282000000000004</v>
      </c>
      <c r="AH403" s="192">
        <f t="shared" si="184"/>
        <v>0.99939999999999996</v>
      </c>
      <c r="AI403" s="692">
        <f ca="1">IF(AC403="","",AC403*SFAssumptions!$C$8/'SavingsData&amp;Analysis'!AF403)</f>
        <v>970.19012199290341</v>
      </c>
      <c r="AJ403" s="692">
        <f ca="1">IF(OR(AE403="",AF403=""),"",AE403*SFAssumptions!$C$8/AF403)</f>
        <v>9141.6582202685877</v>
      </c>
      <c r="AK403" s="191">
        <f t="shared" si="185"/>
        <v>2.2377622377622379</v>
      </c>
      <c r="AL403" s="692">
        <f>IF(AK403="","",AK403*SFAssumptions!$C$3)</f>
        <v>574.46332867132867</v>
      </c>
      <c r="AM403" s="193">
        <f t="shared" si="186"/>
        <v>28.8</v>
      </c>
      <c r="AN403" s="194">
        <f>IF(AM403="","",AM403*SFAssumptions!$C$3)</f>
        <v>7393.3430400000007</v>
      </c>
      <c r="AO403" s="693">
        <f t="shared" si="187"/>
        <v>9</v>
      </c>
      <c r="AP403" s="693">
        <f t="shared" si="188"/>
        <v>1.43</v>
      </c>
      <c r="AQ403" s="692">
        <f ca="1">IF(AL403="","",AL403*SFAssumptions!$C$8/'SavingsData&amp;Analysis'!AF403)</f>
        <v>678.04755798580948</v>
      </c>
      <c r="AR403" s="692">
        <f ca="1">IF(OR(AN403="",AF403=""),"",AN403*SFAssumptions!$C$8/AF403)</f>
        <v>8726.4720712773706</v>
      </c>
      <c r="AS403" s="190" t="str">
        <f>IF(OR(AG403="",AH403=""),"No",IF(AND(G403="Horizontal",AH403&gt;='Eff. Standards &amp; Certifications'!$B$21,AG403&lt;='Eff. Standards &amp; Certifications'!$C$21),"Consider",IF(AND(G403="Vertical",AH403&gt;='Eff. Standards &amp; Certifications'!$B$20,AG403&lt;='Eff. Standards &amp; Certifications'!$C$20),"Consider","No")))</f>
        <v>No</v>
      </c>
      <c r="AT403" s="190" t="str">
        <f t="shared" si="170"/>
        <v>Residential</v>
      </c>
      <c r="AU403" s="190"/>
      <c r="AV403" s="190" t="str">
        <f t="shared" ref="AV403:AW422" si="199">IF(AND($G403=AV$18,$AS403="Consider",$AT403="Residential",$AH403&gt;=AV$3,$AH403&lt;=AV$4,$AG403&gt;=AV$5,$AG403&lt;=AV$6),"YES","NO")</f>
        <v>NO</v>
      </c>
      <c r="AW403" s="190" t="str">
        <f t="shared" si="199"/>
        <v>NO</v>
      </c>
      <c r="AX403" s="190" t="str">
        <f t="shared" si="189"/>
        <v>NO</v>
      </c>
      <c r="AY403" s="190" t="str">
        <f t="shared" si="172"/>
        <v>NO</v>
      </c>
      <c r="AZ403" s="190" t="str">
        <f t="shared" si="172"/>
        <v>NO</v>
      </c>
      <c r="BA403" s="190" t="str">
        <f t="shared" si="190"/>
        <v>NO</v>
      </c>
      <c r="BB403" s="190" t="str">
        <f t="shared" si="173"/>
        <v>NO</v>
      </c>
      <c r="BC403" s="190" t="str">
        <f t="shared" si="174"/>
        <v>NO</v>
      </c>
      <c r="BD403" s="190" t="str">
        <f t="shared" si="191"/>
        <v>NO</v>
      </c>
      <c r="BE403" s="190" t="str">
        <f t="shared" si="175"/>
        <v>NO</v>
      </c>
      <c r="BF403" s="190" t="str">
        <f t="shared" si="176"/>
        <v>NO</v>
      </c>
      <c r="BG403" s="190" t="str">
        <f t="shared" si="177"/>
        <v>NO</v>
      </c>
      <c r="BH403" s="88"/>
      <c r="BI403" s="9"/>
      <c r="BJ403" s="694" t="str">
        <f t="shared" ref="BJ403:BK422" si="200">IF(AND($G403=BJ$21,$AT403="Residential",$AS403="Consider"),$X403,"")</f>
        <v/>
      </c>
      <c r="BK403" s="694" t="str">
        <f t="shared" si="200"/>
        <v/>
      </c>
      <c r="BL403" s="694" t="str">
        <f t="shared" ref="BL403:BM422" si="201">IF(AND($G403=BL$21,$AT403="Residential",$AS403="Consider"),$Y403,"")</f>
        <v/>
      </c>
      <c r="BM403" s="694" t="str">
        <f t="shared" si="201"/>
        <v/>
      </c>
      <c r="BN403" s="88"/>
      <c r="BO403" s="195"/>
      <c r="BP403" s="195"/>
      <c r="BQ403" s="195"/>
      <c r="BR403" s="195"/>
      <c r="BS403" s="195"/>
      <c r="BT403" s="195"/>
      <c r="BU403" s="195"/>
      <c r="BV403" s="195"/>
      <c r="BW403" s="195"/>
      <c r="BX403" s="195"/>
    </row>
    <row r="404" spans="1:76" s="124" customFormat="1" ht="15">
      <c r="A404" s="187">
        <v>641</v>
      </c>
      <c r="B404" s="187" t="s">
        <v>625</v>
      </c>
      <c r="C404" s="187" t="s">
        <v>625</v>
      </c>
      <c r="D404" s="187" t="s">
        <v>751</v>
      </c>
      <c r="E404" s="187" t="s">
        <v>392</v>
      </c>
      <c r="F404" s="187" t="s">
        <v>386</v>
      </c>
      <c r="G404" s="187" t="s">
        <v>393</v>
      </c>
      <c r="H404" s="187" t="b">
        <v>0</v>
      </c>
      <c r="I404" s="187" t="s">
        <v>388</v>
      </c>
      <c r="J404" s="187" t="s">
        <v>389</v>
      </c>
      <c r="K404" s="187" t="b">
        <v>1</v>
      </c>
      <c r="L404" s="187">
        <v>3.2</v>
      </c>
      <c r="M404" s="187">
        <v>1.03</v>
      </c>
      <c r="N404" s="187">
        <v>28.63</v>
      </c>
      <c r="O404" s="187">
        <v>9</v>
      </c>
      <c r="P404" s="187">
        <v>3.1</v>
      </c>
      <c r="Q404" s="187"/>
      <c r="R404" s="187"/>
      <c r="S404" s="187"/>
      <c r="T404" s="187"/>
      <c r="U404" s="187">
        <v>52.1</v>
      </c>
      <c r="V404" s="187">
        <v>1.32</v>
      </c>
      <c r="W404" s="188">
        <v>40170</v>
      </c>
      <c r="X404" s="691">
        <f t="shared" si="195"/>
        <v>0.89049999999999996</v>
      </c>
      <c r="Y404" s="691">
        <f t="shared" si="169"/>
        <v>9.4282000000000004</v>
      </c>
      <c r="Z404" s="189"/>
      <c r="AA404" s="190">
        <f t="shared" si="180"/>
        <v>2009</v>
      </c>
      <c r="AB404" s="191">
        <f t="shared" si="181"/>
        <v>3.5934868051656377</v>
      </c>
      <c r="AC404" s="192">
        <f>IF(AB404="","",AB404*SFAssumptions!$C$3)</f>
        <v>922.49585626052794</v>
      </c>
      <c r="AD404" s="193">
        <f t="shared" si="182"/>
        <v>30.170240000000003</v>
      </c>
      <c r="AE404" s="194">
        <f>IF(AD404="","",AD404*SFAssumptions!$C$3)</f>
        <v>7745.1018721920009</v>
      </c>
      <c r="AF404" s="192">
        <f t="shared" si="168"/>
        <v>3.2</v>
      </c>
      <c r="AG404" s="192">
        <f t="shared" si="183"/>
        <v>9.4282000000000004</v>
      </c>
      <c r="AH404" s="192">
        <f t="shared" si="184"/>
        <v>0.89049999999999996</v>
      </c>
      <c r="AI404" s="692">
        <f ca="1">IF(AC404="","",AC404*SFAssumptions!$C$8/'SavingsData&amp;Analysis'!AF404)</f>
        <v>1088.8354945757526</v>
      </c>
      <c r="AJ404" s="692">
        <f ca="1">IF(OR(AE404="",AF404=""),"",AE404*SFAssumptions!$C$8/AF404)</f>
        <v>9141.6582202685877</v>
      </c>
      <c r="AK404" s="191">
        <f t="shared" si="185"/>
        <v>2.4242424242424243</v>
      </c>
      <c r="AL404" s="692">
        <f>IF(AK404="","",AK404*SFAssumptions!$C$3)</f>
        <v>622.33527272727281</v>
      </c>
      <c r="AM404" s="193">
        <f t="shared" si="186"/>
        <v>28.8</v>
      </c>
      <c r="AN404" s="194">
        <f>IF(AM404="","",AM404*SFAssumptions!$C$3)</f>
        <v>7393.3430400000007</v>
      </c>
      <c r="AO404" s="693">
        <f t="shared" si="187"/>
        <v>9</v>
      </c>
      <c r="AP404" s="693">
        <f t="shared" si="188"/>
        <v>1.32</v>
      </c>
      <c r="AQ404" s="692">
        <f ca="1">IF(AL404="","",AL404*SFAssumptions!$C$8/'SavingsData&amp;Analysis'!AF404)</f>
        <v>734.55152115129374</v>
      </c>
      <c r="AR404" s="692">
        <f ca="1">IF(OR(AN404="",AF404=""),"",AN404*SFAssumptions!$C$8/AF404)</f>
        <v>8726.4720712773706</v>
      </c>
      <c r="AS404" s="190" t="str">
        <f>IF(OR(AG404="",AH404=""),"No",IF(AND(G404="Horizontal",AH404&gt;='Eff. Standards &amp; Certifications'!$B$21,AG404&lt;='Eff. Standards &amp; Certifications'!$C$21),"Consider",IF(AND(G404="Vertical",AH404&gt;='Eff. Standards &amp; Certifications'!$B$20,AG404&lt;='Eff. Standards &amp; Certifications'!$C$20),"Consider","No")))</f>
        <v>No</v>
      </c>
      <c r="AT404" s="190" t="str">
        <f t="shared" si="170"/>
        <v>Residential</v>
      </c>
      <c r="AU404" s="190"/>
      <c r="AV404" s="190" t="str">
        <f t="shared" si="199"/>
        <v>NO</v>
      </c>
      <c r="AW404" s="190" t="str">
        <f t="shared" si="199"/>
        <v>NO</v>
      </c>
      <c r="AX404" s="190" t="str">
        <f t="shared" si="189"/>
        <v>NO</v>
      </c>
      <c r="AY404" s="190" t="str">
        <f t="shared" si="172"/>
        <v>NO</v>
      </c>
      <c r="AZ404" s="190" t="str">
        <f t="shared" si="172"/>
        <v>NO</v>
      </c>
      <c r="BA404" s="190" t="str">
        <f t="shared" si="190"/>
        <v>NO</v>
      </c>
      <c r="BB404" s="190" t="str">
        <f t="shared" si="173"/>
        <v>NO</v>
      </c>
      <c r="BC404" s="190" t="str">
        <f t="shared" si="174"/>
        <v>NO</v>
      </c>
      <c r="BD404" s="190" t="str">
        <f t="shared" si="191"/>
        <v>NO</v>
      </c>
      <c r="BE404" s="190" t="str">
        <f t="shared" si="175"/>
        <v>NO</v>
      </c>
      <c r="BF404" s="190" t="str">
        <f t="shared" si="176"/>
        <v>NO</v>
      </c>
      <c r="BG404" s="190" t="str">
        <f t="shared" si="177"/>
        <v>NO</v>
      </c>
      <c r="BH404" s="88"/>
      <c r="BI404" s="9"/>
      <c r="BJ404" s="694" t="str">
        <f t="shared" si="200"/>
        <v/>
      </c>
      <c r="BK404" s="694" t="str">
        <f t="shared" si="200"/>
        <v/>
      </c>
      <c r="BL404" s="694" t="str">
        <f t="shared" si="201"/>
        <v/>
      </c>
      <c r="BM404" s="694" t="str">
        <f t="shared" si="201"/>
        <v/>
      </c>
      <c r="BN404" s="88"/>
      <c r="BO404" s="195"/>
      <c r="BP404" s="195"/>
      <c r="BQ404" s="195"/>
      <c r="BR404" s="195"/>
      <c r="BS404" s="195"/>
      <c r="BT404" s="195"/>
      <c r="BU404" s="195"/>
      <c r="BV404" s="195"/>
      <c r="BW404" s="195"/>
      <c r="BX404" s="195"/>
    </row>
    <row r="405" spans="1:76" s="124" customFormat="1" ht="15">
      <c r="A405" s="187">
        <v>3249</v>
      </c>
      <c r="B405" s="187" t="s">
        <v>625</v>
      </c>
      <c r="C405" s="187" t="s">
        <v>625</v>
      </c>
      <c r="D405" s="187" t="s">
        <v>752</v>
      </c>
      <c r="E405" s="187" t="s">
        <v>392</v>
      </c>
      <c r="F405" s="187" t="s">
        <v>386</v>
      </c>
      <c r="G405" s="187" t="s">
        <v>393</v>
      </c>
      <c r="H405" s="187" t="b">
        <v>0</v>
      </c>
      <c r="I405" s="187" t="s">
        <v>388</v>
      </c>
      <c r="J405" s="187" t="s">
        <v>389</v>
      </c>
      <c r="K405" s="187" t="b">
        <v>1</v>
      </c>
      <c r="L405" s="187">
        <v>3.2</v>
      </c>
      <c r="M405" s="187">
        <v>1.01</v>
      </c>
      <c r="N405" s="187">
        <v>34.61</v>
      </c>
      <c r="O405" s="187">
        <v>10.8</v>
      </c>
      <c r="P405" s="187">
        <v>3.16</v>
      </c>
      <c r="Q405" s="187"/>
      <c r="R405" s="187"/>
      <c r="S405" s="187"/>
      <c r="T405" s="187"/>
      <c r="U405" s="187">
        <v>50.4</v>
      </c>
      <c r="V405" s="187">
        <v>1.36</v>
      </c>
      <c r="W405" s="188">
        <v>39373</v>
      </c>
      <c r="X405" s="691">
        <f t="shared" si="195"/>
        <v>0.93010000000000004</v>
      </c>
      <c r="Y405" s="691">
        <f t="shared" si="169"/>
        <v>11.208220000000001</v>
      </c>
      <c r="Z405" s="189"/>
      <c r="AA405" s="190">
        <f t="shared" si="180"/>
        <v>2007</v>
      </c>
      <c r="AB405" s="191">
        <f t="shared" si="181"/>
        <v>3.4404902698634556</v>
      </c>
      <c r="AC405" s="192">
        <f>IF(AB405="","",AB405*SFAssumptions!$C$3)</f>
        <v>883.21961079453831</v>
      </c>
      <c r="AD405" s="193">
        <f t="shared" si="182"/>
        <v>35.866304000000007</v>
      </c>
      <c r="AE405" s="194">
        <f>IF(AD405="","",AD405*SFAssumptions!$C$3)</f>
        <v>9207.3572586432019</v>
      </c>
      <c r="AF405" s="192">
        <f t="shared" si="168"/>
        <v>3.2</v>
      </c>
      <c r="AG405" s="192">
        <f t="shared" si="183"/>
        <v>11.208220000000001</v>
      </c>
      <c r="AH405" s="192">
        <f t="shared" si="184"/>
        <v>0.93010000000000004</v>
      </c>
      <c r="AI405" s="692">
        <f ca="1">IF(AC405="","",AC405*SFAssumptions!$C$8/'SavingsData&amp;Analysis'!AF405)</f>
        <v>1042.4771615092009</v>
      </c>
      <c r="AJ405" s="692">
        <f ca="1">IF(OR(AE405="",AF405=""),"",AE405*SFAssumptions!$C$8/AF405)</f>
        <v>10867.579866525826</v>
      </c>
      <c r="AK405" s="191">
        <f t="shared" si="185"/>
        <v>2.3529411764705883</v>
      </c>
      <c r="AL405" s="692">
        <f>IF(AK405="","",AK405*SFAssumptions!$C$3)</f>
        <v>604.03129411764712</v>
      </c>
      <c r="AM405" s="193">
        <f t="shared" si="186"/>
        <v>34.56</v>
      </c>
      <c r="AN405" s="194">
        <f>IF(AM405="","",AM405*SFAssumptions!$C$3)</f>
        <v>8872.0116480000015</v>
      </c>
      <c r="AO405" s="693">
        <f t="shared" si="187"/>
        <v>10.8</v>
      </c>
      <c r="AP405" s="693">
        <f t="shared" si="188"/>
        <v>1.36</v>
      </c>
      <c r="AQ405" s="692">
        <f ca="1">IF(AL405="","",AL405*SFAssumptions!$C$8/'SavingsData&amp;Analysis'!AF405)</f>
        <v>712.94706464684396</v>
      </c>
      <c r="AR405" s="692">
        <f ca="1">IF(OR(AN405="",AF405=""),"",AN405*SFAssumptions!$C$8/AF405)</f>
        <v>10471.766485532844</v>
      </c>
      <c r="AS405" s="190" t="str">
        <f>IF(OR(AG405="",AH405=""),"No",IF(AND(G405="Horizontal",AH405&gt;='Eff. Standards &amp; Certifications'!$B$21,AG405&lt;='Eff. Standards &amp; Certifications'!$C$21),"Consider",IF(AND(G405="Vertical",AH405&gt;='Eff. Standards &amp; Certifications'!$B$20,AG405&lt;='Eff. Standards &amp; Certifications'!$C$20),"Consider","No")))</f>
        <v>No</v>
      </c>
      <c r="AT405" s="190" t="str">
        <f t="shared" si="170"/>
        <v>Residential</v>
      </c>
      <c r="AU405" s="190"/>
      <c r="AV405" s="190" t="str">
        <f t="shared" si="199"/>
        <v>NO</v>
      </c>
      <c r="AW405" s="190" t="str">
        <f t="shared" si="199"/>
        <v>NO</v>
      </c>
      <c r="AX405" s="190" t="str">
        <f t="shared" si="189"/>
        <v>NO</v>
      </c>
      <c r="AY405" s="190" t="str">
        <f t="shared" si="172"/>
        <v>NO</v>
      </c>
      <c r="AZ405" s="190" t="str">
        <f t="shared" si="172"/>
        <v>NO</v>
      </c>
      <c r="BA405" s="190" t="str">
        <f t="shared" si="190"/>
        <v>NO</v>
      </c>
      <c r="BB405" s="190" t="str">
        <f t="shared" si="173"/>
        <v>NO</v>
      </c>
      <c r="BC405" s="190" t="str">
        <f t="shared" si="174"/>
        <v>NO</v>
      </c>
      <c r="BD405" s="190" t="str">
        <f t="shared" si="191"/>
        <v>NO</v>
      </c>
      <c r="BE405" s="190" t="str">
        <f t="shared" si="175"/>
        <v>NO</v>
      </c>
      <c r="BF405" s="190" t="str">
        <f t="shared" si="176"/>
        <v>NO</v>
      </c>
      <c r="BG405" s="190" t="str">
        <f t="shared" si="177"/>
        <v>NO</v>
      </c>
      <c r="BH405" s="88"/>
      <c r="BI405" s="9"/>
      <c r="BJ405" s="694" t="str">
        <f t="shared" si="200"/>
        <v/>
      </c>
      <c r="BK405" s="694" t="str">
        <f t="shared" si="200"/>
        <v/>
      </c>
      <c r="BL405" s="694" t="str">
        <f t="shared" si="201"/>
        <v/>
      </c>
      <c r="BM405" s="694" t="str">
        <f t="shared" si="201"/>
        <v/>
      </c>
      <c r="BN405" s="88"/>
      <c r="BO405" s="195"/>
      <c r="BP405" s="195"/>
      <c r="BQ405" s="195"/>
      <c r="BR405" s="195"/>
      <c r="BS405" s="195"/>
      <c r="BT405" s="195"/>
      <c r="BU405" s="195"/>
      <c r="BV405" s="195"/>
      <c r="BW405" s="195"/>
      <c r="BX405" s="195"/>
    </row>
    <row r="406" spans="1:76" s="124" customFormat="1" ht="15">
      <c r="A406" s="187">
        <v>6587</v>
      </c>
      <c r="B406" s="187" t="s">
        <v>625</v>
      </c>
      <c r="C406" s="187" t="s">
        <v>625</v>
      </c>
      <c r="D406" s="187" t="s">
        <v>1348</v>
      </c>
      <c r="E406" s="187" t="s">
        <v>385</v>
      </c>
      <c r="F406" s="187" t="s">
        <v>386</v>
      </c>
      <c r="G406" s="187" t="s">
        <v>387</v>
      </c>
      <c r="H406" s="187" t="b">
        <v>0</v>
      </c>
      <c r="I406" s="187" t="s">
        <v>388</v>
      </c>
      <c r="J406" s="187" t="s">
        <v>389</v>
      </c>
      <c r="K406" s="187" t="b">
        <v>1</v>
      </c>
      <c r="L406" s="187">
        <v>3.1</v>
      </c>
      <c r="M406" s="187">
        <v>0.42</v>
      </c>
      <c r="N406" s="187">
        <v>12.5</v>
      </c>
      <c r="O406" s="187">
        <v>4.3</v>
      </c>
      <c r="P406" s="187">
        <v>7.67</v>
      </c>
      <c r="Q406" s="187"/>
      <c r="R406" s="187"/>
      <c r="S406" s="187"/>
      <c r="T406" s="187"/>
      <c r="U406" s="187">
        <v>38.200000000000003</v>
      </c>
      <c r="V406" s="187">
        <v>2.2400000000000002</v>
      </c>
      <c r="W406" s="188">
        <v>41897</v>
      </c>
      <c r="X406" s="691">
        <f t="shared" si="195"/>
        <v>1.8751800000000001</v>
      </c>
      <c r="Y406" s="691">
        <f t="shared" si="169"/>
        <v>4.5212599999999998</v>
      </c>
      <c r="Z406" s="189"/>
      <c r="AA406" s="190">
        <f t="shared" si="180"/>
        <v>2014</v>
      </c>
      <c r="AB406" s="191">
        <f t="shared" si="181"/>
        <v>1.6531746285689908</v>
      </c>
      <c r="AC406" s="192">
        <f>IF(AB406="","",AB406*SFAssumptions!$C$3)</f>
        <v>424.39191437621992</v>
      </c>
      <c r="AD406" s="193">
        <f t="shared" si="182"/>
        <v>14.015905999999999</v>
      </c>
      <c r="AE406" s="194">
        <f>IF(AD406="","",AD406*SFAssumptions!$C$3)</f>
        <v>3598.0694817497997</v>
      </c>
      <c r="AF406" s="192">
        <f t="shared" ref="AF406:AF469" si="202">L406</f>
        <v>3.1</v>
      </c>
      <c r="AG406" s="192">
        <f t="shared" si="183"/>
        <v>4.5212599999999998</v>
      </c>
      <c r="AH406" s="192">
        <f t="shared" si="184"/>
        <v>1.8751800000000001</v>
      </c>
      <c r="AI406" s="692">
        <f ca="1">IF(AC406="","",AC406*SFAssumptions!$C$8/'SavingsData&amp;Analysis'!AF406)</f>
        <v>517.07463172586506</v>
      </c>
      <c r="AJ406" s="692">
        <f ca="1">IF(OR(AE406="",AF406=""),"",AE406*SFAssumptions!$C$8/AF406)</f>
        <v>4383.8499018870571</v>
      </c>
      <c r="AK406" s="191">
        <f t="shared" si="185"/>
        <v>1.3839285714285714</v>
      </c>
      <c r="AL406" s="692">
        <f>IF(AK406="","",AK406*SFAssumptions!$C$3)</f>
        <v>355.27287053571428</v>
      </c>
      <c r="AM406" s="193">
        <f t="shared" si="186"/>
        <v>13.33</v>
      </c>
      <c r="AN406" s="194">
        <f>IF(AM406="","",AM406*SFAssumptions!$C$3)</f>
        <v>3421.9882889999999</v>
      </c>
      <c r="AO406" s="693">
        <f t="shared" si="187"/>
        <v>4.3</v>
      </c>
      <c r="AP406" s="693">
        <f t="shared" si="188"/>
        <v>2.2400000000000002</v>
      </c>
      <c r="AQ406" s="692">
        <f ca="1">IF(AL406="","",AL406*SFAssumptions!$C$8/'SavingsData&amp;Analysis'!AF406)</f>
        <v>432.86071782129801</v>
      </c>
      <c r="AR406" s="692">
        <f ca="1">IF(OR(AN406="",AF406=""),"",AN406*SFAssumptions!$C$8/AF406)</f>
        <v>4169.3144340547424</v>
      </c>
      <c r="AS406" s="190" t="str">
        <f>IF(OR(AG406="",AH406=""),"No",IF(AND(G406="Horizontal",AH406&gt;='Eff. Standards &amp; Certifications'!$B$21,AG406&lt;='Eff. Standards &amp; Certifications'!$C$21),"Consider",IF(AND(G406="Vertical",AH406&gt;='Eff. Standards &amp; Certifications'!$B$20,AG406&lt;='Eff. Standards &amp; Certifications'!$C$20),"Consider","No")))</f>
        <v>Consider</v>
      </c>
      <c r="AT406" s="190" t="str">
        <f t="shared" si="170"/>
        <v>Residential</v>
      </c>
      <c r="AU406" s="190"/>
      <c r="AV406" s="190" t="str">
        <f t="shared" si="199"/>
        <v>NO</v>
      </c>
      <c r="AW406" s="190" t="str">
        <f t="shared" si="199"/>
        <v>YES</v>
      </c>
      <c r="AX406" s="190" t="str">
        <f t="shared" si="189"/>
        <v>YES</v>
      </c>
      <c r="AY406" s="190" t="str">
        <f t="shared" si="172"/>
        <v>NO</v>
      </c>
      <c r="AZ406" s="190" t="str">
        <f t="shared" si="172"/>
        <v>YES</v>
      </c>
      <c r="BA406" s="190" t="str">
        <f t="shared" si="190"/>
        <v>YES</v>
      </c>
      <c r="BB406" s="190" t="str">
        <f t="shared" si="173"/>
        <v>NO</v>
      </c>
      <c r="BC406" s="190" t="str">
        <f t="shared" si="174"/>
        <v>NO</v>
      </c>
      <c r="BD406" s="190" t="str">
        <f t="shared" si="191"/>
        <v>NO</v>
      </c>
      <c r="BE406" s="190" t="str">
        <f t="shared" si="175"/>
        <v>NO</v>
      </c>
      <c r="BF406" s="190" t="str">
        <f t="shared" si="176"/>
        <v>NO</v>
      </c>
      <c r="BG406" s="190" t="str">
        <f t="shared" si="177"/>
        <v>NO</v>
      </c>
      <c r="BH406" s="88"/>
      <c r="BI406" s="9"/>
      <c r="BJ406" s="694" t="str">
        <f t="shared" si="200"/>
        <v/>
      </c>
      <c r="BK406" s="694">
        <f t="shared" si="200"/>
        <v>1.8751800000000001</v>
      </c>
      <c r="BL406" s="694" t="str">
        <f t="shared" si="201"/>
        <v/>
      </c>
      <c r="BM406" s="694">
        <f t="shared" si="201"/>
        <v>4.5212599999999998</v>
      </c>
      <c r="BN406" s="88"/>
      <c r="BO406" s="195"/>
      <c r="BP406" s="195"/>
      <c r="BQ406" s="195"/>
      <c r="BR406" s="195"/>
      <c r="BS406" s="195"/>
      <c r="BT406" s="195"/>
      <c r="BU406" s="195"/>
      <c r="BV406" s="195"/>
      <c r="BW406" s="195"/>
      <c r="BX406" s="195"/>
    </row>
    <row r="407" spans="1:76" s="124" customFormat="1" ht="15">
      <c r="A407" s="187">
        <v>6576</v>
      </c>
      <c r="B407" s="187" t="s">
        <v>625</v>
      </c>
      <c r="C407" s="187" t="s">
        <v>625</v>
      </c>
      <c r="D407" s="187" t="s">
        <v>1349</v>
      </c>
      <c r="E407" s="187" t="s">
        <v>385</v>
      </c>
      <c r="F407" s="187" t="s">
        <v>386</v>
      </c>
      <c r="G407" s="187" t="s">
        <v>387</v>
      </c>
      <c r="H407" s="187" t="b">
        <v>0</v>
      </c>
      <c r="I407" s="187" t="s">
        <v>388</v>
      </c>
      <c r="J407" s="187" t="s">
        <v>389</v>
      </c>
      <c r="K407" s="187" t="b">
        <v>1</v>
      </c>
      <c r="L407" s="187">
        <v>3.1</v>
      </c>
      <c r="M407" s="187">
        <v>0.36</v>
      </c>
      <c r="N407" s="187">
        <v>12.94</v>
      </c>
      <c r="O407" s="187">
        <v>4.2</v>
      </c>
      <c r="P407" s="187">
        <v>9.07</v>
      </c>
      <c r="Q407" s="187"/>
      <c r="R407" s="187"/>
      <c r="S407" s="187"/>
      <c r="T407" s="187"/>
      <c r="U407" s="187">
        <v>38.6</v>
      </c>
      <c r="V407" s="187">
        <v>2.33</v>
      </c>
      <c r="W407" s="188">
        <v>41892</v>
      </c>
      <c r="X407" s="691">
        <f t="shared" si="195"/>
        <v>1.9574849999999999</v>
      </c>
      <c r="Y407" s="691">
        <f t="shared" ref="Y407:Y470" si="203">IF($O407="","",IF($G407="Horizontal",O407*slope_FrontLoad_WF+int_FrontLoad_WF,IF($G407="Vertical",O407*slope_TopLoad_WF+int_TopLoad_WF,"")))</f>
        <v>4.4188400000000003</v>
      </c>
      <c r="Z407" s="189"/>
      <c r="AA407" s="190">
        <f t="shared" si="180"/>
        <v>2014</v>
      </c>
      <c r="AB407" s="191">
        <f t="shared" si="181"/>
        <v>1.5836647534974726</v>
      </c>
      <c r="AC407" s="192">
        <f>IF(AB407="","",AB407*SFAssumptions!$C$3)</f>
        <v>406.54780496402276</v>
      </c>
      <c r="AD407" s="193">
        <f t="shared" si="182"/>
        <v>13.698404000000002</v>
      </c>
      <c r="AE407" s="194">
        <f>IF(AD407="","",AD407*SFAssumptions!$C$3)</f>
        <v>3516.5624955732005</v>
      </c>
      <c r="AF407" s="192">
        <f t="shared" si="202"/>
        <v>3.1</v>
      </c>
      <c r="AG407" s="192">
        <f t="shared" si="183"/>
        <v>4.4188400000000003</v>
      </c>
      <c r="AH407" s="192">
        <f t="shared" si="184"/>
        <v>1.9574849999999999</v>
      </c>
      <c r="AI407" s="692">
        <f ca="1">IF(AC407="","",AC407*SFAssumptions!$C$8/'SavingsData&amp;Analysis'!AF407)</f>
        <v>495.33355704881916</v>
      </c>
      <c r="AJ407" s="692">
        <f ca="1">IF(OR(AE407="",AF407=""),"",AE407*SFAssumptions!$C$8/AF407)</f>
        <v>4284.5426497159215</v>
      </c>
      <c r="AK407" s="191">
        <f t="shared" si="185"/>
        <v>1.3304721030042919</v>
      </c>
      <c r="AL407" s="692">
        <f>IF(AK407="","",AK407*SFAssumptions!$C$3)</f>
        <v>341.54988412017167</v>
      </c>
      <c r="AM407" s="193">
        <f t="shared" si="186"/>
        <v>13.020000000000001</v>
      </c>
      <c r="AN407" s="194">
        <f>IF(AM407="","",AM407*SFAssumptions!$C$3)</f>
        <v>3342.4071660000004</v>
      </c>
      <c r="AO407" s="693">
        <f t="shared" si="187"/>
        <v>4.2</v>
      </c>
      <c r="AP407" s="693">
        <f t="shared" si="188"/>
        <v>2.33</v>
      </c>
      <c r="AQ407" s="692">
        <f ca="1">IF(AL407="","",AL407*SFAssumptions!$C$8/'SavingsData&amp;Analysis'!AF407)</f>
        <v>416.14077593120504</v>
      </c>
      <c r="AR407" s="692">
        <f ca="1">IF(OR(AN407="",AF407=""),"",AN407*SFAssumptions!$C$8/AF407)</f>
        <v>4072.3536332627723</v>
      </c>
      <c r="AS407" s="190" t="str">
        <f>IF(OR(AG407="",AH407=""),"No",IF(AND(G407="Horizontal",AH407&gt;='Eff. Standards &amp; Certifications'!$B$21,AG407&lt;='Eff. Standards &amp; Certifications'!$C$21),"Consider",IF(AND(G407="Vertical",AH407&gt;='Eff. Standards &amp; Certifications'!$B$20,AG407&lt;='Eff. Standards &amp; Certifications'!$C$20),"Consider","No")))</f>
        <v>Consider</v>
      </c>
      <c r="AT407" s="190" t="str">
        <f t="shared" ref="AT407:AT470" si="204">J407</f>
        <v>Residential</v>
      </c>
      <c r="AU407" s="190"/>
      <c r="AV407" s="190" t="str">
        <f t="shared" si="199"/>
        <v>NO</v>
      </c>
      <c r="AW407" s="190" t="str">
        <f t="shared" si="199"/>
        <v>YES</v>
      </c>
      <c r="AX407" s="190" t="str">
        <f t="shared" si="189"/>
        <v>YES</v>
      </c>
      <c r="AY407" s="190" t="str">
        <f t="shared" ref="AY407:AZ470" si="205">IF(AND($AS407="Consider",$AT407="Residential",$G407=AY$18,$AH407&gt;=BB$3,$AG407&lt;=BB$6),"NO",IF(AND($AS407="Consider",$AT407="Residential",$G407=AY$18,$AH407&gt;=AY$3,$AG407&lt;=AY$6),"YES","NO"))</f>
        <v>NO</v>
      </c>
      <c r="AZ407" s="190" t="str">
        <f t="shared" si="205"/>
        <v>YES</v>
      </c>
      <c r="BA407" s="190" t="str">
        <f t="shared" si="190"/>
        <v>YES</v>
      </c>
      <c r="BB407" s="190" t="str">
        <f t="shared" ref="BB407:BB470" si="206">IF(AND($AS407="Consider",$AT407="Residential",$G407=BB$18,$AH407&gt;=BB$3,$AG407&lt;=BB$6),"YES","NO")</f>
        <v>NO</v>
      </c>
      <c r="BC407" s="190" t="str">
        <f t="shared" ref="BC407:BC470" si="207">IF(AND($G407=BC$18,$AS407="Consider",$AT407="Residential",$AH407&gt;=BC$3,$AH407&lt;=BC$4,$AG407&gt;=BC$5,$AG407&lt;=BC$6),"YES","NO")</f>
        <v>NO</v>
      </c>
      <c r="BD407" s="190" t="str">
        <f t="shared" si="191"/>
        <v>NO</v>
      </c>
      <c r="BE407" s="190" t="str">
        <f t="shared" ref="BE407:BE470" si="208">IF(AND($AS407="Consider",$AT407="Residential",$AH407&gt;=BG$3,$AG407&lt;=BG$6),"NO",IF(AND($AS407="Consider",$AT407="Residential",$AH407&gt;=BF$3,$AG407&lt;=BF$6),"NO",IF(AND($AS407="Consider",$AT407="Residential",$AH407&gt;=BE$3,$AG407&lt;=BE$6),"YES","NO")))</f>
        <v>NO</v>
      </c>
      <c r="BF407" s="190" t="str">
        <f t="shared" ref="BF407:BF470" si="209">IF(AND($AS407="Consider",$AT407="Residential",$AH407&gt;=BG$3,$AG407&lt;=BG$6),"NO",IF(AND($AS407="Consider",$AT407="Residential",$AH407&gt;=BF$3,$AG407&lt;=BF$6),"YES","NO"))</f>
        <v>NO</v>
      </c>
      <c r="BG407" s="190" t="str">
        <f t="shared" ref="BG407:BG470" si="210">IF(AND($AS407="Consider",$AT407="Residential",$AH407&gt;=BG$3,$AG407&lt;=BG$6),"YES","NO")</f>
        <v>NO</v>
      </c>
      <c r="BH407" s="88"/>
      <c r="BI407" s="9"/>
      <c r="BJ407" s="694" t="str">
        <f t="shared" si="200"/>
        <v/>
      </c>
      <c r="BK407" s="694">
        <f t="shared" si="200"/>
        <v>1.9574849999999999</v>
      </c>
      <c r="BL407" s="694" t="str">
        <f t="shared" si="201"/>
        <v/>
      </c>
      <c r="BM407" s="694">
        <f t="shared" si="201"/>
        <v>4.4188400000000003</v>
      </c>
      <c r="BN407" s="88"/>
      <c r="BO407" s="195"/>
      <c r="BP407" s="195"/>
      <c r="BQ407" s="195"/>
      <c r="BR407" s="195"/>
      <c r="BS407" s="195"/>
      <c r="BT407" s="195"/>
      <c r="BU407" s="195"/>
      <c r="BV407" s="195"/>
      <c r="BW407" s="195"/>
      <c r="BX407" s="195"/>
    </row>
    <row r="408" spans="1:76" s="124" customFormat="1" ht="15">
      <c r="A408" s="187">
        <v>3357</v>
      </c>
      <c r="B408" s="187" t="s">
        <v>625</v>
      </c>
      <c r="C408" s="187" t="s">
        <v>625</v>
      </c>
      <c r="D408" s="187" t="s">
        <v>753</v>
      </c>
      <c r="E408" s="187" t="s">
        <v>385</v>
      </c>
      <c r="F408" s="187" t="s">
        <v>386</v>
      </c>
      <c r="G408" s="187" t="s">
        <v>387</v>
      </c>
      <c r="H408" s="187" t="b">
        <v>0</v>
      </c>
      <c r="I408" s="187" t="s">
        <v>388</v>
      </c>
      <c r="J408" s="187" t="s">
        <v>389</v>
      </c>
      <c r="K408" s="187" t="b">
        <v>1</v>
      </c>
      <c r="L408" s="187">
        <v>3</v>
      </c>
      <c r="M408" s="187">
        <v>0.47</v>
      </c>
      <c r="N408" s="187">
        <v>13.3</v>
      </c>
      <c r="O408" s="187">
        <v>4.5</v>
      </c>
      <c r="P408" s="187">
        <v>6.34</v>
      </c>
      <c r="Q408" s="187"/>
      <c r="R408" s="187"/>
      <c r="S408" s="187"/>
      <c r="T408" s="187"/>
      <c r="U408" s="187">
        <v>40.5</v>
      </c>
      <c r="V408" s="187">
        <v>2.08</v>
      </c>
      <c r="W408" s="188">
        <v>39819</v>
      </c>
      <c r="X408" s="691">
        <f t="shared" si="195"/>
        <v>1.7288600000000001</v>
      </c>
      <c r="Y408" s="691">
        <f t="shared" si="203"/>
        <v>4.7261000000000006</v>
      </c>
      <c r="Z408" s="189"/>
      <c r="AA408" s="190">
        <f t="shared" ref="AA408:AA471" si="211">YEAR(W408)</f>
        <v>2009</v>
      </c>
      <c r="AB408" s="191">
        <f t="shared" ref="AB408:AB471" si="212">IF(OR(L408="",X408=""),"",L408/X408)</f>
        <v>1.7352475041356732</v>
      </c>
      <c r="AC408" s="192">
        <f>IF(AB408="","",AB408*SFAssumptions!$C$3)</f>
        <v>445.4611131034323</v>
      </c>
      <c r="AD408" s="193">
        <f t="shared" ref="AD408:AD471" si="213">IF(OR(Y408="",L408=""),"",Y408*L408)</f>
        <v>14.178300000000002</v>
      </c>
      <c r="AE408" s="194">
        <f>IF(AD408="","",AD408*SFAssumptions!$C$3)</f>
        <v>3639.7581813900006</v>
      </c>
      <c r="AF408" s="192">
        <f t="shared" si="202"/>
        <v>3</v>
      </c>
      <c r="AG408" s="192">
        <f t="shared" ref="AG408:AG471" si="214">IF(Y408="","",Y408)</f>
        <v>4.7261000000000006</v>
      </c>
      <c r="AH408" s="192">
        <f t="shared" ref="AH408:AH471" si="215">IF(X408="","",X408)</f>
        <v>1.7288600000000001</v>
      </c>
      <c r="AI408" s="692">
        <f ca="1">IF(AC408="","",AC408*SFAssumptions!$C$8/'SavingsData&amp;Analysis'!AF408)</f>
        <v>560.83662524421163</v>
      </c>
      <c r="AJ408" s="692">
        <f ca="1">IF(OR(AE408="",AF408=""),"",AE408*SFAssumptions!$C$8/AF408)</f>
        <v>4582.464406229331</v>
      </c>
      <c r="AK408" s="191">
        <f t="shared" ref="AK408:AK471" si="216">IF(OR(L408="",V408=""),"",L408/V408)</f>
        <v>1.4423076923076923</v>
      </c>
      <c r="AL408" s="692">
        <f>IF(AK408="","",AK408*SFAssumptions!$C$3)</f>
        <v>370.25956730769229</v>
      </c>
      <c r="AM408" s="193">
        <f t="shared" ref="AM408:AM471" si="217">IF(OR(L408="",O408=""),"",O408*L408)</f>
        <v>13.5</v>
      </c>
      <c r="AN408" s="194">
        <f>IF(AM408="","",AM408*SFAssumptions!$C$3)</f>
        <v>3465.6295500000001</v>
      </c>
      <c r="AO408" s="693">
        <f t="shared" ref="AO408:AO471" si="218">IF(O408="","",O408)</f>
        <v>4.5</v>
      </c>
      <c r="AP408" s="693">
        <f t="shared" ref="AP408:AP471" si="219">IF(V408="","",V408)</f>
        <v>2.08</v>
      </c>
      <c r="AQ408" s="692">
        <f ca="1">IF(AL408="","",AL408*SFAssumptions!$C$8/'SavingsData&amp;Analysis'!AF408)</f>
        <v>466.15769611524405</v>
      </c>
      <c r="AR408" s="692">
        <f ca="1">IF(OR(AN408="",AF408=""),"",AN408*SFAssumptions!$C$8/AF408)</f>
        <v>4363.2360356386844</v>
      </c>
      <c r="AS408" s="190" t="str">
        <f>IF(OR(AG408="",AH408=""),"No",IF(AND(G408="Horizontal",AH408&gt;='Eff. Standards &amp; Certifications'!$B$21,AG408&lt;='Eff. Standards &amp; Certifications'!$C$21),"Consider",IF(AND(G408="Vertical",AH408&gt;='Eff. Standards &amp; Certifications'!$B$20,AG408&lt;='Eff. Standards &amp; Certifications'!$C$20),"Consider","No")))</f>
        <v>No</v>
      </c>
      <c r="AT408" s="190" t="str">
        <f t="shared" si="204"/>
        <v>Residential</v>
      </c>
      <c r="AU408" s="190"/>
      <c r="AV408" s="190" t="str">
        <f t="shared" si="199"/>
        <v>NO</v>
      </c>
      <c r="AW408" s="190" t="str">
        <f t="shared" si="199"/>
        <v>NO</v>
      </c>
      <c r="AX408" s="190" t="str">
        <f t="shared" ref="AX408:AX471" si="220">IF(OR(AV408="YES",AW408="YES"),"YES","NO")</f>
        <v>NO</v>
      </c>
      <c r="AY408" s="190" t="str">
        <f t="shared" si="205"/>
        <v>NO</v>
      </c>
      <c r="AZ408" s="190" t="str">
        <f t="shared" si="205"/>
        <v>NO</v>
      </c>
      <c r="BA408" s="190" t="str">
        <f t="shared" ref="BA408:BA471" si="221">IF(OR(AY408="YES",AZ408="YES"),"YES","NO")</f>
        <v>NO</v>
      </c>
      <c r="BB408" s="190" t="str">
        <f t="shared" si="206"/>
        <v>NO</v>
      </c>
      <c r="BC408" s="190" t="str">
        <f t="shared" si="207"/>
        <v>NO</v>
      </c>
      <c r="BD408" s="190" t="str">
        <f t="shared" ref="BD408:BD471" si="222">IF(OR(BB408="YES",BC408="YES"),"YES","NO")</f>
        <v>NO</v>
      </c>
      <c r="BE408" s="190" t="str">
        <f t="shared" si="208"/>
        <v>NO</v>
      </c>
      <c r="BF408" s="190" t="str">
        <f t="shared" si="209"/>
        <v>NO</v>
      </c>
      <c r="BG408" s="190" t="str">
        <f t="shared" si="210"/>
        <v>NO</v>
      </c>
      <c r="BH408" s="88"/>
      <c r="BI408" s="9"/>
      <c r="BJ408" s="694" t="str">
        <f t="shared" si="200"/>
        <v/>
      </c>
      <c r="BK408" s="694" t="str">
        <f t="shared" si="200"/>
        <v/>
      </c>
      <c r="BL408" s="694" t="str">
        <f t="shared" si="201"/>
        <v/>
      </c>
      <c r="BM408" s="694" t="str">
        <f t="shared" si="201"/>
        <v/>
      </c>
      <c r="BN408" s="88"/>
      <c r="BO408" s="195"/>
      <c r="BP408" s="195"/>
      <c r="BQ408" s="195"/>
      <c r="BR408" s="195"/>
      <c r="BS408" s="195"/>
      <c r="BT408" s="195"/>
      <c r="BU408" s="195"/>
      <c r="BV408" s="195"/>
      <c r="BW408" s="195"/>
      <c r="BX408" s="195"/>
    </row>
    <row r="409" spans="1:76" s="124" customFormat="1" ht="15">
      <c r="A409" s="187">
        <v>547</v>
      </c>
      <c r="B409" s="187" t="s">
        <v>625</v>
      </c>
      <c r="C409" s="187" t="s">
        <v>625</v>
      </c>
      <c r="D409" s="187" t="s">
        <v>754</v>
      </c>
      <c r="E409" s="187" t="s">
        <v>385</v>
      </c>
      <c r="F409" s="187" t="s">
        <v>386</v>
      </c>
      <c r="G409" s="187" t="s">
        <v>387</v>
      </c>
      <c r="H409" s="187" t="b">
        <v>0</v>
      </c>
      <c r="I409" s="187" t="s">
        <v>388</v>
      </c>
      <c r="J409" s="187" t="s">
        <v>389</v>
      </c>
      <c r="K409" s="187" t="b">
        <v>1</v>
      </c>
      <c r="L409" s="187">
        <v>3</v>
      </c>
      <c r="M409" s="187">
        <v>0.47</v>
      </c>
      <c r="N409" s="187">
        <v>13.3</v>
      </c>
      <c r="O409" s="187">
        <v>4.4000000000000004</v>
      </c>
      <c r="P409" s="187">
        <v>6.34</v>
      </c>
      <c r="Q409" s="187"/>
      <c r="R409" s="187"/>
      <c r="S409" s="187"/>
      <c r="T409" s="187"/>
      <c r="U409" s="187">
        <v>40.5</v>
      </c>
      <c r="V409" s="187">
        <v>2.08</v>
      </c>
      <c r="W409" s="188">
        <v>40316</v>
      </c>
      <c r="X409" s="691">
        <f t="shared" si="195"/>
        <v>1.7288600000000001</v>
      </c>
      <c r="Y409" s="691">
        <f t="shared" si="203"/>
        <v>4.6236800000000011</v>
      </c>
      <c r="Z409" s="189"/>
      <c r="AA409" s="190">
        <f t="shared" si="211"/>
        <v>2010</v>
      </c>
      <c r="AB409" s="191">
        <f t="shared" si="212"/>
        <v>1.7352475041356732</v>
      </c>
      <c r="AC409" s="192">
        <f>IF(AB409="","",AB409*SFAssumptions!$C$3)</f>
        <v>445.4611131034323</v>
      </c>
      <c r="AD409" s="193">
        <f t="shared" si="213"/>
        <v>13.871040000000004</v>
      </c>
      <c r="AE409" s="194">
        <f>IF(AD409="","",AD409*SFAssumptions!$C$3)</f>
        <v>3560.8804528320011</v>
      </c>
      <c r="AF409" s="192">
        <f t="shared" si="202"/>
        <v>3</v>
      </c>
      <c r="AG409" s="192">
        <f t="shared" si="214"/>
        <v>4.6236800000000011</v>
      </c>
      <c r="AH409" s="192">
        <f t="shared" si="215"/>
        <v>1.7288600000000001</v>
      </c>
      <c r="AI409" s="692">
        <f ca="1">IF(AC409="","",AC409*SFAssumptions!$C$8/'SavingsData&amp;Analysis'!AF409)</f>
        <v>560.83662524421163</v>
      </c>
      <c r="AJ409" s="692">
        <f ca="1">IF(OR(AE409="",AF409=""),"",AE409*SFAssumptions!$C$8/AF409)</f>
        <v>4483.1571540581954</v>
      </c>
      <c r="AK409" s="191">
        <f t="shared" si="216"/>
        <v>1.4423076923076923</v>
      </c>
      <c r="AL409" s="692">
        <f>IF(AK409="","",AK409*SFAssumptions!$C$3)</f>
        <v>370.25956730769229</v>
      </c>
      <c r="AM409" s="193">
        <f t="shared" si="217"/>
        <v>13.200000000000001</v>
      </c>
      <c r="AN409" s="194">
        <f>IF(AM409="","",AM409*SFAssumptions!$C$3)</f>
        <v>3388.6155600000002</v>
      </c>
      <c r="AO409" s="693">
        <f t="shared" si="218"/>
        <v>4.4000000000000004</v>
      </c>
      <c r="AP409" s="693">
        <f t="shared" si="219"/>
        <v>2.08</v>
      </c>
      <c r="AQ409" s="692">
        <f ca="1">IF(AL409="","",AL409*SFAssumptions!$C$8/'SavingsData&amp;Analysis'!AF409)</f>
        <v>466.15769611524405</v>
      </c>
      <c r="AR409" s="692">
        <f ca="1">IF(OR(AN409="",AF409=""),"",AN409*SFAssumptions!$C$8/AF409)</f>
        <v>4266.2752348467138</v>
      </c>
      <c r="AS409" s="190" t="str">
        <f>IF(OR(AG409="",AH409=""),"No",IF(AND(G409="Horizontal",AH409&gt;='Eff. Standards &amp; Certifications'!$B$21,AG409&lt;='Eff. Standards &amp; Certifications'!$C$21),"Consider",IF(AND(G409="Vertical",AH409&gt;='Eff. Standards &amp; Certifications'!$B$20,AG409&lt;='Eff. Standards &amp; Certifications'!$C$20),"Consider","No")))</f>
        <v>No</v>
      </c>
      <c r="AT409" s="190" t="str">
        <f t="shared" si="204"/>
        <v>Residential</v>
      </c>
      <c r="AU409" s="190"/>
      <c r="AV409" s="190" t="str">
        <f t="shared" si="199"/>
        <v>NO</v>
      </c>
      <c r="AW409" s="190" t="str">
        <f t="shared" si="199"/>
        <v>NO</v>
      </c>
      <c r="AX409" s="190" t="str">
        <f t="shared" si="220"/>
        <v>NO</v>
      </c>
      <c r="AY409" s="190" t="str">
        <f t="shared" si="205"/>
        <v>NO</v>
      </c>
      <c r="AZ409" s="190" t="str">
        <f t="shared" si="205"/>
        <v>NO</v>
      </c>
      <c r="BA409" s="190" t="str">
        <f t="shared" si="221"/>
        <v>NO</v>
      </c>
      <c r="BB409" s="190" t="str">
        <f t="shared" si="206"/>
        <v>NO</v>
      </c>
      <c r="BC409" s="190" t="str">
        <f t="shared" si="207"/>
        <v>NO</v>
      </c>
      <c r="BD409" s="190" t="str">
        <f t="shared" si="222"/>
        <v>NO</v>
      </c>
      <c r="BE409" s="190" t="str">
        <f t="shared" si="208"/>
        <v>NO</v>
      </c>
      <c r="BF409" s="190" t="str">
        <f t="shared" si="209"/>
        <v>NO</v>
      </c>
      <c r="BG409" s="190" t="str">
        <f t="shared" si="210"/>
        <v>NO</v>
      </c>
      <c r="BH409" s="88"/>
      <c r="BI409" s="9"/>
      <c r="BJ409" s="694" t="str">
        <f t="shared" si="200"/>
        <v/>
      </c>
      <c r="BK409" s="694" t="str">
        <f t="shared" si="200"/>
        <v/>
      </c>
      <c r="BL409" s="694" t="str">
        <f t="shared" si="201"/>
        <v/>
      </c>
      <c r="BM409" s="694" t="str">
        <f t="shared" si="201"/>
        <v/>
      </c>
      <c r="BN409" s="88"/>
      <c r="BO409" s="195"/>
      <c r="BP409" s="195"/>
      <c r="BQ409" s="195"/>
      <c r="BR409" s="195"/>
      <c r="BS409" s="195"/>
      <c r="BT409" s="195"/>
      <c r="BU409" s="195"/>
      <c r="BV409" s="195"/>
      <c r="BW409" s="195"/>
      <c r="BX409" s="195"/>
    </row>
    <row r="410" spans="1:76" s="124" customFormat="1" ht="15">
      <c r="A410" s="187">
        <v>4617</v>
      </c>
      <c r="B410" s="187" t="s">
        <v>625</v>
      </c>
      <c r="C410" s="187" t="s">
        <v>625</v>
      </c>
      <c r="D410" s="187" t="s">
        <v>755</v>
      </c>
      <c r="E410" s="187" t="s">
        <v>385</v>
      </c>
      <c r="F410" s="187" t="s">
        <v>386</v>
      </c>
      <c r="G410" s="187" t="s">
        <v>387</v>
      </c>
      <c r="H410" s="187" t="b">
        <v>0</v>
      </c>
      <c r="I410" s="187" t="s">
        <v>388</v>
      </c>
      <c r="J410" s="187" t="s">
        <v>389</v>
      </c>
      <c r="K410" s="187" t="b">
        <v>1</v>
      </c>
      <c r="L410" s="187">
        <v>3.1</v>
      </c>
      <c r="M410" s="187">
        <v>0.4</v>
      </c>
      <c r="N410" s="187">
        <v>13.84</v>
      </c>
      <c r="O410" s="187">
        <v>4.5</v>
      </c>
      <c r="P410" s="187">
        <v>7.7</v>
      </c>
      <c r="Q410" s="187"/>
      <c r="R410" s="187"/>
      <c r="S410" s="187"/>
      <c r="T410" s="187"/>
      <c r="U410" s="187">
        <v>43.6</v>
      </c>
      <c r="V410" s="187">
        <v>2.0699999999999998</v>
      </c>
      <c r="W410" s="188">
        <v>40429</v>
      </c>
      <c r="X410" s="691">
        <f t="shared" si="195"/>
        <v>1.7197149999999999</v>
      </c>
      <c r="Y410" s="691">
        <f t="shared" si="203"/>
        <v>4.7261000000000006</v>
      </c>
      <c r="Z410" s="189"/>
      <c r="AA410" s="190">
        <f t="shared" si="211"/>
        <v>2010</v>
      </c>
      <c r="AB410" s="191">
        <f t="shared" si="212"/>
        <v>1.8026242720450774</v>
      </c>
      <c r="AC410" s="192">
        <f>IF(AB410="","",AB410*SFAssumptions!$C$3)</f>
        <v>462.75762553678959</v>
      </c>
      <c r="AD410" s="193">
        <f t="shared" si="213"/>
        <v>14.650910000000003</v>
      </c>
      <c r="AE410" s="194">
        <f>IF(AD410="","",AD410*SFAssumptions!$C$3)</f>
        <v>3761.0834541030008</v>
      </c>
      <c r="AF410" s="192">
        <f t="shared" si="202"/>
        <v>3.1</v>
      </c>
      <c r="AG410" s="192">
        <f t="shared" si="214"/>
        <v>4.7261000000000006</v>
      </c>
      <c r="AH410" s="192">
        <f t="shared" si="215"/>
        <v>1.7197149999999999</v>
      </c>
      <c r="AI410" s="692">
        <f ca="1">IF(AC410="","",AC410*SFAssumptions!$C$8/'SavingsData&amp;Analysis'!AF410)</f>
        <v>563.81900949849694</v>
      </c>
      <c r="AJ410" s="692">
        <f ca="1">IF(OR(AE410="",AF410=""),"",AE410*SFAssumptions!$C$8/AF410)</f>
        <v>4582.464406229331</v>
      </c>
      <c r="AK410" s="191">
        <f t="shared" si="216"/>
        <v>1.4975845410628021</v>
      </c>
      <c r="AL410" s="692">
        <f>IF(AK410="","",AK410*SFAssumptions!$C$3)</f>
        <v>384.44986956521745</v>
      </c>
      <c r="AM410" s="193">
        <f t="shared" si="217"/>
        <v>13.950000000000001</v>
      </c>
      <c r="AN410" s="194">
        <f>IF(AM410="","",AM410*SFAssumptions!$C$3)</f>
        <v>3581.1505350000002</v>
      </c>
      <c r="AO410" s="693">
        <f t="shared" si="218"/>
        <v>4.5</v>
      </c>
      <c r="AP410" s="693">
        <f t="shared" si="219"/>
        <v>2.0699999999999998</v>
      </c>
      <c r="AQ410" s="692">
        <f ca="1">IF(AL410="","",AL410*SFAssumptions!$C$8/'SavingsData&amp;Analysis'!AF410)</f>
        <v>468.40966566169459</v>
      </c>
      <c r="AR410" s="692">
        <f ca="1">IF(OR(AN410="",AF410=""),"",AN410*SFAssumptions!$C$8/AF410)</f>
        <v>4363.2360356386844</v>
      </c>
      <c r="AS410" s="190" t="str">
        <f>IF(OR(AG410="",AH410=""),"No",IF(AND(G410="Horizontal",AH410&gt;='Eff. Standards &amp; Certifications'!$B$21,AG410&lt;='Eff. Standards &amp; Certifications'!$C$21),"Consider",IF(AND(G410="Vertical",AH410&gt;='Eff. Standards &amp; Certifications'!$B$20,AG410&lt;='Eff. Standards &amp; Certifications'!$C$20),"Consider","No")))</f>
        <v>No</v>
      </c>
      <c r="AT410" s="190" t="str">
        <f t="shared" si="204"/>
        <v>Residential</v>
      </c>
      <c r="AU410" s="190"/>
      <c r="AV410" s="190" t="str">
        <f t="shared" si="199"/>
        <v>NO</v>
      </c>
      <c r="AW410" s="190" t="str">
        <f t="shared" si="199"/>
        <v>NO</v>
      </c>
      <c r="AX410" s="190" t="str">
        <f t="shared" si="220"/>
        <v>NO</v>
      </c>
      <c r="AY410" s="190" t="str">
        <f t="shared" si="205"/>
        <v>NO</v>
      </c>
      <c r="AZ410" s="190" t="str">
        <f t="shared" si="205"/>
        <v>NO</v>
      </c>
      <c r="BA410" s="190" t="str">
        <f t="shared" si="221"/>
        <v>NO</v>
      </c>
      <c r="BB410" s="190" t="str">
        <f t="shared" si="206"/>
        <v>NO</v>
      </c>
      <c r="BC410" s="190" t="str">
        <f t="shared" si="207"/>
        <v>NO</v>
      </c>
      <c r="BD410" s="190" t="str">
        <f t="shared" si="222"/>
        <v>NO</v>
      </c>
      <c r="BE410" s="190" t="str">
        <f t="shared" si="208"/>
        <v>NO</v>
      </c>
      <c r="BF410" s="190" t="str">
        <f t="shared" si="209"/>
        <v>NO</v>
      </c>
      <c r="BG410" s="190" t="str">
        <f t="shared" si="210"/>
        <v>NO</v>
      </c>
      <c r="BH410" s="88"/>
      <c r="BI410" s="9"/>
      <c r="BJ410" s="694" t="str">
        <f t="shared" si="200"/>
        <v/>
      </c>
      <c r="BK410" s="694" t="str">
        <f t="shared" si="200"/>
        <v/>
      </c>
      <c r="BL410" s="694" t="str">
        <f t="shared" si="201"/>
        <v/>
      </c>
      <c r="BM410" s="694" t="str">
        <f t="shared" si="201"/>
        <v/>
      </c>
      <c r="BN410" s="88"/>
      <c r="BO410" s="195"/>
      <c r="BP410" s="195"/>
      <c r="BQ410" s="195"/>
      <c r="BR410" s="195"/>
      <c r="BS410" s="195"/>
      <c r="BT410" s="195"/>
      <c r="BU410" s="195"/>
      <c r="BV410" s="195"/>
      <c r="BW410" s="195"/>
      <c r="BX410" s="195"/>
    </row>
    <row r="411" spans="1:76" s="124" customFormat="1" ht="15">
      <c r="A411" s="187">
        <v>3253</v>
      </c>
      <c r="B411" s="187" t="s">
        <v>625</v>
      </c>
      <c r="C411" s="187" t="s">
        <v>625</v>
      </c>
      <c r="D411" s="187" t="s">
        <v>756</v>
      </c>
      <c r="E411" s="187" t="s">
        <v>392</v>
      </c>
      <c r="F411" s="187" t="s">
        <v>386</v>
      </c>
      <c r="G411" s="187" t="s">
        <v>393</v>
      </c>
      <c r="H411" s="187" t="b">
        <v>0</v>
      </c>
      <c r="I411" s="187" t="s">
        <v>388</v>
      </c>
      <c r="J411" s="187" t="s">
        <v>389</v>
      </c>
      <c r="K411" s="187" t="b">
        <v>1</v>
      </c>
      <c r="L411" s="187">
        <v>3.2</v>
      </c>
      <c r="M411" s="187">
        <v>1.03</v>
      </c>
      <c r="N411" s="187">
        <v>29.27</v>
      </c>
      <c r="O411" s="187">
        <v>9.3000000000000007</v>
      </c>
      <c r="P411" s="187">
        <v>3.08</v>
      </c>
      <c r="Q411" s="187"/>
      <c r="R411" s="187"/>
      <c r="S411" s="187"/>
      <c r="T411" s="187"/>
      <c r="U411" s="187">
        <v>55.3</v>
      </c>
      <c r="V411" s="187">
        <v>1.28</v>
      </c>
      <c r="W411" s="188">
        <v>39373</v>
      </c>
      <c r="X411" s="691">
        <f t="shared" si="195"/>
        <v>0.8509000000000001</v>
      </c>
      <c r="Y411" s="691">
        <f t="shared" si="203"/>
        <v>9.724870000000001</v>
      </c>
      <c r="Z411" s="189"/>
      <c r="AA411" s="190">
        <f t="shared" si="211"/>
        <v>2007</v>
      </c>
      <c r="AB411" s="191">
        <f t="shared" si="212"/>
        <v>3.7607239393583263</v>
      </c>
      <c r="AC411" s="192">
        <f>IF(AB411="","",AB411*SFAssumptions!$C$3)</f>
        <v>965.42785286167589</v>
      </c>
      <c r="AD411" s="193">
        <f t="shared" si="213"/>
        <v>31.119584000000003</v>
      </c>
      <c r="AE411" s="194">
        <f>IF(AD411="","",AD411*SFAssumptions!$C$3)</f>
        <v>7988.8111032672014</v>
      </c>
      <c r="AF411" s="192">
        <f t="shared" si="202"/>
        <v>3.2</v>
      </c>
      <c r="AG411" s="192">
        <f t="shared" si="214"/>
        <v>9.724870000000001</v>
      </c>
      <c r="AH411" s="192">
        <f t="shared" si="215"/>
        <v>0.8509000000000001</v>
      </c>
      <c r="AI411" s="692">
        <f ca="1">IF(AC411="","",AC411*SFAssumptions!$C$8/'SavingsData&amp;Analysis'!AF411)</f>
        <v>1139.5087647428695</v>
      </c>
      <c r="AJ411" s="692">
        <f ca="1">IF(OR(AE411="",AF411=""),"",AE411*SFAssumptions!$C$8/AF411)</f>
        <v>9429.3118279781283</v>
      </c>
      <c r="AK411" s="191">
        <f t="shared" si="216"/>
        <v>2.5</v>
      </c>
      <c r="AL411" s="692">
        <f>IF(AK411="","",AK411*SFAssumptions!$C$3)</f>
        <v>641.78324999999995</v>
      </c>
      <c r="AM411" s="193">
        <f t="shared" si="217"/>
        <v>29.760000000000005</v>
      </c>
      <c r="AN411" s="194">
        <f>IF(AM411="","",AM411*SFAssumptions!$C$3)</f>
        <v>7639.7878080000019</v>
      </c>
      <c r="AO411" s="693">
        <f t="shared" si="218"/>
        <v>9.3000000000000007</v>
      </c>
      <c r="AP411" s="693">
        <f t="shared" si="219"/>
        <v>1.28</v>
      </c>
      <c r="AQ411" s="692">
        <f ca="1">IF(AL411="","",AL411*SFAssumptions!$C$8/'SavingsData&amp;Analysis'!AF411)</f>
        <v>757.50625618727156</v>
      </c>
      <c r="AR411" s="692">
        <f ca="1">IF(OR(AN411="",AF411=""),"",AN411*SFAssumptions!$C$8/AF411)</f>
        <v>9017.3544736532822</v>
      </c>
      <c r="AS411" s="190" t="str">
        <f>IF(OR(AG411="",AH411=""),"No",IF(AND(G411="Horizontal",AH411&gt;='Eff. Standards &amp; Certifications'!$B$21,AG411&lt;='Eff. Standards &amp; Certifications'!$C$21),"Consider",IF(AND(G411="Vertical",AH411&gt;='Eff. Standards &amp; Certifications'!$B$20,AG411&lt;='Eff. Standards &amp; Certifications'!$C$20),"Consider","No")))</f>
        <v>No</v>
      </c>
      <c r="AT411" s="190" t="str">
        <f t="shared" si="204"/>
        <v>Residential</v>
      </c>
      <c r="AU411" s="190"/>
      <c r="AV411" s="190" t="str">
        <f t="shared" si="199"/>
        <v>NO</v>
      </c>
      <c r="AW411" s="190" t="str">
        <f t="shared" si="199"/>
        <v>NO</v>
      </c>
      <c r="AX411" s="190" t="str">
        <f t="shared" si="220"/>
        <v>NO</v>
      </c>
      <c r="AY411" s="190" t="str">
        <f t="shared" si="205"/>
        <v>NO</v>
      </c>
      <c r="AZ411" s="190" t="str">
        <f t="shared" si="205"/>
        <v>NO</v>
      </c>
      <c r="BA411" s="190" t="str">
        <f t="shared" si="221"/>
        <v>NO</v>
      </c>
      <c r="BB411" s="190" t="str">
        <f t="shared" si="206"/>
        <v>NO</v>
      </c>
      <c r="BC411" s="190" t="str">
        <f t="shared" si="207"/>
        <v>NO</v>
      </c>
      <c r="BD411" s="190" t="str">
        <f t="shared" si="222"/>
        <v>NO</v>
      </c>
      <c r="BE411" s="190" t="str">
        <f t="shared" si="208"/>
        <v>NO</v>
      </c>
      <c r="BF411" s="190" t="str">
        <f t="shared" si="209"/>
        <v>NO</v>
      </c>
      <c r="BG411" s="190" t="str">
        <f t="shared" si="210"/>
        <v>NO</v>
      </c>
      <c r="BH411" s="88"/>
      <c r="BI411" s="9"/>
      <c r="BJ411" s="694" t="str">
        <f t="shared" si="200"/>
        <v/>
      </c>
      <c r="BK411" s="694" t="str">
        <f t="shared" si="200"/>
        <v/>
      </c>
      <c r="BL411" s="694" t="str">
        <f t="shared" si="201"/>
        <v/>
      </c>
      <c r="BM411" s="694" t="str">
        <f t="shared" si="201"/>
        <v/>
      </c>
      <c r="BN411" s="88"/>
      <c r="BO411" s="195"/>
      <c r="BP411" s="195"/>
      <c r="BQ411" s="195"/>
      <c r="BR411" s="195"/>
      <c r="BS411" s="195"/>
      <c r="BT411" s="195"/>
      <c r="BU411" s="195"/>
      <c r="BV411" s="195"/>
      <c r="BW411" s="195"/>
      <c r="BX411" s="195"/>
    </row>
    <row r="412" spans="1:76" s="124" customFormat="1" ht="15">
      <c r="A412" s="187">
        <v>3043</v>
      </c>
      <c r="B412" s="187" t="s">
        <v>625</v>
      </c>
      <c r="C412" s="187" t="s">
        <v>625</v>
      </c>
      <c r="D412" s="187" t="s">
        <v>757</v>
      </c>
      <c r="E412" s="187" t="s">
        <v>385</v>
      </c>
      <c r="F412" s="187" t="s">
        <v>386</v>
      </c>
      <c r="G412" s="187" t="s">
        <v>387</v>
      </c>
      <c r="H412" s="187" t="b">
        <v>0</v>
      </c>
      <c r="I412" s="187" t="s">
        <v>388</v>
      </c>
      <c r="J412" s="187" t="s">
        <v>389</v>
      </c>
      <c r="K412" s="187" t="b">
        <v>1</v>
      </c>
      <c r="L412" s="187">
        <v>3.3</v>
      </c>
      <c r="M412" s="187">
        <v>0.45</v>
      </c>
      <c r="N412" s="187">
        <v>14.18</v>
      </c>
      <c r="O412" s="187">
        <v>4.3</v>
      </c>
      <c r="P412" s="187">
        <v>7.34</v>
      </c>
      <c r="Q412" s="187"/>
      <c r="R412" s="187"/>
      <c r="S412" s="187"/>
      <c r="T412" s="187"/>
      <c r="U412" s="187">
        <v>43.3</v>
      </c>
      <c r="V412" s="187">
        <v>2.0299999999999998</v>
      </c>
      <c r="W412" s="188">
        <v>39371</v>
      </c>
      <c r="X412" s="691">
        <f t="shared" si="195"/>
        <v>1.6831349999999998</v>
      </c>
      <c r="Y412" s="691">
        <f t="shared" si="203"/>
        <v>4.5212599999999998</v>
      </c>
      <c r="Z412" s="189"/>
      <c r="AA412" s="190">
        <f t="shared" si="211"/>
        <v>2007</v>
      </c>
      <c r="AB412" s="191">
        <f t="shared" si="212"/>
        <v>1.9606270441764921</v>
      </c>
      <c r="AC412" s="192">
        <f>IF(AB412="","",AB412*SFAssumptions!$C$3)</f>
        <v>503.31903857979307</v>
      </c>
      <c r="AD412" s="193">
        <f t="shared" si="213"/>
        <v>14.920157999999999</v>
      </c>
      <c r="AE412" s="194">
        <f>IF(AD412="","",AD412*SFAssumptions!$C$3)</f>
        <v>3830.2029967013996</v>
      </c>
      <c r="AF412" s="192">
        <f t="shared" si="202"/>
        <v>3.3</v>
      </c>
      <c r="AG412" s="192">
        <f t="shared" si="214"/>
        <v>4.5212599999999998</v>
      </c>
      <c r="AH412" s="192">
        <f t="shared" si="215"/>
        <v>1.6831349999999998</v>
      </c>
      <c r="AI412" s="692">
        <f ca="1">IF(AC412="","",AC412*SFAssumptions!$C$8/'SavingsData&amp;Analysis'!AF412)</f>
        <v>576.0726310840829</v>
      </c>
      <c r="AJ412" s="692">
        <f ca="1">IF(OR(AE412="",AF412=""),"",AE412*SFAssumptions!$C$8/AF412)</f>
        <v>4383.8499018870571</v>
      </c>
      <c r="AK412" s="191">
        <f t="shared" si="216"/>
        <v>1.625615763546798</v>
      </c>
      <c r="AL412" s="692">
        <f>IF(AK412="","",AK412*SFAssumptions!$C$3)</f>
        <v>417.31718719211824</v>
      </c>
      <c r="AM412" s="193">
        <f t="shared" si="217"/>
        <v>14.19</v>
      </c>
      <c r="AN412" s="194">
        <f>IF(AM412="","",AM412*SFAssumptions!$C$3)</f>
        <v>3642.7617270000001</v>
      </c>
      <c r="AO412" s="693">
        <f t="shared" si="218"/>
        <v>4.3</v>
      </c>
      <c r="AP412" s="693">
        <f t="shared" si="219"/>
        <v>2.0299999999999998</v>
      </c>
      <c r="AQ412" s="692">
        <f ca="1">IF(AL412="","",AL412*SFAssumptions!$C$8/'SavingsData&amp;Analysis'!AF412)</f>
        <v>477.63941276832895</v>
      </c>
      <c r="AR412" s="692">
        <f ca="1">IF(OR(AN412="",AF412=""),"",AN412*SFAssumptions!$C$8/AF412)</f>
        <v>4169.3144340547433</v>
      </c>
      <c r="AS412" s="190" t="str">
        <f>IF(OR(AG412="",AH412=""),"No",IF(AND(G412="Horizontal",AH412&gt;='Eff. Standards &amp; Certifications'!$B$21,AG412&lt;='Eff. Standards &amp; Certifications'!$C$21),"Consider",IF(AND(G412="Vertical",AH412&gt;='Eff. Standards &amp; Certifications'!$B$20,AG412&lt;='Eff. Standards &amp; Certifications'!$C$20),"Consider","No")))</f>
        <v>No</v>
      </c>
      <c r="AT412" s="190" t="str">
        <f t="shared" si="204"/>
        <v>Residential</v>
      </c>
      <c r="AU412" s="190"/>
      <c r="AV412" s="190" t="str">
        <f t="shared" si="199"/>
        <v>NO</v>
      </c>
      <c r="AW412" s="190" t="str">
        <f t="shared" si="199"/>
        <v>NO</v>
      </c>
      <c r="AX412" s="190" t="str">
        <f t="shared" si="220"/>
        <v>NO</v>
      </c>
      <c r="AY412" s="190" t="str">
        <f t="shared" si="205"/>
        <v>NO</v>
      </c>
      <c r="AZ412" s="190" t="str">
        <f t="shared" si="205"/>
        <v>NO</v>
      </c>
      <c r="BA412" s="190" t="str">
        <f t="shared" si="221"/>
        <v>NO</v>
      </c>
      <c r="BB412" s="190" t="str">
        <f t="shared" si="206"/>
        <v>NO</v>
      </c>
      <c r="BC412" s="190" t="str">
        <f t="shared" si="207"/>
        <v>NO</v>
      </c>
      <c r="BD412" s="190" t="str">
        <f t="shared" si="222"/>
        <v>NO</v>
      </c>
      <c r="BE412" s="190" t="str">
        <f t="shared" si="208"/>
        <v>NO</v>
      </c>
      <c r="BF412" s="190" t="str">
        <f t="shared" si="209"/>
        <v>NO</v>
      </c>
      <c r="BG412" s="190" t="str">
        <f t="shared" si="210"/>
        <v>NO</v>
      </c>
      <c r="BH412" s="88"/>
      <c r="BI412" s="9"/>
      <c r="BJ412" s="694" t="str">
        <f t="shared" si="200"/>
        <v/>
      </c>
      <c r="BK412" s="694" t="str">
        <f t="shared" si="200"/>
        <v/>
      </c>
      <c r="BL412" s="694" t="str">
        <f t="shared" si="201"/>
        <v/>
      </c>
      <c r="BM412" s="694" t="str">
        <f t="shared" si="201"/>
        <v/>
      </c>
      <c r="BN412" s="88"/>
      <c r="BO412" s="195"/>
      <c r="BP412" s="195"/>
      <c r="BQ412" s="195"/>
      <c r="BR412" s="195"/>
      <c r="BS412" s="195"/>
      <c r="BT412" s="195"/>
      <c r="BU412" s="195"/>
      <c r="BV412" s="195"/>
      <c r="BW412" s="195"/>
      <c r="BX412" s="195"/>
    </row>
    <row r="413" spans="1:76" s="124" customFormat="1" ht="15">
      <c r="A413" s="187">
        <v>3044</v>
      </c>
      <c r="B413" s="187" t="s">
        <v>625</v>
      </c>
      <c r="C413" s="187" t="s">
        <v>625</v>
      </c>
      <c r="D413" s="187" t="s">
        <v>758</v>
      </c>
      <c r="E413" s="187" t="s">
        <v>385</v>
      </c>
      <c r="F413" s="187" t="s">
        <v>386</v>
      </c>
      <c r="G413" s="187" t="s">
        <v>387</v>
      </c>
      <c r="H413" s="187" t="b">
        <v>0</v>
      </c>
      <c r="I413" s="187" t="s">
        <v>388</v>
      </c>
      <c r="J413" s="187" t="s">
        <v>389</v>
      </c>
      <c r="K413" s="187" t="b">
        <v>1</v>
      </c>
      <c r="L413" s="187">
        <v>3.3</v>
      </c>
      <c r="M413" s="187">
        <v>0.46</v>
      </c>
      <c r="N413" s="187">
        <v>14.33</v>
      </c>
      <c r="O413" s="187">
        <v>4.3</v>
      </c>
      <c r="P413" s="187">
        <v>7.23</v>
      </c>
      <c r="Q413" s="187"/>
      <c r="R413" s="187"/>
      <c r="S413" s="187"/>
      <c r="T413" s="187"/>
      <c r="U413" s="187">
        <v>44.1</v>
      </c>
      <c r="V413" s="187">
        <v>1.99</v>
      </c>
      <c r="W413" s="188">
        <v>39371</v>
      </c>
      <c r="X413" s="691">
        <f t="shared" si="195"/>
        <v>1.646555</v>
      </c>
      <c r="Y413" s="691">
        <f t="shared" si="203"/>
        <v>4.5212599999999998</v>
      </c>
      <c r="Z413" s="189"/>
      <c r="AA413" s="190">
        <f t="shared" si="211"/>
        <v>2007</v>
      </c>
      <c r="AB413" s="191">
        <f t="shared" si="212"/>
        <v>2.004184494292629</v>
      </c>
      <c r="AC413" s="192">
        <f>IF(AB413="","",AB413*SFAssumptions!$C$3)</f>
        <v>514.50081533869195</v>
      </c>
      <c r="AD413" s="193">
        <f t="shared" si="213"/>
        <v>14.920157999999999</v>
      </c>
      <c r="AE413" s="194">
        <f>IF(AD413="","",AD413*SFAssumptions!$C$3)</f>
        <v>3830.2029967013996</v>
      </c>
      <c r="AF413" s="192">
        <f t="shared" si="202"/>
        <v>3.3</v>
      </c>
      <c r="AG413" s="192">
        <f t="shared" si="214"/>
        <v>4.5212599999999998</v>
      </c>
      <c r="AH413" s="192">
        <f t="shared" si="215"/>
        <v>1.646555</v>
      </c>
      <c r="AI413" s="692">
        <f ca="1">IF(AC413="","",AC413*SFAssumptions!$C$8/'SavingsData&amp;Analysis'!AF413)</f>
        <v>588.87070758019479</v>
      </c>
      <c r="AJ413" s="692">
        <f ca="1">IF(OR(AE413="",AF413=""),"",AE413*SFAssumptions!$C$8/AF413)</f>
        <v>4383.8499018870571</v>
      </c>
      <c r="AK413" s="191">
        <f t="shared" si="216"/>
        <v>1.658291457286432</v>
      </c>
      <c r="AL413" s="692">
        <f>IF(AK413="","",AK413*SFAssumptions!$C$3)</f>
        <v>425.70547236180903</v>
      </c>
      <c r="AM413" s="193">
        <f t="shared" si="217"/>
        <v>14.19</v>
      </c>
      <c r="AN413" s="194">
        <f>IF(AM413="","",AM413*SFAssumptions!$C$3)</f>
        <v>3642.7617270000001</v>
      </c>
      <c r="AO413" s="693">
        <f t="shared" si="218"/>
        <v>4.3</v>
      </c>
      <c r="AP413" s="693">
        <f t="shared" si="219"/>
        <v>1.99</v>
      </c>
      <c r="AQ413" s="692">
        <f ca="1">IF(AL413="","",AL413*SFAssumptions!$C$8/'SavingsData&amp;Analysis'!AF413)</f>
        <v>487.24020498477773</v>
      </c>
      <c r="AR413" s="692">
        <f ca="1">IF(OR(AN413="",AF413=""),"",AN413*SFAssumptions!$C$8/AF413)</f>
        <v>4169.3144340547433</v>
      </c>
      <c r="AS413" s="190" t="str">
        <f>IF(OR(AG413="",AH413=""),"No",IF(AND(G413="Horizontal",AH413&gt;='Eff. Standards &amp; Certifications'!$B$21,AG413&lt;='Eff. Standards &amp; Certifications'!$C$21),"Consider",IF(AND(G413="Vertical",AH413&gt;='Eff. Standards &amp; Certifications'!$B$20,AG413&lt;='Eff. Standards &amp; Certifications'!$C$20),"Consider","No")))</f>
        <v>No</v>
      </c>
      <c r="AT413" s="190" t="str">
        <f t="shared" si="204"/>
        <v>Residential</v>
      </c>
      <c r="AU413" s="190"/>
      <c r="AV413" s="190" t="str">
        <f t="shared" si="199"/>
        <v>NO</v>
      </c>
      <c r="AW413" s="190" t="str">
        <f t="shared" si="199"/>
        <v>NO</v>
      </c>
      <c r="AX413" s="190" t="str">
        <f t="shared" si="220"/>
        <v>NO</v>
      </c>
      <c r="AY413" s="190" t="str">
        <f t="shared" si="205"/>
        <v>NO</v>
      </c>
      <c r="AZ413" s="190" t="str">
        <f t="shared" si="205"/>
        <v>NO</v>
      </c>
      <c r="BA413" s="190" t="str">
        <f t="shared" si="221"/>
        <v>NO</v>
      </c>
      <c r="BB413" s="190" t="str">
        <f t="shared" si="206"/>
        <v>NO</v>
      </c>
      <c r="BC413" s="190" t="str">
        <f t="shared" si="207"/>
        <v>NO</v>
      </c>
      <c r="BD413" s="190" t="str">
        <f t="shared" si="222"/>
        <v>NO</v>
      </c>
      <c r="BE413" s="190" t="str">
        <f t="shared" si="208"/>
        <v>NO</v>
      </c>
      <c r="BF413" s="190" t="str">
        <f t="shared" si="209"/>
        <v>NO</v>
      </c>
      <c r="BG413" s="190" t="str">
        <f t="shared" si="210"/>
        <v>NO</v>
      </c>
      <c r="BH413" s="88"/>
      <c r="BI413" s="9"/>
      <c r="BJ413" s="694" t="str">
        <f t="shared" si="200"/>
        <v/>
      </c>
      <c r="BK413" s="694" t="str">
        <f t="shared" si="200"/>
        <v/>
      </c>
      <c r="BL413" s="694" t="str">
        <f t="shared" si="201"/>
        <v/>
      </c>
      <c r="BM413" s="694" t="str">
        <f t="shared" si="201"/>
        <v/>
      </c>
      <c r="BN413" s="88"/>
      <c r="BO413" s="195"/>
      <c r="BP413" s="195"/>
      <c r="BQ413" s="195"/>
      <c r="BR413" s="195"/>
      <c r="BS413" s="195"/>
      <c r="BT413" s="195"/>
      <c r="BU413" s="195"/>
      <c r="BV413" s="195"/>
      <c r="BW413" s="195"/>
      <c r="BX413" s="195"/>
    </row>
    <row r="414" spans="1:76" s="124" customFormat="1" ht="15">
      <c r="A414" s="187">
        <v>3047</v>
      </c>
      <c r="B414" s="187" t="s">
        <v>625</v>
      </c>
      <c r="C414" s="187" t="s">
        <v>625</v>
      </c>
      <c r="D414" s="187" t="s">
        <v>759</v>
      </c>
      <c r="E414" s="187" t="s">
        <v>392</v>
      </c>
      <c r="F414" s="187" t="s">
        <v>386</v>
      </c>
      <c r="G414" s="187" t="s">
        <v>393</v>
      </c>
      <c r="H414" s="187" t="b">
        <v>0</v>
      </c>
      <c r="I414" s="187" t="s">
        <v>388</v>
      </c>
      <c r="J414" s="187" t="s">
        <v>389</v>
      </c>
      <c r="K414" s="187" t="b">
        <v>1</v>
      </c>
      <c r="L414" s="187">
        <v>3</v>
      </c>
      <c r="M414" s="187">
        <v>0.76</v>
      </c>
      <c r="N414" s="187">
        <v>20.45</v>
      </c>
      <c r="O414" s="187">
        <v>6.8</v>
      </c>
      <c r="P414" s="187">
        <v>3.96</v>
      </c>
      <c r="Q414" s="187"/>
      <c r="R414" s="187"/>
      <c r="S414" s="187"/>
      <c r="T414" s="187"/>
      <c r="U414" s="187">
        <v>42.5</v>
      </c>
      <c r="V414" s="187">
        <v>1.69</v>
      </c>
      <c r="W414" s="188">
        <v>39371</v>
      </c>
      <c r="X414" s="691">
        <f t="shared" si="195"/>
        <v>1.2568000000000001</v>
      </c>
      <c r="Y414" s="691">
        <f t="shared" si="203"/>
        <v>7.2526200000000003</v>
      </c>
      <c r="Z414" s="189"/>
      <c r="AA414" s="190">
        <f t="shared" si="211"/>
        <v>2007</v>
      </c>
      <c r="AB414" s="191">
        <f t="shared" si="212"/>
        <v>2.3870146403564605</v>
      </c>
      <c r="AC414" s="192">
        <f>IF(AB414="","",AB414*SFAssumptions!$C$3)</f>
        <v>612.77840547422011</v>
      </c>
      <c r="AD414" s="193">
        <f t="shared" si="213"/>
        <v>21.757860000000001</v>
      </c>
      <c r="AE414" s="194">
        <f>IF(AD414="","",AD414*SFAssumptions!$C$3)</f>
        <v>5585.5320415380002</v>
      </c>
      <c r="AF414" s="192">
        <f t="shared" si="202"/>
        <v>3</v>
      </c>
      <c r="AG414" s="192">
        <f t="shared" si="214"/>
        <v>7.2526200000000003</v>
      </c>
      <c r="AH414" s="192">
        <f t="shared" si="215"/>
        <v>1.2568000000000001</v>
      </c>
      <c r="AI414" s="692">
        <f ca="1">IF(AC414="","",AC414*SFAssumptions!$C$8/'SavingsData&amp;Analysis'!AF414)</f>
        <v>771.48950343706838</v>
      </c>
      <c r="AJ414" s="692">
        <f ca="1">IF(OR(AE414="",AF414=""),"",AE414*SFAssumptions!$C$8/AF414)</f>
        <v>7032.198430398631</v>
      </c>
      <c r="AK414" s="191">
        <f t="shared" si="216"/>
        <v>1.7751479289940828</v>
      </c>
      <c r="AL414" s="692">
        <f>IF(AK414="","",AK414*SFAssumptions!$C$3)</f>
        <v>455.70408284023671</v>
      </c>
      <c r="AM414" s="193">
        <f t="shared" si="217"/>
        <v>20.399999999999999</v>
      </c>
      <c r="AN414" s="194">
        <f>IF(AM414="","",AM414*SFAssumptions!$C$3)</f>
        <v>5236.9513200000001</v>
      </c>
      <c r="AO414" s="693">
        <f t="shared" si="218"/>
        <v>6.8</v>
      </c>
      <c r="AP414" s="693">
        <f t="shared" si="219"/>
        <v>1.69</v>
      </c>
      <c r="AQ414" s="692">
        <f ca="1">IF(AL414="","",AL414*SFAssumptions!$C$8/'SavingsData&amp;Analysis'!AF414)</f>
        <v>573.73254906491582</v>
      </c>
      <c r="AR414" s="692">
        <f ca="1">IF(OR(AN414="",AF414=""),"",AN414*SFAssumptions!$C$8/AF414)</f>
        <v>6593.3344538540123</v>
      </c>
      <c r="AS414" s="190" t="str">
        <f>IF(OR(AG414="",AH414=""),"No",IF(AND(G414="Horizontal",AH414&gt;='Eff. Standards &amp; Certifications'!$B$21,AG414&lt;='Eff. Standards &amp; Certifications'!$C$21),"Consider",IF(AND(G414="Vertical",AH414&gt;='Eff. Standards &amp; Certifications'!$B$20,AG414&lt;='Eff. Standards &amp; Certifications'!$C$20),"Consider","No")))</f>
        <v>No</v>
      </c>
      <c r="AT414" s="190" t="str">
        <f t="shared" si="204"/>
        <v>Residential</v>
      </c>
      <c r="AU414" s="190"/>
      <c r="AV414" s="190" t="str">
        <f t="shared" si="199"/>
        <v>NO</v>
      </c>
      <c r="AW414" s="190" t="str">
        <f t="shared" si="199"/>
        <v>NO</v>
      </c>
      <c r="AX414" s="190" t="str">
        <f t="shared" si="220"/>
        <v>NO</v>
      </c>
      <c r="AY414" s="190" t="str">
        <f t="shared" si="205"/>
        <v>NO</v>
      </c>
      <c r="AZ414" s="190" t="str">
        <f t="shared" si="205"/>
        <v>NO</v>
      </c>
      <c r="BA414" s="190" t="str">
        <f t="shared" si="221"/>
        <v>NO</v>
      </c>
      <c r="BB414" s="190" t="str">
        <f t="shared" si="206"/>
        <v>NO</v>
      </c>
      <c r="BC414" s="190" t="str">
        <f t="shared" si="207"/>
        <v>NO</v>
      </c>
      <c r="BD414" s="190" t="str">
        <f t="shared" si="222"/>
        <v>NO</v>
      </c>
      <c r="BE414" s="190" t="str">
        <f t="shared" si="208"/>
        <v>NO</v>
      </c>
      <c r="BF414" s="190" t="str">
        <f t="shared" si="209"/>
        <v>NO</v>
      </c>
      <c r="BG414" s="190" t="str">
        <f t="shared" si="210"/>
        <v>NO</v>
      </c>
      <c r="BH414" s="88"/>
      <c r="BI414" s="9"/>
      <c r="BJ414" s="694" t="str">
        <f t="shared" si="200"/>
        <v/>
      </c>
      <c r="BK414" s="694" t="str">
        <f t="shared" si="200"/>
        <v/>
      </c>
      <c r="BL414" s="694" t="str">
        <f t="shared" si="201"/>
        <v/>
      </c>
      <c r="BM414" s="694" t="str">
        <f t="shared" si="201"/>
        <v/>
      </c>
      <c r="BN414" s="88"/>
      <c r="BO414" s="195"/>
      <c r="BP414" s="195"/>
      <c r="BQ414" s="195"/>
      <c r="BR414" s="195"/>
      <c r="BS414" s="195"/>
      <c r="BT414" s="195"/>
      <c r="BU414" s="195"/>
      <c r="BV414" s="195"/>
      <c r="BW414" s="195"/>
      <c r="BX414" s="195"/>
    </row>
    <row r="415" spans="1:76" s="124" customFormat="1" ht="15">
      <c r="A415" s="187">
        <v>3057</v>
      </c>
      <c r="B415" s="187" t="s">
        <v>625</v>
      </c>
      <c r="C415" s="187" t="s">
        <v>625</v>
      </c>
      <c r="D415" s="187" t="s">
        <v>760</v>
      </c>
      <c r="E415" s="187" t="s">
        <v>392</v>
      </c>
      <c r="F415" s="187" t="s">
        <v>386</v>
      </c>
      <c r="G415" s="187" t="s">
        <v>393</v>
      </c>
      <c r="H415" s="187" t="b">
        <v>0</v>
      </c>
      <c r="I415" s="187" t="s">
        <v>388</v>
      </c>
      <c r="J415" s="187" t="s">
        <v>389</v>
      </c>
      <c r="K415" s="187" t="b">
        <v>1</v>
      </c>
      <c r="L415" s="187">
        <v>3.1</v>
      </c>
      <c r="M415" s="187">
        <v>0.77</v>
      </c>
      <c r="N415" s="187">
        <v>35.47</v>
      </c>
      <c r="O415" s="187">
        <v>11.3</v>
      </c>
      <c r="P415" s="187">
        <v>4.07</v>
      </c>
      <c r="Q415" s="187"/>
      <c r="R415" s="187"/>
      <c r="S415" s="187"/>
      <c r="T415" s="187"/>
      <c r="U415" s="187">
        <v>52.6</v>
      </c>
      <c r="V415" s="187">
        <v>1.47</v>
      </c>
      <c r="W415" s="188">
        <v>39371</v>
      </c>
      <c r="X415" s="691">
        <f t="shared" si="195"/>
        <v>1.0390000000000001</v>
      </c>
      <c r="Y415" s="691">
        <f t="shared" si="203"/>
        <v>11.702670000000001</v>
      </c>
      <c r="Z415" s="189"/>
      <c r="AA415" s="190">
        <f t="shared" si="211"/>
        <v>2007</v>
      </c>
      <c r="AB415" s="191">
        <f t="shared" si="212"/>
        <v>2.9836381135707408</v>
      </c>
      <c r="AC415" s="192">
        <f>IF(AB415="","",AB415*SFAssumptions!$C$3)</f>
        <v>765.93958614051962</v>
      </c>
      <c r="AD415" s="193">
        <f t="shared" si="213"/>
        <v>36.278277000000003</v>
      </c>
      <c r="AE415" s="194">
        <f>IF(AD415="","",AD415*SFAssumptions!$C$3)</f>
        <v>9313.1162069841012</v>
      </c>
      <c r="AF415" s="192">
        <f t="shared" si="202"/>
        <v>3.1</v>
      </c>
      <c r="AG415" s="192">
        <f t="shared" si="214"/>
        <v>11.702670000000001</v>
      </c>
      <c r="AH415" s="192">
        <f t="shared" si="215"/>
        <v>1.0390000000000001</v>
      </c>
      <c r="AI415" s="692">
        <f ca="1">IF(AC415="","",AC415*SFAssumptions!$C$8/'SavingsData&amp;Analysis'!AF415)</f>
        <v>933.21271214601302</v>
      </c>
      <c r="AJ415" s="692">
        <f ca="1">IF(OR(AE415="",AF415=""),"",AE415*SFAssumptions!$C$8/AF415)</f>
        <v>11347.002546041727</v>
      </c>
      <c r="AK415" s="191">
        <f t="shared" si="216"/>
        <v>2.1088435374149661</v>
      </c>
      <c r="AL415" s="692">
        <f>IF(AK415="","",AK415*SFAssumptions!$C$3)</f>
        <v>541.36818367346939</v>
      </c>
      <c r="AM415" s="193">
        <f t="shared" si="217"/>
        <v>35.03</v>
      </c>
      <c r="AN415" s="194">
        <f>IF(AM415="","",AM415*SFAssumptions!$C$3)</f>
        <v>8992.6668989999998</v>
      </c>
      <c r="AO415" s="693">
        <f t="shared" si="218"/>
        <v>11.3</v>
      </c>
      <c r="AP415" s="693">
        <f t="shared" si="219"/>
        <v>1.47</v>
      </c>
      <c r="AQ415" s="692">
        <f ca="1">IF(AL415="","",AL415*SFAssumptions!$C$8/'SavingsData&amp;Analysis'!AF415)</f>
        <v>659.59728429912082</v>
      </c>
      <c r="AR415" s="692">
        <f ca="1">IF(OR(AN415="",AF415=""),"",AN415*SFAssumptions!$C$8/AF415)</f>
        <v>10956.570489492695</v>
      </c>
      <c r="AS415" s="190" t="str">
        <f>IF(OR(AG415="",AH415=""),"No",IF(AND(G415="Horizontal",AH415&gt;='Eff. Standards &amp; Certifications'!$B$21,AG415&lt;='Eff. Standards &amp; Certifications'!$C$21),"Consider",IF(AND(G415="Vertical",AH415&gt;='Eff. Standards &amp; Certifications'!$B$20,AG415&lt;='Eff. Standards &amp; Certifications'!$C$20),"Consider","No")))</f>
        <v>No</v>
      </c>
      <c r="AT415" s="190" t="str">
        <f t="shared" si="204"/>
        <v>Residential</v>
      </c>
      <c r="AU415" s="190"/>
      <c r="AV415" s="190" t="str">
        <f t="shared" si="199"/>
        <v>NO</v>
      </c>
      <c r="AW415" s="190" t="str">
        <f t="shared" si="199"/>
        <v>NO</v>
      </c>
      <c r="AX415" s="190" t="str">
        <f t="shared" si="220"/>
        <v>NO</v>
      </c>
      <c r="AY415" s="190" t="str">
        <f t="shared" si="205"/>
        <v>NO</v>
      </c>
      <c r="AZ415" s="190" t="str">
        <f t="shared" si="205"/>
        <v>NO</v>
      </c>
      <c r="BA415" s="190" t="str">
        <f t="shared" si="221"/>
        <v>NO</v>
      </c>
      <c r="BB415" s="190" t="str">
        <f t="shared" si="206"/>
        <v>NO</v>
      </c>
      <c r="BC415" s="190" t="str">
        <f t="shared" si="207"/>
        <v>NO</v>
      </c>
      <c r="BD415" s="190" t="str">
        <f t="shared" si="222"/>
        <v>NO</v>
      </c>
      <c r="BE415" s="190" t="str">
        <f t="shared" si="208"/>
        <v>NO</v>
      </c>
      <c r="BF415" s="190" t="str">
        <f t="shared" si="209"/>
        <v>NO</v>
      </c>
      <c r="BG415" s="190" t="str">
        <f t="shared" si="210"/>
        <v>NO</v>
      </c>
      <c r="BH415" s="88"/>
      <c r="BI415" s="9"/>
      <c r="BJ415" s="694" t="str">
        <f t="shared" si="200"/>
        <v/>
      </c>
      <c r="BK415" s="694" t="str">
        <f t="shared" si="200"/>
        <v/>
      </c>
      <c r="BL415" s="694" t="str">
        <f t="shared" si="201"/>
        <v/>
      </c>
      <c r="BM415" s="694" t="str">
        <f t="shared" si="201"/>
        <v/>
      </c>
      <c r="BN415" s="88"/>
      <c r="BO415" s="195"/>
      <c r="BP415" s="195"/>
      <c r="BQ415" s="195"/>
      <c r="BR415" s="195"/>
      <c r="BS415" s="195"/>
      <c r="BT415" s="195"/>
      <c r="BU415" s="195"/>
      <c r="BV415" s="195"/>
      <c r="BW415" s="195"/>
      <c r="BX415" s="195"/>
    </row>
    <row r="416" spans="1:76" s="124" customFormat="1" ht="15">
      <c r="A416" s="187">
        <v>643</v>
      </c>
      <c r="B416" s="187" t="s">
        <v>625</v>
      </c>
      <c r="C416" s="187" t="s">
        <v>625</v>
      </c>
      <c r="D416" s="187" t="s">
        <v>761</v>
      </c>
      <c r="E416" s="187" t="s">
        <v>385</v>
      </c>
      <c r="F416" s="187" t="s">
        <v>386</v>
      </c>
      <c r="G416" s="187" t="s">
        <v>387</v>
      </c>
      <c r="H416" s="187" t="b">
        <v>0</v>
      </c>
      <c r="I416" s="187" t="s">
        <v>388</v>
      </c>
      <c r="J416" s="187" t="s">
        <v>389</v>
      </c>
      <c r="K416" s="187" t="b">
        <v>1</v>
      </c>
      <c r="L416" s="187">
        <v>2</v>
      </c>
      <c r="M416" s="187">
        <v>0.39</v>
      </c>
      <c r="N416" s="187">
        <v>11.36</v>
      </c>
      <c r="O416" s="187">
        <v>5.8</v>
      </c>
      <c r="P416" s="187">
        <v>5.09</v>
      </c>
      <c r="Q416" s="187"/>
      <c r="R416" s="187"/>
      <c r="S416" s="187"/>
      <c r="T416" s="187"/>
      <c r="U416" s="187">
        <v>37</v>
      </c>
      <c r="V416" s="187">
        <v>2.0499999999999998</v>
      </c>
      <c r="W416" s="188">
        <v>40170</v>
      </c>
      <c r="X416" s="691">
        <f t="shared" si="195"/>
        <v>1.7014249999999997</v>
      </c>
      <c r="Y416" s="691">
        <f t="shared" si="203"/>
        <v>6.0575600000000005</v>
      </c>
      <c r="Z416" s="189"/>
      <c r="AA416" s="190">
        <f t="shared" si="211"/>
        <v>2009</v>
      </c>
      <c r="AB416" s="191">
        <f t="shared" si="212"/>
        <v>1.1754852550068327</v>
      </c>
      <c r="AC416" s="192">
        <f>IF(AB416="","",AB416*SFAssumptions!$C$3)</f>
        <v>301.76269891414552</v>
      </c>
      <c r="AD416" s="193">
        <f t="shared" si="213"/>
        <v>12.115120000000001</v>
      </c>
      <c r="AE416" s="194">
        <f>IF(AD416="","",AD416*SFAssumptions!$C$3)</f>
        <v>3110.1124350960004</v>
      </c>
      <c r="AF416" s="192">
        <f t="shared" si="202"/>
        <v>2</v>
      </c>
      <c r="AG416" s="192">
        <f t="shared" si="214"/>
        <v>6.0575600000000005</v>
      </c>
      <c r="AH416" s="192">
        <f t="shared" si="215"/>
        <v>1.7014249999999997</v>
      </c>
      <c r="AI416" s="692">
        <f ca="1">IF(AC416="","",AC416*SFAssumptions!$C$8/'SavingsData&amp;Analysis'!AF416)</f>
        <v>569.87995822308221</v>
      </c>
      <c r="AJ416" s="692">
        <f ca="1">IF(OR(AE416="",AF416=""),"",AE416*SFAssumptions!$C$8/AF416)</f>
        <v>5873.4586844541054</v>
      </c>
      <c r="AK416" s="191">
        <f t="shared" si="216"/>
        <v>0.97560975609756106</v>
      </c>
      <c r="AL416" s="692">
        <f>IF(AK416="","",AK416*SFAssumptions!$C$3)</f>
        <v>250.45200000000003</v>
      </c>
      <c r="AM416" s="193">
        <f t="shared" si="217"/>
        <v>11.6</v>
      </c>
      <c r="AN416" s="194">
        <f>IF(AM416="","",AM416*SFAssumptions!$C$3)</f>
        <v>2977.87428</v>
      </c>
      <c r="AO416" s="693">
        <f t="shared" si="218"/>
        <v>5.8</v>
      </c>
      <c r="AP416" s="693">
        <f t="shared" si="219"/>
        <v>2.0499999999999998</v>
      </c>
      <c r="AQ416" s="692">
        <f ca="1">IF(AL416="","",AL416*SFAssumptions!$C$8/'SavingsData&amp;Analysis'!AF416)</f>
        <v>472.97951605839404</v>
      </c>
      <c r="AR416" s="692">
        <f ca="1">IF(OR(AN416="",AF416=""),"",AN416*SFAssumptions!$C$8/AF416)</f>
        <v>5623.7264459343041</v>
      </c>
      <c r="AS416" s="190" t="str">
        <f>IF(OR(AG416="",AH416=""),"No",IF(AND(G416="Horizontal",AH416&gt;='Eff. Standards &amp; Certifications'!$B$21,AG416&lt;='Eff. Standards &amp; Certifications'!$C$21),"Consider",IF(AND(G416="Vertical",AH416&gt;='Eff. Standards &amp; Certifications'!$B$20,AG416&lt;='Eff. Standards &amp; Certifications'!$C$20),"Consider","No")))</f>
        <v>No</v>
      </c>
      <c r="AT416" s="190" t="str">
        <f t="shared" si="204"/>
        <v>Residential</v>
      </c>
      <c r="AU416" s="190"/>
      <c r="AV416" s="190" t="str">
        <f t="shared" si="199"/>
        <v>NO</v>
      </c>
      <c r="AW416" s="190" t="str">
        <f t="shared" si="199"/>
        <v>NO</v>
      </c>
      <c r="AX416" s="190" t="str">
        <f t="shared" si="220"/>
        <v>NO</v>
      </c>
      <c r="AY416" s="190" t="str">
        <f t="shared" si="205"/>
        <v>NO</v>
      </c>
      <c r="AZ416" s="190" t="str">
        <f t="shared" si="205"/>
        <v>NO</v>
      </c>
      <c r="BA416" s="190" t="str">
        <f t="shared" si="221"/>
        <v>NO</v>
      </c>
      <c r="BB416" s="190" t="str">
        <f t="shared" si="206"/>
        <v>NO</v>
      </c>
      <c r="BC416" s="190" t="str">
        <f t="shared" si="207"/>
        <v>NO</v>
      </c>
      <c r="BD416" s="190" t="str">
        <f t="shared" si="222"/>
        <v>NO</v>
      </c>
      <c r="BE416" s="190" t="str">
        <f t="shared" si="208"/>
        <v>NO</v>
      </c>
      <c r="BF416" s="190" t="str">
        <f t="shared" si="209"/>
        <v>NO</v>
      </c>
      <c r="BG416" s="190" t="str">
        <f t="shared" si="210"/>
        <v>NO</v>
      </c>
      <c r="BH416" s="88"/>
      <c r="BI416" s="9"/>
      <c r="BJ416" s="694" t="str">
        <f t="shared" si="200"/>
        <v/>
      </c>
      <c r="BK416" s="694" t="str">
        <f t="shared" si="200"/>
        <v/>
      </c>
      <c r="BL416" s="694" t="str">
        <f t="shared" si="201"/>
        <v/>
      </c>
      <c r="BM416" s="694" t="str">
        <f t="shared" si="201"/>
        <v/>
      </c>
      <c r="BN416" s="88"/>
      <c r="BO416" s="195"/>
      <c r="BP416" s="195"/>
      <c r="BQ416" s="195"/>
      <c r="BR416" s="195"/>
      <c r="BS416" s="195"/>
      <c r="BT416" s="195"/>
      <c r="BU416" s="195"/>
      <c r="BV416" s="195"/>
      <c r="BW416" s="195"/>
      <c r="BX416" s="195"/>
    </row>
    <row r="417" spans="1:76" s="124" customFormat="1" ht="15">
      <c r="A417" s="187">
        <v>5778</v>
      </c>
      <c r="B417" s="187" t="s">
        <v>625</v>
      </c>
      <c r="C417" s="187" t="s">
        <v>625</v>
      </c>
      <c r="D417" s="187" t="s">
        <v>762</v>
      </c>
      <c r="E417" s="187" t="s">
        <v>385</v>
      </c>
      <c r="F417" s="187" t="s">
        <v>386</v>
      </c>
      <c r="G417" s="187" t="s">
        <v>387</v>
      </c>
      <c r="H417" s="187" t="b">
        <v>0</v>
      </c>
      <c r="I417" s="187" t="s">
        <v>388</v>
      </c>
      <c r="J417" s="187" t="s">
        <v>389</v>
      </c>
      <c r="K417" s="187" t="b">
        <v>1</v>
      </c>
      <c r="L417" s="187">
        <v>4.3</v>
      </c>
      <c r="M417" s="187">
        <v>0.4</v>
      </c>
      <c r="N417" s="187">
        <v>11.52</v>
      </c>
      <c r="O417" s="187">
        <v>2.7</v>
      </c>
      <c r="P417" s="187">
        <v>11.62</v>
      </c>
      <c r="Q417" s="187"/>
      <c r="R417" s="187"/>
      <c r="S417" s="187"/>
      <c r="T417" s="187"/>
      <c r="U417" s="187">
        <v>30.2</v>
      </c>
      <c r="V417" s="187">
        <v>3</v>
      </c>
      <c r="W417" s="188">
        <v>41346</v>
      </c>
      <c r="X417" s="691">
        <f t="shared" si="195"/>
        <v>2.5701999999999998</v>
      </c>
      <c r="Y417" s="691">
        <f t="shared" si="203"/>
        <v>2.8825400000000001</v>
      </c>
      <c r="Z417" s="189"/>
      <c r="AA417" s="190">
        <f t="shared" si="211"/>
        <v>2013</v>
      </c>
      <c r="AB417" s="191">
        <f t="shared" si="212"/>
        <v>1.6730215547428215</v>
      </c>
      <c r="AC417" s="192">
        <f>IF(AB417="","",AB417*SFAssumptions!$C$3)</f>
        <v>429.4868842891604</v>
      </c>
      <c r="AD417" s="193">
        <f t="shared" si="213"/>
        <v>12.394921999999999</v>
      </c>
      <c r="AE417" s="194">
        <f>IF(AD417="","",AD417*SFAssumptions!$C$3)</f>
        <v>3181.9413298626</v>
      </c>
      <c r="AF417" s="192">
        <f t="shared" si="202"/>
        <v>4.3</v>
      </c>
      <c r="AG417" s="192">
        <f t="shared" si="214"/>
        <v>2.8825400000000001</v>
      </c>
      <c r="AH417" s="192">
        <f t="shared" si="215"/>
        <v>2.5701999999999998</v>
      </c>
      <c r="AI417" s="692">
        <f ca="1">IF(AC417="","",AC417*SFAssumptions!$C$8/'SavingsData&amp;Analysis'!AF417)</f>
        <v>377.25002253509757</v>
      </c>
      <c r="AJ417" s="692">
        <f ca="1">IF(OR(AE417="",AF417=""),"",AE417*SFAssumptions!$C$8/AF417)</f>
        <v>2794.9338671488745</v>
      </c>
      <c r="AK417" s="191">
        <f t="shared" si="216"/>
        <v>1.4333333333333333</v>
      </c>
      <c r="AL417" s="692">
        <f>IF(AK417="","",AK417*SFAssumptions!$C$3)</f>
        <v>367.95573000000002</v>
      </c>
      <c r="AM417" s="193">
        <f t="shared" si="217"/>
        <v>11.61</v>
      </c>
      <c r="AN417" s="194">
        <f>IF(AM417="","",AM417*SFAssumptions!$C$3)</f>
        <v>2980.441413</v>
      </c>
      <c r="AO417" s="693">
        <f t="shared" si="218"/>
        <v>2.7</v>
      </c>
      <c r="AP417" s="693">
        <f t="shared" si="219"/>
        <v>3</v>
      </c>
      <c r="AQ417" s="692">
        <f ca="1">IF(AL417="","",AL417*SFAssumptions!$C$8/'SavingsData&amp;Analysis'!AF417)</f>
        <v>323.20266930656925</v>
      </c>
      <c r="AR417" s="692">
        <f ca="1">IF(OR(AN417="",AF417=""),"",AN417*SFAssumptions!$C$8/AF417)</f>
        <v>2617.941621383211</v>
      </c>
      <c r="AS417" s="190" t="str">
        <f>IF(OR(AG417="",AH417=""),"No",IF(AND(G417="Horizontal",AH417&gt;='Eff. Standards &amp; Certifications'!$B$21,AG417&lt;='Eff. Standards &amp; Certifications'!$C$21),"Consider",IF(AND(G417="Vertical",AH417&gt;='Eff. Standards &amp; Certifications'!$B$20,AG417&lt;='Eff. Standards &amp; Certifications'!$C$20),"Consider","No")))</f>
        <v>Consider</v>
      </c>
      <c r="AT417" s="190" t="str">
        <f t="shared" si="204"/>
        <v>Residential</v>
      </c>
      <c r="AU417" s="190"/>
      <c r="AV417" s="190" t="str">
        <f t="shared" si="199"/>
        <v>NO</v>
      </c>
      <c r="AW417" s="190" t="str">
        <f t="shared" si="199"/>
        <v>YES</v>
      </c>
      <c r="AX417" s="190" t="str">
        <f t="shared" si="220"/>
        <v>YES</v>
      </c>
      <c r="AY417" s="190" t="str">
        <f t="shared" si="205"/>
        <v>NO</v>
      </c>
      <c r="AZ417" s="190" t="str">
        <f t="shared" si="205"/>
        <v>NO</v>
      </c>
      <c r="BA417" s="190" t="str">
        <f t="shared" si="221"/>
        <v>NO</v>
      </c>
      <c r="BB417" s="190" t="str">
        <f t="shared" si="206"/>
        <v>NO</v>
      </c>
      <c r="BC417" s="190" t="str">
        <f t="shared" si="207"/>
        <v>YES</v>
      </c>
      <c r="BD417" s="190" t="str">
        <f t="shared" si="222"/>
        <v>YES</v>
      </c>
      <c r="BE417" s="190" t="str">
        <f t="shared" si="208"/>
        <v>YES</v>
      </c>
      <c r="BF417" s="190" t="str">
        <f t="shared" si="209"/>
        <v>NO</v>
      </c>
      <c r="BG417" s="190" t="str">
        <f t="shared" si="210"/>
        <v>NO</v>
      </c>
      <c r="BH417" s="88"/>
      <c r="BI417" s="9"/>
      <c r="BJ417" s="694" t="str">
        <f t="shared" si="200"/>
        <v/>
      </c>
      <c r="BK417" s="694">
        <f t="shared" si="200"/>
        <v>2.5701999999999998</v>
      </c>
      <c r="BL417" s="694" t="str">
        <f t="shared" si="201"/>
        <v/>
      </c>
      <c r="BM417" s="694">
        <f t="shared" si="201"/>
        <v>2.8825400000000001</v>
      </c>
      <c r="BN417" s="88"/>
      <c r="BO417" s="195"/>
      <c r="BP417" s="195"/>
      <c r="BQ417" s="195"/>
      <c r="BR417" s="195"/>
      <c r="BS417" s="195"/>
      <c r="BT417" s="195"/>
      <c r="BU417" s="195"/>
      <c r="BV417" s="195"/>
      <c r="BW417" s="195"/>
      <c r="BX417" s="195"/>
    </row>
    <row r="418" spans="1:76" s="124" customFormat="1" ht="15">
      <c r="A418" s="187">
        <v>3121</v>
      </c>
      <c r="B418" s="187" t="s">
        <v>625</v>
      </c>
      <c r="C418" s="187" t="s">
        <v>625</v>
      </c>
      <c r="D418" s="187" t="s">
        <v>763</v>
      </c>
      <c r="E418" s="187" t="s">
        <v>385</v>
      </c>
      <c r="F418" s="187" t="s">
        <v>386</v>
      </c>
      <c r="G418" s="187" t="s">
        <v>387</v>
      </c>
      <c r="H418" s="187" t="b">
        <v>0</v>
      </c>
      <c r="I418" s="187" t="s">
        <v>388</v>
      </c>
      <c r="J418" s="187" t="s">
        <v>389</v>
      </c>
      <c r="K418" s="187" t="b">
        <v>1</v>
      </c>
      <c r="L418" s="187">
        <v>3</v>
      </c>
      <c r="M418" s="187">
        <v>0.43</v>
      </c>
      <c r="N418" s="187">
        <v>13.4</v>
      </c>
      <c r="O418" s="187">
        <v>4.5</v>
      </c>
      <c r="P418" s="187">
        <v>6.92</v>
      </c>
      <c r="Q418" s="187"/>
      <c r="R418" s="187"/>
      <c r="S418" s="187"/>
      <c r="T418" s="187"/>
      <c r="U418" s="187">
        <v>38.200000000000003</v>
      </c>
      <c r="V418" s="187">
        <v>2.2400000000000002</v>
      </c>
      <c r="W418" s="188">
        <v>39371</v>
      </c>
      <c r="X418" s="691">
        <f t="shared" si="195"/>
        <v>1.8751800000000001</v>
      </c>
      <c r="Y418" s="691">
        <f t="shared" si="203"/>
        <v>4.7261000000000006</v>
      </c>
      <c r="Z418" s="189"/>
      <c r="AA418" s="190">
        <f t="shared" si="211"/>
        <v>2007</v>
      </c>
      <c r="AB418" s="191">
        <f t="shared" si="212"/>
        <v>1.5998464147441844</v>
      </c>
      <c r="AC418" s="192">
        <f>IF(AB418="","",AB418*SFAssumptions!$C$3)</f>
        <v>410.70185262214824</v>
      </c>
      <c r="AD418" s="193">
        <f t="shared" si="213"/>
        <v>14.178300000000002</v>
      </c>
      <c r="AE418" s="194">
        <f>IF(AD418="","",AD418*SFAssumptions!$C$3)</f>
        <v>3639.7581813900006</v>
      </c>
      <c r="AF418" s="192">
        <f t="shared" si="202"/>
        <v>3</v>
      </c>
      <c r="AG418" s="192">
        <f t="shared" si="214"/>
        <v>4.7261000000000006</v>
      </c>
      <c r="AH418" s="192">
        <f t="shared" si="215"/>
        <v>1.8751800000000001</v>
      </c>
      <c r="AI418" s="692">
        <f ca="1">IF(AC418="","",AC418*SFAssumptions!$C$8/'SavingsData&amp;Analysis'!AF418)</f>
        <v>517.07463172586506</v>
      </c>
      <c r="AJ418" s="692">
        <f ca="1">IF(OR(AE418="",AF418=""),"",AE418*SFAssumptions!$C$8/AF418)</f>
        <v>4582.464406229331</v>
      </c>
      <c r="AK418" s="191">
        <f t="shared" si="216"/>
        <v>1.3392857142857142</v>
      </c>
      <c r="AL418" s="692">
        <f>IF(AK418="","",AK418*SFAssumptions!$C$3)</f>
        <v>343.81245535714282</v>
      </c>
      <c r="AM418" s="193">
        <f t="shared" si="217"/>
        <v>13.5</v>
      </c>
      <c r="AN418" s="194">
        <f>IF(AM418="","",AM418*SFAssumptions!$C$3)</f>
        <v>3465.6295500000001</v>
      </c>
      <c r="AO418" s="693">
        <f t="shared" si="218"/>
        <v>4.5</v>
      </c>
      <c r="AP418" s="693">
        <f t="shared" si="219"/>
        <v>2.2400000000000002</v>
      </c>
      <c r="AQ418" s="692">
        <f ca="1">IF(AL418="","",AL418*SFAssumptions!$C$8/'SavingsData&amp;Analysis'!AF418)</f>
        <v>432.86071782129801</v>
      </c>
      <c r="AR418" s="692">
        <f ca="1">IF(OR(AN418="",AF418=""),"",AN418*SFAssumptions!$C$8/AF418)</f>
        <v>4363.2360356386844</v>
      </c>
      <c r="AS418" s="190" t="str">
        <f>IF(OR(AG418="",AH418=""),"No",IF(AND(G418="Horizontal",AH418&gt;='Eff. Standards &amp; Certifications'!$B$21,AG418&lt;='Eff. Standards &amp; Certifications'!$C$21),"Consider",IF(AND(G418="Vertical",AH418&gt;='Eff. Standards &amp; Certifications'!$B$20,AG418&lt;='Eff. Standards &amp; Certifications'!$C$20),"Consider","No")))</f>
        <v>No</v>
      </c>
      <c r="AT418" s="190" t="str">
        <f t="shared" si="204"/>
        <v>Residential</v>
      </c>
      <c r="AU418" s="190"/>
      <c r="AV418" s="190" t="str">
        <f t="shared" si="199"/>
        <v>NO</v>
      </c>
      <c r="AW418" s="190" t="str">
        <f t="shared" si="199"/>
        <v>NO</v>
      </c>
      <c r="AX418" s="190" t="str">
        <f t="shared" si="220"/>
        <v>NO</v>
      </c>
      <c r="AY418" s="190" t="str">
        <f t="shared" si="205"/>
        <v>NO</v>
      </c>
      <c r="AZ418" s="190" t="str">
        <f t="shared" si="205"/>
        <v>NO</v>
      </c>
      <c r="BA418" s="190" t="str">
        <f t="shared" si="221"/>
        <v>NO</v>
      </c>
      <c r="BB418" s="190" t="str">
        <f t="shared" si="206"/>
        <v>NO</v>
      </c>
      <c r="BC418" s="190" t="str">
        <f t="shared" si="207"/>
        <v>NO</v>
      </c>
      <c r="BD418" s="190" t="str">
        <f t="shared" si="222"/>
        <v>NO</v>
      </c>
      <c r="BE418" s="190" t="str">
        <f t="shared" si="208"/>
        <v>NO</v>
      </c>
      <c r="BF418" s="190" t="str">
        <f t="shared" si="209"/>
        <v>NO</v>
      </c>
      <c r="BG418" s="190" t="str">
        <f t="shared" si="210"/>
        <v>NO</v>
      </c>
      <c r="BH418" s="88"/>
      <c r="BI418" s="9"/>
      <c r="BJ418" s="694" t="str">
        <f t="shared" si="200"/>
        <v/>
      </c>
      <c r="BK418" s="694" t="str">
        <f t="shared" si="200"/>
        <v/>
      </c>
      <c r="BL418" s="694" t="str">
        <f t="shared" si="201"/>
        <v/>
      </c>
      <c r="BM418" s="694" t="str">
        <f t="shared" si="201"/>
        <v/>
      </c>
      <c r="BN418" s="88"/>
      <c r="BO418" s="195"/>
      <c r="BP418" s="195"/>
      <c r="BQ418" s="195"/>
      <c r="BR418" s="195"/>
      <c r="BS418" s="195"/>
      <c r="BT418" s="195"/>
      <c r="BU418" s="195"/>
      <c r="BV418" s="195"/>
      <c r="BW418" s="195"/>
      <c r="BX418" s="195"/>
    </row>
    <row r="419" spans="1:76" s="124" customFormat="1" ht="15">
      <c r="A419" s="187">
        <v>3122</v>
      </c>
      <c r="B419" s="187" t="s">
        <v>625</v>
      </c>
      <c r="C419" s="187" t="s">
        <v>625</v>
      </c>
      <c r="D419" s="187" t="s">
        <v>764</v>
      </c>
      <c r="E419" s="187" t="s">
        <v>385</v>
      </c>
      <c r="F419" s="187" t="s">
        <v>386</v>
      </c>
      <c r="G419" s="187" t="s">
        <v>387</v>
      </c>
      <c r="H419" s="187" t="b">
        <v>0</v>
      </c>
      <c r="I419" s="187" t="s">
        <v>388</v>
      </c>
      <c r="J419" s="187" t="s">
        <v>389</v>
      </c>
      <c r="K419" s="187" t="b">
        <v>1</v>
      </c>
      <c r="L419" s="187">
        <v>2.9</v>
      </c>
      <c r="M419" s="187">
        <v>0.43</v>
      </c>
      <c r="N419" s="187">
        <v>14.09</v>
      </c>
      <c r="O419" s="187">
        <v>4.9000000000000004</v>
      </c>
      <c r="P419" s="187">
        <v>6.72</v>
      </c>
      <c r="Q419" s="187"/>
      <c r="R419" s="187"/>
      <c r="S419" s="187"/>
      <c r="T419" s="187"/>
      <c r="U419" s="187">
        <v>41.4</v>
      </c>
      <c r="V419" s="187">
        <v>2.08</v>
      </c>
      <c r="W419" s="188">
        <v>39371</v>
      </c>
      <c r="X419" s="691">
        <f t="shared" si="195"/>
        <v>1.7288600000000001</v>
      </c>
      <c r="Y419" s="691">
        <f t="shared" si="203"/>
        <v>5.1357800000000005</v>
      </c>
      <c r="Z419" s="189"/>
      <c r="AA419" s="190">
        <f t="shared" si="211"/>
        <v>2007</v>
      </c>
      <c r="AB419" s="191">
        <f t="shared" si="212"/>
        <v>1.677405920664484</v>
      </c>
      <c r="AC419" s="192">
        <f>IF(AB419="","",AB419*SFAssumptions!$C$3)</f>
        <v>430.61240933331788</v>
      </c>
      <c r="AD419" s="193">
        <f t="shared" si="213"/>
        <v>14.893762000000001</v>
      </c>
      <c r="AE419" s="194">
        <f>IF(AD419="","",AD419*SFAssumptions!$C$3)</f>
        <v>3823.4267924346004</v>
      </c>
      <c r="AF419" s="192">
        <f t="shared" si="202"/>
        <v>2.9</v>
      </c>
      <c r="AG419" s="192">
        <f t="shared" si="214"/>
        <v>5.1357800000000005</v>
      </c>
      <c r="AH419" s="192">
        <f t="shared" si="215"/>
        <v>1.7288600000000001</v>
      </c>
      <c r="AI419" s="692">
        <f ca="1">IF(AC419="","",AC419*SFAssumptions!$C$8/'SavingsData&amp;Analysis'!AF419)</f>
        <v>560.83662524421163</v>
      </c>
      <c r="AJ419" s="692">
        <f ca="1">IF(OR(AE419="",AF419=""),"",AE419*SFAssumptions!$C$8/AF419)</f>
        <v>4979.6934149138769</v>
      </c>
      <c r="AK419" s="191">
        <f t="shared" si="216"/>
        <v>1.3942307692307692</v>
      </c>
      <c r="AL419" s="692">
        <f>IF(AK419="","",AK419*SFAssumptions!$C$3)</f>
        <v>357.9175817307692</v>
      </c>
      <c r="AM419" s="193">
        <f t="shared" si="217"/>
        <v>14.21</v>
      </c>
      <c r="AN419" s="194">
        <f>IF(AM419="","",AM419*SFAssumptions!$C$3)</f>
        <v>3647.8959930000001</v>
      </c>
      <c r="AO419" s="693">
        <f t="shared" si="218"/>
        <v>4.9000000000000004</v>
      </c>
      <c r="AP419" s="693">
        <f t="shared" si="219"/>
        <v>2.08</v>
      </c>
      <c r="AQ419" s="692">
        <f ca="1">IF(AL419="","",AL419*SFAssumptions!$C$8/'SavingsData&amp;Analysis'!AF419)</f>
        <v>466.15769611524405</v>
      </c>
      <c r="AR419" s="692">
        <f ca="1">IF(OR(AN419="",AF419=""),"",AN419*SFAssumptions!$C$8/AF419)</f>
        <v>4751.0792388065674</v>
      </c>
      <c r="AS419" s="190" t="str">
        <f>IF(OR(AG419="",AH419=""),"No",IF(AND(G419="Horizontal",AH419&gt;='Eff. Standards &amp; Certifications'!$B$21,AG419&lt;='Eff. Standards &amp; Certifications'!$C$21),"Consider",IF(AND(G419="Vertical",AH419&gt;='Eff. Standards &amp; Certifications'!$B$20,AG419&lt;='Eff. Standards &amp; Certifications'!$C$20),"Consider","No")))</f>
        <v>No</v>
      </c>
      <c r="AT419" s="190" t="str">
        <f t="shared" si="204"/>
        <v>Residential</v>
      </c>
      <c r="AU419" s="190"/>
      <c r="AV419" s="190" t="str">
        <f t="shared" si="199"/>
        <v>NO</v>
      </c>
      <c r="AW419" s="190" t="str">
        <f t="shared" si="199"/>
        <v>NO</v>
      </c>
      <c r="AX419" s="190" t="str">
        <f t="shared" si="220"/>
        <v>NO</v>
      </c>
      <c r="AY419" s="190" t="str">
        <f t="shared" si="205"/>
        <v>NO</v>
      </c>
      <c r="AZ419" s="190" t="str">
        <f t="shared" si="205"/>
        <v>NO</v>
      </c>
      <c r="BA419" s="190" t="str">
        <f t="shared" si="221"/>
        <v>NO</v>
      </c>
      <c r="BB419" s="190" t="str">
        <f t="shared" si="206"/>
        <v>NO</v>
      </c>
      <c r="BC419" s="190" t="str">
        <f t="shared" si="207"/>
        <v>NO</v>
      </c>
      <c r="BD419" s="190" t="str">
        <f t="shared" si="222"/>
        <v>NO</v>
      </c>
      <c r="BE419" s="190" t="str">
        <f t="shared" si="208"/>
        <v>NO</v>
      </c>
      <c r="BF419" s="190" t="str">
        <f t="shared" si="209"/>
        <v>NO</v>
      </c>
      <c r="BG419" s="190" t="str">
        <f t="shared" si="210"/>
        <v>NO</v>
      </c>
      <c r="BH419" s="88"/>
      <c r="BI419" s="9"/>
      <c r="BJ419" s="694" t="str">
        <f t="shared" si="200"/>
        <v/>
      </c>
      <c r="BK419" s="694" t="str">
        <f t="shared" si="200"/>
        <v/>
      </c>
      <c r="BL419" s="694" t="str">
        <f t="shared" si="201"/>
        <v/>
      </c>
      <c r="BM419" s="694" t="str">
        <f t="shared" si="201"/>
        <v/>
      </c>
      <c r="BN419" s="88"/>
      <c r="BO419" s="195"/>
      <c r="BP419" s="195"/>
      <c r="BQ419" s="195"/>
      <c r="BR419" s="195"/>
      <c r="BS419" s="195"/>
      <c r="BT419" s="195"/>
      <c r="BU419" s="195"/>
      <c r="BV419" s="195"/>
      <c r="BW419" s="195"/>
      <c r="BX419" s="195"/>
    </row>
    <row r="420" spans="1:76" s="124" customFormat="1" ht="15">
      <c r="A420" s="187">
        <v>3123</v>
      </c>
      <c r="B420" s="187" t="s">
        <v>625</v>
      </c>
      <c r="C420" s="187" t="s">
        <v>625</v>
      </c>
      <c r="D420" s="187" t="s">
        <v>765</v>
      </c>
      <c r="E420" s="187" t="s">
        <v>385</v>
      </c>
      <c r="F420" s="187" t="s">
        <v>386</v>
      </c>
      <c r="G420" s="187" t="s">
        <v>387</v>
      </c>
      <c r="H420" s="187" t="b">
        <v>0</v>
      </c>
      <c r="I420" s="187" t="s">
        <v>388</v>
      </c>
      <c r="J420" s="187" t="s">
        <v>389</v>
      </c>
      <c r="K420" s="187" t="b">
        <v>1</v>
      </c>
      <c r="L420" s="187">
        <v>3.3</v>
      </c>
      <c r="M420" s="187">
        <v>0.4</v>
      </c>
      <c r="N420" s="187">
        <v>12.91</v>
      </c>
      <c r="O420" s="187">
        <v>4</v>
      </c>
      <c r="P420" s="187">
        <v>8.19</v>
      </c>
      <c r="Q420" s="187"/>
      <c r="R420" s="187"/>
      <c r="S420" s="187"/>
      <c r="T420" s="187"/>
      <c r="U420" s="187">
        <v>36.4</v>
      </c>
      <c r="V420" s="187">
        <v>2.44</v>
      </c>
      <c r="W420" s="188">
        <v>39371</v>
      </c>
      <c r="X420" s="691">
        <f t="shared" si="195"/>
        <v>2.0580799999999995</v>
      </c>
      <c r="Y420" s="691">
        <f t="shared" si="203"/>
        <v>4.2140000000000004</v>
      </c>
      <c r="Z420" s="189"/>
      <c r="AA420" s="190">
        <f t="shared" si="211"/>
        <v>2007</v>
      </c>
      <c r="AB420" s="191">
        <f t="shared" si="212"/>
        <v>1.6034362123921329</v>
      </c>
      <c r="AC420" s="192">
        <f>IF(AB420="","",AB420*SFAssumptions!$C$3)</f>
        <v>411.62340142268533</v>
      </c>
      <c r="AD420" s="193">
        <f t="shared" si="213"/>
        <v>13.9062</v>
      </c>
      <c r="AE420" s="194">
        <f>IF(AD420="","",AD420*SFAssumptions!$C$3)</f>
        <v>3569.9064924600002</v>
      </c>
      <c r="AF420" s="192">
        <f t="shared" si="202"/>
        <v>3.3</v>
      </c>
      <c r="AG420" s="192">
        <f t="shared" si="214"/>
        <v>4.2140000000000004</v>
      </c>
      <c r="AH420" s="192">
        <f t="shared" si="215"/>
        <v>2.0580799999999995</v>
      </c>
      <c r="AI420" s="692">
        <f ca="1">IF(AC420="","",AC420*SFAssumptions!$C$8/'SavingsData&amp;Analysis'!AF420)</f>
        <v>471.12260355268404</v>
      </c>
      <c r="AJ420" s="692">
        <f ca="1">IF(OR(AE420="",AF420=""),"",AE420*SFAssumptions!$C$8/AF420)</f>
        <v>4085.9281453736485</v>
      </c>
      <c r="AK420" s="191">
        <f t="shared" si="216"/>
        <v>1.3524590163934427</v>
      </c>
      <c r="AL420" s="692">
        <f>IF(AK420="","",AK420*SFAssumptions!$C$3)</f>
        <v>347.19421721311477</v>
      </c>
      <c r="AM420" s="193">
        <f t="shared" si="217"/>
        <v>13.2</v>
      </c>
      <c r="AN420" s="194">
        <f>IF(AM420="","",AM420*SFAssumptions!$C$3)</f>
        <v>3388.6155599999997</v>
      </c>
      <c r="AO420" s="693">
        <f t="shared" si="218"/>
        <v>4</v>
      </c>
      <c r="AP420" s="693">
        <f t="shared" si="219"/>
        <v>2.44</v>
      </c>
      <c r="AQ420" s="692">
        <f ca="1">IF(AL420="","",AL420*SFAssumptions!$C$8/'SavingsData&amp;Analysis'!AF420)</f>
        <v>397.38033111463432</v>
      </c>
      <c r="AR420" s="692">
        <f ca="1">IF(OR(AN420="",AF420=""),"",AN420*SFAssumptions!$C$8/AF420)</f>
        <v>3878.4320316788308</v>
      </c>
      <c r="AS420" s="190" t="str">
        <f>IF(OR(AG420="",AH420=""),"No",IF(AND(G420="Horizontal",AH420&gt;='Eff. Standards &amp; Certifications'!$B$21,AG420&lt;='Eff. Standards &amp; Certifications'!$C$21),"Consider",IF(AND(G420="Vertical",AH420&gt;='Eff. Standards &amp; Certifications'!$B$20,AG420&lt;='Eff. Standards &amp; Certifications'!$C$20),"Consider","No")))</f>
        <v>Consider</v>
      </c>
      <c r="AT420" s="190" t="str">
        <f t="shared" si="204"/>
        <v>Residential</v>
      </c>
      <c r="AU420" s="190"/>
      <c r="AV420" s="190" t="str">
        <f t="shared" si="199"/>
        <v>NO</v>
      </c>
      <c r="AW420" s="190" t="str">
        <f t="shared" si="199"/>
        <v>YES</v>
      </c>
      <c r="AX420" s="190" t="str">
        <f t="shared" si="220"/>
        <v>YES</v>
      </c>
      <c r="AY420" s="190" t="str">
        <f t="shared" si="205"/>
        <v>NO</v>
      </c>
      <c r="AZ420" s="190" t="str">
        <f t="shared" si="205"/>
        <v>YES</v>
      </c>
      <c r="BA420" s="190" t="str">
        <f t="shared" si="221"/>
        <v>YES</v>
      </c>
      <c r="BB420" s="190" t="str">
        <f t="shared" si="206"/>
        <v>NO</v>
      </c>
      <c r="BC420" s="190" t="str">
        <f t="shared" si="207"/>
        <v>NO</v>
      </c>
      <c r="BD420" s="190" t="str">
        <f t="shared" si="222"/>
        <v>NO</v>
      </c>
      <c r="BE420" s="190" t="str">
        <f t="shared" si="208"/>
        <v>NO</v>
      </c>
      <c r="BF420" s="190" t="str">
        <f t="shared" si="209"/>
        <v>NO</v>
      </c>
      <c r="BG420" s="190" t="str">
        <f t="shared" si="210"/>
        <v>NO</v>
      </c>
      <c r="BH420" s="88"/>
      <c r="BI420" s="9"/>
      <c r="BJ420" s="694" t="str">
        <f t="shared" si="200"/>
        <v/>
      </c>
      <c r="BK420" s="694">
        <f t="shared" si="200"/>
        <v>2.0580799999999995</v>
      </c>
      <c r="BL420" s="694" t="str">
        <f t="shared" si="201"/>
        <v/>
      </c>
      <c r="BM420" s="694">
        <f t="shared" si="201"/>
        <v>4.2140000000000004</v>
      </c>
      <c r="BN420" s="88"/>
      <c r="BO420" s="195"/>
      <c r="BP420" s="195"/>
      <c r="BQ420" s="195"/>
      <c r="BR420" s="195"/>
      <c r="BS420" s="195"/>
      <c r="BT420" s="195"/>
      <c r="BU420" s="195"/>
      <c r="BV420" s="195"/>
      <c r="BW420" s="195"/>
      <c r="BX420" s="195"/>
    </row>
    <row r="421" spans="1:76" s="124" customFormat="1" ht="15">
      <c r="A421" s="187">
        <v>3124</v>
      </c>
      <c r="B421" s="187" t="s">
        <v>625</v>
      </c>
      <c r="C421" s="187" t="s">
        <v>625</v>
      </c>
      <c r="D421" s="187" t="s">
        <v>766</v>
      </c>
      <c r="E421" s="187" t="s">
        <v>385</v>
      </c>
      <c r="F421" s="187" t="s">
        <v>386</v>
      </c>
      <c r="G421" s="187" t="s">
        <v>387</v>
      </c>
      <c r="H421" s="187" t="b">
        <v>0</v>
      </c>
      <c r="I421" s="187" t="s">
        <v>388</v>
      </c>
      <c r="J421" s="187" t="s">
        <v>389</v>
      </c>
      <c r="K421" s="187" t="b">
        <v>1</v>
      </c>
      <c r="L421" s="187">
        <v>3.1</v>
      </c>
      <c r="M421" s="187">
        <v>0.48</v>
      </c>
      <c r="N421" s="187">
        <v>15.7</v>
      </c>
      <c r="O421" s="187">
        <v>5.0999999999999996</v>
      </c>
      <c r="P421" s="187">
        <v>6.42</v>
      </c>
      <c r="Q421" s="187"/>
      <c r="R421" s="187"/>
      <c r="S421" s="187"/>
      <c r="T421" s="187"/>
      <c r="U421" s="187">
        <v>41.3</v>
      </c>
      <c r="V421" s="187">
        <v>2.02</v>
      </c>
      <c r="W421" s="188">
        <v>39371</v>
      </c>
      <c r="X421" s="691">
        <f t="shared" si="195"/>
        <v>1.6739899999999999</v>
      </c>
      <c r="Y421" s="691">
        <f t="shared" si="203"/>
        <v>5.3406200000000004</v>
      </c>
      <c r="Z421" s="189"/>
      <c r="AA421" s="190">
        <f t="shared" si="211"/>
        <v>2007</v>
      </c>
      <c r="AB421" s="191">
        <f t="shared" si="212"/>
        <v>1.8518629143543273</v>
      </c>
      <c r="AC421" s="192">
        <f>IF(AB421="","",AB421*SFAssumptions!$C$3)</f>
        <v>475.39783989151675</v>
      </c>
      <c r="AD421" s="193">
        <f t="shared" si="213"/>
        <v>16.555922000000002</v>
      </c>
      <c r="AE421" s="194">
        <f>IF(AD421="","",AD421*SFAssumptions!$C$3)</f>
        <v>4250.1253711626005</v>
      </c>
      <c r="AF421" s="192">
        <f t="shared" si="202"/>
        <v>3.1</v>
      </c>
      <c r="AG421" s="192">
        <f t="shared" si="214"/>
        <v>5.3406200000000004</v>
      </c>
      <c r="AH421" s="192">
        <f t="shared" si="215"/>
        <v>1.6739899999999999</v>
      </c>
      <c r="AI421" s="692">
        <f ca="1">IF(AC421="","",AC421*SFAssumptions!$C$8/'SavingsData&amp;Analysis'!AF421)</f>
        <v>579.21971333144631</v>
      </c>
      <c r="AJ421" s="692">
        <f ca="1">IF(OR(AE421="",AF421=""),"",AE421*SFAssumptions!$C$8/AF421)</f>
        <v>5178.307919256149</v>
      </c>
      <c r="AK421" s="191">
        <f t="shared" si="216"/>
        <v>1.5346534653465347</v>
      </c>
      <c r="AL421" s="692">
        <f>IF(AK421="","",AK421*SFAssumptions!$C$3)</f>
        <v>393.96595544554458</v>
      </c>
      <c r="AM421" s="193">
        <f t="shared" si="217"/>
        <v>15.809999999999999</v>
      </c>
      <c r="AN421" s="194">
        <f>IF(AM421="","",AM421*SFAssumptions!$C$3)</f>
        <v>4058.6372729999998</v>
      </c>
      <c r="AO421" s="693">
        <f t="shared" si="218"/>
        <v>5.0999999999999996</v>
      </c>
      <c r="AP421" s="693">
        <f t="shared" si="219"/>
        <v>2.02</v>
      </c>
      <c r="AQ421" s="692">
        <f ca="1">IF(AL421="","",AL421*SFAssumptions!$C$8/'SavingsData&amp;Analysis'!AF421)</f>
        <v>480.00396431668702</v>
      </c>
      <c r="AR421" s="692">
        <f ca="1">IF(OR(AN421="",AF421=""),"",AN421*SFAssumptions!$C$8/AF421)</f>
        <v>4945.0008403905085</v>
      </c>
      <c r="AS421" s="190" t="str">
        <f>IF(OR(AG421="",AH421=""),"No",IF(AND(G421="Horizontal",AH421&gt;='Eff. Standards &amp; Certifications'!$B$21,AG421&lt;='Eff. Standards &amp; Certifications'!$C$21),"Consider",IF(AND(G421="Vertical",AH421&gt;='Eff. Standards &amp; Certifications'!$B$20,AG421&lt;='Eff. Standards &amp; Certifications'!$C$20),"Consider","No")))</f>
        <v>No</v>
      </c>
      <c r="AT421" s="190" t="str">
        <f t="shared" si="204"/>
        <v>Residential</v>
      </c>
      <c r="AU421" s="190"/>
      <c r="AV421" s="190" t="str">
        <f t="shared" si="199"/>
        <v>NO</v>
      </c>
      <c r="AW421" s="190" t="str">
        <f t="shared" si="199"/>
        <v>NO</v>
      </c>
      <c r="AX421" s="190" t="str">
        <f t="shared" si="220"/>
        <v>NO</v>
      </c>
      <c r="AY421" s="190" t="str">
        <f t="shared" si="205"/>
        <v>NO</v>
      </c>
      <c r="AZ421" s="190" t="str">
        <f t="shared" si="205"/>
        <v>NO</v>
      </c>
      <c r="BA421" s="190" t="str">
        <f t="shared" si="221"/>
        <v>NO</v>
      </c>
      <c r="BB421" s="190" t="str">
        <f t="shared" si="206"/>
        <v>NO</v>
      </c>
      <c r="BC421" s="190" t="str">
        <f t="shared" si="207"/>
        <v>NO</v>
      </c>
      <c r="BD421" s="190" t="str">
        <f t="shared" si="222"/>
        <v>NO</v>
      </c>
      <c r="BE421" s="190" t="str">
        <f t="shared" si="208"/>
        <v>NO</v>
      </c>
      <c r="BF421" s="190" t="str">
        <f t="shared" si="209"/>
        <v>NO</v>
      </c>
      <c r="BG421" s="190" t="str">
        <f t="shared" si="210"/>
        <v>NO</v>
      </c>
      <c r="BH421" s="88"/>
      <c r="BI421" s="9"/>
      <c r="BJ421" s="694" t="str">
        <f t="shared" si="200"/>
        <v/>
      </c>
      <c r="BK421" s="694" t="str">
        <f t="shared" si="200"/>
        <v/>
      </c>
      <c r="BL421" s="694" t="str">
        <f t="shared" si="201"/>
        <v/>
      </c>
      <c r="BM421" s="694" t="str">
        <f t="shared" si="201"/>
        <v/>
      </c>
      <c r="BN421" s="88"/>
      <c r="BO421" s="195"/>
      <c r="BP421" s="195"/>
      <c r="BQ421" s="195"/>
      <c r="BR421" s="195"/>
      <c r="BS421" s="195"/>
      <c r="BT421" s="195"/>
      <c r="BU421" s="195"/>
      <c r="BV421" s="195"/>
      <c r="BW421" s="195"/>
      <c r="BX421" s="195"/>
    </row>
    <row r="422" spans="1:76" s="124" customFormat="1" ht="15">
      <c r="A422" s="187">
        <v>3126</v>
      </c>
      <c r="B422" s="187" t="s">
        <v>625</v>
      </c>
      <c r="C422" s="187" t="s">
        <v>625</v>
      </c>
      <c r="D422" s="187" t="s">
        <v>767</v>
      </c>
      <c r="E422" s="187" t="s">
        <v>385</v>
      </c>
      <c r="F422" s="187" t="s">
        <v>386</v>
      </c>
      <c r="G422" s="187" t="s">
        <v>387</v>
      </c>
      <c r="H422" s="187" t="b">
        <v>0</v>
      </c>
      <c r="I422" s="187" t="s">
        <v>388</v>
      </c>
      <c r="J422" s="187" t="s">
        <v>389</v>
      </c>
      <c r="K422" s="187" t="b">
        <v>1</v>
      </c>
      <c r="L422" s="187">
        <v>3.1</v>
      </c>
      <c r="M422" s="187">
        <v>0.39</v>
      </c>
      <c r="N422" s="187">
        <v>13.49</v>
      </c>
      <c r="O422" s="187">
        <v>4.4000000000000004</v>
      </c>
      <c r="P422" s="187">
        <v>8.01</v>
      </c>
      <c r="Q422" s="187"/>
      <c r="R422" s="187"/>
      <c r="S422" s="187"/>
      <c r="T422" s="187"/>
      <c r="U422" s="187">
        <v>38.9</v>
      </c>
      <c r="V422" s="187">
        <v>2.2599999999999998</v>
      </c>
      <c r="W422" s="188">
        <v>39371</v>
      </c>
      <c r="X422" s="691">
        <f t="shared" si="195"/>
        <v>1.8934699999999995</v>
      </c>
      <c r="Y422" s="691">
        <f t="shared" si="203"/>
        <v>4.6236800000000011</v>
      </c>
      <c r="Z422" s="189"/>
      <c r="AA422" s="190">
        <f t="shared" si="211"/>
        <v>2007</v>
      </c>
      <c r="AB422" s="191">
        <f t="shared" si="212"/>
        <v>1.637205765076817</v>
      </c>
      <c r="AC422" s="192">
        <f>IF(AB422="","",AB422*SFAssumptions!$C$3)</f>
        <v>420.29249473189446</v>
      </c>
      <c r="AD422" s="193">
        <f t="shared" si="213"/>
        <v>14.333408000000004</v>
      </c>
      <c r="AE422" s="194">
        <f>IF(AD422="","",AD422*SFAssumptions!$C$3)</f>
        <v>3679.5764679264012</v>
      </c>
      <c r="AF422" s="192">
        <f t="shared" si="202"/>
        <v>3.1</v>
      </c>
      <c r="AG422" s="192">
        <f t="shared" si="214"/>
        <v>4.6236800000000011</v>
      </c>
      <c r="AH422" s="192">
        <f t="shared" si="215"/>
        <v>1.8934699999999995</v>
      </c>
      <c r="AI422" s="692">
        <f ca="1">IF(AC422="","",AC422*SFAssumptions!$C$8/'SavingsData&amp;Analysis'!AF422)</f>
        <v>512.07994207444949</v>
      </c>
      <c r="AJ422" s="692">
        <f ca="1">IF(OR(AE422="",AF422=""),"",AE422*SFAssumptions!$C$8/AF422)</f>
        <v>4483.1571540581954</v>
      </c>
      <c r="AK422" s="191">
        <f t="shared" si="216"/>
        <v>1.3716814159292037</v>
      </c>
      <c r="AL422" s="692">
        <f>IF(AK422="","",AK422*SFAssumptions!$C$3)</f>
        <v>352.12886283185844</v>
      </c>
      <c r="AM422" s="193">
        <f t="shared" si="217"/>
        <v>13.640000000000002</v>
      </c>
      <c r="AN422" s="194">
        <f>IF(AM422="","",AM422*SFAssumptions!$C$3)</f>
        <v>3501.5694120000007</v>
      </c>
      <c r="AO422" s="693">
        <f t="shared" si="218"/>
        <v>4.4000000000000004</v>
      </c>
      <c r="AP422" s="693">
        <f t="shared" si="219"/>
        <v>2.2599999999999998</v>
      </c>
      <c r="AQ422" s="692">
        <f ca="1">IF(AL422="","",AL422*SFAssumptions!$C$8/'SavingsData&amp;Analysis'!AF422)</f>
        <v>429.03009199987065</v>
      </c>
      <c r="AR422" s="692">
        <f ca="1">IF(OR(AN422="",AF422=""),"",AN422*SFAssumptions!$C$8/AF422)</f>
        <v>4266.2752348467147</v>
      </c>
      <c r="AS422" s="190" t="str">
        <f>IF(OR(AG422="",AH422=""),"No",IF(AND(G422="Horizontal",AH422&gt;='Eff. Standards &amp; Certifications'!$B$21,AG422&lt;='Eff. Standards &amp; Certifications'!$C$21),"Consider",IF(AND(G422="Vertical",AH422&gt;='Eff. Standards &amp; Certifications'!$B$20,AG422&lt;='Eff. Standards &amp; Certifications'!$C$20),"Consider","No")))</f>
        <v>Consider</v>
      </c>
      <c r="AT422" s="190" t="str">
        <f t="shared" si="204"/>
        <v>Residential</v>
      </c>
      <c r="AU422" s="190"/>
      <c r="AV422" s="190" t="str">
        <f t="shared" si="199"/>
        <v>NO</v>
      </c>
      <c r="AW422" s="190" t="str">
        <f t="shared" si="199"/>
        <v>YES</v>
      </c>
      <c r="AX422" s="190" t="str">
        <f t="shared" si="220"/>
        <v>YES</v>
      </c>
      <c r="AY422" s="190" t="str">
        <f t="shared" si="205"/>
        <v>NO</v>
      </c>
      <c r="AZ422" s="190" t="str">
        <f t="shared" si="205"/>
        <v>YES</v>
      </c>
      <c r="BA422" s="190" t="str">
        <f t="shared" si="221"/>
        <v>YES</v>
      </c>
      <c r="BB422" s="190" t="str">
        <f t="shared" si="206"/>
        <v>NO</v>
      </c>
      <c r="BC422" s="190" t="str">
        <f t="shared" si="207"/>
        <v>NO</v>
      </c>
      <c r="BD422" s="190" t="str">
        <f t="shared" si="222"/>
        <v>NO</v>
      </c>
      <c r="BE422" s="190" t="str">
        <f t="shared" si="208"/>
        <v>NO</v>
      </c>
      <c r="BF422" s="190" t="str">
        <f t="shared" si="209"/>
        <v>NO</v>
      </c>
      <c r="BG422" s="190" t="str">
        <f t="shared" si="210"/>
        <v>NO</v>
      </c>
      <c r="BH422" s="88"/>
      <c r="BI422" s="9"/>
      <c r="BJ422" s="694" t="str">
        <f t="shared" si="200"/>
        <v/>
      </c>
      <c r="BK422" s="694">
        <f t="shared" si="200"/>
        <v>1.8934699999999995</v>
      </c>
      <c r="BL422" s="694" t="str">
        <f t="shared" si="201"/>
        <v/>
      </c>
      <c r="BM422" s="694">
        <f t="shared" si="201"/>
        <v>4.6236800000000011</v>
      </c>
      <c r="BN422" s="88"/>
      <c r="BO422" s="195"/>
      <c r="BP422" s="195"/>
      <c r="BQ422" s="195"/>
      <c r="BR422" s="195"/>
      <c r="BS422" s="195"/>
      <c r="BT422" s="195"/>
      <c r="BU422" s="195"/>
      <c r="BV422" s="195"/>
      <c r="BW422" s="195"/>
      <c r="BX422" s="195"/>
    </row>
    <row r="423" spans="1:76" s="124" customFormat="1" ht="15">
      <c r="A423" s="187">
        <v>5433</v>
      </c>
      <c r="B423" s="187" t="s">
        <v>625</v>
      </c>
      <c r="C423" s="187" t="s">
        <v>625</v>
      </c>
      <c r="D423" s="187" t="s">
        <v>768</v>
      </c>
      <c r="E423" s="187" t="s">
        <v>385</v>
      </c>
      <c r="F423" s="187" t="s">
        <v>386</v>
      </c>
      <c r="G423" s="187" t="s">
        <v>387</v>
      </c>
      <c r="H423" s="187" t="b">
        <v>0</v>
      </c>
      <c r="I423" s="187" t="s">
        <v>388</v>
      </c>
      <c r="J423" s="187" t="s">
        <v>389</v>
      </c>
      <c r="K423" s="187" t="b">
        <v>1</v>
      </c>
      <c r="L423" s="187">
        <v>4.3</v>
      </c>
      <c r="M423" s="187">
        <v>0.28999999999999998</v>
      </c>
      <c r="N423" s="187">
        <v>11.34</v>
      </c>
      <c r="O423" s="187">
        <v>2.6</v>
      </c>
      <c r="P423" s="187">
        <v>16.13</v>
      </c>
      <c r="Q423" s="187"/>
      <c r="R423" s="187"/>
      <c r="S423" s="187"/>
      <c r="T423" s="187"/>
      <c r="U423" s="187">
        <v>30</v>
      </c>
      <c r="V423" s="187">
        <v>3.32</v>
      </c>
      <c r="W423" s="188">
        <v>41086</v>
      </c>
      <c r="X423" s="691">
        <f t="shared" si="195"/>
        <v>2.8628399999999994</v>
      </c>
      <c r="Y423" s="691">
        <f t="shared" si="203"/>
        <v>2.7801200000000001</v>
      </c>
      <c r="Z423" s="189"/>
      <c r="AA423" s="190">
        <f t="shared" si="211"/>
        <v>2012</v>
      </c>
      <c r="AB423" s="191">
        <f t="shared" si="212"/>
        <v>1.5020050020259605</v>
      </c>
      <c r="AC423" s="192">
        <f>IF(AB423="","",AB423*SFAssumptions!$C$3)</f>
        <v>385.58466068659101</v>
      </c>
      <c r="AD423" s="193">
        <f t="shared" si="213"/>
        <v>11.954516</v>
      </c>
      <c r="AE423" s="194">
        <f>IF(AD423="","",AD423*SFAssumptions!$C$3)</f>
        <v>3068.8832522627999</v>
      </c>
      <c r="AF423" s="192">
        <f t="shared" si="202"/>
        <v>4.3</v>
      </c>
      <c r="AG423" s="192">
        <f t="shared" si="214"/>
        <v>2.7801200000000001</v>
      </c>
      <c r="AH423" s="192">
        <f t="shared" si="215"/>
        <v>2.8628399999999994</v>
      </c>
      <c r="AI423" s="692">
        <f ca="1">IF(AC423="","",AC423*SFAssumptions!$C$8/'SavingsData&amp;Analysis'!AF423)</f>
        <v>338.68745997670419</v>
      </c>
      <c r="AJ423" s="692">
        <f ca="1">IF(OR(AE423="",AF423=""),"",AE423*SFAssumptions!$C$8/AF423)</f>
        <v>2695.6266149777375</v>
      </c>
      <c r="AK423" s="191">
        <f t="shared" si="216"/>
        <v>1.2951807228915664</v>
      </c>
      <c r="AL423" s="692">
        <f>IF(AK423="","",AK423*SFAssumptions!$C$3)</f>
        <v>332.49011746987958</v>
      </c>
      <c r="AM423" s="193">
        <f t="shared" si="217"/>
        <v>11.18</v>
      </c>
      <c r="AN423" s="194">
        <f>IF(AM423="","",AM423*SFAssumptions!$C$3)</f>
        <v>2870.0546939999999</v>
      </c>
      <c r="AO423" s="693">
        <f t="shared" si="218"/>
        <v>2.6</v>
      </c>
      <c r="AP423" s="693">
        <f t="shared" si="219"/>
        <v>3.32</v>
      </c>
      <c r="AQ423" s="692">
        <f ca="1">IF(AL423="","",AL423*SFAssumptions!$C$8/'SavingsData&amp;Analysis'!AF423)</f>
        <v>292.05060479509274</v>
      </c>
      <c r="AR423" s="692">
        <f ca="1">IF(OR(AN423="",AF423=""),"",AN423*SFAssumptions!$C$8/AF423)</f>
        <v>2520.98082059124</v>
      </c>
      <c r="AS423" s="190" t="str">
        <f>IF(OR(AG423="",AH423=""),"No",IF(AND(G423="Horizontal",AH423&gt;='Eff. Standards &amp; Certifications'!$B$21,AG423&lt;='Eff. Standards &amp; Certifications'!$C$21),"Consider",IF(AND(G423="Vertical",AH423&gt;='Eff. Standards &amp; Certifications'!$B$20,AG423&lt;='Eff. Standards &amp; Certifications'!$C$20),"Consider","No")))</f>
        <v>Consider</v>
      </c>
      <c r="AT423" s="190" t="str">
        <f t="shared" si="204"/>
        <v>Residential</v>
      </c>
      <c r="AU423" s="190"/>
      <c r="AV423" s="190" t="str">
        <f t="shared" ref="AV423:AW442" si="223">IF(AND($G423=AV$18,$AS423="Consider",$AT423="Residential",$AH423&gt;=AV$3,$AH423&lt;=AV$4,$AG423&gt;=AV$5,$AG423&lt;=AV$6),"YES","NO")</f>
        <v>NO</v>
      </c>
      <c r="AW423" s="190" t="str">
        <f t="shared" si="223"/>
        <v>YES</v>
      </c>
      <c r="AX423" s="190" t="str">
        <f t="shared" si="220"/>
        <v>YES</v>
      </c>
      <c r="AY423" s="190" t="str">
        <f t="shared" si="205"/>
        <v>NO</v>
      </c>
      <c r="AZ423" s="190" t="str">
        <f t="shared" si="205"/>
        <v>NO</v>
      </c>
      <c r="BA423" s="190" t="str">
        <f t="shared" si="221"/>
        <v>NO</v>
      </c>
      <c r="BB423" s="190" t="str">
        <f t="shared" si="206"/>
        <v>NO</v>
      </c>
      <c r="BC423" s="190" t="str">
        <f t="shared" si="207"/>
        <v>YES</v>
      </c>
      <c r="BD423" s="190" t="str">
        <f t="shared" si="222"/>
        <v>YES</v>
      </c>
      <c r="BE423" s="190" t="str">
        <f t="shared" si="208"/>
        <v>NO</v>
      </c>
      <c r="BF423" s="190" t="str">
        <f t="shared" si="209"/>
        <v>YES</v>
      </c>
      <c r="BG423" s="190" t="str">
        <f t="shared" si="210"/>
        <v>NO</v>
      </c>
      <c r="BH423" s="88"/>
      <c r="BI423" s="9"/>
      <c r="BJ423" s="694" t="str">
        <f t="shared" ref="BJ423:BK442" si="224">IF(AND($G423=BJ$21,$AT423="Residential",$AS423="Consider"),$X423,"")</f>
        <v/>
      </c>
      <c r="BK423" s="694">
        <f t="shared" si="224"/>
        <v>2.8628399999999994</v>
      </c>
      <c r="BL423" s="694" t="str">
        <f t="shared" ref="BL423:BM442" si="225">IF(AND($G423=BL$21,$AT423="Residential",$AS423="Consider"),$Y423,"")</f>
        <v/>
      </c>
      <c r="BM423" s="694">
        <f t="shared" si="225"/>
        <v>2.7801200000000001</v>
      </c>
      <c r="BN423" s="88"/>
      <c r="BO423" s="195"/>
      <c r="BP423" s="195"/>
      <c r="BQ423" s="195"/>
      <c r="BR423" s="195"/>
      <c r="BS423" s="195"/>
      <c r="BT423" s="195"/>
      <c r="BU423" s="195"/>
      <c r="BV423" s="195"/>
      <c r="BW423" s="195"/>
      <c r="BX423" s="195"/>
    </row>
    <row r="424" spans="1:76" s="124" customFormat="1" ht="15">
      <c r="A424" s="187">
        <v>644</v>
      </c>
      <c r="B424" s="187" t="s">
        <v>625</v>
      </c>
      <c r="C424" s="187" t="s">
        <v>625</v>
      </c>
      <c r="D424" s="187" t="s">
        <v>769</v>
      </c>
      <c r="E424" s="187" t="s">
        <v>385</v>
      </c>
      <c r="F424" s="187" t="s">
        <v>386</v>
      </c>
      <c r="G424" s="187" t="s">
        <v>387</v>
      </c>
      <c r="H424" s="187" t="b">
        <v>0</v>
      </c>
      <c r="I424" s="187" t="s">
        <v>388</v>
      </c>
      <c r="J424" s="187" t="s">
        <v>389</v>
      </c>
      <c r="K424" s="187" t="b">
        <v>1</v>
      </c>
      <c r="L424" s="187">
        <v>3.5</v>
      </c>
      <c r="M424" s="187">
        <v>0.35</v>
      </c>
      <c r="N424" s="187">
        <v>13.32</v>
      </c>
      <c r="O424" s="187">
        <v>3.8</v>
      </c>
      <c r="P424" s="187">
        <v>9.77</v>
      </c>
      <c r="Q424" s="187"/>
      <c r="R424" s="187"/>
      <c r="S424" s="187"/>
      <c r="T424" s="187"/>
      <c r="U424" s="187">
        <v>38.4</v>
      </c>
      <c r="V424" s="187">
        <v>2.4500000000000002</v>
      </c>
      <c r="W424" s="188">
        <v>40170</v>
      </c>
      <c r="X424" s="691">
        <f t="shared" si="195"/>
        <v>2.0672250000000005</v>
      </c>
      <c r="Y424" s="691">
        <f t="shared" si="203"/>
        <v>4.0091599999999996</v>
      </c>
      <c r="Z424" s="189"/>
      <c r="AA424" s="190">
        <f t="shared" si="211"/>
        <v>2009</v>
      </c>
      <c r="AB424" s="191">
        <f t="shared" si="212"/>
        <v>1.6930909794531313</v>
      </c>
      <c r="AC424" s="192">
        <f>IF(AB424="","",AB424*SFAssumptions!$C$3)</f>
        <v>434.63897253564551</v>
      </c>
      <c r="AD424" s="193">
        <f t="shared" si="213"/>
        <v>14.032059999999998</v>
      </c>
      <c r="AE424" s="194">
        <f>IF(AD424="","",AD424*SFAssumptions!$C$3)</f>
        <v>3602.2164283979996</v>
      </c>
      <c r="AF424" s="192">
        <f t="shared" si="202"/>
        <v>3.5</v>
      </c>
      <c r="AG424" s="192">
        <f t="shared" si="214"/>
        <v>4.0091599999999996</v>
      </c>
      <c r="AH424" s="192">
        <f t="shared" si="215"/>
        <v>2.0672250000000005</v>
      </c>
      <c r="AI424" s="692">
        <f ca="1">IF(AC424="","",AC424*SFAssumptions!$C$8/'SavingsData&amp;Analysis'!AF424)</f>
        <v>469.03844908982211</v>
      </c>
      <c r="AJ424" s="692">
        <f ca="1">IF(OR(AE424="",AF424=""),"",AE424*SFAssumptions!$C$8/AF424)</f>
        <v>3887.3136410313746</v>
      </c>
      <c r="AK424" s="191">
        <f t="shared" si="216"/>
        <v>1.4285714285714284</v>
      </c>
      <c r="AL424" s="692">
        <f>IF(AK424="","",AK424*SFAssumptions!$C$3)</f>
        <v>366.73328571428567</v>
      </c>
      <c r="AM424" s="193">
        <f t="shared" si="217"/>
        <v>13.299999999999999</v>
      </c>
      <c r="AN424" s="194">
        <f>IF(AM424="","",AM424*SFAssumptions!$C$3)</f>
        <v>3414.2868899999999</v>
      </c>
      <c r="AO424" s="693">
        <f t="shared" si="218"/>
        <v>3.8</v>
      </c>
      <c r="AP424" s="693">
        <f t="shared" si="219"/>
        <v>2.4500000000000002</v>
      </c>
      <c r="AQ424" s="692">
        <f ca="1">IF(AL424="","",AL424*SFAssumptions!$C$8/'SavingsData&amp;Analysis'!AF424)</f>
        <v>395.75837057947246</v>
      </c>
      <c r="AR424" s="692">
        <f ca="1">IF(OR(AN424="",AF424=""),"",AN424*SFAssumptions!$C$8/AF424)</f>
        <v>3684.5104300948888</v>
      </c>
      <c r="AS424" s="190" t="str">
        <f>IF(OR(AG424="",AH424=""),"No",IF(AND(G424="Horizontal",AH424&gt;='Eff. Standards &amp; Certifications'!$B$21,AG424&lt;='Eff. Standards &amp; Certifications'!$C$21),"Consider",IF(AND(G424="Vertical",AH424&gt;='Eff. Standards &amp; Certifications'!$B$20,AG424&lt;='Eff. Standards &amp; Certifications'!$C$20),"Consider","No")))</f>
        <v>Consider</v>
      </c>
      <c r="AT424" s="190" t="str">
        <f t="shared" si="204"/>
        <v>Residential</v>
      </c>
      <c r="AU424" s="190"/>
      <c r="AV424" s="190" t="str">
        <f t="shared" si="223"/>
        <v>NO</v>
      </c>
      <c r="AW424" s="190" t="str">
        <f t="shared" si="223"/>
        <v>YES</v>
      </c>
      <c r="AX424" s="190" t="str">
        <f t="shared" si="220"/>
        <v>YES</v>
      </c>
      <c r="AY424" s="190" t="str">
        <f t="shared" si="205"/>
        <v>NO</v>
      </c>
      <c r="AZ424" s="190" t="str">
        <f t="shared" si="205"/>
        <v>YES</v>
      </c>
      <c r="BA424" s="190" t="str">
        <f t="shared" si="221"/>
        <v>YES</v>
      </c>
      <c r="BB424" s="190" t="str">
        <f t="shared" si="206"/>
        <v>NO</v>
      </c>
      <c r="BC424" s="190" t="str">
        <f t="shared" si="207"/>
        <v>NO</v>
      </c>
      <c r="BD424" s="190" t="str">
        <f t="shared" si="222"/>
        <v>NO</v>
      </c>
      <c r="BE424" s="190" t="str">
        <f t="shared" si="208"/>
        <v>NO</v>
      </c>
      <c r="BF424" s="190" t="str">
        <f t="shared" si="209"/>
        <v>NO</v>
      </c>
      <c r="BG424" s="190" t="str">
        <f t="shared" si="210"/>
        <v>NO</v>
      </c>
      <c r="BH424" s="88"/>
      <c r="BI424" s="9"/>
      <c r="BJ424" s="694" t="str">
        <f t="shared" si="224"/>
        <v/>
      </c>
      <c r="BK424" s="694">
        <f t="shared" si="224"/>
        <v>2.0672250000000005</v>
      </c>
      <c r="BL424" s="694" t="str">
        <f t="shared" si="225"/>
        <v/>
      </c>
      <c r="BM424" s="694">
        <f t="shared" si="225"/>
        <v>4.0091599999999996</v>
      </c>
      <c r="BN424" s="88"/>
      <c r="BO424" s="195"/>
      <c r="BP424" s="195"/>
      <c r="BQ424" s="195"/>
      <c r="BR424" s="195"/>
      <c r="BS424" s="195"/>
      <c r="BT424" s="195"/>
      <c r="BU424" s="195"/>
      <c r="BV424" s="195"/>
      <c r="BW424" s="195"/>
      <c r="BX424" s="195"/>
    </row>
    <row r="425" spans="1:76" s="124" customFormat="1" ht="15">
      <c r="A425" s="187">
        <v>3127</v>
      </c>
      <c r="B425" s="187" t="s">
        <v>625</v>
      </c>
      <c r="C425" s="187" t="s">
        <v>625</v>
      </c>
      <c r="D425" s="187" t="s">
        <v>770</v>
      </c>
      <c r="E425" s="187" t="s">
        <v>385</v>
      </c>
      <c r="F425" s="187" t="s">
        <v>386</v>
      </c>
      <c r="G425" s="187" t="s">
        <v>387</v>
      </c>
      <c r="H425" s="187" t="b">
        <v>0</v>
      </c>
      <c r="I425" s="187" t="s">
        <v>388</v>
      </c>
      <c r="J425" s="187" t="s">
        <v>389</v>
      </c>
      <c r="K425" s="187" t="b">
        <v>1</v>
      </c>
      <c r="L425" s="187">
        <v>3.3</v>
      </c>
      <c r="M425" s="187">
        <v>0.46</v>
      </c>
      <c r="N425" s="187">
        <v>14.57</v>
      </c>
      <c r="O425" s="187">
        <v>4.4000000000000004</v>
      </c>
      <c r="P425" s="187">
        <v>7.08</v>
      </c>
      <c r="Q425" s="187"/>
      <c r="R425" s="187"/>
      <c r="S425" s="187"/>
      <c r="T425" s="187"/>
      <c r="U425" s="187">
        <v>43.1</v>
      </c>
      <c r="V425" s="187">
        <v>2.0499999999999998</v>
      </c>
      <c r="W425" s="188">
        <v>39371</v>
      </c>
      <c r="X425" s="691">
        <f t="shared" si="195"/>
        <v>1.7014249999999997</v>
      </c>
      <c r="Y425" s="691">
        <f t="shared" si="203"/>
        <v>4.6236800000000011</v>
      </c>
      <c r="Z425" s="189"/>
      <c r="AA425" s="190">
        <f t="shared" si="211"/>
        <v>2007</v>
      </c>
      <c r="AB425" s="191">
        <f t="shared" si="212"/>
        <v>1.9395506707612737</v>
      </c>
      <c r="AC425" s="192">
        <f>IF(AB425="","",AB425*SFAssumptions!$C$3)</f>
        <v>497.90845320834012</v>
      </c>
      <c r="AD425" s="193">
        <f t="shared" si="213"/>
        <v>15.258144000000003</v>
      </c>
      <c r="AE425" s="194">
        <f>IF(AD425="","",AD425*SFAssumptions!$C$3)</f>
        <v>3916.9684981152009</v>
      </c>
      <c r="AF425" s="192">
        <f t="shared" si="202"/>
        <v>3.3</v>
      </c>
      <c r="AG425" s="192">
        <f t="shared" si="214"/>
        <v>4.6236800000000011</v>
      </c>
      <c r="AH425" s="192">
        <f t="shared" si="215"/>
        <v>1.7014249999999997</v>
      </c>
      <c r="AI425" s="692">
        <f ca="1">IF(AC425="","",AC425*SFAssumptions!$C$8/'SavingsData&amp;Analysis'!AF425)</f>
        <v>569.87995822308233</v>
      </c>
      <c r="AJ425" s="692">
        <f ca="1">IF(OR(AE425="",AF425=""),"",AE425*SFAssumptions!$C$8/AF425)</f>
        <v>4483.1571540581954</v>
      </c>
      <c r="AK425" s="191">
        <f t="shared" si="216"/>
        <v>1.6097560975609757</v>
      </c>
      <c r="AL425" s="692">
        <f>IF(AK425="","",AK425*SFAssumptions!$C$3)</f>
        <v>413.24580000000003</v>
      </c>
      <c r="AM425" s="193">
        <f t="shared" si="217"/>
        <v>14.52</v>
      </c>
      <c r="AN425" s="194">
        <f>IF(AM425="","",AM425*SFAssumptions!$C$3)</f>
        <v>3727.477116</v>
      </c>
      <c r="AO425" s="693">
        <f t="shared" si="218"/>
        <v>4.4000000000000004</v>
      </c>
      <c r="AP425" s="693">
        <f t="shared" si="219"/>
        <v>2.0499999999999998</v>
      </c>
      <c r="AQ425" s="692">
        <f ca="1">IF(AL425="","",AL425*SFAssumptions!$C$8/'SavingsData&amp;Analysis'!AF425)</f>
        <v>472.97951605839404</v>
      </c>
      <c r="AR425" s="692">
        <f ca="1">IF(OR(AN425="",AF425=""),"",AN425*SFAssumptions!$C$8/AF425)</f>
        <v>4266.2752348467138</v>
      </c>
      <c r="AS425" s="190" t="str">
        <f>IF(OR(AG425="",AH425=""),"No",IF(AND(G425="Horizontal",AH425&gt;='Eff. Standards &amp; Certifications'!$B$21,AG425&lt;='Eff. Standards &amp; Certifications'!$C$21),"Consider",IF(AND(G425="Vertical",AH425&gt;='Eff. Standards &amp; Certifications'!$B$20,AG425&lt;='Eff. Standards &amp; Certifications'!$C$20),"Consider","No")))</f>
        <v>No</v>
      </c>
      <c r="AT425" s="190" t="str">
        <f t="shared" si="204"/>
        <v>Residential</v>
      </c>
      <c r="AU425" s="190"/>
      <c r="AV425" s="190" t="str">
        <f t="shared" si="223"/>
        <v>NO</v>
      </c>
      <c r="AW425" s="190" t="str">
        <f t="shared" si="223"/>
        <v>NO</v>
      </c>
      <c r="AX425" s="190" t="str">
        <f t="shared" si="220"/>
        <v>NO</v>
      </c>
      <c r="AY425" s="190" t="str">
        <f t="shared" si="205"/>
        <v>NO</v>
      </c>
      <c r="AZ425" s="190" t="str">
        <f t="shared" si="205"/>
        <v>NO</v>
      </c>
      <c r="BA425" s="190" t="str">
        <f t="shared" si="221"/>
        <v>NO</v>
      </c>
      <c r="BB425" s="190" t="str">
        <f t="shared" si="206"/>
        <v>NO</v>
      </c>
      <c r="BC425" s="190" t="str">
        <f t="shared" si="207"/>
        <v>NO</v>
      </c>
      <c r="BD425" s="190" t="str">
        <f t="shared" si="222"/>
        <v>NO</v>
      </c>
      <c r="BE425" s="190" t="str">
        <f t="shared" si="208"/>
        <v>NO</v>
      </c>
      <c r="BF425" s="190" t="str">
        <f t="shared" si="209"/>
        <v>NO</v>
      </c>
      <c r="BG425" s="190" t="str">
        <f t="shared" si="210"/>
        <v>NO</v>
      </c>
      <c r="BH425" s="88"/>
      <c r="BI425" s="9"/>
      <c r="BJ425" s="694" t="str">
        <f t="shared" si="224"/>
        <v/>
      </c>
      <c r="BK425" s="694" t="str">
        <f t="shared" si="224"/>
        <v/>
      </c>
      <c r="BL425" s="694" t="str">
        <f t="shared" si="225"/>
        <v/>
      </c>
      <c r="BM425" s="694" t="str">
        <f t="shared" si="225"/>
        <v/>
      </c>
      <c r="BN425" s="88"/>
      <c r="BO425" s="195"/>
      <c r="BP425" s="195"/>
      <c r="BQ425" s="195"/>
      <c r="BR425" s="195"/>
      <c r="BS425" s="195"/>
      <c r="BT425" s="195"/>
      <c r="BU425" s="195"/>
      <c r="BV425" s="195"/>
      <c r="BW425" s="195"/>
      <c r="BX425" s="195"/>
    </row>
    <row r="426" spans="1:76" s="124" customFormat="1" ht="15">
      <c r="A426" s="187">
        <v>3444</v>
      </c>
      <c r="B426" s="187" t="s">
        <v>625</v>
      </c>
      <c r="C426" s="187" t="s">
        <v>625</v>
      </c>
      <c r="D426" s="187" t="s">
        <v>771</v>
      </c>
      <c r="E426" s="187" t="s">
        <v>385</v>
      </c>
      <c r="F426" s="187" t="s">
        <v>386</v>
      </c>
      <c r="G426" s="187" t="s">
        <v>387</v>
      </c>
      <c r="H426" s="187" t="b">
        <v>0</v>
      </c>
      <c r="I426" s="187" t="s">
        <v>388</v>
      </c>
      <c r="J426" s="187" t="s">
        <v>389</v>
      </c>
      <c r="K426" s="187" t="b">
        <v>1</v>
      </c>
      <c r="L426" s="187">
        <v>3.5</v>
      </c>
      <c r="M426" s="187">
        <v>0.48</v>
      </c>
      <c r="N426" s="187">
        <v>13.6</v>
      </c>
      <c r="O426" s="187">
        <v>3.9</v>
      </c>
      <c r="P426" s="187">
        <v>7.4</v>
      </c>
      <c r="Q426" s="187"/>
      <c r="R426" s="187"/>
      <c r="S426" s="187"/>
      <c r="T426" s="187"/>
      <c r="U426" s="187">
        <v>37.4</v>
      </c>
      <c r="V426" s="187">
        <v>2.29</v>
      </c>
      <c r="W426" s="188">
        <v>39696</v>
      </c>
      <c r="X426" s="691">
        <f t="shared" si="195"/>
        <v>1.9209050000000001</v>
      </c>
      <c r="Y426" s="691">
        <f t="shared" si="203"/>
        <v>4.11158</v>
      </c>
      <c r="Z426" s="189"/>
      <c r="AA426" s="190">
        <f t="shared" si="211"/>
        <v>2008</v>
      </c>
      <c r="AB426" s="191">
        <f t="shared" si="212"/>
        <v>1.8220578321155914</v>
      </c>
      <c r="AC426" s="192">
        <f>IF(AB426="","",AB426*SFAssumptions!$C$3)</f>
        <v>467.74647887323943</v>
      </c>
      <c r="AD426" s="193">
        <f t="shared" si="213"/>
        <v>14.39053</v>
      </c>
      <c r="AE426" s="194">
        <f>IF(AD426="","",AD426*SFAssumptions!$C$3)</f>
        <v>3694.2404450489998</v>
      </c>
      <c r="AF426" s="192">
        <f t="shared" si="202"/>
        <v>3.5</v>
      </c>
      <c r="AG426" s="192">
        <f t="shared" si="214"/>
        <v>4.11158</v>
      </c>
      <c r="AH426" s="192">
        <f t="shared" si="215"/>
        <v>1.9209050000000001</v>
      </c>
      <c r="AI426" s="692">
        <f ca="1">IF(AC426="","",AC426*SFAssumptions!$C$8/'SavingsData&amp;Analysis'!AF426)</f>
        <v>504.76624711774275</v>
      </c>
      <c r="AJ426" s="692">
        <f ca="1">IF(OR(AE426="",AF426=""),"",AE426*SFAssumptions!$C$8/AF426)</f>
        <v>3986.6208932025115</v>
      </c>
      <c r="AK426" s="191">
        <f t="shared" si="216"/>
        <v>1.5283842794759825</v>
      </c>
      <c r="AL426" s="692">
        <f>IF(AK426="","",AK426*SFAssumptions!$C$3)</f>
        <v>392.35657205240176</v>
      </c>
      <c r="AM426" s="193">
        <f t="shared" si="217"/>
        <v>13.65</v>
      </c>
      <c r="AN426" s="194">
        <f>IF(AM426="","",AM426*SFAssumptions!$C$3)</f>
        <v>3504.1365450000003</v>
      </c>
      <c r="AO426" s="693">
        <f t="shared" si="218"/>
        <v>3.9</v>
      </c>
      <c r="AP426" s="693">
        <f t="shared" si="219"/>
        <v>2.29</v>
      </c>
      <c r="AQ426" s="692">
        <f ca="1">IF(AL426="","",AL426*SFAssumptions!$C$8/'SavingsData&amp;Analysis'!AF426)</f>
        <v>423.40961044528723</v>
      </c>
      <c r="AR426" s="692">
        <f ca="1">IF(OR(AN426="",AF426=""),"",AN426*SFAssumptions!$C$8/AF426)</f>
        <v>3781.4712308868607</v>
      </c>
      <c r="AS426" s="190" t="str">
        <f>IF(OR(AG426="",AH426=""),"No",IF(AND(G426="Horizontal",AH426&gt;='Eff. Standards &amp; Certifications'!$B$21,AG426&lt;='Eff. Standards &amp; Certifications'!$C$21),"Consider",IF(AND(G426="Vertical",AH426&gt;='Eff. Standards &amp; Certifications'!$B$20,AG426&lt;='Eff. Standards &amp; Certifications'!$C$20),"Consider","No")))</f>
        <v>Consider</v>
      </c>
      <c r="AT426" s="190" t="str">
        <f t="shared" si="204"/>
        <v>Residential</v>
      </c>
      <c r="AU426" s="190"/>
      <c r="AV426" s="190" t="str">
        <f t="shared" si="223"/>
        <v>NO</v>
      </c>
      <c r="AW426" s="190" t="str">
        <f t="shared" si="223"/>
        <v>YES</v>
      </c>
      <c r="AX426" s="190" t="str">
        <f t="shared" si="220"/>
        <v>YES</v>
      </c>
      <c r="AY426" s="190" t="str">
        <f t="shared" si="205"/>
        <v>NO</v>
      </c>
      <c r="AZ426" s="190" t="str">
        <f t="shared" si="205"/>
        <v>YES</v>
      </c>
      <c r="BA426" s="190" t="str">
        <f t="shared" si="221"/>
        <v>YES</v>
      </c>
      <c r="BB426" s="190" t="str">
        <f t="shared" si="206"/>
        <v>NO</v>
      </c>
      <c r="BC426" s="190" t="str">
        <f t="shared" si="207"/>
        <v>NO</v>
      </c>
      <c r="BD426" s="190" t="str">
        <f t="shared" si="222"/>
        <v>NO</v>
      </c>
      <c r="BE426" s="190" t="str">
        <f t="shared" si="208"/>
        <v>NO</v>
      </c>
      <c r="BF426" s="190" t="str">
        <f t="shared" si="209"/>
        <v>NO</v>
      </c>
      <c r="BG426" s="190" t="str">
        <f t="shared" si="210"/>
        <v>NO</v>
      </c>
      <c r="BH426" s="88"/>
      <c r="BI426" s="9"/>
      <c r="BJ426" s="694" t="str">
        <f t="shared" si="224"/>
        <v/>
      </c>
      <c r="BK426" s="694">
        <f t="shared" si="224"/>
        <v>1.9209050000000001</v>
      </c>
      <c r="BL426" s="694" t="str">
        <f t="shared" si="225"/>
        <v/>
      </c>
      <c r="BM426" s="694">
        <f t="shared" si="225"/>
        <v>4.11158</v>
      </c>
      <c r="BN426" s="88"/>
      <c r="BO426" s="195"/>
      <c r="BP426" s="195"/>
      <c r="BQ426" s="195"/>
      <c r="BR426" s="195"/>
      <c r="BS426" s="195"/>
      <c r="BT426" s="195"/>
      <c r="BU426" s="195"/>
      <c r="BV426" s="195"/>
      <c r="BW426" s="195"/>
      <c r="BX426" s="195"/>
    </row>
    <row r="427" spans="1:76" s="124" customFormat="1" ht="15">
      <c r="A427" s="187">
        <v>3128</v>
      </c>
      <c r="B427" s="187" t="s">
        <v>625</v>
      </c>
      <c r="C427" s="187" t="s">
        <v>625</v>
      </c>
      <c r="D427" s="187" t="s">
        <v>772</v>
      </c>
      <c r="E427" s="187" t="s">
        <v>385</v>
      </c>
      <c r="F427" s="187" t="s">
        <v>386</v>
      </c>
      <c r="G427" s="187" t="s">
        <v>387</v>
      </c>
      <c r="H427" s="187" t="b">
        <v>0</v>
      </c>
      <c r="I427" s="187" t="s">
        <v>388</v>
      </c>
      <c r="J427" s="187" t="s">
        <v>389</v>
      </c>
      <c r="K427" s="187" t="b">
        <v>1</v>
      </c>
      <c r="L427" s="187">
        <v>3.3</v>
      </c>
      <c r="M427" s="187">
        <v>0.45</v>
      </c>
      <c r="N427" s="187">
        <v>13.54</v>
      </c>
      <c r="O427" s="187">
        <v>4.0999999999999996</v>
      </c>
      <c r="P427" s="187">
        <v>7.26</v>
      </c>
      <c r="Q427" s="187"/>
      <c r="R427" s="187"/>
      <c r="S427" s="187"/>
      <c r="T427" s="187"/>
      <c r="U427" s="187">
        <v>39.6</v>
      </c>
      <c r="V427" s="187">
        <v>2.21</v>
      </c>
      <c r="W427" s="188">
        <v>39371</v>
      </c>
      <c r="X427" s="691">
        <f t="shared" si="195"/>
        <v>1.847745</v>
      </c>
      <c r="Y427" s="691">
        <f t="shared" si="203"/>
        <v>4.3164199999999999</v>
      </c>
      <c r="Z427" s="189"/>
      <c r="AA427" s="190">
        <f t="shared" si="211"/>
        <v>2007</v>
      </c>
      <c r="AB427" s="191">
        <f t="shared" si="212"/>
        <v>1.7859607251000542</v>
      </c>
      <c r="AC427" s="192">
        <f>IF(AB427="","",AB427*SFAssumptions!$C$3)</f>
        <v>458.47987141082774</v>
      </c>
      <c r="AD427" s="193">
        <f t="shared" si="213"/>
        <v>14.244185999999999</v>
      </c>
      <c r="AE427" s="194">
        <f>IF(AD427="","",AD427*SFAssumptions!$C$3)</f>
        <v>3656.6719938737997</v>
      </c>
      <c r="AF427" s="192">
        <f t="shared" si="202"/>
        <v>3.3</v>
      </c>
      <c r="AG427" s="192">
        <f t="shared" si="214"/>
        <v>4.3164199999999999</v>
      </c>
      <c r="AH427" s="192">
        <f t="shared" si="215"/>
        <v>1.847745</v>
      </c>
      <c r="AI427" s="692">
        <f ca="1">IF(AC427="","",AC427*SFAssumptions!$C$8/'SavingsData&amp;Analysis'!AF427)</f>
        <v>524.75206693548489</v>
      </c>
      <c r="AJ427" s="692">
        <f ca="1">IF(OR(AE427="",AF427=""),"",AE427*SFAssumptions!$C$8/AF427)</f>
        <v>4185.2353975447841</v>
      </c>
      <c r="AK427" s="191">
        <f t="shared" si="216"/>
        <v>1.4932126696832579</v>
      </c>
      <c r="AL427" s="692">
        <f>IF(AK427="","",AK427*SFAssumptions!$C$3)</f>
        <v>383.32755203619911</v>
      </c>
      <c r="AM427" s="193">
        <f t="shared" si="217"/>
        <v>13.529999999999998</v>
      </c>
      <c r="AN427" s="194">
        <f>IF(AM427="","",AM427*SFAssumptions!$C$3)</f>
        <v>3473.3309489999992</v>
      </c>
      <c r="AO427" s="693">
        <f t="shared" si="218"/>
        <v>4.0999999999999996</v>
      </c>
      <c r="AP427" s="693">
        <f t="shared" si="219"/>
        <v>2.21</v>
      </c>
      <c r="AQ427" s="692">
        <f ca="1">IF(AL427="","",AL427*SFAssumptions!$C$8/'SavingsData&amp;Analysis'!AF427)</f>
        <v>438.73665516728857</v>
      </c>
      <c r="AR427" s="692">
        <f ca="1">IF(OR(AN427="",AF427=""),"",AN427*SFAssumptions!$C$8/AF427)</f>
        <v>3975.3928324708008</v>
      </c>
      <c r="AS427" s="190" t="str">
        <f>IF(OR(AG427="",AH427=""),"No",IF(AND(G427="Horizontal",AH427&gt;='Eff. Standards &amp; Certifications'!$B$21,AG427&lt;='Eff. Standards &amp; Certifications'!$C$21),"Consider",IF(AND(G427="Vertical",AH427&gt;='Eff. Standards &amp; Certifications'!$B$20,AG427&lt;='Eff. Standards &amp; Certifications'!$C$20),"Consider","No")))</f>
        <v>Consider</v>
      </c>
      <c r="AT427" s="190" t="str">
        <f t="shared" si="204"/>
        <v>Residential</v>
      </c>
      <c r="AU427" s="190"/>
      <c r="AV427" s="190" t="str">
        <f t="shared" si="223"/>
        <v>NO</v>
      </c>
      <c r="AW427" s="190" t="str">
        <f t="shared" si="223"/>
        <v>YES</v>
      </c>
      <c r="AX427" s="190" t="str">
        <f t="shared" si="220"/>
        <v>YES</v>
      </c>
      <c r="AY427" s="190" t="str">
        <f t="shared" si="205"/>
        <v>NO</v>
      </c>
      <c r="AZ427" s="190" t="str">
        <f t="shared" si="205"/>
        <v>YES</v>
      </c>
      <c r="BA427" s="190" t="str">
        <f t="shared" si="221"/>
        <v>YES</v>
      </c>
      <c r="BB427" s="190" t="str">
        <f t="shared" si="206"/>
        <v>NO</v>
      </c>
      <c r="BC427" s="190" t="str">
        <f t="shared" si="207"/>
        <v>NO</v>
      </c>
      <c r="BD427" s="190" t="str">
        <f t="shared" si="222"/>
        <v>NO</v>
      </c>
      <c r="BE427" s="190" t="str">
        <f t="shared" si="208"/>
        <v>NO</v>
      </c>
      <c r="BF427" s="190" t="str">
        <f t="shared" si="209"/>
        <v>NO</v>
      </c>
      <c r="BG427" s="190" t="str">
        <f t="shared" si="210"/>
        <v>NO</v>
      </c>
      <c r="BH427" s="88"/>
      <c r="BI427" s="9"/>
      <c r="BJ427" s="694" t="str">
        <f t="shared" si="224"/>
        <v/>
      </c>
      <c r="BK427" s="694">
        <f t="shared" si="224"/>
        <v>1.847745</v>
      </c>
      <c r="BL427" s="694" t="str">
        <f t="shared" si="225"/>
        <v/>
      </c>
      <c r="BM427" s="694">
        <f t="shared" si="225"/>
        <v>4.3164199999999999</v>
      </c>
      <c r="BN427" s="88"/>
      <c r="BO427" s="195"/>
      <c r="BP427" s="195"/>
      <c r="BQ427" s="195"/>
      <c r="BR427" s="195"/>
      <c r="BS427" s="195"/>
      <c r="BT427" s="195"/>
      <c r="BU427" s="195"/>
      <c r="BV427" s="195"/>
      <c r="BW427" s="195"/>
      <c r="BX427" s="195"/>
    </row>
    <row r="428" spans="1:76" s="124" customFormat="1" ht="15">
      <c r="A428" s="187">
        <v>4616</v>
      </c>
      <c r="B428" s="187" t="s">
        <v>625</v>
      </c>
      <c r="C428" s="187" t="s">
        <v>625</v>
      </c>
      <c r="D428" s="187" t="s">
        <v>773</v>
      </c>
      <c r="E428" s="187" t="s">
        <v>385</v>
      </c>
      <c r="F428" s="187" t="s">
        <v>386</v>
      </c>
      <c r="G428" s="187" t="s">
        <v>387</v>
      </c>
      <c r="H428" s="187" t="b">
        <v>0</v>
      </c>
      <c r="I428" s="187" t="s">
        <v>388</v>
      </c>
      <c r="J428" s="187" t="s">
        <v>389</v>
      </c>
      <c r="K428" s="187" t="b">
        <v>1</v>
      </c>
      <c r="L428" s="187">
        <v>3.9</v>
      </c>
      <c r="M428" s="187">
        <v>0.43</v>
      </c>
      <c r="N428" s="187">
        <v>14.87</v>
      </c>
      <c r="O428" s="187">
        <v>3.9</v>
      </c>
      <c r="P428" s="187">
        <v>9.23</v>
      </c>
      <c r="Q428" s="187"/>
      <c r="R428" s="187"/>
      <c r="S428" s="187"/>
      <c r="T428" s="187"/>
      <c r="U428" s="187">
        <v>36.1</v>
      </c>
      <c r="V428" s="187">
        <v>2.44</v>
      </c>
      <c r="W428" s="188">
        <v>40429</v>
      </c>
      <c r="X428" s="691">
        <f t="shared" si="195"/>
        <v>2.0580799999999995</v>
      </c>
      <c r="Y428" s="691">
        <f t="shared" si="203"/>
        <v>4.11158</v>
      </c>
      <c r="Z428" s="189"/>
      <c r="AA428" s="190">
        <f t="shared" si="211"/>
        <v>2010</v>
      </c>
      <c r="AB428" s="191">
        <f t="shared" si="212"/>
        <v>1.8949700691907025</v>
      </c>
      <c r="AC428" s="192">
        <f>IF(AB428="","",AB428*SFAssumptions!$C$3)</f>
        <v>486.46401986317358</v>
      </c>
      <c r="AD428" s="193">
        <f t="shared" si="213"/>
        <v>16.035162</v>
      </c>
      <c r="AE428" s="194">
        <f>IF(AD428="","",AD428*SFAssumptions!$C$3)</f>
        <v>4116.4393530546004</v>
      </c>
      <c r="AF428" s="192">
        <f t="shared" si="202"/>
        <v>3.9</v>
      </c>
      <c r="AG428" s="192">
        <f t="shared" si="214"/>
        <v>4.11158</v>
      </c>
      <c r="AH428" s="192">
        <f t="shared" si="215"/>
        <v>2.0580799999999995</v>
      </c>
      <c r="AI428" s="692">
        <f ca="1">IF(AC428="","",AC428*SFAssumptions!$C$8/'SavingsData&amp;Analysis'!AF428)</f>
        <v>471.12260355268404</v>
      </c>
      <c r="AJ428" s="692">
        <f ca="1">IF(OR(AE428="",AF428=""),"",AE428*SFAssumptions!$C$8/AF428)</f>
        <v>3986.620893202512</v>
      </c>
      <c r="AK428" s="191">
        <f t="shared" si="216"/>
        <v>1.598360655737705</v>
      </c>
      <c r="AL428" s="692">
        <f>IF(AK428="","",AK428*SFAssumptions!$C$3)</f>
        <v>410.3204385245902</v>
      </c>
      <c r="AM428" s="193">
        <f t="shared" si="217"/>
        <v>15.209999999999999</v>
      </c>
      <c r="AN428" s="194">
        <f>IF(AM428="","",AM428*SFAssumptions!$C$3)</f>
        <v>3904.609293</v>
      </c>
      <c r="AO428" s="693">
        <f t="shared" si="218"/>
        <v>3.9</v>
      </c>
      <c r="AP428" s="693">
        <f t="shared" si="219"/>
        <v>2.44</v>
      </c>
      <c r="AQ428" s="692">
        <f ca="1">IF(AL428="","",AL428*SFAssumptions!$C$8/'SavingsData&amp;Analysis'!AF428)</f>
        <v>397.38033111463432</v>
      </c>
      <c r="AR428" s="692">
        <f ca="1">IF(OR(AN428="",AF428=""),"",AN428*SFAssumptions!$C$8/AF428)</f>
        <v>3781.4712308868598</v>
      </c>
      <c r="AS428" s="190" t="str">
        <f>IF(OR(AG428="",AH428=""),"No",IF(AND(G428="Horizontal",AH428&gt;='Eff. Standards &amp; Certifications'!$B$21,AG428&lt;='Eff. Standards &amp; Certifications'!$C$21),"Consider",IF(AND(G428="Vertical",AH428&gt;='Eff. Standards &amp; Certifications'!$B$20,AG428&lt;='Eff. Standards &amp; Certifications'!$C$20),"Consider","No")))</f>
        <v>Consider</v>
      </c>
      <c r="AT428" s="190" t="str">
        <f t="shared" si="204"/>
        <v>Residential</v>
      </c>
      <c r="AU428" s="190"/>
      <c r="AV428" s="190" t="str">
        <f t="shared" si="223"/>
        <v>NO</v>
      </c>
      <c r="AW428" s="190" t="str">
        <f t="shared" si="223"/>
        <v>YES</v>
      </c>
      <c r="AX428" s="190" t="str">
        <f t="shared" si="220"/>
        <v>YES</v>
      </c>
      <c r="AY428" s="190" t="str">
        <f t="shared" si="205"/>
        <v>NO</v>
      </c>
      <c r="AZ428" s="190" t="str">
        <f t="shared" si="205"/>
        <v>YES</v>
      </c>
      <c r="BA428" s="190" t="str">
        <f t="shared" si="221"/>
        <v>YES</v>
      </c>
      <c r="BB428" s="190" t="str">
        <f t="shared" si="206"/>
        <v>NO</v>
      </c>
      <c r="BC428" s="190" t="str">
        <f t="shared" si="207"/>
        <v>NO</v>
      </c>
      <c r="BD428" s="190" t="str">
        <f t="shared" si="222"/>
        <v>NO</v>
      </c>
      <c r="BE428" s="190" t="str">
        <f t="shared" si="208"/>
        <v>NO</v>
      </c>
      <c r="BF428" s="190" t="str">
        <f t="shared" si="209"/>
        <v>NO</v>
      </c>
      <c r="BG428" s="190" t="str">
        <f t="shared" si="210"/>
        <v>NO</v>
      </c>
      <c r="BH428" s="88"/>
      <c r="BI428" s="9"/>
      <c r="BJ428" s="694" t="str">
        <f t="shared" si="224"/>
        <v/>
      </c>
      <c r="BK428" s="694">
        <f t="shared" si="224"/>
        <v>2.0580799999999995</v>
      </c>
      <c r="BL428" s="694" t="str">
        <f t="shared" si="225"/>
        <v/>
      </c>
      <c r="BM428" s="694">
        <f t="shared" si="225"/>
        <v>4.11158</v>
      </c>
      <c r="BN428" s="88"/>
      <c r="BO428" s="195"/>
      <c r="BP428" s="195"/>
      <c r="BQ428" s="195"/>
      <c r="BR428" s="195"/>
      <c r="BS428" s="195"/>
      <c r="BT428" s="195"/>
      <c r="BU428" s="195"/>
      <c r="BV428" s="195"/>
      <c r="BW428" s="195"/>
      <c r="BX428" s="195"/>
    </row>
    <row r="429" spans="1:76" s="124" customFormat="1" ht="15">
      <c r="A429" s="187">
        <v>5434</v>
      </c>
      <c r="B429" s="187" t="s">
        <v>625</v>
      </c>
      <c r="C429" s="187" t="s">
        <v>625</v>
      </c>
      <c r="D429" s="187" t="s">
        <v>774</v>
      </c>
      <c r="E429" s="187" t="s">
        <v>385</v>
      </c>
      <c r="F429" s="187" t="s">
        <v>386</v>
      </c>
      <c r="G429" s="187" t="s">
        <v>387</v>
      </c>
      <c r="H429" s="187" t="b">
        <v>0</v>
      </c>
      <c r="I429" s="187" t="s">
        <v>388</v>
      </c>
      <c r="J429" s="187" t="s">
        <v>389</v>
      </c>
      <c r="K429" s="187" t="b">
        <v>1</v>
      </c>
      <c r="L429" s="187">
        <v>4.3</v>
      </c>
      <c r="M429" s="187">
        <v>0.32</v>
      </c>
      <c r="N429" s="187">
        <v>11.04</v>
      </c>
      <c r="O429" s="187">
        <v>2.6</v>
      </c>
      <c r="P429" s="187">
        <v>14.45</v>
      </c>
      <c r="Q429" s="187"/>
      <c r="R429" s="187"/>
      <c r="S429" s="187"/>
      <c r="T429" s="187"/>
      <c r="U429" s="187">
        <v>29.9</v>
      </c>
      <c r="V429" s="187">
        <v>3.3</v>
      </c>
      <c r="W429" s="188">
        <v>41086</v>
      </c>
      <c r="X429" s="691">
        <f t="shared" si="195"/>
        <v>2.8445499999999999</v>
      </c>
      <c r="Y429" s="691">
        <f t="shared" si="203"/>
        <v>2.7801200000000001</v>
      </c>
      <c r="Z429" s="189"/>
      <c r="AA429" s="190">
        <f t="shared" si="211"/>
        <v>2012</v>
      </c>
      <c r="AB429" s="191">
        <f t="shared" si="212"/>
        <v>1.5116626531437309</v>
      </c>
      <c r="AC429" s="192">
        <f>IF(AB429="","",AB429*SFAssumptions!$C$3)</f>
        <v>388.06390817528256</v>
      </c>
      <c r="AD429" s="193">
        <f t="shared" si="213"/>
        <v>11.954516</v>
      </c>
      <c r="AE429" s="194">
        <f>IF(AD429="","",AD429*SFAssumptions!$C$3)</f>
        <v>3068.8832522627999</v>
      </c>
      <c r="AF429" s="192">
        <f t="shared" si="202"/>
        <v>4.3</v>
      </c>
      <c r="AG429" s="192">
        <f t="shared" si="214"/>
        <v>2.7801200000000001</v>
      </c>
      <c r="AH429" s="192">
        <f t="shared" si="215"/>
        <v>2.8445499999999999</v>
      </c>
      <c r="AI429" s="692">
        <f ca="1">IF(AC429="","",AC429*SFAssumptions!$C$8/'SavingsData&amp;Analysis'!AF429)</f>
        <v>340.86516599100304</v>
      </c>
      <c r="AJ429" s="692">
        <f ca="1">IF(OR(AE429="",AF429=""),"",AE429*SFAssumptions!$C$8/AF429)</f>
        <v>2695.6266149777375</v>
      </c>
      <c r="AK429" s="191">
        <f t="shared" si="216"/>
        <v>1.303030303030303</v>
      </c>
      <c r="AL429" s="692">
        <f>IF(AK429="","",AK429*SFAssumptions!$C$3)</f>
        <v>334.50520909090909</v>
      </c>
      <c r="AM429" s="193">
        <f t="shared" si="217"/>
        <v>11.18</v>
      </c>
      <c r="AN429" s="194">
        <f>IF(AM429="","",AM429*SFAssumptions!$C$3)</f>
        <v>2870.0546939999999</v>
      </c>
      <c r="AO429" s="693">
        <f t="shared" si="218"/>
        <v>2.6</v>
      </c>
      <c r="AP429" s="693">
        <f t="shared" si="219"/>
        <v>3.3</v>
      </c>
      <c r="AQ429" s="692">
        <f ca="1">IF(AL429="","",AL429*SFAssumptions!$C$8/'SavingsData&amp;Analysis'!AF429)</f>
        <v>293.82060846051746</v>
      </c>
      <c r="AR429" s="692">
        <f ca="1">IF(OR(AN429="",AF429=""),"",AN429*SFAssumptions!$C$8/AF429)</f>
        <v>2520.98082059124</v>
      </c>
      <c r="AS429" s="190" t="str">
        <f>IF(OR(AG429="",AH429=""),"No",IF(AND(G429="Horizontal",AH429&gt;='Eff. Standards &amp; Certifications'!$B$21,AG429&lt;='Eff. Standards &amp; Certifications'!$C$21),"Consider",IF(AND(G429="Vertical",AH429&gt;='Eff. Standards &amp; Certifications'!$B$20,AG429&lt;='Eff. Standards &amp; Certifications'!$C$20),"Consider","No")))</f>
        <v>Consider</v>
      </c>
      <c r="AT429" s="190" t="str">
        <f t="shared" si="204"/>
        <v>Residential</v>
      </c>
      <c r="AU429" s="190"/>
      <c r="AV429" s="190" t="str">
        <f t="shared" si="223"/>
        <v>NO</v>
      </c>
      <c r="AW429" s="190" t="str">
        <f t="shared" si="223"/>
        <v>YES</v>
      </c>
      <c r="AX429" s="190" t="str">
        <f t="shared" si="220"/>
        <v>YES</v>
      </c>
      <c r="AY429" s="190" t="str">
        <f t="shared" si="205"/>
        <v>NO</v>
      </c>
      <c r="AZ429" s="190" t="str">
        <f t="shared" si="205"/>
        <v>NO</v>
      </c>
      <c r="BA429" s="190" t="str">
        <f t="shared" si="221"/>
        <v>NO</v>
      </c>
      <c r="BB429" s="190" t="str">
        <f t="shared" si="206"/>
        <v>NO</v>
      </c>
      <c r="BC429" s="190" t="str">
        <f t="shared" si="207"/>
        <v>YES</v>
      </c>
      <c r="BD429" s="190" t="str">
        <f t="shared" si="222"/>
        <v>YES</v>
      </c>
      <c r="BE429" s="190" t="str">
        <f t="shared" si="208"/>
        <v>NO</v>
      </c>
      <c r="BF429" s="190" t="str">
        <f t="shared" si="209"/>
        <v>YES</v>
      </c>
      <c r="BG429" s="190" t="str">
        <f t="shared" si="210"/>
        <v>NO</v>
      </c>
      <c r="BH429" s="88"/>
      <c r="BI429" s="9"/>
      <c r="BJ429" s="694" t="str">
        <f t="shared" si="224"/>
        <v/>
      </c>
      <c r="BK429" s="694">
        <f t="shared" si="224"/>
        <v>2.8445499999999999</v>
      </c>
      <c r="BL429" s="694" t="str">
        <f t="shared" si="225"/>
        <v/>
      </c>
      <c r="BM429" s="694">
        <f t="shared" si="225"/>
        <v>2.7801200000000001</v>
      </c>
      <c r="BN429" s="88"/>
      <c r="BO429" s="195"/>
      <c r="BP429" s="195"/>
      <c r="BQ429" s="195"/>
      <c r="BR429" s="195"/>
      <c r="BS429" s="195"/>
      <c r="BT429" s="195"/>
      <c r="BU429" s="195"/>
      <c r="BV429" s="195"/>
      <c r="BW429" s="195"/>
      <c r="BX429" s="195"/>
    </row>
    <row r="430" spans="1:76" s="124" customFormat="1" ht="15">
      <c r="A430" s="187">
        <v>4599</v>
      </c>
      <c r="B430" s="187" t="s">
        <v>625</v>
      </c>
      <c r="C430" s="187" t="s">
        <v>625</v>
      </c>
      <c r="D430" s="187" t="s">
        <v>775</v>
      </c>
      <c r="E430" s="187" t="s">
        <v>385</v>
      </c>
      <c r="F430" s="187" t="s">
        <v>386</v>
      </c>
      <c r="G430" s="187" t="s">
        <v>387</v>
      </c>
      <c r="H430" s="187" t="b">
        <v>0</v>
      </c>
      <c r="I430" s="187" t="s">
        <v>388</v>
      </c>
      <c r="J430" s="187" t="s">
        <v>389</v>
      </c>
      <c r="K430" s="187" t="b">
        <v>1</v>
      </c>
      <c r="L430" s="187">
        <v>4.3</v>
      </c>
      <c r="M430" s="187">
        <v>0.31</v>
      </c>
      <c r="N430" s="187">
        <v>11.48</v>
      </c>
      <c r="O430" s="187">
        <v>2.7</v>
      </c>
      <c r="P430" s="187">
        <v>13.78</v>
      </c>
      <c r="Q430" s="187"/>
      <c r="R430" s="187"/>
      <c r="S430" s="187"/>
      <c r="T430" s="187"/>
      <c r="U430" s="187">
        <v>30.6</v>
      </c>
      <c r="V430" s="187">
        <v>3.21</v>
      </c>
      <c r="W430" s="188">
        <v>40406</v>
      </c>
      <c r="X430" s="691">
        <f t="shared" si="195"/>
        <v>2.7622450000000001</v>
      </c>
      <c r="Y430" s="691">
        <f t="shared" si="203"/>
        <v>2.8825400000000001</v>
      </c>
      <c r="Z430" s="189"/>
      <c r="AA430" s="190">
        <f t="shared" si="211"/>
        <v>2010</v>
      </c>
      <c r="AB430" s="191">
        <f t="shared" si="212"/>
        <v>1.5567047817988628</v>
      </c>
      <c r="AC430" s="192">
        <f>IF(AB430="","",AB430*SFAssumptions!$C$3)</f>
        <v>399.62682166136602</v>
      </c>
      <c r="AD430" s="193">
        <f t="shared" si="213"/>
        <v>12.394921999999999</v>
      </c>
      <c r="AE430" s="194">
        <f>IF(AD430="","",AD430*SFAssumptions!$C$3)</f>
        <v>3181.9413298626</v>
      </c>
      <c r="AF430" s="192">
        <f t="shared" si="202"/>
        <v>4.3</v>
      </c>
      <c r="AG430" s="192">
        <f t="shared" si="214"/>
        <v>2.8825400000000001</v>
      </c>
      <c r="AH430" s="192">
        <f t="shared" si="215"/>
        <v>2.7622450000000001</v>
      </c>
      <c r="AI430" s="692">
        <f ca="1">IF(AC430="","",AC430*SFAssumptions!$C$8/'SavingsData&amp;Analysis'!AF430)</f>
        <v>351.02172613932061</v>
      </c>
      <c r="AJ430" s="692">
        <f ca="1">IF(OR(AE430="",AF430=""),"",AE430*SFAssumptions!$C$8/AF430)</f>
        <v>2794.9338671488745</v>
      </c>
      <c r="AK430" s="191">
        <f t="shared" si="216"/>
        <v>1.3395638629283488</v>
      </c>
      <c r="AL430" s="692">
        <f>IF(AK430="","",AK430*SFAssumptions!$C$3)</f>
        <v>343.88385981308409</v>
      </c>
      <c r="AM430" s="193">
        <f t="shared" si="217"/>
        <v>11.61</v>
      </c>
      <c r="AN430" s="194">
        <f>IF(AM430="","",AM430*SFAssumptions!$C$3)</f>
        <v>2980.441413</v>
      </c>
      <c r="AO430" s="693">
        <f t="shared" si="218"/>
        <v>2.7</v>
      </c>
      <c r="AP430" s="693">
        <f t="shared" si="219"/>
        <v>3.21</v>
      </c>
      <c r="AQ430" s="692">
        <f ca="1">IF(AL430="","",AL430*SFAssumptions!$C$8/'SavingsData&amp;Analysis'!AF430)</f>
        <v>302.05856944539181</v>
      </c>
      <c r="AR430" s="692">
        <f ca="1">IF(OR(AN430="",AF430=""),"",AN430*SFAssumptions!$C$8/AF430)</f>
        <v>2617.941621383211</v>
      </c>
      <c r="AS430" s="190" t="str">
        <f>IF(OR(AG430="",AH430=""),"No",IF(AND(G430="Horizontal",AH430&gt;='Eff. Standards &amp; Certifications'!$B$21,AG430&lt;='Eff. Standards &amp; Certifications'!$C$21),"Consider",IF(AND(G430="Vertical",AH430&gt;='Eff. Standards &amp; Certifications'!$B$20,AG430&lt;='Eff. Standards &amp; Certifications'!$C$20),"Consider","No")))</f>
        <v>Consider</v>
      </c>
      <c r="AT430" s="190" t="str">
        <f t="shared" si="204"/>
        <v>Residential</v>
      </c>
      <c r="AU430" s="190"/>
      <c r="AV430" s="190" t="str">
        <f t="shared" si="223"/>
        <v>NO</v>
      </c>
      <c r="AW430" s="190" t="str">
        <f t="shared" si="223"/>
        <v>YES</v>
      </c>
      <c r="AX430" s="190" t="str">
        <f t="shared" si="220"/>
        <v>YES</v>
      </c>
      <c r="AY430" s="190" t="str">
        <f t="shared" si="205"/>
        <v>NO</v>
      </c>
      <c r="AZ430" s="190" t="str">
        <f t="shared" si="205"/>
        <v>NO</v>
      </c>
      <c r="BA430" s="190" t="str">
        <f t="shared" si="221"/>
        <v>NO</v>
      </c>
      <c r="BB430" s="190" t="str">
        <f t="shared" si="206"/>
        <v>NO</v>
      </c>
      <c r="BC430" s="190" t="str">
        <f t="shared" si="207"/>
        <v>YES</v>
      </c>
      <c r="BD430" s="190" t="str">
        <f t="shared" si="222"/>
        <v>YES</v>
      </c>
      <c r="BE430" s="190" t="str">
        <f t="shared" si="208"/>
        <v>NO</v>
      </c>
      <c r="BF430" s="190" t="str">
        <f t="shared" si="209"/>
        <v>YES</v>
      </c>
      <c r="BG430" s="190" t="str">
        <f t="shared" si="210"/>
        <v>NO</v>
      </c>
      <c r="BH430" s="88"/>
      <c r="BI430" s="9"/>
      <c r="BJ430" s="694" t="str">
        <f t="shared" si="224"/>
        <v/>
      </c>
      <c r="BK430" s="694">
        <f t="shared" si="224"/>
        <v>2.7622450000000001</v>
      </c>
      <c r="BL430" s="694" t="str">
        <f t="shared" si="225"/>
        <v/>
      </c>
      <c r="BM430" s="694">
        <f t="shared" si="225"/>
        <v>2.8825400000000001</v>
      </c>
      <c r="BN430" s="88"/>
      <c r="BO430" s="195"/>
      <c r="BP430" s="195"/>
      <c r="BQ430" s="195"/>
      <c r="BR430" s="195"/>
      <c r="BS430" s="195"/>
      <c r="BT430" s="195"/>
      <c r="BU430" s="195"/>
      <c r="BV430" s="195"/>
      <c r="BW430" s="195"/>
      <c r="BX430" s="195"/>
    </row>
    <row r="431" spans="1:76" s="124" customFormat="1" ht="15">
      <c r="A431" s="187">
        <v>3129</v>
      </c>
      <c r="B431" s="187" t="s">
        <v>625</v>
      </c>
      <c r="C431" s="187" t="s">
        <v>625</v>
      </c>
      <c r="D431" s="187" t="s">
        <v>776</v>
      </c>
      <c r="E431" s="187" t="s">
        <v>385</v>
      </c>
      <c r="F431" s="187" t="s">
        <v>386</v>
      </c>
      <c r="G431" s="187" t="s">
        <v>387</v>
      </c>
      <c r="H431" s="187" t="b">
        <v>0</v>
      </c>
      <c r="I431" s="187" t="s">
        <v>388</v>
      </c>
      <c r="J431" s="187" t="s">
        <v>389</v>
      </c>
      <c r="K431" s="187" t="b">
        <v>1</v>
      </c>
      <c r="L431" s="187">
        <v>3.5</v>
      </c>
      <c r="M431" s="187">
        <v>0.39</v>
      </c>
      <c r="N431" s="187">
        <v>13.45</v>
      </c>
      <c r="O431" s="187">
        <v>3.8</v>
      </c>
      <c r="P431" s="187">
        <v>9.1300000000000008</v>
      </c>
      <c r="Q431" s="187"/>
      <c r="R431" s="187"/>
      <c r="S431" s="187"/>
      <c r="T431" s="187"/>
      <c r="U431" s="187">
        <v>41.1</v>
      </c>
      <c r="V431" s="187">
        <v>2.2400000000000002</v>
      </c>
      <c r="W431" s="188">
        <v>39371</v>
      </c>
      <c r="X431" s="691">
        <f t="shared" si="195"/>
        <v>1.8751800000000001</v>
      </c>
      <c r="Y431" s="691">
        <f t="shared" si="203"/>
        <v>4.0091599999999996</v>
      </c>
      <c r="Z431" s="189"/>
      <c r="AA431" s="190">
        <f t="shared" si="211"/>
        <v>2007</v>
      </c>
      <c r="AB431" s="191">
        <f t="shared" si="212"/>
        <v>1.8664874838682153</v>
      </c>
      <c r="AC431" s="192">
        <f>IF(AB431="","",AB431*SFAssumptions!$C$3)</f>
        <v>479.15216139250634</v>
      </c>
      <c r="AD431" s="193">
        <f t="shared" si="213"/>
        <v>14.032059999999998</v>
      </c>
      <c r="AE431" s="194">
        <f>IF(AD431="","",AD431*SFAssumptions!$C$3)</f>
        <v>3602.2164283979996</v>
      </c>
      <c r="AF431" s="192">
        <f t="shared" si="202"/>
        <v>3.5</v>
      </c>
      <c r="AG431" s="192">
        <f t="shared" si="214"/>
        <v>4.0091599999999996</v>
      </c>
      <c r="AH431" s="192">
        <f t="shared" si="215"/>
        <v>1.8751800000000001</v>
      </c>
      <c r="AI431" s="692">
        <f ca="1">IF(AC431="","",AC431*SFAssumptions!$C$8/'SavingsData&amp;Analysis'!AF431)</f>
        <v>517.07463172586506</v>
      </c>
      <c r="AJ431" s="692">
        <f ca="1">IF(OR(AE431="",AF431=""),"",AE431*SFAssumptions!$C$8/AF431)</f>
        <v>3887.3136410313746</v>
      </c>
      <c r="AK431" s="191">
        <f t="shared" si="216"/>
        <v>1.5624999999999998</v>
      </c>
      <c r="AL431" s="692">
        <f>IF(AK431="","",AK431*SFAssumptions!$C$3)</f>
        <v>401.11453124999997</v>
      </c>
      <c r="AM431" s="193">
        <f t="shared" si="217"/>
        <v>13.299999999999999</v>
      </c>
      <c r="AN431" s="194">
        <f>IF(AM431="","",AM431*SFAssumptions!$C$3)</f>
        <v>3414.2868899999999</v>
      </c>
      <c r="AO431" s="693">
        <f t="shared" si="218"/>
        <v>3.8</v>
      </c>
      <c r="AP431" s="693">
        <f t="shared" si="219"/>
        <v>2.2400000000000002</v>
      </c>
      <c r="AQ431" s="692">
        <f ca="1">IF(AL431="","",AL431*SFAssumptions!$C$8/'SavingsData&amp;Analysis'!AF431)</f>
        <v>432.86071782129801</v>
      </c>
      <c r="AR431" s="692">
        <f ca="1">IF(OR(AN431="",AF431=""),"",AN431*SFAssumptions!$C$8/AF431)</f>
        <v>3684.5104300948888</v>
      </c>
      <c r="AS431" s="190" t="str">
        <f>IF(OR(AG431="",AH431=""),"No",IF(AND(G431="Horizontal",AH431&gt;='Eff. Standards &amp; Certifications'!$B$21,AG431&lt;='Eff. Standards &amp; Certifications'!$C$21),"Consider",IF(AND(G431="Vertical",AH431&gt;='Eff. Standards &amp; Certifications'!$B$20,AG431&lt;='Eff. Standards &amp; Certifications'!$C$20),"Consider","No")))</f>
        <v>Consider</v>
      </c>
      <c r="AT431" s="190" t="str">
        <f t="shared" si="204"/>
        <v>Residential</v>
      </c>
      <c r="AU431" s="190"/>
      <c r="AV431" s="190" t="str">
        <f t="shared" si="223"/>
        <v>NO</v>
      </c>
      <c r="AW431" s="190" t="str">
        <f t="shared" si="223"/>
        <v>YES</v>
      </c>
      <c r="AX431" s="190" t="str">
        <f t="shared" si="220"/>
        <v>YES</v>
      </c>
      <c r="AY431" s="190" t="str">
        <f t="shared" si="205"/>
        <v>NO</v>
      </c>
      <c r="AZ431" s="190" t="str">
        <f t="shared" si="205"/>
        <v>YES</v>
      </c>
      <c r="BA431" s="190" t="str">
        <f t="shared" si="221"/>
        <v>YES</v>
      </c>
      <c r="BB431" s="190" t="str">
        <f t="shared" si="206"/>
        <v>NO</v>
      </c>
      <c r="BC431" s="190" t="str">
        <f t="shared" si="207"/>
        <v>NO</v>
      </c>
      <c r="BD431" s="190" t="str">
        <f t="shared" si="222"/>
        <v>NO</v>
      </c>
      <c r="BE431" s="190" t="str">
        <f t="shared" si="208"/>
        <v>NO</v>
      </c>
      <c r="BF431" s="190" t="str">
        <f t="shared" si="209"/>
        <v>NO</v>
      </c>
      <c r="BG431" s="190" t="str">
        <f t="shared" si="210"/>
        <v>NO</v>
      </c>
      <c r="BH431" s="88"/>
      <c r="BI431" s="9"/>
      <c r="BJ431" s="694" t="str">
        <f t="shared" si="224"/>
        <v/>
      </c>
      <c r="BK431" s="694">
        <f t="shared" si="224"/>
        <v>1.8751800000000001</v>
      </c>
      <c r="BL431" s="694" t="str">
        <f t="shared" si="225"/>
        <v/>
      </c>
      <c r="BM431" s="694">
        <f t="shared" si="225"/>
        <v>4.0091599999999996</v>
      </c>
      <c r="BN431" s="88"/>
      <c r="BO431" s="195"/>
      <c r="BP431" s="195"/>
      <c r="BQ431" s="195"/>
      <c r="BR431" s="195"/>
      <c r="BS431" s="195"/>
      <c r="BT431" s="195"/>
      <c r="BU431" s="195"/>
      <c r="BV431" s="195"/>
      <c r="BW431" s="195"/>
      <c r="BX431" s="195"/>
    </row>
    <row r="432" spans="1:76" s="124" customFormat="1" ht="15">
      <c r="A432" s="187">
        <v>829</v>
      </c>
      <c r="B432" s="187" t="s">
        <v>625</v>
      </c>
      <c r="C432" s="187" t="s">
        <v>625</v>
      </c>
      <c r="D432" s="187" t="s">
        <v>777</v>
      </c>
      <c r="E432" s="187" t="s">
        <v>385</v>
      </c>
      <c r="F432" s="187" t="s">
        <v>386</v>
      </c>
      <c r="G432" s="187" t="s">
        <v>387</v>
      </c>
      <c r="H432" s="187" t="b">
        <v>0</v>
      </c>
      <c r="I432" s="187" t="s">
        <v>388</v>
      </c>
      <c r="J432" s="187" t="s">
        <v>389</v>
      </c>
      <c r="K432" s="187" t="b">
        <v>1</v>
      </c>
      <c r="L432" s="187">
        <v>3.8</v>
      </c>
      <c r="M432" s="187">
        <v>0.35</v>
      </c>
      <c r="N432" s="187">
        <v>13.4</v>
      </c>
      <c r="O432" s="187">
        <v>3.5</v>
      </c>
      <c r="P432" s="187">
        <v>3.03</v>
      </c>
      <c r="Q432" s="187"/>
      <c r="R432" s="187"/>
      <c r="S432" s="187"/>
      <c r="T432" s="187"/>
      <c r="U432" s="187">
        <v>38.299999999999997</v>
      </c>
      <c r="V432" s="187">
        <v>2.52</v>
      </c>
      <c r="W432" s="188">
        <v>39968</v>
      </c>
      <c r="X432" s="691">
        <f t="shared" si="195"/>
        <v>2.13124</v>
      </c>
      <c r="Y432" s="691">
        <f t="shared" si="203"/>
        <v>3.7018999999999997</v>
      </c>
      <c r="Z432" s="189"/>
      <c r="AA432" s="190">
        <f t="shared" si="211"/>
        <v>2009</v>
      </c>
      <c r="AB432" s="191">
        <f t="shared" si="212"/>
        <v>1.7829995683264201</v>
      </c>
      <c r="AC432" s="192">
        <f>IF(AB432="","",AB432*SFAssumptions!$C$3)</f>
        <v>457.71970308365081</v>
      </c>
      <c r="AD432" s="193">
        <f t="shared" si="213"/>
        <v>14.067219999999999</v>
      </c>
      <c r="AE432" s="194">
        <f>IF(AD432="","",AD432*SFAssumptions!$C$3)</f>
        <v>3611.2424680259996</v>
      </c>
      <c r="AF432" s="192">
        <f t="shared" si="202"/>
        <v>3.8</v>
      </c>
      <c r="AG432" s="192">
        <f t="shared" si="214"/>
        <v>3.7018999999999997</v>
      </c>
      <c r="AH432" s="192">
        <f t="shared" si="215"/>
        <v>2.13124</v>
      </c>
      <c r="AI432" s="692">
        <f ca="1">IF(AC432="","",AC432*SFAssumptions!$C$8/'SavingsData&amp;Analysis'!AF432)</f>
        <v>454.95017357017872</v>
      </c>
      <c r="AJ432" s="692">
        <f ca="1">IF(OR(AE432="",AF432=""),"",AE432*SFAssumptions!$C$8/AF432)</f>
        <v>3589.391884517966</v>
      </c>
      <c r="AK432" s="191">
        <f t="shared" si="216"/>
        <v>1.5079365079365079</v>
      </c>
      <c r="AL432" s="692">
        <f>IF(AK432="","",AK432*SFAssumptions!$C$3)</f>
        <v>387.10735714285715</v>
      </c>
      <c r="AM432" s="193">
        <f t="shared" si="217"/>
        <v>13.299999999999999</v>
      </c>
      <c r="AN432" s="194">
        <f>IF(AM432="","",AM432*SFAssumptions!$C$3)</f>
        <v>3414.2868899999999</v>
      </c>
      <c r="AO432" s="693">
        <f t="shared" si="218"/>
        <v>3.5</v>
      </c>
      <c r="AP432" s="693">
        <f t="shared" si="219"/>
        <v>2.52</v>
      </c>
      <c r="AQ432" s="692">
        <f ca="1">IF(AL432="","",AL432*SFAssumptions!$C$8/'SavingsData&amp;Analysis'!AF432)</f>
        <v>384.76508250782052</v>
      </c>
      <c r="AR432" s="692">
        <f ca="1">IF(OR(AN432="",AF432=""),"",AN432*SFAssumptions!$C$8/AF432)</f>
        <v>3393.6280277189767</v>
      </c>
      <c r="AS432" s="190" t="str">
        <f>IF(OR(AG432="",AH432=""),"No",IF(AND(G432="Horizontal",AH432&gt;='Eff. Standards &amp; Certifications'!$B$21,AG432&lt;='Eff. Standards &amp; Certifications'!$C$21),"Consider",IF(AND(G432="Vertical",AH432&gt;='Eff. Standards &amp; Certifications'!$B$20,AG432&lt;='Eff. Standards &amp; Certifications'!$C$20),"Consider","No")))</f>
        <v>Consider</v>
      </c>
      <c r="AT432" s="190" t="str">
        <f t="shared" si="204"/>
        <v>Residential</v>
      </c>
      <c r="AU432" s="190"/>
      <c r="AV432" s="190" t="str">
        <f t="shared" si="223"/>
        <v>NO</v>
      </c>
      <c r="AW432" s="190" t="str">
        <f t="shared" si="223"/>
        <v>YES</v>
      </c>
      <c r="AX432" s="190" t="str">
        <f t="shared" si="220"/>
        <v>YES</v>
      </c>
      <c r="AY432" s="190" t="str">
        <f t="shared" si="205"/>
        <v>NO</v>
      </c>
      <c r="AZ432" s="190" t="str">
        <f t="shared" si="205"/>
        <v>YES</v>
      </c>
      <c r="BA432" s="190" t="str">
        <f t="shared" si="221"/>
        <v>YES</v>
      </c>
      <c r="BB432" s="190" t="str">
        <f t="shared" si="206"/>
        <v>NO</v>
      </c>
      <c r="BC432" s="190" t="str">
        <f t="shared" si="207"/>
        <v>NO</v>
      </c>
      <c r="BD432" s="190" t="str">
        <f t="shared" si="222"/>
        <v>NO</v>
      </c>
      <c r="BE432" s="190" t="str">
        <f t="shared" si="208"/>
        <v>NO</v>
      </c>
      <c r="BF432" s="190" t="str">
        <f t="shared" si="209"/>
        <v>NO</v>
      </c>
      <c r="BG432" s="190" t="str">
        <f t="shared" si="210"/>
        <v>NO</v>
      </c>
      <c r="BH432" s="88"/>
      <c r="BI432" s="9"/>
      <c r="BJ432" s="694" t="str">
        <f t="shared" si="224"/>
        <v/>
      </c>
      <c r="BK432" s="694">
        <f t="shared" si="224"/>
        <v>2.13124</v>
      </c>
      <c r="BL432" s="694" t="str">
        <f t="shared" si="225"/>
        <v/>
      </c>
      <c r="BM432" s="694">
        <f t="shared" si="225"/>
        <v>3.7018999999999997</v>
      </c>
      <c r="BN432" s="88"/>
      <c r="BO432" s="195"/>
      <c r="BP432" s="195"/>
      <c r="BQ432" s="195"/>
      <c r="BR432" s="195"/>
      <c r="BS432" s="195"/>
      <c r="BT432" s="195"/>
      <c r="BU432" s="195"/>
      <c r="BV432" s="195"/>
      <c r="BW432" s="195"/>
      <c r="BX432" s="195"/>
    </row>
    <row r="433" spans="1:76" s="124" customFormat="1" ht="15">
      <c r="A433" s="187">
        <v>6843</v>
      </c>
      <c r="B433" s="187" t="s">
        <v>625</v>
      </c>
      <c r="C433" s="187" t="s">
        <v>625</v>
      </c>
      <c r="D433" s="187" t="s">
        <v>1350</v>
      </c>
      <c r="E433" s="187" t="s">
        <v>385</v>
      </c>
      <c r="F433" s="187" t="s">
        <v>386</v>
      </c>
      <c r="G433" s="187" t="s">
        <v>387</v>
      </c>
      <c r="H433" s="187" t="b">
        <v>0</v>
      </c>
      <c r="I433" s="187" t="s">
        <v>388</v>
      </c>
      <c r="J433" s="187" t="s">
        <v>389</v>
      </c>
      <c r="K433" s="187" t="b">
        <v>1</v>
      </c>
      <c r="L433" s="187">
        <v>3.9</v>
      </c>
      <c r="M433" s="187">
        <v>0.33</v>
      </c>
      <c r="N433" s="187">
        <v>10.38</v>
      </c>
      <c r="O433" s="187">
        <v>2.8</v>
      </c>
      <c r="P433" s="187">
        <v>11.81</v>
      </c>
      <c r="Q433" s="187"/>
      <c r="R433" s="187"/>
      <c r="S433" s="187"/>
      <c r="T433" s="187"/>
      <c r="U433" s="187">
        <v>35.799999999999997</v>
      </c>
      <c r="V433" s="187">
        <v>2.65</v>
      </c>
      <c r="W433" s="188">
        <v>41989</v>
      </c>
      <c r="X433" s="691">
        <f t="shared" si="195"/>
        <v>2.2501249999999997</v>
      </c>
      <c r="Y433" s="691">
        <f t="shared" si="203"/>
        <v>2.9849599999999996</v>
      </c>
      <c r="Z433" s="198"/>
      <c r="AA433" s="190">
        <f t="shared" si="211"/>
        <v>2014</v>
      </c>
      <c r="AB433" s="191">
        <f t="shared" si="212"/>
        <v>1.7332370423865342</v>
      </c>
      <c r="AC433" s="192">
        <f>IF(AB433="","",AB433*SFAssumptions!$C$3)</f>
        <v>444.94500083328705</v>
      </c>
      <c r="AD433" s="193">
        <f t="shared" si="213"/>
        <v>11.641343999999998</v>
      </c>
      <c r="AE433" s="194">
        <f>IF(AD433="","",AD433*SFAssumptions!$C$3)</f>
        <v>2988.4878346751998</v>
      </c>
      <c r="AF433" s="192">
        <f t="shared" si="202"/>
        <v>3.9</v>
      </c>
      <c r="AG433" s="192">
        <f t="shared" si="214"/>
        <v>2.9849599999999996</v>
      </c>
      <c r="AH433" s="192">
        <f t="shared" si="215"/>
        <v>2.2501249999999997</v>
      </c>
      <c r="AI433" s="692">
        <f ca="1">IF(AC433="","",AC433*SFAssumptions!$C$8/'SavingsData&amp;Analysis'!AF433)</f>
        <v>430.91295280027009</v>
      </c>
      <c r="AJ433" s="692">
        <f ca="1">IF(OR(AE433="",AF433=""),"",AE433*SFAssumptions!$C$8/AF433)</f>
        <v>2894.2411193200105</v>
      </c>
      <c r="AK433" s="191">
        <f t="shared" si="216"/>
        <v>1.4716981132075473</v>
      </c>
      <c r="AL433" s="692">
        <f>IF(AK433="","",AK433*SFAssumptions!$C$3)</f>
        <v>377.80447924528306</v>
      </c>
      <c r="AM433" s="193">
        <f t="shared" si="217"/>
        <v>10.92</v>
      </c>
      <c r="AN433" s="194">
        <f>IF(AM433="","",AM433*SFAssumptions!$C$3)</f>
        <v>2803.3092360000001</v>
      </c>
      <c r="AO433" s="693">
        <f t="shared" si="218"/>
        <v>2.8</v>
      </c>
      <c r="AP433" s="693">
        <f t="shared" si="219"/>
        <v>2.65</v>
      </c>
      <c r="AQ433" s="692">
        <f ca="1">IF(AL433="","",AL433*SFAssumptions!$C$8/'SavingsData&amp;Analysis'!AF433)</f>
        <v>365.8898143093237</v>
      </c>
      <c r="AR433" s="692">
        <f ca="1">IF(OR(AN433="",AF433=""),"",AN433*SFAssumptions!$C$8/AF433)</f>
        <v>2714.9024221751815</v>
      </c>
      <c r="AS433" s="190" t="str">
        <f>IF(OR(AG433="",AH433=""),"No",IF(AND(G433="Horizontal",AH433&gt;='Eff. Standards &amp; Certifications'!$B$21,AG433&lt;='Eff. Standards &amp; Certifications'!$C$21),"Consider",IF(AND(G433="Vertical",AH433&gt;='Eff. Standards &amp; Certifications'!$B$20,AG433&lt;='Eff. Standards &amp; Certifications'!$C$20),"Consider","No")))</f>
        <v>Consider</v>
      </c>
      <c r="AT433" s="190" t="str">
        <f t="shared" si="204"/>
        <v>Residential</v>
      </c>
      <c r="AU433" s="190"/>
      <c r="AV433" s="190" t="str">
        <f t="shared" si="223"/>
        <v>NO</v>
      </c>
      <c r="AW433" s="190" t="str">
        <f t="shared" si="223"/>
        <v>YES</v>
      </c>
      <c r="AX433" s="190" t="str">
        <f t="shared" si="220"/>
        <v>YES</v>
      </c>
      <c r="AY433" s="190" t="str">
        <f t="shared" si="205"/>
        <v>NO</v>
      </c>
      <c r="AZ433" s="190" t="str">
        <f t="shared" si="205"/>
        <v>YES</v>
      </c>
      <c r="BA433" s="190" t="str">
        <f t="shared" si="221"/>
        <v>YES</v>
      </c>
      <c r="BB433" s="190" t="str">
        <f t="shared" si="206"/>
        <v>NO</v>
      </c>
      <c r="BC433" s="190" t="str">
        <f t="shared" si="207"/>
        <v>NO</v>
      </c>
      <c r="BD433" s="190" t="str">
        <f t="shared" si="222"/>
        <v>NO</v>
      </c>
      <c r="BE433" s="190" t="str">
        <f t="shared" si="208"/>
        <v>NO</v>
      </c>
      <c r="BF433" s="190" t="str">
        <f t="shared" si="209"/>
        <v>NO</v>
      </c>
      <c r="BG433" s="190" t="str">
        <f t="shared" si="210"/>
        <v>NO</v>
      </c>
      <c r="BH433" s="88"/>
      <c r="BI433" s="9"/>
      <c r="BJ433" s="694" t="str">
        <f t="shared" si="224"/>
        <v/>
      </c>
      <c r="BK433" s="694">
        <f t="shared" si="224"/>
        <v>2.2501249999999997</v>
      </c>
      <c r="BL433" s="694" t="str">
        <f t="shared" si="225"/>
        <v/>
      </c>
      <c r="BM433" s="694">
        <f t="shared" si="225"/>
        <v>2.9849599999999996</v>
      </c>
      <c r="BN433" s="88"/>
      <c r="BO433" s="195"/>
      <c r="BP433" s="195"/>
      <c r="BQ433" s="195"/>
      <c r="BR433" s="195"/>
      <c r="BS433" s="195"/>
      <c r="BT433" s="195"/>
      <c r="BU433" s="195"/>
      <c r="BV433" s="195"/>
      <c r="BW433" s="195"/>
      <c r="BX433" s="195"/>
    </row>
    <row r="434" spans="1:76" s="124" customFormat="1" ht="15">
      <c r="A434" s="187">
        <v>3418</v>
      </c>
      <c r="B434" s="187" t="s">
        <v>625</v>
      </c>
      <c r="C434" s="187" t="s">
        <v>625</v>
      </c>
      <c r="D434" s="187" t="s">
        <v>778</v>
      </c>
      <c r="E434" s="187" t="s">
        <v>385</v>
      </c>
      <c r="F434" s="187" t="s">
        <v>386</v>
      </c>
      <c r="G434" s="187" t="s">
        <v>387</v>
      </c>
      <c r="H434" s="187" t="b">
        <v>0</v>
      </c>
      <c r="I434" s="187" t="s">
        <v>388</v>
      </c>
      <c r="J434" s="187" t="s">
        <v>389</v>
      </c>
      <c r="K434" s="187" t="b">
        <v>1</v>
      </c>
      <c r="L434" s="187">
        <v>3.8</v>
      </c>
      <c r="M434" s="187">
        <v>0.37</v>
      </c>
      <c r="N434" s="187">
        <v>14.56</v>
      </c>
      <c r="O434" s="187">
        <v>3.8</v>
      </c>
      <c r="P434" s="187">
        <v>10.3</v>
      </c>
      <c r="Q434" s="187"/>
      <c r="R434" s="187"/>
      <c r="S434" s="187"/>
      <c r="T434" s="187"/>
      <c r="U434" s="187">
        <v>39.9</v>
      </c>
      <c r="V434" s="187">
        <v>2.41</v>
      </c>
      <c r="W434" s="188">
        <v>39660</v>
      </c>
      <c r="X434" s="691">
        <f t="shared" si="195"/>
        <v>2.0306449999999998</v>
      </c>
      <c r="Y434" s="691">
        <f t="shared" si="203"/>
        <v>4.0091599999999996</v>
      </c>
      <c r="Z434" s="198"/>
      <c r="AA434" s="190">
        <f t="shared" si="211"/>
        <v>2008</v>
      </c>
      <c r="AB434" s="191">
        <f t="shared" si="212"/>
        <v>1.8713265981990945</v>
      </c>
      <c r="AC434" s="192">
        <f>IF(AB434="","",AB434*SFAssumptions!$C$3)</f>
        <v>480.39442640146365</v>
      </c>
      <c r="AD434" s="193">
        <f t="shared" si="213"/>
        <v>15.234807999999997</v>
      </c>
      <c r="AE434" s="194">
        <f>IF(AD434="","",AD434*SFAssumptions!$C$3)</f>
        <v>3910.9778365463994</v>
      </c>
      <c r="AF434" s="192">
        <f t="shared" si="202"/>
        <v>3.8</v>
      </c>
      <c r="AG434" s="192">
        <f t="shared" si="214"/>
        <v>4.0091599999999996</v>
      </c>
      <c r="AH434" s="192">
        <f t="shared" si="215"/>
        <v>2.0306449999999998</v>
      </c>
      <c r="AI434" s="692">
        <f ca="1">IF(AC434="","",AC434*SFAssumptions!$C$8/'SavingsData&amp;Analysis'!AF434)</f>
        <v>477.48769869657565</v>
      </c>
      <c r="AJ434" s="692">
        <f ca="1">IF(OR(AE434="",AF434=""),"",AE434*SFAssumptions!$C$8/AF434)</f>
        <v>3887.313641031375</v>
      </c>
      <c r="AK434" s="191">
        <f t="shared" si="216"/>
        <v>1.5767634854771782</v>
      </c>
      <c r="AL434" s="692">
        <f>IF(AK434="","",AK434*SFAssumptions!$C$3)</f>
        <v>404.77615767634848</v>
      </c>
      <c r="AM434" s="193">
        <f t="shared" si="217"/>
        <v>14.44</v>
      </c>
      <c r="AN434" s="194">
        <f>IF(AM434="","",AM434*SFAssumptions!$C$3)</f>
        <v>3706.9400519999999</v>
      </c>
      <c r="AO434" s="693">
        <f t="shared" si="218"/>
        <v>3.8</v>
      </c>
      <c r="AP434" s="693">
        <f t="shared" si="219"/>
        <v>2.41</v>
      </c>
      <c r="AQ434" s="692">
        <f ca="1">IF(AL434="","",AL434*SFAssumptions!$C$8/'SavingsData&amp;Analysis'!AF434)</f>
        <v>402.32697424054254</v>
      </c>
      <c r="AR434" s="692">
        <f ca="1">IF(OR(AN434="",AF434=""),"",AN434*SFAssumptions!$C$8/AF434)</f>
        <v>3684.5104300948897</v>
      </c>
      <c r="AS434" s="190" t="str">
        <f>IF(OR(AG434="",AH434=""),"No",IF(AND(G434="Horizontal",AH434&gt;='Eff. Standards &amp; Certifications'!$B$21,AG434&lt;='Eff. Standards &amp; Certifications'!$C$21),"Consider",IF(AND(G434="Vertical",AH434&gt;='Eff. Standards &amp; Certifications'!$B$20,AG434&lt;='Eff. Standards &amp; Certifications'!$C$20),"Consider","No")))</f>
        <v>Consider</v>
      </c>
      <c r="AT434" s="190" t="str">
        <f t="shared" si="204"/>
        <v>Residential</v>
      </c>
      <c r="AU434" s="190"/>
      <c r="AV434" s="190" t="str">
        <f t="shared" si="223"/>
        <v>NO</v>
      </c>
      <c r="AW434" s="190" t="str">
        <f t="shared" si="223"/>
        <v>YES</v>
      </c>
      <c r="AX434" s="190" t="str">
        <f t="shared" si="220"/>
        <v>YES</v>
      </c>
      <c r="AY434" s="190" t="str">
        <f t="shared" si="205"/>
        <v>NO</v>
      </c>
      <c r="AZ434" s="190" t="str">
        <f t="shared" si="205"/>
        <v>YES</v>
      </c>
      <c r="BA434" s="190" t="str">
        <f t="shared" si="221"/>
        <v>YES</v>
      </c>
      <c r="BB434" s="190" t="str">
        <f t="shared" si="206"/>
        <v>NO</v>
      </c>
      <c r="BC434" s="190" t="str">
        <f t="shared" si="207"/>
        <v>NO</v>
      </c>
      <c r="BD434" s="190" t="str">
        <f t="shared" si="222"/>
        <v>NO</v>
      </c>
      <c r="BE434" s="190" t="str">
        <f t="shared" si="208"/>
        <v>NO</v>
      </c>
      <c r="BF434" s="190" t="str">
        <f t="shared" si="209"/>
        <v>NO</v>
      </c>
      <c r="BG434" s="190" t="str">
        <f t="shared" si="210"/>
        <v>NO</v>
      </c>
      <c r="BH434" s="88"/>
      <c r="BI434" s="9"/>
      <c r="BJ434" s="694" t="str">
        <f t="shared" si="224"/>
        <v/>
      </c>
      <c r="BK434" s="694">
        <f t="shared" si="224"/>
        <v>2.0306449999999998</v>
      </c>
      <c r="BL434" s="694" t="str">
        <f t="shared" si="225"/>
        <v/>
      </c>
      <c r="BM434" s="694">
        <f t="shared" si="225"/>
        <v>4.0091599999999996</v>
      </c>
      <c r="BN434" s="88"/>
      <c r="BO434" s="195"/>
      <c r="BP434" s="195"/>
      <c r="BQ434" s="195"/>
      <c r="BR434" s="195"/>
      <c r="BS434" s="195"/>
      <c r="BT434" s="195"/>
      <c r="BU434" s="195"/>
      <c r="BV434" s="195"/>
      <c r="BW434" s="195"/>
      <c r="BX434" s="195"/>
    </row>
    <row r="435" spans="1:76" s="124" customFormat="1" ht="15">
      <c r="A435" s="187">
        <v>4601</v>
      </c>
      <c r="B435" s="187" t="s">
        <v>625</v>
      </c>
      <c r="C435" s="187" t="s">
        <v>625</v>
      </c>
      <c r="D435" s="187" t="s">
        <v>779</v>
      </c>
      <c r="E435" s="187" t="s">
        <v>385</v>
      </c>
      <c r="F435" s="187" t="s">
        <v>386</v>
      </c>
      <c r="G435" s="187" t="s">
        <v>387</v>
      </c>
      <c r="H435" s="187" t="b">
        <v>0</v>
      </c>
      <c r="I435" s="187" t="s">
        <v>388</v>
      </c>
      <c r="J435" s="187" t="s">
        <v>389</v>
      </c>
      <c r="K435" s="187" t="b">
        <v>1</v>
      </c>
      <c r="L435" s="187">
        <v>4.3</v>
      </c>
      <c r="M435" s="187">
        <v>0.28999999999999998</v>
      </c>
      <c r="N435" s="187">
        <v>11.49</v>
      </c>
      <c r="O435" s="187">
        <v>2.7</v>
      </c>
      <c r="P435" s="187">
        <v>14.85</v>
      </c>
      <c r="Q435" s="187"/>
      <c r="R435" s="187"/>
      <c r="S435" s="187"/>
      <c r="T435" s="187"/>
      <c r="U435" s="187">
        <v>29.8</v>
      </c>
      <c r="V435" s="187">
        <v>3.35</v>
      </c>
      <c r="W435" s="188">
        <v>40406</v>
      </c>
      <c r="X435" s="691">
        <f t="shared" si="195"/>
        <v>2.8902749999999999</v>
      </c>
      <c r="Y435" s="691">
        <f t="shared" si="203"/>
        <v>2.8825400000000001</v>
      </c>
      <c r="Z435" s="198"/>
      <c r="AA435" s="190">
        <f t="shared" si="211"/>
        <v>2010</v>
      </c>
      <c r="AB435" s="191">
        <f t="shared" si="212"/>
        <v>1.4877477056681458</v>
      </c>
      <c r="AC435" s="192">
        <f>IF(AB435="","",AB435*SFAssumptions!$C$3)</f>
        <v>381.92462308949843</v>
      </c>
      <c r="AD435" s="193">
        <f t="shared" si="213"/>
        <v>12.394921999999999</v>
      </c>
      <c r="AE435" s="194">
        <f>IF(AD435="","",AD435*SFAssumptions!$C$3)</f>
        <v>3181.9413298626</v>
      </c>
      <c r="AF435" s="192">
        <f t="shared" si="202"/>
        <v>4.3</v>
      </c>
      <c r="AG435" s="192">
        <f t="shared" si="214"/>
        <v>2.8825400000000001</v>
      </c>
      <c r="AH435" s="192">
        <f t="shared" si="215"/>
        <v>2.8902749999999999</v>
      </c>
      <c r="AI435" s="692">
        <f ca="1">IF(AC435="","",AC435*SFAssumptions!$C$8/'SavingsData&amp;Analysis'!AF435)</f>
        <v>335.47257887907131</v>
      </c>
      <c r="AJ435" s="692">
        <f ca="1">IF(OR(AE435="",AF435=""),"",AE435*SFAssumptions!$C$8/AF435)</f>
        <v>2794.9338671488745</v>
      </c>
      <c r="AK435" s="191">
        <f t="shared" si="216"/>
        <v>1.2835820895522387</v>
      </c>
      <c r="AL435" s="692">
        <f>IF(AK435="","",AK435*SFAssumptions!$C$3)</f>
        <v>329.51259402985073</v>
      </c>
      <c r="AM435" s="193">
        <f t="shared" si="217"/>
        <v>11.61</v>
      </c>
      <c r="AN435" s="194">
        <f>IF(AM435="","",AM435*SFAssumptions!$C$3)</f>
        <v>2980.441413</v>
      </c>
      <c r="AO435" s="693">
        <f t="shared" si="218"/>
        <v>2.7</v>
      </c>
      <c r="AP435" s="693">
        <f t="shared" si="219"/>
        <v>3.35</v>
      </c>
      <c r="AQ435" s="692">
        <f ca="1">IF(AL435="","",AL435*SFAssumptions!$C$8/'SavingsData&amp;Analysis'!AF435)</f>
        <v>289.43522624468886</v>
      </c>
      <c r="AR435" s="692">
        <f ca="1">IF(OR(AN435="",AF435=""),"",AN435*SFAssumptions!$C$8/AF435)</f>
        <v>2617.941621383211</v>
      </c>
      <c r="AS435" s="190" t="str">
        <f>IF(OR(AG435="",AH435=""),"No",IF(AND(G435="Horizontal",AH435&gt;='Eff. Standards &amp; Certifications'!$B$21,AG435&lt;='Eff. Standards &amp; Certifications'!$C$21),"Consider",IF(AND(G435="Vertical",AH435&gt;='Eff. Standards &amp; Certifications'!$B$20,AG435&lt;='Eff. Standards &amp; Certifications'!$C$20),"Consider","No")))</f>
        <v>Consider</v>
      </c>
      <c r="AT435" s="190" t="str">
        <f t="shared" si="204"/>
        <v>Residential</v>
      </c>
      <c r="AU435" s="190"/>
      <c r="AV435" s="190" t="str">
        <f t="shared" si="223"/>
        <v>NO</v>
      </c>
      <c r="AW435" s="190" t="str">
        <f t="shared" si="223"/>
        <v>YES</v>
      </c>
      <c r="AX435" s="190" t="str">
        <f t="shared" si="220"/>
        <v>YES</v>
      </c>
      <c r="AY435" s="190" t="str">
        <f t="shared" si="205"/>
        <v>NO</v>
      </c>
      <c r="AZ435" s="190" t="str">
        <f t="shared" si="205"/>
        <v>NO</v>
      </c>
      <c r="BA435" s="190" t="str">
        <f t="shared" si="221"/>
        <v>NO</v>
      </c>
      <c r="BB435" s="190" t="str">
        <f t="shared" si="206"/>
        <v>NO</v>
      </c>
      <c r="BC435" s="190" t="str">
        <f t="shared" si="207"/>
        <v>YES</v>
      </c>
      <c r="BD435" s="190" t="str">
        <f t="shared" si="222"/>
        <v>YES</v>
      </c>
      <c r="BE435" s="190" t="str">
        <f t="shared" si="208"/>
        <v>NO</v>
      </c>
      <c r="BF435" s="190" t="str">
        <f t="shared" si="209"/>
        <v>YES</v>
      </c>
      <c r="BG435" s="190" t="str">
        <f t="shared" si="210"/>
        <v>NO</v>
      </c>
      <c r="BH435" s="88"/>
      <c r="BI435" s="9"/>
      <c r="BJ435" s="694" t="str">
        <f t="shared" si="224"/>
        <v/>
      </c>
      <c r="BK435" s="694">
        <f t="shared" si="224"/>
        <v>2.8902749999999999</v>
      </c>
      <c r="BL435" s="694" t="str">
        <f t="shared" si="225"/>
        <v/>
      </c>
      <c r="BM435" s="694">
        <f t="shared" si="225"/>
        <v>2.8825400000000001</v>
      </c>
      <c r="BN435" s="88"/>
      <c r="BO435" s="195"/>
      <c r="BP435" s="195"/>
      <c r="BQ435" s="195"/>
      <c r="BR435" s="195"/>
      <c r="BS435" s="195"/>
      <c r="BT435" s="195"/>
      <c r="BU435" s="195"/>
      <c r="BV435" s="195"/>
      <c r="BW435" s="195"/>
      <c r="BX435" s="195"/>
    </row>
    <row r="436" spans="1:76" s="124" customFormat="1" ht="15">
      <c r="A436" s="187">
        <v>4602</v>
      </c>
      <c r="B436" s="187" t="s">
        <v>625</v>
      </c>
      <c r="C436" s="187" t="s">
        <v>625</v>
      </c>
      <c r="D436" s="187" t="s">
        <v>780</v>
      </c>
      <c r="E436" s="187" t="s">
        <v>392</v>
      </c>
      <c r="F436" s="187" t="s">
        <v>386</v>
      </c>
      <c r="G436" s="187" t="s">
        <v>393</v>
      </c>
      <c r="H436" s="187" t="b">
        <v>0</v>
      </c>
      <c r="I436" s="187" t="s">
        <v>388</v>
      </c>
      <c r="J436" s="187" t="s">
        <v>389</v>
      </c>
      <c r="K436" s="187" t="b">
        <v>1</v>
      </c>
      <c r="L436" s="187">
        <v>3.5</v>
      </c>
      <c r="M436" s="187">
        <v>0.99</v>
      </c>
      <c r="N436" s="187">
        <v>29.98</v>
      </c>
      <c r="O436" s="187">
        <v>8.6</v>
      </c>
      <c r="P436" s="187">
        <v>3.55</v>
      </c>
      <c r="Q436" s="187"/>
      <c r="R436" s="187"/>
      <c r="S436" s="187"/>
      <c r="T436" s="187"/>
      <c r="U436" s="187">
        <v>51.1</v>
      </c>
      <c r="V436" s="187">
        <v>1.41</v>
      </c>
      <c r="W436" s="188">
        <v>40406</v>
      </c>
      <c r="X436" s="691">
        <f t="shared" ref="X436:X478" si="226">IF($V436="","",IF($G436="Horizontal",V436*slope_FrontLoad_MEF+int_FrontLoad_MEF,IF($G436="Vertical",V436*slope_TopLoad_MEF+int_TopLoad_MEF,"")))</f>
        <v>0.97959999999999992</v>
      </c>
      <c r="Y436" s="691">
        <f t="shared" si="203"/>
        <v>9.0326400000000007</v>
      </c>
      <c r="Z436" s="198"/>
      <c r="AA436" s="190">
        <f t="shared" si="211"/>
        <v>2010</v>
      </c>
      <c r="AB436" s="191">
        <f t="shared" si="212"/>
        <v>3.5728868926092288</v>
      </c>
      <c r="AC436" s="192">
        <f>IF(AB436="","",AB436*SFAssumptions!$C$3)</f>
        <v>917.20758472846069</v>
      </c>
      <c r="AD436" s="193">
        <f t="shared" si="213"/>
        <v>31.614240000000002</v>
      </c>
      <c r="AE436" s="194">
        <f>IF(AD436="","",AD436*SFAssumptions!$C$3)</f>
        <v>8115.7958773920009</v>
      </c>
      <c r="AF436" s="192">
        <f t="shared" si="202"/>
        <v>3.5</v>
      </c>
      <c r="AG436" s="192">
        <f t="shared" si="214"/>
        <v>9.0326400000000007</v>
      </c>
      <c r="AH436" s="192">
        <f t="shared" si="215"/>
        <v>0.97959999999999992</v>
      </c>
      <c r="AI436" s="692">
        <f ca="1">IF(AC436="","",AC436*SFAssumptions!$C$8/'SavingsData&amp;Analysis'!AF436)</f>
        <v>989.79992641864817</v>
      </c>
      <c r="AJ436" s="692">
        <f ca="1">IF(OR(AE436="",AF436=""),"",AE436*SFAssumptions!$C$8/AF436)</f>
        <v>8758.1200766558704</v>
      </c>
      <c r="AK436" s="191">
        <f t="shared" si="216"/>
        <v>2.4822695035460995</v>
      </c>
      <c r="AL436" s="692">
        <f>IF(AK436="","",AK436*SFAssumptions!$C$3)</f>
        <v>637.23159574468093</v>
      </c>
      <c r="AM436" s="193">
        <f t="shared" si="217"/>
        <v>30.099999999999998</v>
      </c>
      <c r="AN436" s="194">
        <f>IF(AM436="","",AM436*SFAssumptions!$C$3)</f>
        <v>7727.0703299999996</v>
      </c>
      <c r="AO436" s="693">
        <f t="shared" si="218"/>
        <v>8.6</v>
      </c>
      <c r="AP436" s="693">
        <f t="shared" si="219"/>
        <v>1.41</v>
      </c>
      <c r="AQ436" s="692">
        <f ca="1">IF(AL436="","",AL436*SFAssumptions!$C$8/'SavingsData&amp;Analysis'!AF436)</f>
        <v>687.66525384376439</v>
      </c>
      <c r="AR436" s="692">
        <f ca="1">IF(OR(AN436="",AF436=""),"",AN436*SFAssumptions!$C$8/AF436)</f>
        <v>8338.6288681094848</v>
      </c>
      <c r="AS436" s="190" t="str">
        <f>IF(OR(AG436="",AH436=""),"No",IF(AND(G436="Horizontal",AH436&gt;='Eff. Standards &amp; Certifications'!$B$21,AG436&lt;='Eff. Standards &amp; Certifications'!$C$21),"Consider",IF(AND(G436="Vertical",AH436&gt;='Eff. Standards &amp; Certifications'!$B$20,AG436&lt;='Eff. Standards &amp; Certifications'!$C$20),"Consider","No")))</f>
        <v>No</v>
      </c>
      <c r="AT436" s="190" t="str">
        <f t="shared" si="204"/>
        <v>Residential</v>
      </c>
      <c r="AU436" s="190"/>
      <c r="AV436" s="190" t="str">
        <f t="shared" si="223"/>
        <v>NO</v>
      </c>
      <c r="AW436" s="190" t="str">
        <f t="shared" si="223"/>
        <v>NO</v>
      </c>
      <c r="AX436" s="190" t="str">
        <f t="shared" si="220"/>
        <v>NO</v>
      </c>
      <c r="AY436" s="190" t="str">
        <f t="shared" si="205"/>
        <v>NO</v>
      </c>
      <c r="AZ436" s="190" t="str">
        <f t="shared" si="205"/>
        <v>NO</v>
      </c>
      <c r="BA436" s="190" t="str">
        <f t="shared" si="221"/>
        <v>NO</v>
      </c>
      <c r="BB436" s="190" t="str">
        <f t="shared" si="206"/>
        <v>NO</v>
      </c>
      <c r="BC436" s="190" t="str">
        <f t="shared" si="207"/>
        <v>NO</v>
      </c>
      <c r="BD436" s="190" t="str">
        <f t="shared" si="222"/>
        <v>NO</v>
      </c>
      <c r="BE436" s="190" t="str">
        <f t="shared" si="208"/>
        <v>NO</v>
      </c>
      <c r="BF436" s="190" t="str">
        <f t="shared" si="209"/>
        <v>NO</v>
      </c>
      <c r="BG436" s="190" t="str">
        <f t="shared" si="210"/>
        <v>NO</v>
      </c>
      <c r="BH436" s="88"/>
      <c r="BI436" s="9"/>
      <c r="BJ436" s="694" t="str">
        <f t="shared" si="224"/>
        <v/>
      </c>
      <c r="BK436" s="694" t="str">
        <f t="shared" si="224"/>
        <v/>
      </c>
      <c r="BL436" s="694" t="str">
        <f t="shared" si="225"/>
        <v/>
      </c>
      <c r="BM436" s="694" t="str">
        <f t="shared" si="225"/>
        <v/>
      </c>
      <c r="BN436" s="88"/>
      <c r="BO436" s="195"/>
      <c r="BP436" s="195"/>
      <c r="BQ436" s="195"/>
      <c r="BR436" s="195"/>
      <c r="BS436" s="195"/>
      <c r="BT436" s="195"/>
      <c r="BU436" s="195"/>
      <c r="BV436" s="195"/>
      <c r="BW436" s="195"/>
      <c r="BX436" s="195"/>
    </row>
    <row r="437" spans="1:76" s="124" customFormat="1" ht="15">
      <c r="A437" s="187">
        <v>3410</v>
      </c>
      <c r="B437" s="187" t="s">
        <v>625</v>
      </c>
      <c r="C437" s="187" t="s">
        <v>625</v>
      </c>
      <c r="D437" s="187" t="s">
        <v>781</v>
      </c>
      <c r="E437" s="187" t="s">
        <v>392</v>
      </c>
      <c r="F437" s="187" t="s">
        <v>386</v>
      </c>
      <c r="G437" s="187" t="s">
        <v>393</v>
      </c>
      <c r="H437" s="187" t="b">
        <v>0</v>
      </c>
      <c r="I437" s="187" t="s">
        <v>388</v>
      </c>
      <c r="J437" s="187" t="s">
        <v>389</v>
      </c>
      <c r="K437" s="187" t="b">
        <v>1</v>
      </c>
      <c r="L437" s="187">
        <v>3.3</v>
      </c>
      <c r="M437" s="187">
        <v>0.93</v>
      </c>
      <c r="N437" s="187">
        <v>37.36</v>
      </c>
      <c r="O437" s="187">
        <v>11.5</v>
      </c>
      <c r="P437" s="187">
        <v>3.49</v>
      </c>
      <c r="Q437" s="187"/>
      <c r="R437" s="187"/>
      <c r="S437" s="187"/>
      <c r="T437" s="187"/>
      <c r="U437" s="187">
        <v>52.2</v>
      </c>
      <c r="V437" s="187">
        <v>1.4</v>
      </c>
      <c r="W437" s="188">
        <v>39660</v>
      </c>
      <c r="X437" s="691">
        <f t="shared" si="226"/>
        <v>0.9696999999999999</v>
      </c>
      <c r="Y437" s="691">
        <f t="shared" si="203"/>
        <v>11.900450000000001</v>
      </c>
      <c r="Z437" s="198"/>
      <c r="AA437" s="190">
        <f t="shared" si="211"/>
        <v>2008</v>
      </c>
      <c r="AB437" s="191">
        <f t="shared" si="212"/>
        <v>3.4031143652676086</v>
      </c>
      <c r="AC437" s="192">
        <f>IF(AB437="","",AB437*SFAssumptions!$C$3)</f>
        <v>873.62471898525314</v>
      </c>
      <c r="AD437" s="193">
        <f t="shared" si="213"/>
        <v>39.271484999999998</v>
      </c>
      <c r="AE437" s="194">
        <f>IF(AD437="","",AD437*SFAssumptions!$C$3)</f>
        <v>10081.512510250499</v>
      </c>
      <c r="AF437" s="192">
        <f t="shared" si="202"/>
        <v>3.3</v>
      </c>
      <c r="AG437" s="192">
        <f t="shared" si="214"/>
        <v>11.900450000000001</v>
      </c>
      <c r="AH437" s="192">
        <f t="shared" si="215"/>
        <v>0.9696999999999999</v>
      </c>
      <c r="AI437" s="692">
        <f ca="1">IF(AC437="","",AC437*SFAssumptions!$C$8/'SavingsData&amp;Analysis'!AF437)</f>
        <v>999.90513346365651</v>
      </c>
      <c r="AJ437" s="692">
        <f ca="1">IF(OR(AE437="",AF437=""),"",AE437*SFAssumptions!$C$8/AF437)</f>
        <v>11538.771617848084</v>
      </c>
      <c r="AK437" s="191">
        <f t="shared" si="216"/>
        <v>2.3571428571428572</v>
      </c>
      <c r="AL437" s="692">
        <f>IF(AK437="","",AK437*SFAssumptions!$C$3)</f>
        <v>605.10992142857151</v>
      </c>
      <c r="AM437" s="193">
        <f t="shared" si="217"/>
        <v>37.949999999999996</v>
      </c>
      <c r="AN437" s="194">
        <f>IF(AM437="","",AM437*SFAssumptions!$C$3)</f>
        <v>9742.2697349999999</v>
      </c>
      <c r="AO437" s="693">
        <f t="shared" si="218"/>
        <v>11.5</v>
      </c>
      <c r="AP437" s="693">
        <f t="shared" si="219"/>
        <v>1.4</v>
      </c>
      <c r="AQ437" s="692">
        <f ca="1">IF(AL437="","",AL437*SFAssumptions!$C$8/'SavingsData&amp;Analysis'!AF437)</f>
        <v>692.57714851407707</v>
      </c>
      <c r="AR437" s="692">
        <f ca="1">IF(OR(AN437="",AF437=""),"",AN437*SFAssumptions!$C$8/AF437)</f>
        <v>11150.49209107664</v>
      </c>
      <c r="AS437" s="190" t="str">
        <f>IF(OR(AG437="",AH437=""),"No",IF(AND(G437="Horizontal",AH437&gt;='Eff. Standards &amp; Certifications'!$B$21,AG437&lt;='Eff. Standards &amp; Certifications'!$C$21),"Consider",IF(AND(G437="Vertical",AH437&gt;='Eff. Standards &amp; Certifications'!$B$20,AG437&lt;='Eff. Standards &amp; Certifications'!$C$20),"Consider","No")))</f>
        <v>No</v>
      </c>
      <c r="AT437" s="190" t="str">
        <f t="shared" si="204"/>
        <v>Residential</v>
      </c>
      <c r="AU437" s="190"/>
      <c r="AV437" s="190" t="str">
        <f t="shared" si="223"/>
        <v>NO</v>
      </c>
      <c r="AW437" s="190" t="str">
        <f t="shared" si="223"/>
        <v>NO</v>
      </c>
      <c r="AX437" s="190" t="str">
        <f t="shared" si="220"/>
        <v>NO</v>
      </c>
      <c r="AY437" s="190" t="str">
        <f t="shared" si="205"/>
        <v>NO</v>
      </c>
      <c r="AZ437" s="190" t="str">
        <f t="shared" si="205"/>
        <v>NO</v>
      </c>
      <c r="BA437" s="190" t="str">
        <f t="shared" si="221"/>
        <v>NO</v>
      </c>
      <c r="BB437" s="190" t="str">
        <f t="shared" si="206"/>
        <v>NO</v>
      </c>
      <c r="BC437" s="190" t="str">
        <f t="shared" si="207"/>
        <v>NO</v>
      </c>
      <c r="BD437" s="190" t="str">
        <f t="shared" si="222"/>
        <v>NO</v>
      </c>
      <c r="BE437" s="190" t="str">
        <f t="shared" si="208"/>
        <v>NO</v>
      </c>
      <c r="BF437" s="190" t="str">
        <f t="shared" si="209"/>
        <v>NO</v>
      </c>
      <c r="BG437" s="190" t="str">
        <f t="shared" si="210"/>
        <v>NO</v>
      </c>
      <c r="BH437" s="88"/>
      <c r="BI437" s="9"/>
      <c r="BJ437" s="694" t="str">
        <f t="shared" si="224"/>
        <v/>
      </c>
      <c r="BK437" s="694" t="str">
        <f t="shared" si="224"/>
        <v/>
      </c>
      <c r="BL437" s="694" t="str">
        <f t="shared" si="225"/>
        <v/>
      </c>
      <c r="BM437" s="694" t="str">
        <f t="shared" si="225"/>
        <v/>
      </c>
      <c r="BN437" s="88"/>
      <c r="BO437" s="195"/>
      <c r="BP437" s="195"/>
      <c r="BQ437" s="195"/>
      <c r="BR437" s="195"/>
      <c r="BS437" s="195"/>
      <c r="BT437" s="195"/>
      <c r="BU437" s="195"/>
      <c r="BV437" s="195"/>
      <c r="BW437" s="195"/>
      <c r="BX437" s="195"/>
    </row>
    <row r="438" spans="1:76" s="124" customFormat="1" ht="15">
      <c r="A438" s="187">
        <v>3337</v>
      </c>
      <c r="B438" s="187" t="s">
        <v>625</v>
      </c>
      <c r="C438" s="187" t="s">
        <v>625</v>
      </c>
      <c r="D438" s="187" t="s">
        <v>782</v>
      </c>
      <c r="E438" s="187" t="s">
        <v>392</v>
      </c>
      <c r="F438" s="187" t="s">
        <v>386</v>
      </c>
      <c r="G438" s="187" t="s">
        <v>393</v>
      </c>
      <c r="H438" s="187" t="b">
        <v>0</v>
      </c>
      <c r="I438" s="187" t="s">
        <v>388</v>
      </c>
      <c r="J438" s="187" t="s">
        <v>389</v>
      </c>
      <c r="K438" s="187" t="b">
        <v>1</v>
      </c>
      <c r="L438" s="187">
        <v>3.5</v>
      </c>
      <c r="M438" s="187">
        <v>0.8</v>
      </c>
      <c r="N438" s="187">
        <v>34.68</v>
      </c>
      <c r="O438" s="187">
        <v>10</v>
      </c>
      <c r="P438" s="187">
        <v>4.33</v>
      </c>
      <c r="Q438" s="187"/>
      <c r="R438" s="187"/>
      <c r="S438" s="187"/>
      <c r="T438" s="187"/>
      <c r="U438" s="187">
        <v>55.5</v>
      </c>
      <c r="V438" s="187">
        <v>1.45</v>
      </c>
      <c r="W438" s="188">
        <v>39721</v>
      </c>
      <c r="X438" s="691">
        <f t="shared" si="226"/>
        <v>1.0192000000000001</v>
      </c>
      <c r="Y438" s="691">
        <f t="shared" si="203"/>
        <v>10.4171</v>
      </c>
      <c r="Z438" s="198"/>
      <c r="AA438" s="190">
        <f t="shared" si="211"/>
        <v>2008</v>
      </c>
      <c r="AB438" s="191">
        <f t="shared" si="212"/>
        <v>3.4340659340659339</v>
      </c>
      <c r="AC438" s="192">
        <f>IF(AB438="","",AB438*SFAssumptions!$C$3)</f>
        <v>881.57039835164835</v>
      </c>
      <c r="AD438" s="193">
        <f t="shared" si="213"/>
        <v>36.459849999999996</v>
      </c>
      <c r="AE438" s="194">
        <f>IF(AD438="","",AD438*SFAssumptions!$C$3)</f>
        <v>9359.7284110049986</v>
      </c>
      <c r="AF438" s="192">
        <f t="shared" si="202"/>
        <v>3.5</v>
      </c>
      <c r="AG438" s="192">
        <f t="shared" si="214"/>
        <v>10.4171</v>
      </c>
      <c r="AH438" s="192">
        <f t="shared" si="215"/>
        <v>1.0192000000000001</v>
      </c>
      <c r="AI438" s="692">
        <f ca="1">IF(AC438="","",AC438*SFAssumptions!$C$8/'SavingsData&amp;Analysis'!AF438)</f>
        <v>951.34223696988579</v>
      </c>
      <c r="AJ438" s="692">
        <f ca="1">IF(OR(AE438="",AF438=""),"",AE438*SFAssumptions!$C$8/AF438)</f>
        <v>10100.503579300386</v>
      </c>
      <c r="AK438" s="191">
        <f t="shared" si="216"/>
        <v>2.4137931034482758</v>
      </c>
      <c r="AL438" s="692">
        <f>IF(AK438="","",AK438*SFAssumptions!$C$3)</f>
        <v>619.65279310344829</v>
      </c>
      <c r="AM438" s="193">
        <f t="shared" si="217"/>
        <v>35</v>
      </c>
      <c r="AN438" s="194">
        <f>IF(AM438="","",AM438*SFAssumptions!$C$3)</f>
        <v>8984.9655000000002</v>
      </c>
      <c r="AO438" s="693">
        <f t="shared" si="218"/>
        <v>10</v>
      </c>
      <c r="AP438" s="693">
        <f t="shared" si="219"/>
        <v>1.45</v>
      </c>
      <c r="AQ438" s="692">
        <f ca="1">IF(AL438="","",AL438*SFAssumptions!$C$8/'SavingsData&amp;Analysis'!AF438)</f>
        <v>668.69517787566042</v>
      </c>
      <c r="AR438" s="692">
        <f ca="1">IF(OR(AN438="",AF438=""),"",AN438*SFAssumptions!$C$8/AF438)</f>
        <v>9696.0800791970778</v>
      </c>
      <c r="AS438" s="190" t="str">
        <f>IF(OR(AG438="",AH438=""),"No",IF(AND(G438="Horizontal",AH438&gt;='Eff. Standards &amp; Certifications'!$B$21,AG438&lt;='Eff. Standards &amp; Certifications'!$C$21),"Consider",IF(AND(G438="Vertical",AH438&gt;='Eff. Standards &amp; Certifications'!$B$20,AG438&lt;='Eff. Standards &amp; Certifications'!$C$20),"Consider","No")))</f>
        <v>No</v>
      </c>
      <c r="AT438" s="190" t="str">
        <f t="shared" si="204"/>
        <v>Residential</v>
      </c>
      <c r="AU438" s="190"/>
      <c r="AV438" s="190" t="str">
        <f t="shared" si="223"/>
        <v>NO</v>
      </c>
      <c r="AW438" s="190" t="str">
        <f t="shared" si="223"/>
        <v>NO</v>
      </c>
      <c r="AX438" s="190" t="str">
        <f t="shared" si="220"/>
        <v>NO</v>
      </c>
      <c r="AY438" s="190" t="str">
        <f t="shared" si="205"/>
        <v>NO</v>
      </c>
      <c r="AZ438" s="190" t="str">
        <f t="shared" si="205"/>
        <v>NO</v>
      </c>
      <c r="BA438" s="190" t="str">
        <f t="shared" si="221"/>
        <v>NO</v>
      </c>
      <c r="BB438" s="190" t="str">
        <f t="shared" si="206"/>
        <v>NO</v>
      </c>
      <c r="BC438" s="190" t="str">
        <f t="shared" si="207"/>
        <v>NO</v>
      </c>
      <c r="BD438" s="190" t="str">
        <f t="shared" si="222"/>
        <v>NO</v>
      </c>
      <c r="BE438" s="190" t="str">
        <f t="shared" si="208"/>
        <v>NO</v>
      </c>
      <c r="BF438" s="190" t="str">
        <f t="shared" si="209"/>
        <v>NO</v>
      </c>
      <c r="BG438" s="190" t="str">
        <f t="shared" si="210"/>
        <v>NO</v>
      </c>
      <c r="BH438" s="88"/>
      <c r="BI438" s="9"/>
      <c r="BJ438" s="694" t="str">
        <f t="shared" si="224"/>
        <v/>
      </c>
      <c r="BK438" s="694" t="str">
        <f t="shared" si="224"/>
        <v/>
      </c>
      <c r="BL438" s="694" t="str">
        <f t="shared" si="225"/>
        <v/>
      </c>
      <c r="BM438" s="694" t="str">
        <f t="shared" si="225"/>
        <v/>
      </c>
      <c r="BN438" s="88"/>
      <c r="BO438" s="195"/>
      <c r="BP438" s="195"/>
      <c r="BQ438" s="195"/>
      <c r="BR438" s="195"/>
      <c r="BS438" s="195"/>
      <c r="BT438" s="195"/>
      <c r="BU438" s="195"/>
      <c r="BV438" s="195"/>
      <c r="BW438" s="195"/>
      <c r="BX438" s="195"/>
    </row>
    <row r="439" spans="1:76" s="124" customFormat="1" ht="15">
      <c r="A439" s="187">
        <v>3338</v>
      </c>
      <c r="B439" s="187" t="s">
        <v>625</v>
      </c>
      <c r="C439" s="187" t="s">
        <v>625</v>
      </c>
      <c r="D439" s="187" t="s">
        <v>783</v>
      </c>
      <c r="E439" s="187" t="s">
        <v>392</v>
      </c>
      <c r="F439" s="187" t="s">
        <v>386</v>
      </c>
      <c r="G439" s="187" t="s">
        <v>393</v>
      </c>
      <c r="H439" s="187" t="b">
        <v>0</v>
      </c>
      <c r="I439" s="187" t="s">
        <v>388</v>
      </c>
      <c r="J439" s="187" t="s">
        <v>389</v>
      </c>
      <c r="K439" s="187" t="b">
        <v>1</v>
      </c>
      <c r="L439" s="187">
        <v>3.5</v>
      </c>
      <c r="M439" s="187">
        <v>0.81</v>
      </c>
      <c r="N439" s="187">
        <v>35.119999999999997</v>
      </c>
      <c r="O439" s="187">
        <v>10.199999999999999</v>
      </c>
      <c r="P439" s="187">
        <v>4.28</v>
      </c>
      <c r="Q439" s="187"/>
      <c r="R439" s="187"/>
      <c r="S439" s="187"/>
      <c r="T439" s="187"/>
      <c r="U439" s="187">
        <v>53.6</v>
      </c>
      <c r="V439" s="187">
        <v>1.48</v>
      </c>
      <c r="W439" s="188">
        <v>39721</v>
      </c>
      <c r="X439" s="691">
        <f t="shared" si="226"/>
        <v>1.0489000000000002</v>
      </c>
      <c r="Y439" s="691">
        <f t="shared" si="203"/>
        <v>10.614879999999999</v>
      </c>
      <c r="Z439" s="198"/>
      <c r="AA439" s="190">
        <f t="shared" si="211"/>
        <v>2008</v>
      </c>
      <c r="AB439" s="191">
        <f t="shared" si="212"/>
        <v>3.3368290590142049</v>
      </c>
      <c r="AC439" s="192">
        <f>IF(AB439="","",AB439*SFAssumptions!$C$3)</f>
        <v>856.60839927543134</v>
      </c>
      <c r="AD439" s="193">
        <f t="shared" si="213"/>
        <v>37.152079999999998</v>
      </c>
      <c r="AE439" s="194">
        <f>IF(AD439="","",AD439*SFAssumptions!$C$3)</f>
        <v>9537.433058663999</v>
      </c>
      <c r="AF439" s="192">
        <f t="shared" si="202"/>
        <v>3.5</v>
      </c>
      <c r="AG439" s="192">
        <f t="shared" si="214"/>
        <v>10.614879999999999</v>
      </c>
      <c r="AH439" s="192">
        <f t="shared" si="215"/>
        <v>1.0489000000000002</v>
      </c>
      <c r="AI439" s="692">
        <f ca="1">IF(AC439="","",AC439*SFAssumptions!$C$8/'SavingsData&amp;Analysis'!AF439)</f>
        <v>924.40462190838741</v>
      </c>
      <c r="AJ439" s="692">
        <f ca="1">IF(OR(AE439="",AF439=""),"",AE439*SFAssumptions!$C$8/AF439)</f>
        <v>10292.272651106745</v>
      </c>
      <c r="AK439" s="191">
        <f t="shared" si="216"/>
        <v>2.3648648648648649</v>
      </c>
      <c r="AL439" s="692">
        <f>IF(AK439="","",AK439*SFAssumptions!$C$3)</f>
        <v>607.09226351351356</v>
      </c>
      <c r="AM439" s="193">
        <f t="shared" si="217"/>
        <v>35.699999999999996</v>
      </c>
      <c r="AN439" s="194">
        <f>IF(AM439="","",AM439*SFAssumptions!$C$3)</f>
        <v>9164.6648099999984</v>
      </c>
      <c r="AO439" s="693">
        <f t="shared" si="218"/>
        <v>10.199999999999999</v>
      </c>
      <c r="AP439" s="693">
        <f t="shared" si="219"/>
        <v>1.48</v>
      </c>
      <c r="AQ439" s="692">
        <f ca="1">IF(AL439="","",AL439*SFAssumptions!$C$8/'SavingsData&amp;Analysis'!AF439)</f>
        <v>655.14054589169439</v>
      </c>
      <c r="AR439" s="692">
        <f ca="1">IF(OR(AN439="",AF439=""),"",AN439*SFAssumptions!$C$8/AF439)</f>
        <v>9890.0016807810171</v>
      </c>
      <c r="AS439" s="190" t="str">
        <f>IF(OR(AG439="",AH439=""),"No",IF(AND(G439="Horizontal",AH439&gt;='Eff. Standards &amp; Certifications'!$B$21,AG439&lt;='Eff. Standards &amp; Certifications'!$C$21),"Consider",IF(AND(G439="Vertical",AH439&gt;='Eff. Standards &amp; Certifications'!$B$20,AG439&lt;='Eff. Standards &amp; Certifications'!$C$20),"Consider","No")))</f>
        <v>No</v>
      </c>
      <c r="AT439" s="190" t="str">
        <f t="shared" si="204"/>
        <v>Residential</v>
      </c>
      <c r="AU439" s="190"/>
      <c r="AV439" s="190" t="str">
        <f t="shared" si="223"/>
        <v>NO</v>
      </c>
      <c r="AW439" s="190" t="str">
        <f t="shared" si="223"/>
        <v>NO</v>
      </c>
      <c r="AX439" s="190" t="str">
        <f t="shared" si="220"/>
        <v>NO</v>
      </c>
      <c r="AY439" s="190" t="str">
        <f t="shared" si="205"/>
        <v>NO</v>
      </c>
      <c r="AZ439" s="190" t="str">
        <f t="shared" si="205"/>
        <v>NO</v>
      </c>
      <c r="BA439" s="190" t="str">
        <f t="shared" si="221"/>
        <v>NO</v>
      </c>
      <c r="BB439" s="190" t="str">
        <f t="shared" si="206"/>
        <v>NO</v>
      </c>
      <c r="BC439" s="190" t="str">
        <f t="shared" si="207"/>
        <v>NO</v>
      </c>
      <c r="BD439" s="190" t="str">
        <f t="shared" si="222"/>
        <v>NO</v>
      </c>
      <c r="BE439" s="190" t="str">
        <f t="shared" si="208"/>
        <v>NO</v>
      </c>
      <c r="BF439" s="190" t="str">
        <f t="shared" si="209"/>
        <v>NO</v>
      </c>
      <c r="BG439" s="190" t="str">
        <f t="shared" si="210"/>
        <v>NO</v>
      </c>
      <c r="BH439" s="88"/>
      <c r="BI439" s="9"/>
      <c r="BJ439" s="694" t="str">
        <f t="shared" si="224"/>
        <v/>
      </c>
      <c r="BK439" s="694" t="str">
        <f t="shared" si="224"/>
        <v/>
      </c>
      <c r="BL439" s="694" t="str">
        <f t="shared" si="225"/>
        <v/>
      </c>
      <c r="BM439" s="694" t="str">
        <f t="shared" si="225"/>
        <v/>
      </c>
      <c r="BN439" s="88"/>
      <c r="BO439" s="195"/>
      <c r="BP439" s="195"/>
      <c r="BQ439" s="195"/>
      <c r="BR439" s="195"/>
      <c r="BS439" s="195"/>
      <c r="BT439" s="195"/>
      <c r="BU439" s="195"/>
      <c r="BV439" s="195"/>
      <c r="BW439" s="195"/>
      <c r="BX439" s="195"/>
    </row>
    <row r="440" spans="1:76" s="124" customFormat="1" ht="15">
      <c r="A440" s="187">
        <v>525</v>
      </c>
      <c r="B440" s="187" t="s">
        <v>625</v>
      </c>
      <c r="C440" s="187" t="s">
        <v>625</v>
      </c>
      <c r="D440" s="187" t="s">
        <v>784</v>
      </c>
      <c r="E440" s="187" t="s">
        <v>392</v>
      </c>
      <c r="F440" s="187" t="s">
        <v>386</v>
      </c>
      <c r="G440" s="187" t="s">
        <v>393</v>
      </c>
      <c r="H440" s="187" t="b">
        <v>0</v>
      </c>
      <c r="I440" s="187" t="s">
        <v>388</v>
      </c>
      <c r="J440" s="187" t="s">
        <v>389</v>
      </c>
      <c r="K440" s="187" t="b">
        <v>1</v>
      </c>
      <c r="L440" s="187">
        <v>3.5</v>
      </c>
      <c r="M440" s="187">
        <v>0.78</v>
      </c>
      <c r="N440" s="187">
        <v>35.369999999999997</v>
      </c>
      <c r="O440" s="187">
        <v>10.199999999999999</v>
      </c>
      <c r="P440" s="187">
        <v>4.4400000000000004</v>
      </c>
      <c r="Q440" s="187"/>
      <c r="R440" s="187"/>
      <c r="S440" s="187"/>
      <c r="T440" s="187"/>
      <c r="U440" s="187">
        <v>52.5</v>
      </c>
      <c r="V440" s="187">
        <v>1.52</v>
      </c>
      <c r="W440" s="188">
        <v>40309</v>
      </c>
      <c r="X440" s="691">
        <f t="shared" si="226"/>
        <v>1.0884999999999998</v>
      </c>
      <c r="Y440" s="691">
        <f t="shared" si="203"/>
        <v>10.614879999999999</v>
      </c>
      <c r="Z440" s="198"/>
      <c r="AA440" s="190">
        <f t="shared" si="211"/>
        <v>2010</v>
      </c>
      <c r="AB440" s="191">
        <f t="shared" si="212"/>
        <v>3.2154340836012869</v>
      </c>
      <c r="AC440" s="192">
        <f>IF(AB440="","",AB440*SFAssumptions!$C$3)</f>
        <v>825.44469453376223</v>
      </c>
      <c r="AD440" s="193">
        <f t="shared" si="213"/>
        <v>37.152079999999998</v>
      </c>
      <c r="AE440" s="194">
        <f>IF(AD440="","",AD440*SFAssumptions!$C$3)</f>
        <v>9537.433058663999</v>
      </c>
      <c r="AF440" s="192">
        <f t="shared" si="202"/>
        <v>3.5</v>
      </c>
      <c r="AG440" s="192">
        <f t="shared" si="214"/>
        <v>10.614879999999999</v>
      </c>
      <c r="AH440" s="192">
        <f t="shared" si="215"/>
        <v>1.0884999999999998</v>
      </c>
      <c r="AI440" s="692">
        <f ca="1">IF(AC440="","",AC440*SFAssumptions!$C$8/'SavingsData&amp;Analysis'!AF440)</f>
        <v>890.77446754222126</v>
      </c>
      <c r="AJ440" s="692">
        <f ca="1">IF(OR(AE440="",AF440=""),"",AE440*SFAssumptions!$C$8/AF440)</f>
        <v>10292.272651106745</v>
      </c>
      <c r="AK440" s="191">
        <f t="shared" si="216"/>
        <v>2.3026315789473686</v>
      </c>
      <c r="AL440" s="692">
        <f>IF(AK440="","",AK440*SFAssumptions!$C$3)</f>
        <v>591.11615131578958</v>
      </c>
      <c r="AM440" s="193">
        <f t="shared" si="217"/>
        <v>35.699999999999996</v>
      </c>
      <c r="AN440" s="194">
        <f>IF(AM440="","",AM440*SFAssumptions!$C$3)</f>
        <v>9164.6648099999984</v>
      </c>
      <c r="AO440" s="693">
        <f t="shared" si="218"/>
        <v>10.199999999999999</v>
      </c>
      <c r="AP440" s="693">
        <f t="shared" si="219"/>
        <v>1.52</v>
      </c>
      <c r="AQ440" s="692">
        <f ca="1">IF(AL440="","",AL440*SFAssumptions!$C$8/'SavingsData&amp;Analysis'!AF440)</f>
        <v>637.90000521033403</v>
      </c>
      <c r="AR440" s="692">
        <f ca="1">IF(OR(AN440="",AF440=""),"",AN440*SFAssumptions!$C$8/AF440)</f>
        <v>9890.0016807810171</v>
      </c>
      <c r="AS440" s="190" t="str">
        <f>IF(OR(AG440="",AH440=""),"No",IF(AND(G440="Horizontal",AH440&gt;='Eff. Standards &amp; Certifications'!$B$21,AG440&lt;='Eff. Standards &amp; Certifications'!$C$21),"Consider",IF(AND(G440="Vertical",AH440&gt;='Eff. Standards &amp; Certifications'!$B$20,AG440&lt;='Eff. Standards &amp; Certifications'!$C$20),"Consider","No")))</f>
        <v>No</v>
      </c>
      <c r="AT440" s="190" t="str">
        <f t="shared" si="204"/>
        <v>Residential</v>
      </c>
      <c r="AU440" s="190"/>
      <c r="AV440" s="190" t="str">
        <f t="shared" si="223"/>
        <v>NO</v>
      </c>
      <c r="AW440" s="190" t="str">
        <f t="shared" si="223"/>
        <v>NO</v>
      </c>
      <c r="AX440" s="190" t="str">
        <f t="shared" si="220"/>
        <v>NO</v>
      </c>
      <c r="AY440" s="190" t="str">
        <f t="shared" si="205"/>
        <v>NO</v>
      </c>
      <c r="AZ440" s="190" t="str">
        <f t="shared" si="205"/>
        <v>NO</v>
      </c>
      <c r="BA440" s="190" t="str">
        <f t="shared" si="221"/>
        <v>NO</v>
      </c>
      <c r="BB440" s="190" t="str">
        <f t="shared" si="206"/>
        <v>NO</v>
      </c>
      <c r="BC440" s="190" t="str">
        <f t="shared" si="207"/>
        <v>NO</v>
      </c>
      <c r="BD440" s="190" t="str">
        <f t="shared" si="222"/>
        <v>NO</v>
      </c>
      <c r="BE440" s="190" t="str">
        <f t="shared" si="208"/>
        <v>NO</v>
      </c>
      <c r="BF440" s="190" t="str">
        <f t="shared" si="209"/>
        <v>NO</v>
      </c>
      <c r="BG440" s="190" t="str">
        <f t="shared" si="210"/>
        <v>NO</v>
      </c>
      <c r="BH440" s="88"/>
      <c r="BI440" s="9"/>
      <c r="BJ440" s="694" t="str">
        <f t="shared" si="224"/>
        <v/>
      </c>
      <c r="BK440" s="694" t="str">
        <f t="shared" si="224"/>
        <v/>
      </c>
      <c r="BL440" s="694" t="str">
        <f t="shared" si="225"/>
        <v/>
      </c>
      <c r="BM440" s="694" t="str">
        <f t="shared" si="225"/>
        <v/>
      </c>
      <c r="BN440" s="88"/>
      <c r="BO440" s="195"/>
      <c r="BP440" s="195"/>
      <c r="BQ440" s="195"/>
      <c r="BR440" s="195"/>
      <c r="BS440" s="195"/>
      <c r="BT440" s="195"/>
      <c r="BU440" s="195"/>
      <c r="BV440" s="195"/>
      <c r="BW440" s="195"/>
      <c r="BX440" s="195"/>
    </row>
    <row r="441" spans="1:76" s="124" customFormat="1" ht="15">
      <c r="A441" s="187">
        <v>3136</v>
      </c>
      <c r="B441" s="187" t="s">
        <v>625</v>
      </c>
      <c r="C441" s="187" t="s">
        <v>625</v>
      </c>
      <c r="D441" s="187" t="s">
        <v>785</v>
      </c>
      <c r="E441" s="187" t="s">
        <v>392</v>
      </c>
      <c r="F441" s="187" t="s">
        <v>386</v>
      </c>
      <c r="G441" s="187" t="s">
        <v>393</v>
      </c>
      <c r="H441" s="187" t="b">
        <v>0</v>
      </c>
      <c r="I441" s="187" t="s">
        <v>388</v>
      </c>
      <c r="J441" s="187" t="s">
        <v>389</v>
      </c>
      <c r="K441" s="187" t="b">
        <v>1</v>
      </c>
      <c r="L441" s="187">
        <v>3.2</v>
      </c>
      <c r="M441" s="187">
        <v>1.07</v>
      </c>
      <c r="N441" s="187">
        <v>35.03</v>
      </c>
      <c r="O441" s="187">
        <v>11</v>
      </c>
      <c r="P441" s="187">
        <v>2.98</v>
      </c>
      <c r="Q441" s="187"/>
      <c r="R441" s="187"/>
      <c r="S441" s="187"/>
      <c r="T441" s="187"/>
      <c r="U441" s="187">
        <v>51.6</v>
      </c>
      <c r="V441" s="187">
        <v>1.32</v>
      </c>
      <c r="W441" s="188">
        <v>39371</v>
      </c>
      <c r="X441" s="691">
        <f t="shared" si="226"/>
        <v>0.89049999999999996</v>
      </c>
      <c r="Y441" s="691">
        <f t="shared" si="203"/>
        <v>11.406000000000001</v>
      </c>
      <c r="Z441" s="198"/>
      <c r="AA441" s="190">
        <f t="shared" si="211"/>
        <v>2007</v>
      </c>
      <c r="AB441" s="191">
        <f t="shared" si="212"/>
        <v>3.5934868051656377</v>
      </c>
      <c r="AC441" s="192">
        <f>IF(AB441="","",AB441*SFAssumptions!$C$3)</f>
        <v>922.49585626052794</v>
      </c>
      <c r="AD441" s="193">
        <f t="shared" si="213"/>
        <v>36.499200000000002</v>
      </c>
      <c r="AE441" s="194">
        <f>IF(AD441="","",AD441*SFAssumptions!$C$3)</f>
        <v>9369.830079360001</v>
      </c>
      <c r="AF441" s="192">
        <f t="shared" si="202"/>
        <v>3.2</v>
      </c>
      <c r="AG441" s="192">
        <f t="shared" si="214"/>
        <v>11.406000000000001</v>
      </c>
      <c r="AH441" s="192">
        <f t="shared" si="215"/>
        <v>0.89049999999999996</v>
      </c>
      <c r="AI441" s="692">
        <f ca="1">IF(AC441="","",AC441*SFAssumptions!$C$8/'SavingsData&amp;Analysis'!AF441)</f>
        <v>1088.8354945757526</v>
      </c>
      <c r="AJ441" s="692">
        <f ca="1">IF(OR(AE441="",AF441=""),"",AE441*SFAssumptions!$C$8/AF441)</f>
        <v>11059.348938332187</v>
      </c>
      <c r="AK441" s="191">
        <f t="shared" si="216"/>
        <v>2.4242424242424243</v>
      </c>
      <c r="AL441" s="692">
        <f>IF(AK441="","",AK441*SFAssumptions!$C$3)</f>
        <v>622.33527272727281</v>
      </c>
      <c r="AM441" s="193">
        <f t="shared" si="217"/>
        <v>35.200000000000003</v>
      </c>
      <c r="AN441" s="194">
        <f>IF(AM441="","",AM441*SFAssumptions!$C$3)</f>
        <v>9036.3081600000005</v>
      </c>
      <c r="AO441" s="693">
        <f t="shared" si="218"/>
        <v>11</v>
      </c>
      <c r="AP441" s="693">
        <f t="shared" si="219"/>
        <v>1.32</v>
      </c>
      <c r="AQ441" s="692">
        <f ca="1">IF(AL441="","",AL441*SFAssumptions!$C$8/'SavingsData&amp;Analysis'!AF441)</f>
        <v>734.55152115129374</v>
      </c>
      <c r="AR441" s="692">
        <f ca="1">IF(OR(AN441="",AF441=""),"",AN441*SFAssumptions!$C$8/AF441)</f>
        <v>10665.688087116783</v>
      </c>
      <c r="AS441" s="190" t="str">
        <f>IF(OR(AG441="",AH441=""),"No",IF(AND(G441="Horizontal",AH441&gt;='Eff. Standards &amp; Certifications'!$B$21,AG441&lt;='Eff. Standards &amp; Certifications'!$C$21),"Consider",IF(AND(G441="Vertical",AH441&gt;='Eff. Standards &amp; Certifications'!$B$20,AG441&lt;='Eff. Standards &amp; Certifications'!$C$20),"Consider","No")))</f>
        <v>No</v>
      </c>
      <c r="AT441" s="190" t="str">
        <f t="shared" si="204"/>
        <v>Residential</v>
      </c>
      <c r="AU441" s="190"/>
      <c r="AV441" s="190" t="str">
        <f t="shared" si="223"/>
        <v>NO</v>
      </c>
      <c r="AW441" s="190" t="str">
        <f t="shared" si="223"/>
        <v>NO</v>
      </c>
      <c r="AX441" s="190" t="str">
        <f t="shared" si="220"/>
        <v>NO</v>
      </c>
      <c r="AY441" s="190" t="str">
        <f t="shared" si="205"/>
        <v>NO</v>
      </c>
      <c r="AZ441" s="190" t="str">
        <f t="shared" si="205"/>
        <v>NO</v>
      </c>
      <c r="BA441" s="190" t="str">
        <f t="shared" si="221"/>
        <v>NO</v>
      </c>
      <c r="BB441" s="190" t="str">
        <f t="shared" si="206"/>
        <v>NO</v>
      </c>
      <c r="BC441" s="190" t="str">
        <f t="shared" si="207"/>
        <v>NO</v>
      </c>
      <c r="BD441" s="190" t="str">
        <f t="shared" si="222"/>
        <v>NO</v>
      </c>
      <c r="BE441" s="190" t="str">
        <f t="shared" si="208"/>
        <v>NO</v>
      </c>
      <c r="BF441" s="190" t="str">
        <f t="shared" si="209"/>
        <v>NO</v>
      </c>
      <c r="BG441" s="190" t="str">
        <f t="shared" si="210"/>
        <v>NO</v>
      </c>
      <c r="BH441" s="88"/>
      <c r="BI441" s="9"/>
      <c r="BJ441" s="694" t="str">
        <f t="shared" si="224"/>
        <v/>
      </c>
      <c r="BK441" s="694" t="str">
        <f t="shared" si="224"/>
        <v/>
      </c>
      <c r="BL441" s="694" t="str">
        <f t="shared" si="225"/>
        <v/>
      </c>
      <c r="BM441" s="694" t="str">
        <f t="shared" si="225"/>
        <v/>
      </c>
      <c r="BN441" s="88"/>
      <c r="BO441" s="195"/>
      <c r="BP441" s="195"/>
      <c r="BQ441" s="195"/>
      <c r="BR441" s="195"/>
      <c r="BS441" s="195"/>
      <c r="BT441" s="195"/>
      <c r="BU441" s="195"/>
      <c r="BV441" s="195"/>
      <c r="BW441" s="195"/>
      <c r="BX441" s="195"/>
    </row>
    <row r="442" spans="1:76" s="124" customFormat="1" ht="15">
      <c r="A442" s="187">
        <v>551</v>
      </c>
      <c r="B442" s="187" t="s">
        <v>625</v>
      </c>
      <c r="C442" s="187" t="s">
        <v>625</v>
      </c>
      <c r="D442" s="187" t="s">
        <v>786</v>
      </c>
      <c r="E442" s="187" t="s">
        <v>392</v>
      </c>
      <c r="F442" s="187" t="s">
        <v>386</v>
      </c>
      <c r="G442" s="187" t="s">
        <v>393</v>
      </c>
      <c r="H442" s="187" t="b">
        <v>0</v>
      </c>
      <c r="I442" s="187" t="s">
        <v>388</v>
      </c>
      <c r="J442" s="187" t="s">
        <v>389</v>
      </c>
      <c r="K442" s="187" t="b">
        <v>1</v>
      </c>
      <c r="L442" s="187">
        <v>3.2</v>
      </c>
      <c r="M442" s="187">
        <v>0.72</v>
      </c>
      <c r="N442" s="187">
        <v>34.97</v>
      </c>
      <c r="O442" s="187">
        <v>10.9</v>
      </c>
      <c r="P442" s="187">
        <v>4.4400000000000004</v>
      </c>
      <c r="Q442" s="187"/>
      <c r="R442" s="187"/>
      <c r="S442" s="187"/>
      <c r="T442" s="187"/>
      <c r="U442" s="187">
        <v>54.8</v>
      </c>
      <c r="V442" s="187">
        <v>1.46</v>
      </c>
      <c r="W442" s="188">
        <v>40316</v>
      </c>
      <c r="X442" s="691">
        <f t="shared" si="226"/>
        <v>1.0291000000000001</v>
      </c>
      <c r="Y442" s="691">
        <f t="shared" si="203"/>
        <v>11.30711</v>
      </c>
      <c r="Z442" s="198"/>
      <c r="AA442" s="190">
        <f t="shared" si="211"/>
        <v>2010</v>
      </c>
      <c r="AB442" s="191">
        <f t="shared" si="212"/>
        <v>3.1095131668448155</v>
      </c>
      <c r="AC442" s="192">
        <f>IF(AB442="","",AB442*SFAssumptions!$C$3)</f>
        <v>798.25338645418321</v>
      </c>
      <c r="AD442" s="193">
        <f t="shared" si="213"/>
        <v>36.182752000000001</v>
      </c>
      <c r="AE442" s="194">
        <f>IF(AD442="","",AD442*SFAssumptions!$C$3)</f>
        <v>9288.5936690016006</v>
      </c>
      <c r="AF442" s="192">
        <f t="shared" si="202"/>
        <v>3.2</v>
      </c>
      <c r="AG442" s="192">
        <f t="shared" si="214"/>
        <v>11.30711</v>
      </c>
      <c r="AH442" s="192">
        <f t="shared" si="215"/>
        <v>1.0291000000000001</v>
      </c>
      <c r="AI442" s="692">
        <f ca="1">IF(AC442="","",AC442*SFAssumptions!$C$8/'SavingsData&amp;Analysis'!AF442)</f>
        <v>942.19027103265728</v>
      </c>
      <c r="AJ442" s="692">
        <f ca="1">IF(OR(AE442="",AF442=""),"",AE442*SFAssumptions!$C$8/AF442)</f>
        <v>10963.464402429005</v>
      </c>
      <c r="AK442" s="191">
        <f t="shared" si="216"/>
        <v>2.1917808219178085</v>
      </c>
      <c r="AL442" s="692">
        <f>IF(AK442="","",AK442*SFAssumptions!$C$3)</f>
        <v>562.65928767123296</v>
      </c>
      <c r="AM442" s="193">
        <f t="shared" si="217"/>
        <v>34.880000000000003</v>
      </c>
      <c r="AN442" s="194">
        <f>IF(AM442="","",AM442*SFAssumptions!$C$3)</f>
        <v>8954.1599040000001</v>
      </c>
      <c r="AO442" s="693">
        <f t="shared" si="218"/>
        <v>10.9</v>
      </c>
      <c r="AP442" s="693">
        <f t="shared" si="219"/>
        <v>1.46</v>
      </c>
      <c r="AQ442" s="692">
        <f ca="1">IF(AL442="","",AL442*SFAssumptions!$C$8/'SavingsData&amp;Analysis'!AF442)</f>
        <v>664.11507391760802</v>
      </c>
      <c r="AR442" s="692">
        <f ca="1">IF(OR(AN442="",AF442=""),"",AN442*SFAssumptions!$C$8/AF442)</f>
        <v>10568.727286324813</v>
      </c>
      <c r="AS442" s="190" t="str">
        <f>IF(OR(AG442="",AH442=""),"No",IF(AND(G442="Horizontal",AH442&gt;='Eff. Standards &amp; Certifications'!$B$21,AG442&lt;='Eff. Standards &amp; Certifications'!$C$21),"Consider",IF(AND(G442="Vertical",AH442&gt;='Eff. Standards &amp; Certifications'!$B$20,AG442&lt;='Eff. Standards &amp; Certifications'!$C$20),"Consider","No")))</f>
        <v>No</v>
      </c>
      <c r="AT442" s="190" t="str">
        <f t="shared" si="204"/>
        <v>Residential</v>
      </c>
      <c r="AU442" s="190"/>
      <c r="AV442" s="190" t="str">
        <f t="shared" si="223"/>
        <v>NO</v>
      </c>
      <c r="AW442" s="190" t="str">
        <f t="shared" si="223"/>
        <v>NO</v>
      </c>
      <c r="AX442" s="190" t="str">
        <f t="shared" si="220"/>
        <v>NO</v>
      </c>
      <c r="AY442" s="190" t="str">
        <f t="shared" si="205"/>
        <v>NO</v>
      </c>
      <c r="AZ442" s="190" t="str">
        <f t="shared" si="205"/>
        <v>NO</v>
      </c>
      <c r="BA442" s="190" t="str">
        <f t="shared" si="221"/>
        <v>NO</v>
      </c>
      <c r="BB442" s="190" t="str">
        <f t="shared" si="206"/>
        <v>NO</v>
      </c>
      <c r="BC442" s="190" t="str">
        <f t="shared" si="207"/>
        <v>NO</v>
      </c>
      <c r="BD442" s="190" t="str">
        <f t="shared" si="222"/>
        <v>NO</v>
      </c>
      <c r="BE442" s="190" t="str">
        <f t="shared" si="208"/>
        <v>NO</v>
      </c>
      <c r="BF442" s="190" t="str">
        <f t="shared" si="209"/>
        <v>NO</v>
      </c>
      <c r="BG442" s="190" t="str">
        <f t="shared" si="210"/>
        <v>NO</v>
      </c>
      <c r="BH442" s="88"/>
      <c r="BI442" s="9"/>
      <c r="BJ442" s="694" t="str">
        <f t="shared" si="224"/>
        <v/>
      </c>
      <c r="BK442" s="694" t="str">
        <f t="shared" si="224"/>
        <v/>
      </c>
      <c r="BL442" s="694" t="str">
        <f t="shared" si="225"/>
        <v/>
      </c>
      <c r="BM442" s="694" t="str">
        <f t="shared" si="225"/>
        <v/>
      </c>
      <c r="BN442" s="88"/>
      <c r="BO442" s="195"/>
      <c r="BP442" s="195"/>
      <c r="BQ442" s="195"/>
      <c r="BR442" s="195"/>
      <c r="BS442" s="195"/>
      <c r="BT442" s="195"/>
      <c r="BU442" s="195"/>
      <c r="BV442" s="195"/>
      <c r="BW442" s="195"/>
      <c r="BX442" s="195"/>
    </row>
    <row r="443" spans="1:76" s="124" customFormat="1" ht="15">
      <c r="A443" s="187">
        <v>3137</v>
      </c>
      <c r="B443" s="187" t="s">
        <v>625</v>
      </c>
      <c r="C443" s="187" t="s">
        <v>625</v>
      </c>
      <c r="D443" s="187" t="s">
        <v>787</v>
      </c>
      <c r="E443" s="187" t="s">
        <v>392</v>
      </c>
      <c r="F443" s="187" t="s">
        <v>386</v>
      </c>
      <c r="G443" s="187" t="s">
        <v>393</v>
      </c>
      <c r="H443" s="187" t="b">
        <v>0</v>
      </c>
      <c r="I443" s="187" t="s">
        <v>388</v>
      </c>
      <c r="J443" s="187" t="s">
        <v>389</v>
      </c>
      <c r="K443" s="187" t="b">
        <v>1</v>
      </c>
      <c r="L443" s="187">
        <v>3.2</v>
      </c>
      <c r="M443" s="187">
        <v>1.1100000000000001</v>
      </c>
      <c r="N443" s="187">
        <v>36.67</v>
      </c>
      <c r="O443" s="187">
        <v>11.6</v>
      </c>
      <c r="P443" s="187">
        <v>2.86</v>
      </c>
      <c r="Q443" s="187"/>
      <c r="R443" s="187"/>
      <c r="S443" s="187"/>
      <c r="T443" s="187"/>
      <c r="U443" s="187">
        <v>51.2</v>
      </c>
      <c r="V443" s="187">
        <v>1.3</v>
      </c>
      <c r="W443" s="188">
        <v>39371</v>
      </c>
      <c r="X443" s="691">
        <f t="shared" si="226"/>
        <v>0.87069999999999992</v>
      </c>
      <c r="Y443" s="691">
        <f t="shared" si="203"/>
        <v>11.99934</v>
      </c>
      <c r="Z443" s="198"/>
      <c r="AA443" s="190">
        <f t="shared" si="211"/>
        <v>2007</v>
      </c>
      <c r="AB443" s="191">
        <f t="shared" si="212"/>
        <v>3.6752038589640526</v>
      </c>
      <c r="AC443" s="192">
        <f>IF(AB443="","",AB443*SFAssumptions!$C$3)</f>
        <v>943.47371080739651</v>
      </c>
      <c r="AD443" s="193">
        <f t="shared" si="213"/>
        <v>38.397888000000002</v>
      </c>
      <c r="AE443" s="194">
        <f>IF(AD443="","",AD443*SFAssumptions!$C$3)</f>
        <v>9857.2485415104002</v>
      </c>
      <c r="AF443" s="192">
        <f t="shared" si="202"/>
        <v>3.2</v>
      </c>
      <c r="AG443" s="192">
        <f t="shared" si="214"/>
        <v>11.99934</v>
      </c>
      <c r="AH443" s="192">
        <f t="shared" si="215"/>
        <v>0.87069999999999992</v>
      </c>
      <c r="AI443" s="692">
        <f ca="1">IF(AC443="","",AC443*SFAssumptions!$C$8/'SavingsData&amp;Analysis'!AF443)</f>
        <v>1113.5959663715489</v>
      </c>
      <c r="AJ443" s="692">
        <f ca="1">IF(OR(AE443="",AF443=""),"",AE443*SFAssumptions!$C$8/AF443)</f>
        <v>11634.656153751266</v>
      </c>
      <c r="AK443" s="191">
        <f t="shared" si="216"/>
        <v>2.4615384615384617</v>
      </c>
      <c r="AL443" s="692">
        <f>IF(AK443="","",AK443*SFAssumptions!$C$3)</f>
        <v>631.90966153846159</v>
      </c>
      <c r="AM443" s="193">
        <f t="shared" si="217"/>
        <v>37.119999999999997</v>
      </c>
      <c r="AN443" s="194">
        <f>IF(AM443="","",AM443*SFAssumptions!$C$3)</f>
        <v>9529.1976959999993</v>
      </c>
      <c r="AO443" s="693">
        <f t="shared" si="218"/>
        <v>11.6</v>
      </c>
      <c r="AP443" s="693">
        <f t="shared" si="219"/>
        <v>1.3</v>
      </c>
      <c r="AQ443" s="692">
        <f ca="1">IF(AL443="","",AL443*SFAssumptions!$C$8/'SavingsData&amp;Analysis'!AF443)</f>
        <v>745.85231378439062</v>
      </c>
      <c r="AR443" s="692">
        <f ca="1">IF(OR(AN443="",AF443=""),"",AN443*SFAssumptions!$C$8/AF443)</f>
        <v>11247.452891868608</v>
      </c>
      <c r="AS443" s="190" t="str">
        <f>IF(OR(AG443="",AH443=""),"No",IF(AND(G443="Horizontal",AH443&gt;='Eff. Standards &amp; Certifications'!$B$21,AG443&lt;='Eff. Standards &amp; Certifications'!$C$21),"Consider",IF(AND(G443="Vertical",AH443&gt;='Eff. Standards &amp; Certifications'!$B$20,AG443&lt;='Eff. Standards &amp; Certifications'!$C$20),"Consider","No")))</f>
        <v>No</v>
      </c>
      <c r="AT443" s="190" t="str">
        <f t="shared" si="204"/>
        <v>Residential</v>
      </c>
      <c r="AU443" s="190"/>
      <c r="AV443" s="190" t="str">
        <f t="shared" ref="AV443:AW462" si="227">IF(AND($G443=AV$18,$AS443="Consider",$AT443="Residential",$AH443&gt;=AV$3,$AH443&lt;=AV$4,$AG443&gt;=AV$5,$AG443&lt;=AV$6),"YES","NO")</f>
        <v>NO</v>
      </c>
      <c r="AW443" s="190" t="str">
        <f t="shared" si="227"/>
        <v>NO</v>
      </c>
      <c r="AX443" s="190" t="str">
        <f t="shared" si="220"/>
        <v>NO</v>
      </c>
      <c r="AY443" s="190" t="str">
        <f t="shared" si="205"/>
        <v>NO</v>
      </c>
      <c r="AZ443" s="190" t="str">
        <f t="shared" si="205"/>
        <v>NO</v>
      </c>
      <c r="BA443" s="190" t="str">
        <f t="shared" si="221"/>
        <v>NO</v>
      </c>
      <c r="BB443" s="190" t="str">
        <f t="shared" si="206"/>
        <v>NO</v>
      </c>
      <c r="BC443" s="190" t="str">
        <f t="shared" si="207"/>
        <v>NO</v>
      </c>
      <c r="BD443" s="190" t="str">
        <f t="shared" si="222"/>
        <v>NO</v>
      </c>
      <c r="BE443" s="190" t="str">
        <f t="shared" si="208"/>
        <v>NO</v>
      </c>
      <c r="BF443" s="190" t="str">
        <f t="shared" si="209"/>
        <v>NO</v>
      </c>
      <c r="BG443" s="190" t="str">
        <f t="shared" si="210"/>
        <v>NO</v>
      </c>
      <c r="BH443" s="88"/>
      <c r="BI443" s="9"/>
      <c r="BJ443" s="694" t="str">
        <f t="shared" ref="BJ443:BK467" si="228">IF(AND($G443=BJ$21,$AT443="Residential",$AS443="Consider"),$X443,"")</f>
        <v/>
      </c>
      <c r="BK443" s="694" t="str">
        <f t="shared" si="228"/>
        <v/>
      </c>
      <c r="BL443" s="694" t="str">
        <f t="shared" ref="BL443:BM467" si="229">IF(AND($G443=BL$21,$AT443="Residential",$AS443="Consider"),$Y443,"")</f>
        <v/>
      </c>
      <c r="BM443" s="694" t="str">
        <f t="shared" si="229"/>
        <v/>
      </c>
      <c r="BN443" s="88"/>
      <c r="BO443" s="195"/>
      <c r="BP443" s="195"/>
      <c r="BQ443" s="195"/>
      <c r="BR443" s="195"/>
      <c r="BS443" s="195"/>
      <c r="BT443" s="195"/>
      <c r="BU443" s="195"/>
      <c r="BV443" s="195"/>
      <c r="BW443" s="195"/>
      <c r="BX443" s="195"/>
    </row>
    <row r="444" spans="1:76" s="124" customFormat="1" ht="15">
      <c r="A444" s="187">
        <v>3140</v>
      </c>
      <c r="B444" s="187" t="s">
        <v>625</v>
      </c>
      <c r="C444" s="187" t="s">
        <v>625</v>
      </c>
      <c r="D444" s="187" t="s">
        <v>788</v>
      </c>
      <c r="E444" s="187" t="s">
        <v>392</v>
      </c>
      <c r="F444" s="187" t="s">
        <v>386</v>
      </c>
      <c r="G444" s="187" t="s">
        <v>393</v>
      </c>
      <c r="H444" s="187" t="b">
        <v>0</v>
      </c>
      <c r="I444" s="187" t="s">
        <v>388</v>
      </c>
      <c r="J444" s="187" t="s">
        <v>389</v>
      </c>
      <c r="K444" s="187" t="b">
        <v>1</v>
      </c>
      <c r="L444" s="187">
        <v>3.1</v>
      </c>
      <c r="M444" s="187">
        <v>1.07</v>
      </c>
      <c r="N444" s="187">
        <v>36.450000000000003</v>
      </c>
      <c r="O444" s="187">
        <v>11.6</v>
      </c>
      <c r="P444" s="187">
        <v>2.93</v>
      </c>
      <c r="Q444" s="187"/>
      <c r="R444" s="187"/>
      <c r="S444" s="187"/>
      <c r="T444" s="187"/>
      <c r="U444" s="187">
        <v>50.4</v>
      </c>
      <c r="V444" s="187">
        <v>1.32</v>
      </c>
      <c r="W444" s="188">
        <v>39371</v>
      </c>
      <c r="X444" s="691">
        <f t="shared" si="226"/>
        <v>0.89049999999999996</v>
      </c>
      <c r="Y444" s="691">
        <f t="shared" si="203"/>
        <v>11.99934</v>
      </c>
      <c r="Z444" s="198"/>
      <c r="AA444" s="190">
        <f t="shared" si="211"/>
        <v>2007</v>
      </c>
      <c r="AB444" s="191">
        <f t="shared" si="212"/>
        <v>3.4811903425042114</v>
      </c>
      <c r="AC444" s="192">
        <f>IF(AB444="","",AB444*SFAssumptions!$C$3)</f>
        <v>893.66786075238645</v>
      </c>
      <c r="AD444" s="193">
        <f t="shared" si="213"/>
        <v>37.197954000000003</v>
      </c>
      <c r="AE444" s="194">
        <f>IF(AD444="","",AD444*SFAssumptions!$C$3)</f>
        <v>9549.209524588201</v>
      </c>
      <c r="AF444" s="192">
        <f t="shared" si="202"/>
        <v>3.1</v>
      </c>
      <c r="AG444" s="192">
        <f t="shared" si="214"/>
        <v>11.99934</v>
      </c>
      <c r="AH444" s="192">
        <f t="shared" si="215"/>
        <v>0.89049999999999996</v>
      </c>
      <c r="AI444" s="692">
        <f ca="1">IF(AC444="","",AC444*SFAssumptions!$C$8/'SavingsData&amp;Analysis'!AF444)</f>
        <v>1088.8354945757528</v>
      </c>
      <c r="AJ444" s="692">
        <f ca="1">IF(OR(AE444="",AF444=""),"",AE444*SFAssumptions!$C$8/AF444)</f>
        <v>11634.656153751266</v>
      </c>
      <c r="AK444" s="191">
        <f t="shared" si="216"/>
        <v>2.3484848484848486</v>
      </c>
      <c r="AL444" s="692">
        <f>IF(AK444="","",AK444*SFAssumptions!$C$3)</f>
        <v>602.88729545454555</v>
      </c>
      <c r="AM444" s="193">
        <f t="shared" si="217"/>
        <v>35.96</v>
      </c>
      <c r="AN444" s="194">
        <f>IF(AM444="","",AM444*SFAssumptions!$C$3)</f>
        <v>9231.4102679999996</v>
      </c>
      <c r="AO444" s="693">
        <f t="shared" si="218"/>
        <v>11.6</v>
      </c>
      <c r="AP444" s="693">
        <f t="shared" si="219"/>
        <v>1.32</v>
      </c>
      <c r="AQ444" s="692">
        <f ca="1">IF(AL444="","",AL444*SFAssumptions!$C$8/'SavingsData&amp;Analysis'!AF444)</f>
        <v>734.55152115129385</v>
      </c>
      <c r="AR444" s="692">
        <f ca="1">IF(OR(AN444="",AF444=""),"",AN444*SFAssumptions!$C$8/AF444)</f>
        <v>11247.452891868608</v>
      </c>
      <c r="AS444" s="190" t="str">
        <f>IF(OR(AG444="",AH444=""),"No",IF(AND(G444="Horizontal",AH444&gt;='Eff. Standards &amp; Certifications'!$B$21,AG444&lt;='Eff. Standards &amp; Certifications'!$C$21),"Consider",IF(AND(G444="Vertical",AH444&gt;='Eff. Standards &amp; Certifications'!$B$20,AG444&lt;='Eff. Standards &amp; Certifications'!$C$20),"Consider","No")))</f>
        <v>No</v>
      </c>
      <c r="AT444" s="190" t="str">
        <f t="shared" si="204"/>
        <v>Residential</v>
      </c>
      <c r="AU444" s="190"/>
      <c r="AV444" s="190" t="str">
        <f t="shared" si="227"/>
        <v>NO</v>
      </c>
      <c r="AW444" s="190" t="str">
        <f t="shared" si="227"/>
        <v>NO</v>
      </c>
      <c r="AX444" s="190" t="str">
        <f t="shared" si="220"/>
        <v>NO</v>
      </c>
      <c r="AY444" s="190" t="str">
        <f t="shared" si="205"/>
        <v>NO</v>
      </c>
      <c r="AZ444" s="190" t="str">
        <f t="shared" si="205"/>
        <v>NO</v>
      </c>
      <c r="BA444" s="190" t="str">
        <f t="shared" si="221"/>
        <v>NO</v>
      </c>
      <c r="BB444" s="190" t="str">
        <f t="shared" si="206"/>
        <v>NO</v>
      </c>
      <c r="BC444" s="190" t="str">
        <f t="shared" si="207"/>
        <v>NO</v>
      </c>
      <c r="BD444" s="190" t="str">
        <f t="shared" si="222"/>
        <v>NO</v>
      </c>
      <c r="BE444" s="190" t="str">
        <f t="shared" si="208"/>
        <v>NO</v>
      </c>
      <c r="BF444" s="190" t="str">
        <f t="shared" si="209"/>
        <v>NO</v>
      </c>
      <c r="BG444" s="190" t="str">
        <f t="shared" si="210"/>
        <v>NO</v>
      </c>
      <c r="BH444" s="88"/>
      <c r="BI444" s="9"/>
      <c r="BJ444" s="694" t="str">
        <f t="shared" si="228"/>
        <v/>
      </c>
      <c r="BK444" s="694" t="str">
        <f t="shared" si="228"/>
        <v/>
      </c>
      <c r="BL444" s="694" t="str">
        <f t="shared" si="229"/>
        <v/>
      </c>
      <c r="BM444" s="694" t="str">
        <f t="shared" si="229"/>
        <v/>
      </c>
      <c r="BN444" s="88"/>
      <c r="BO444" s="195"/>
      <c r="BP444" s="195"/>
      <c r="BQ444" s="195"/>
      <c r="BR444" s="195"/>
      <c r="BS444" s="195"/>
      <c r="BT444" s="195"/>
      <c r="BU444" s="195"/>
      <c r="BV444" s="195"/>
      <c r="BW444" s="195"/>
      <c r="BX444" s="195"/>
    </row>
    <row r="445" spans="1:76" s="124" customFormat="1" ht="15">
      <c r="A445" s="187">
        <v>528</v>
      </c>
      <c r="B445" s="187" t="s">
        <v>625</v>
      </c>
      <c r="C445" s="187" t="s">
        <v>625</v>
      </c>
      <c r="D445" s="187" t="s">
        <v>789</v>
      </c>
      <c r="E445" s="187" t="s">
        <v>392</v>
      </c>
      <c r="F445" s="187" t="s">
        <v>386</v>
      </c>
      <c r="G445" s="187" t="s">
        <v>393</v>
      </c>
      <c r="H445" s="187" t="b">
        <v>0</v>
      </c>
      <c r="I445" s="187" t="s">
        <v>388</v>
      </c>
      <c r="J445" s="187" t="s">
        <v>389</v>
      </c>
      <c r="K445" s="187" t="b">
        <v>1</v>
      </c>
      <c r="L445" s="187">
        <v>3.7</v>
      </c>
      <c r="M445" s="187">
        <v>0.31</v>
      </c>
      <c r="N445" s="187">
        <v>14.26</v>
      </c>
      <c r="O445" s="187">
        <v>3.9</v>
      </c>
      <c r="P445" s="187">
        <v>11.77</v>
      </c>
      <c r="Q445" s="187"/>
      <c r="R445" s="187"/>
      <c r="S445" s="187"/>
      <c r="T445" s="187"/>
      <c r="U445" s="187">
        <v>40</v>
      </c>
      <c r="V445" s="187">
        <v>2.4700000000000002</v>
      </c>
      <c r="W445" s="188">
        <v>40309</v>
      </c>
      <c r="X445" s="691">
        <f t="shared" si="226"/>
        <v>2.0289999999999999</v>
      </c>
      <c r="Y445" s="691">
        <f t="shared" si="203"/>
        <v>4.3848099999999999</v>
      </c>
      <c r="Z445" s="198"/>
      <c r="AA445" s="190">
        <f t="shared" si="211"/>
        <v>2010</v>
      </c>
      <c r="AB445" s="191">
        <f t="shared" si="212"/>
        <v>1.8235584031542633</v>
      </c>
      <c r="AC445" s="192">
        <f>IF(AB445="","",AB445*SFAssumptions!$C$3)</f>
        <v>468.13169541646135</v>
      </c>
      <c r="AD445" s="193">
        <f t="shared" si="213"/>
        <v>16.223797000000001</v>
      </c>
      <c r="AE445" s="194">
        <f>IF(AD445="","",AD445*SFAssumptions!$C$3)</f>
        <v>4164.8644664001004</v>
      </c>
      <c r="AF445" s="192">
        <f t="shared" si="202"/>
        <v>3.7</v>
      </c>
      <c r="AG445" s="192">
        <f t="shared" si="214"/>
        <v>4.3848099999999999</v>
      </c>
      <c r="AH445" s="192">
        <f t="shared" si="215"/>
        <v>2.0289999999999999</v>
      </c>
      <c r="AI445" s="692">
        <f ca="1">IF(AC445="","",AC445*SFAssumptions!$C$8/'SavingsData&amp;Analysis'!AF445)</f>
        <v>477.87481908314822</v>
      </c>
      <c r="AJ445" s="692">
        <f ca="1">IF(OR(AE445="",AF445=""),"",AE445*SFAssumptions!$C$8/AF445)</f>
        <v>4251.5468892064137</v>
      </c>
      <c r="AK445" s="191">
        <f t="shared" si="216"/>
        <v>1.4979757085020242</v>
      </c>
      <c r="AL445" s="692">
        <f>IF(AK445="","",AK445*SFAssumptions!$C$3)</f>
        <v>384.55028744939273</v>
      </c>
      <c r="AM445" s="193">
        <f t="shared" si="217"/>
        <v>14.43</v>
      </c>
      <c r="AN445" s="194">
        <f>IF(AM445="","",AM445*SFAssumptions!$C$3)</f>
        <v>3704.3729189999999</v>
      </c>
      <c r="AO445" s="693">
        <f t="shared" si="218"/>
        <v>3.9</v>
      </c>
      <c r="AP445" s="693">
        <f t="shared" si="219"/>
        <v>2.4700000000000002</v>
      </c>
      <c r="AQ445" s="692">
        <f ca="1">IF(AL445="","",AL445*SFAssumptions!$C$8/'SavingsData&amp;Analysis'!AF445)</f>
        <v>392.55384936020556</v>
      </c>
      <c r="AR445" s="692">
        <f ca="1">IF(OR(AN445="",AF445=""),"",AN445*SFAssumptions!$C$8/AF445)</f>
        <v>3781.4712308868593</v>
      </c>
      <c r="AS445" s="190" t="str">
        <f>IF(OR(AG445="",AH445=""),"No",IF(AND(G445="Horizontal",AH445&gt;='Eff. Standards &amp; Certifications'!$B$21,AG445&lt;='Eff. Standards &amp; Certifications'!$C$21),"Consider",IF(AND(G445="Vertical",AH445&gt;='Eff. Standards &amp; Certifications'!$B$20,AG445&lt;='Eff. Standards &amp; Certifications'!$C$20),"Consider","No")))</f>
        <v>Consider</v>
      </c>
      <c r="AT445" s="190" t="str">
        <f t="shared" si="204"/>
        <v>Residential</v>
      </c>
      <c r="AU445" s="190"/>
      <c r="AV445" s="190" t="str">
        <f t="shared" si="227"/>
        <v>YES</v>
      </c>
      <c r="AW445" s="190" t="str">
        <f t="shared" si="227"/>
        <v>NO</v>
      </c>
      <c r="AX445" s="190" t="str">
        <f t="shared" si="220"/>
        <v>YES</v>
      </c>
      <c r="AY445" s="190" t="str">
        <f t="shared" si="205"/>
        <v>YES</v>
      </c>
      <c r="AZ445" s="190" t="str">
        <f t="shared" si="205"/>
        <v>NO</v>
      </c>
      <c r="BA445" s="190" t="str">
        <f t="shared" si="221"/>
        <v>YES</v>
      </c>
      <c r="BB445" s="190" t="str">
        <f t="shared" si="206"/>
        <v>NO</v>
      </c>
      <c r="BC445" s="190" t="str">
        <f t="shared" si="207"/>
        <v>NO</v>
      </c>
      <c r="BD445" s="190" t="str">
        <f t="shared" si="222"/>
        <v>NO</v>
      </c>
      <c r="BE445" s="190" t="str">
        <f t="shared" si="208"/>
        <v>NO</v>
      </c>
      <c r="BF445" s="190" t="str">
        <f t="shared" si="209"/>
        <v>NO</v>
      </c>
      <c r="BG445" s="190" t="str">
        <f t="shared" si="210"/>
        <v>NO</v>
      </c>
      <c r="BH445" s="88"/>
      <c r="BI445" s="9"/>
      <c r="BJ445" s="694">
        <f t="shared" si="228"/>
        <v>2.0289999999999999</v>
      </c>
      <c r="BK445" s="694" t="str">
        <f t="shared" si="228"/>
        <v/>
      </c>
      <c r="BL445" s="694">
        <f t="shared" si="229"/>
        <v>4.3848099999999999</v>
      </c>
      <c r="BM445" s="694" t="str">
        <f t="shared" si="229"/>
        <v/>
      </c>
      <c r="BN445" s="88"/>
      <c r="BO445" s="195"/>
      <c r="BP445" s="195"/>
      <c r="BQ445" s="195"/>
      <c r="BR445" s="195"/>
      <c r="BS445" s="195"/>
      <c r="BT445" s="195"/>
      <c r="BU445" s="195"/>
      <c r="BV445" s="195"/>
      <c r="BW445" s="195"/>
      <c r="BX445" s="195"/>
    </row>
    <row r="446" spans="1:76" s="124" customFormat="1" ht="15">
      <c r="A446" s="187">
        <v>3141</v>
      </c>
      <c r="B446" s="187" t="s">
        <v>625</v>
      </c>
      <c r="C446" s="187" t="s">
        <v>625</v>
      </c>
      <c r="D446" s="187" t="s">
        <v>790</v>
      </c>
      <c r="E446" s="187" t="s">
        <v>392</v>
      </c>
      <c r="F446" s="187" t="s">
        <v>386</v>
      </c>
      <c r="G446" s="187" t="s">
        <v>393</v>
      </c>
      <c r="H446" s="187" t="b">
        <v>0</v>
      </c>
      <c r="I446" s="187" t="s">
        <v>388</v>
      </c>
      <c r="J446" s="187" t="s">
        <v>389</v>
      </c>
      <c r="K446" s="187" t="b">
        <v>1</v>
      </c>
      <c r="L446" s="187">
        <v>2.5</v>
      </c>
      <c r="M446" s="187">
        <v>0.62</v>
      </c>
      <c r="N446" s="187">
        <v>30.27</v>
      </c>
      <c r="O446" s="187">
        <v>12.3</v>
      </c>
      <c r="P446" s="187">
        <v>4</v>
      </c>
      <c r="Q446" s="187"/>
      <c r="R446" s="187"/>
      <c r="S446" s="187"/>
      <c r="T446" s="187"/>
      <c r="U446" s="187">
        <v>58.1</v>
      </c>
      <c r="V446" s="187">
        <v>1.37</v>
      </c>
      <c r="W446" s="188">
        <v>39371</v>
      </c>
      <c r="X446" s="691">
        <f t="shared" si="226"/>
        <v>0.94000000000000006</v>
      </c>
      <c r="Y446" s="691">
        <f t="shared" si="203"/>
        <v>12.69157</v>
      </c>
      <c r="Z446" s="198"/>
      <c r="AA446" s="190">
        <f t="shared" si="211"/>
        <v>2007</v>
      </c>
      <c r="AB446" s="191">
        <f t="shared" si="212"/>
        <v>2.6595744680851063</v>
      </c>
      <c r="AC446" s="192">
        <f>IF(AB446="","",AB446*SFAssumptions!$C$3)</f>
        <v>682.74813829787229</v>
      </c>
      <c r="AD446" s="193">
        <f t="shared" si="213"/>
        <v>31.728925</v>
      </c>
      <c r="AE446" s="194">
        <f>IF(AD446="","",AD446*SFAssumptions!$C$3)</f>
        <v>8145.2370422025006</v>
      </c>
      <c r="AF446" s="192">
        <f t="shared" si="202"/>
        <v>2.5</v>
      </c>
      <c r="AG446" s="192">
        <f t="shared" si="214"/>
        <v>12.69157</v>
      </c>
      <c r="AH446" s="192">
        <f t="shared" si="215"/>
        <v>0.94000000000000006</v>
      </c>
      <c r="AI446" s="692">
        <f ca="1">IF(AC446="","",AC446*SFAssumptions!$C$8/'SavingsData&amp;Analysis'!AF446)</f>
        <v>1031.4978807656464</v>
      </c>
      <c r="AJ446" s="692">
        <f ca="1">IF(OR(AE446="",AF446=""),"",AE446*SFAssumptions!$C$8/AF446)</f>
        <v>12305.847905073526</v>
      </c>
      <c r="AK446" s="191">
        <f t="shared" si="216"/>
        <v>1.824817518248175</v>
      </c>
      <c r="AL446" s="692">
        <f>IF(AK446="","",AK446*SFAssumptions!$C$3)</f>
        <v>468.4549270072992</v>
      </c>
      <c r="AM446" s="193">
        <f t="shared" si="217"/>
        <v>30.75</v>
      </c>
      <c r="AN446" s="194">
        <f>IF(AM446="","",AM446*SFAssumptions!$C$3)</f>
        <v>7893.9339749999999</v>
      </c>
      <c r="AO446" s="693">
        <f t="shared" si="218"/>
        <v>12.3</v>
      </c>
      <c r="AP446" s="693">
        <f t="shared" si="219"/>
        <v>1.37</v>
      </c>
      <c r="AQ446" s="692">
        <f ca="1">IF(AL446="","",AL446*SFAssumptions!$C$8/'SavingsData&amp;Analysis'!AF446)</f>
        <v>707.74307147423906</v>
      </c>
      <c r="AR446" s="692">
        <f ca="1">IF(OR(AN446="",AF446=""),"",AN446*SFAssumptions!$C$8/AF446)</f>
        <v>11926.178497412406</v>
      </c>
      <c r="AS446" s="190" t="str">
        <f>IF(OR(AG446="",AH446=""),"No",IF(AND(G446="Horizontal",AH446&gt;='Eff. Standards &amp; Certifications'!$B$21,AG446&lt;='Eff. Standards &amp; Certifications'!$C$21),"Consider",IF(AND(G446="Vertical",AH446&gt;='Eff. Standards &amp; Certifications'!$B$20,AG446&lt;='Eff. Standards &amp; Certifications'!$C$20),"Consider","No")))</f>
        <v>No</v>
      </c>
      <c r="AT446" s="190" t="str">
        <f t="shared" si="204"/>
        <v>Residential</v>
      </c>
      <c r="AU446" s="190"/>
      <c r="AV446" s="190" t="str">
        <f t="shared" si="227"/>
        <v>NO</v>
      </c>
      <c r="AW446" s="190" t="str">
        <f t="shared" si="227"/>
        <v>NO</v>
      </c>
      <c r="AX446" s="190" t="str">
        <f t="shared" si="220"/>
        <v>NO</v>
      </c>
      <c r="AY446" s="190" t="str">
        <f t="shared" si="205"/>
        <v>NO</v>
      </c>
      <c r="AZ446" s="190" t="str">
        <f t="shared" si="205"/>
        <v>NO</v>
      </c>
      <c r="BA446" s="190" t="str">
        <f t="shared" si="221"/>
        <v>NO</v>
      </c>
      <c r="BB446" s="190" t="str">
        <f t="shared" si="206"/>
        <v>NO</v>
      </c>
      <c r="BC446" s="190" t="str">
        <f t="shared" si="207"/>
        <v>NO</v>
      </c>
      <c r="BD446" s="190" t="str">
        <f t="shared" si="222"/>
        <v>NO</v>
      </c>
      <c r="BE446" s="190" t="str">
        <f t="shared" si="208"/>
        <v>NO</v>
      </c>
      <c r="BF446" s="190" t="str">
        <f t="shared" si="209"/>
        <v>NO</v>
      </c>
      <c r="BG446" s="190" t="str">
        <f t="shared" si="210"/>
        <v>NO</v>
      </c>
      <c r="BH446" s="88"/>
      <c r="BI446" s="9"/>
      <c r="BJ446" s="694" t="str">
        <f t="shared" si="228"/>
        <v/>
      </c>
      <c r="BK446" s="694" t="str">
        <f t="shared" si="228"/>
        <v/>
      </c>
      <c r="BL446" s="694" t="str">
        <f t="shared" si="229"/>
        <v/>
      </c>
      <c r="BM446" s="694" t="str">
        <f t="shared" si="229"/>
        <v/>
      </c>
      <c r="BN446" s="88"/>
      <c r="BO446" s="195"/>
      <c r="BP446" s="195"/>
      <c r="BQ446" s="195"/>
      <c r="BR446" s="195"/>
      <c r="BS446" s="195"/>
      <c r="BT446" s="195"/>
      <c r="BU446" s="195"/>
      <c r="BV446" s="195"/>
      <c r="BW446" s="195"/>
      <c r="BX446" s="195"/>
    </row>
    <row r="447" spans="1:76" s="124" customFormat="1" ht="15">
      <c r="A447" s="187">
        <v>3414</v>
      </c>
      <c r="B447" s="187" t="s">
        <v>625</v>
      </c>
      <c r="C447" s="187" t="s">
        <v>625</v>
      </c>
      <c r="D447" s="187" t="s">
        <v>791</v>
      </c>
      <c r="E447" s="187" t="s">
        <v>392</v>
      </c>
      <c r="F447" s="187" t="s">
        <v>386</v>
      </c>
      <c r="G447" s="187" t="s">
        <v>393</v>
      </c>
      <c r="H447" s="187" t="b">
        <v>0</v>
      </c>
      <c r="I447" s="187" t="s">
        <v>388</v>
      </c>
      <c r="J447" s="187" t="s">
        <v>389</v>
      </c>
      <c r="K447" s="187" t="b">
        <v>1</v>
      </c>
      <c r="L447" s="187">
        <v>2.6</v>
      </c>
      <c r="M447" s="187">
        <v>0.61</v>
      </c>
      <c r="N447" s="187">
        <v>29.05</v>
      </c>
      <c r="O447" s="187">
        <v>11.3</v>
      </c>
      <c r="P447" s="187">
        <v>4.24</v>
      </c>
      <c r="Q447" s="187"/>
      <c r="R447" s="187"/>
      <c r="S447" s="187"/>
      <c r="T447" s="187"/>
      <c r="U447" s="187">
        <v>59.5</v>
      </c>
      <c r="V447" s="187">
        <v>1.37</v>
      </c>
      <c r="W447" s="188">
        <v>39660</v>
      </c>
      <c r="X447" s="691">
        <f t="shared" si="226"/>
        <v>0.94000000000000006</v>
      </c>
      <c r="Y447" s="691">
        <f t="shared" si="203"/>
        <v>11.702670000000001</v>
      </c>
      <c r="Z447" s="198"/>
      <c r="AA447" s="190">
        <f t="shared" si="211"/>
        <v>2008</v>
      </c>
      <c r="AB447" s="191">
        <f t="shared" si="212"/>
        <v>2.7659574468085104</v>
      </c>
      <c r="AC447" s="192">
        <f>IF(AB447="","",AB447*SFAssumptions!$C$3)</f>
        <v>710.05806382978722</v>
      </c>
      <c r="AD447" s="193">
        <f t="shared" si="213"/>
        <v>30.426942000000004</v>
      </c>
      <c r="AE447" s="194">
        <f>IF(AD447="","",AD447*SFAssumptions!$C$3)</f>
        <v>7811.0006897286012</v>
      </c>
      <c r="AF447" s="192">
        <f t="shared" si="202"/>
        <v>2.6</v>
      </c>
      <c r="AG447" s="192">
        <f t="shared" si="214"/>
        <v>11.702670000000001</v>
      </c>
      <c r="AH447" s="192">
        <f t="shared" si="215"/>
        <v>0.94000000000000006</v>
      </c>
      <c r="AI447" s="692">
        <f ca="1">IF(AC447="","",AC447*SFAssumptions!$C$8/'SavingsData&amp;Analysis'!AF447)</f>
        <v>1031.4978807656464</v>
      </c>
      <c r="AJ447" s="692">
        <f ca="1">IF(OR(AE447="",AF447=""),"",AE447*SFAssumptions!$C$8/AF447)</f>
        <v>11347.002546041726</v>
      </c>
      <c r="AK447" s="191">
        <f t="shared" si="216"/>
        <v>1.8978102189781021</v>
      </c>
      <c r="AL447" s="692">
        <f>IF(AK447="","",AK447*SFAssumptions!$C$3)</f>
        <v>487.19312408759123</v>
      </c>
      <c r="AM447" s="193">
        <f t="shared" si="217"/>
        <v>29.380000000000003</v>
      </c>
      <c r="AN447" s="194">
        <f>IF(AM447="","",AM447*SFAssumptions!$C$3)</f>
        <v>7542.2367540000005</v>
      </c>
      <c r="AO447" s="693">
        <f t="shared" si="218"/>
        <v>11.3</v>
      </c>
      <c r="AP447" s="693">
        <f t="shared" si="219"/>
        <v>1.37</v>
      </c>
      <c r="AQ447" s="692">
        <f ca="1">IF(AL447="","",AL447*SFAssumptions!$C$8/'SavingsData&amp;Analysis'!AF447)</f>
        <v>707.74307147423917</v>
      </c>
      <c r="AR447" s="692">
        <f ca="1">IF(OR(AN447="",AF447=""),"",AN447*SFAssumptions!$C$8/AF447)</f>
        <v>10956.570489492698</v>
      </c>
      <c r="AS447" s="190" t="str">
        <f>IF(OR(AG447="",AH447=""),"No",IF(AND(G447="Horizontal",AH447&gt;='Eff. Standards &amp; Certifications'!$B$21,AG447&lt;='Eff. Standards &amp; Certifications'!$C$21),"Consider",IF(AND(G447="Vertical",AH447&gt;='Eff. Standards &amp; Certifications'!$B$20,AG447&lt;='Eff. Standards &amp; Certifications'!$C$20),"Consider","No")))</f>
        <v>No</v>
      </c>
      <c r="AT447" s="190" t="str">
        <f t="shared" si="204"/>
        <v>Residential</v>
      </c>
      <c r="AU447" s="190"/>
      <c r="AV447" s="190" t="str">
        <f t="shared" si="227"/>
        <v>NO</v>
      </c>
      <c r="AW447" s="190" t="str">
        <f t="shared" si="227"/>
        <v>NO</v>
      </c>
      <c r="AX447" s="190" t="str">
        <f t="shared" si="220"/>
        <v>NO</v>
      </c>
      <c r="AY447" s="190" t="str">
        <f t="shared" si="205"/>
        <v>NO</v>
      </c>
      <c r="AZ447" s="190" t="str">
        <f t="shared" si="205"/>
        <v>NO</v>
      </c>
      <c r="BA447" s="190" t="str">
        <f t="shared" si="221"/>
        <v>NO</v>
      </c>
      <c r="BB447" s="190" t="str">
        <f t="shared" si="206"/>
        <v>NO</v>
      </c>
      <c r="BC447" s="190" t="str">
        <f t="shared" si="207"/>
        <v>NO</v>
      </c>
      <c r="BD447" s="190" t="str">
        <f t="shared" si="222"/>
        <v>NO</v>
      </c>
      <c r="BE447" s="190" t="str">
        <f t="shared" si="208"/>
        <v>NO</v>
      </c>
      <c r="BF447" s="190" t="str">
        <f t="shared" si="209"/>
        <v>NO</v>
      </c>
      <c r="BG447" s="190" t="str">
        <f t="shared" si="210"/>
        <v>NO</v>
      </c>
      <c r="BH447" s="88"/>
      <c r="BI447" s="9"/>
      <c r="BJ447" s="694" t="str">
        <f t="shared" si="228"/>
        <v/>
      </c>
      <c r="BK447" s="694" t="str">
        <f t="shared" si="228"/>
        <v/>
      </c>
      <c r="BL447" s="694" t="str">
        <f t="shared" si="229"/>
        <v/>
      </c>
      <c r="BM447" s="694" t="str">
        <f t="shared" si="229"/>
        <v/>
      </c>
      <c r="BN447" s="88"/>
      <c r="BO447" s="195"/>
      <c r="BP447" s="195"/>
      <c r="BQ447" s="195"/>
      <c r="BR447" s="195"/>
      <c r="BS447" s="195"/>
      <c r="BT447" s="195"/>
      <c r="BU447" s="195"/>
      <c r="BV447" s="195"/>
      <c r="BW447" s="195"/>
      <c r="BX447" s="195"/>
    </row>
    <row r="448" spans="1:76" s="124" customFormat="1" ht="15">
      <c r="A448" s="187">
        <v>648</v>
      </c>
      <c r="B448" s="187" t="s">
        <v>625</v>
      </c>
      <c r="C448" s="187" t="s">
        <v>625</v>
      </c>
      <c r="D448" s="187" t="s">
        <v>792</v>
      </c>
      <c r="E448" s="187" t="s">
        <v>392</v>
      </c>
      <c r="F448" s="187" t="s">
        <v>386</v>
      </c>
      <c r="G448" s="187" t="s">
        <v>393</v>
      </c>
      <c r="H448" s="187" t="b">
        <v>0</v>
      </c>
      <c r="I448" s="187" t="s">
        <v>388</v>
      </c>
      <c r="J448" s="187" t="s">
        <v>389</v>
      </c>
      <c r="K448" s="187" t="b">
        <v>1</v>
      </c>
      <c r="L448" s="187">
        <v>3.5</v>
      </c>
      <c r="M448" s="187">
        <v>0.71</v>
      </c>
      <c r="N448" s="187">
        <v>32.44</v>
      </c>
      <c r="O448" s="187">
        <v>9.4</v>
      </c>
      <c r="P448" s="187">
        <v>4.87</v>
      </c>
      <c r="Q448" s="187"/>
      <c r="R448" s="187"/>
      <c r="S448" s="187"/>
      <c r="T448" s="187"/>
      <c r="U448" s="187">
        <v>55</v>
      </c>
      <c r="V448" s="187">
        <v>1.52</v>
      </c>
      <c r="W448" s="188">
        <v>40170</v>
      </c>
      <c r="X448" s="691">
        <f t="shared" si="226"/>
        <v>1.0884999999999998</v>
      </c>
      <c r="Y448" s="691">
        <f t="shared" si="203"/>
        <v>9.82376</v>
      </c>
      <c r="Z448" s="198"/>
      <c r="AA448" s="190">
        <f t="shared" si="211"/>
        <v>2009</v>
      </c>
      <c r="AB448" s="191">
        <f t="shared" si="212"/>
        <v>3.2154340836012869</v>
      </c>
      <c r="AC448" s="192">
        <f>IF(AB448="","",AB448*SFAssumptions!$C$3)</f>
        <v>825.44469453376223</v>
      </c>
      <c r="AD448" s="193">
        <f t="shared" si="213"/>
        <v>34.383160000000004</v>
      </c>
      <c r="AE448" s="194">
        <f>IF(AD448="","",AD448*SFAssumptions!$C$3)</f>
        <v>8826.6144680280013</v>
      </c>
      <c r="AF448" s="192">
        <f t="shared" si="202"/>
        <v>3.5</v>
      </c>
      <c r="AG448" s="192">
        <f t="shared" si="214"/>
        <v>9.82376</v>
      </c>
      <c r="AH448" s="192">
        <f t="shared" si="215"/>
        <v>1.0884999999999998</v>
      </c>
      <c r="AI448" s="692">
        <f ca="1">IF(AC448="","",AC448*SFAssumptions!$C$8/'SavingsData&amp;Analysis'!AF448)</f>
        <v>890.77446754222126</v>
      </c>
      <c r="AJ448" s="692">
        <f ca="1">IF(OR(AE448="",AF448=""),"",AE448*SFAssumptions!$C$8/AF448)</f>
        <v>9525.1963638813086</v>
      </c>
      <c r="AK448" s="191">
        <f t="shared" si="216"/>
        <v>2.3026315789473686</v>
      </c>
      <c r="AL448" s="692">
        <f>IF(AK448="","",AK448*SFAssumptions!$C$3)</f>
        <v>591.11615131578958</v>
      </c>
      <c r="AM448" s="193">
        <f t="shared" si="217"/>
        <v>32.9</v>
      </c>
      <c r="AN448" s="194">
        <f>IF(AM448="","",AM448*SFAssumptions!$C$3)</f>
        <v>8445.8675700000003</v>
      </c>
      <c r="AO448" s="693">
        <f t="shared" si="218"/>
        <v>9.4</v>
      </c>
      <c r="AP448" s="693">
        <f t="shared" si="219"/>
        <v>1.52</v>
      </c>
      <c r="AQ448" s="692">
        <f ca="1">IF(AL448="","",AL448*SFAssumptions!$C$8/'SavingsData&amp;Analysis'!AF448)</f>
        <v>637.90000521033403</v>
      </c>
      <c r="AR448" s="692">
        <f ca="1">IF(OR(AN448="",AF448=""),"",AN448*SFAssumptions!$C$8/AF448)</f>
        <v>9114.3152744452527</v>
      </c>
      <c r="AS448" s="190" t="str">
        <f>IF(OR(AG448="",AH448=""),"No",IF(AND(G448="Horizontal",AH448&gt;='Eff. Standards &amp; Certifications'!$B$21,AG448&lt;='Eff. Standards &amp; Certifications'!$C$21),"Consider",IF(AND(G448="Vertical",AH448&gt;='Eff. Standards &amp; Certifications'!$B$20,AG448&lt;='Eff. Standards &amp; Certifications'!$C$20),"Consider","No")))</f>
        <v>No</v>
      </c>
      <c r="AT448" s="190" t="str">
        <f t="shared" si="204"/>
        <v>Residential</v>
      </c>
      <c r="AU448" s="190"/>
      <c r="AV448" s="190" t="str">
        <f t="shared" si="227"/>
        <v>NO</v>
      </c>
      <c r="AW448" s="190" t="str">
        <f t="shared" si="227"/>
        <v>NO</v>
      </c>
      <c r="AX448" s="190" t="str">
        <f t="shared" si="220"/>
        <v>NO</v>
      </c>
      <c r="AY448" s="190" t="str">
        <f t="shared" si="205"/>
        <v>NO</v>
      </c>
      <c r="AZ448" s="190" t="str">
        <f t="shared" si="205"/>
        <v>NO</v>
      </c>
      <c r="BA448" s="190" t="str">
        <f t="shared" si="221"/>
        <v>NO</v>
      </c>
      <c r="BB448" s="190" t="str">
        <f t="shared" si="206"/>
        <v>NO</v>
      </c>
      <c r="BC448" s="190" t="str">
        <f t="shared" si="207"/>
        <v>NO</v>
      </c>
      <c r="BD448" s="190" t="str">
        <f t="shared" si="222"/>
        <v>NO</v>
      </c>
      <c r="BE448" s="190" t="str">
        <f t="shared" si="208"/>
        <v>NO</v>
      </c>
      <c r="BF448" s="190" t="str">
        <f t="shared" si="209"/>
        <v>NO</v>
      </c>
      <c r="BG448" s="190" t="str">
        <f t="shared" si="210"/>
        <v>NO</v>
      </c>
      <c r="BH448" s="88"/>
      <c r="BI448" s="9"/>
      <c r="BJ448" s="694" t="str">
        <f t="shared" si="228"/>
        <v/>
      </c>
      <c r="BK448" s="694" t="str">
        <f t="shared" si="228"/>
        <v/>
      </c>
      <c r="BL448" s="694" t="str">
        <f t="shared" si="229"/>
        <v/>
      </c>
      <c r="BM448" s="694" t="str">
        <f t="shared" si="229"/>
        <v/>
      </c>
      <c r="BN448" s="88"/>
      <c r="BO448" s="195"/>
      <c r="BP448" s="195"/>
      <c r="BQ448" s="195"/>
      <c r="BR448" s="195"/>
      <c r="BS448" s="195"/>
      <c r="BT448" s="195"/>
      <c r="BU448" s="195"/>
      <c r="BV448" s="195"/>
      <c r="BW448" s="195"/>
      <c r="BX448" s="195"/>
    </row>
    <row r="449" spans="1:76" s="124" customFormat="1" ht="15">
      <c r="A449" s="187">
        <v>3142</v>
      </c>
      <c r="B449" s="187" t="s">
        <v>625</v>
      </c>
      <c r="C449" s="187" t="s">
        <v>625</v>
      </c>
      <c r="D449" s="187" t="s">
        <v>793</v>
      </c>
      <c r="E449" s="187" t="s">
        <v>392</v>
      </c>
      <c r="F449" s="187" t="s">
        <v>386</v>
      </c>
      <c r="G449" s="187" t="s">
        <v>393</v>
      </c>
      <c r="H449" s="187" t="b">
        <v>0</v>
      </c>
      <c r="I449" s="187" t="s">
        <v>388</v>
      </c>
      <c r="J449" s="187" t="s">
        <v>389</v>
      </c>
      <c r="K449" s="187" t="b">
        <v>1</v>
      </c>
      <c r="L449" s="187">
        <v>3.1</v>
      </c>
      <c r="M449" s="187">
        <v>1.1399999999999999</v>
      </c>
      <c r="N449" s="187">
        <v>37.32</v>
      </c>
      <c r="O449" s="187">
        <v>11.9</v>
      </c>
      <c r="P449" s="187">
        <v>2.77</v>
      </c>
      <c r="Q449" s="187"/>
      <c r="R449" s="187"/>
      <c r="S449" s="187"/>
      <c r="T449" s="187"/>
      <c r="U449" s="187">
        <v>51.1</v>
      </c>
      <c r="V449" s="187">
        <v>1.33</v>
      </c>
      <c r="W449" s="188">
        <v>39371</v>
      </c>
      <c r="X449" s="691">
        <f t="shared" si="226"/>
        <v>0.90039999999999998</v>
      </c>
      <c r="Y449" s="691">
        <f t="shared" si="203"/>
        <v>12.296010000000001</v>
      </c>
      <c r="Z449" s="198"/>
      <c r="AA449" s="190">
        <f t="shared" si="211"/>
        <v>2007</v>
      </c>
      <c r="AB449" s="191">
        <f t="shared" si="212"/>
        <v>3.442914260328743</v>
      </c>
      <c r="AC449" s="192">
        <f>IF(AB449="","",AB449*SFAssumptions!$C$3)</f>
        <v>883.84188138605077</v>
      </c>
      <c r="AD449" s="193">
        <f t="shared" si="213"/>
        <v>38.117631000000003</v>
      </c>
      <c r="AE449" s="194">
        <f>IF(AD449="","",AD449*SFAssumptions!$C$3)</f>
        <v>9785.3028421923009</v>
      </c>
      <c r="AF449" s="192">
        <f t="shared" si="202"/>
        <v>3.1</v>
      </c>
      <c r="AG449" s="192">
        <f t="shared" si="214"/>
        <v>12.296010000000001</v>
      </c>
      <c r="AH449" s="192">
        <f t="shared" si="215"/>
        <v>0.90039999999999998</v>
      </c>
      <c r="AI449" s="692">
        <f ca="1">IF(AC449="","",AC449*SFAssumptions!$C$8/'SavingsData&amp;Analysis'!AF449)</f>
        <v>1076.8636249663571</v>
      </c>
      <c r="AJ449" s="692">
        <f ca="1">IF(OR(AE449="",AF449=""),"",AE449*SFAssumptions!$C$8/AF449)</f>
        <v>11922.309761460807</v>
      </c>
      <c r="AK449" s="191">
        <f t="shared" si="216"/>
        <v>2.3308270676691727</v>
      </c>
      <c r="AL449" s="692">
        <f>IF(AK449="","",AK449*SFAssumptions!$C$3)</f>
        <v>598.3543082706766</v>
      </c>
      <c r="AM449" s="193">
        <f t="shared" si="217"/>
        <v>36.89</v>
      </c>
      <c r="AN449" s="194">
        <f>IF(AM449="","",AM449*SFAssumptions!$C$3)</f>
        <v>9470.1536369999994</v>
      </c>
      <c r="AO449" s="693">
        <f t="shared" si="218"/>
        <v>11.9</v>
      </c>
      <c r="AP449" s="693">
        <f t="shared" si="219"/>
        <v>1.33</v>
      </c>
      <c r="AQ449" s="692">
        <f ca="1">IF(AL449="","",AL449*SFAssumptions!$C$8/'SavingsData&amp;Analysis'!AF449)</f>
        <v>729.02857738323871</v>
      </c>
      <c r="AR449" s="692">
        <f ca="1">IF(OR(AN449="",AF449=""),"",AN449*SFAssumptions!$C$8/AF449)</f>
        <v>11538.33529424452</v>
      </c>
      <c r="AS449" s="190" t="str">
        <f>IF(OR(AG449="",AH449=""),"No",IF(AND(G449="Horizontal",AH449&gt;='Eff. Standards &amp; Certifications'!$B$21,AG449&lt;='Eff. Standards &amp; Certifications'!$C$21),"Consider",IF(AND(G449="Vertical",AH449&gt;='Eff. Standards &amp; Certifications'!$B$20,AG449&lt;='Eff. Standards &amp; Certifications'!$C$20),"Consider","No")))</f>
        <v>No</v>
      </c>
      <c r="AT449" s="190" t="str">
        <f t="shared" si="204"/>
        <v>Residential</v>
      </c>
      <c r="AU449" s="190"/>
      <c r="AV449" s="190" t="str">
        <f t="shared" si="227"/>
        <v>NO</v>
      </c>
      <c r="AW449" s="190" t="str">
        <f t="shared" si="227"/>
        <v>NO</v>
      </c>
      <c r="AX449" s="190" t="str">
        <f t="shared" si="220"/>
        <v>NO</v>
      </c>
      <c r="AY449" s="190" t="str">
        <f t="shared" si="205"/>
        <v>NO</v>
      </c>
      <c r="AZ449" s="190" t="str">
        <f t="shared" si="205"/>
        <v>NO</v>
      </c>
      <c r="BA449" s="190" t="str">
        <f t="shared" si="221"/>
        <v>NO</v>
      </c>
      <c r="BB449" s="190" t="str">
        <f t="shared" si="206"/>
        <v>NO</v>
      </c>
      <c r="BC449" s="190" t="str">
        <f t="shared" si="207"/>
        <v>NO</v>
      </c>
      <c r="BD449" s="190" t="str">
        <f t="shared" si="222"/>
        <v>NO</v>
      </c>
      <c r="BE449" s="190" t="str">
        <f t="shared" si="208"/>
        <v>NO</v>
      </c>
      <c r="BF449" s="190" t="str">
        <f t="shared" si="209"/>
        <v>NO</v>
      </c>
      <c r="BG449" s="190" t="str">
        <f t="shared" si="210"/>
        <v>NO</v>
      </c>
      <c r="BH449" s="88"/>
      <c r="BI449" s="9"/>
      <c r="BJ449" s="694" t="str">
        <f t="shared" si="228"/>
        <v/>
      </c>
      <c r="BK449" s="694" t="str">
        <f t="shared" si="228"/>
        <v/>
      </c>
      <c r="BL449" s="694" t="str">
        <f t="shared" si="229"/>
        <v/>
      </c>
      <c r="BM449" s="694" t="str">
        <f t="shared" si="229"/>
        <v/>
      </c>
      <c r="BN449" s="88"/>
      <c r="BO449" s="195"/>
      <c r="BP449" s="195"/>
      <c r="BQ449" s="195"/>
      <c r="BR449" s="195"/>
      <c r="BS449" s="195"/>
      <c r="BT449" s="195"/>
      <c r="BU449" s="195"/>
      <c r="BV449" s="195"/>
      <c r="BW449" s="195"/>
      <c r="BX449" s="195"/>
    </row>
    <row r="450" spans="1:76" s="124" customFormat="1" ht="15">
      <c r="A450" s="187">
        <v>3144</v>
      </c>
      <c r="B450" s="187" t="s">
        <v>625</v>
      </c>
      <c r="C450" s="187" t="s">
        <v>625</v>
      </c>
      <c r="D450" s="187" t="s">
        <v>794</v>
      </c>
      <c r="E450" s="187" t="s">
        <v>392</v>
      </c>
      <c r="F450" s="187" t="s">
        <v>386</v>
      </c>
      <c r="G450" s="187" t="s">
        <v>393</v>
      </c>
      <c r="H450" s="187" t="b">
        <v>0</v>
      </c>
      <c r="I450" s="187" t="s">
        <v>388</v>
      </c>
      <c r="J450" s="187" t="s">
        <v>389</v>
      </c>
      <c r="K450" s="187" t="b">
        <v>1</v>
      </c>
      <c r="L450" s="187">
        <v>3.1</v>
      </c>
      <c r="M450" s="187">
        <v>1.08</v>
      </c>
      <c r="N450" s="187">
        <v>35.72</v>
      </c>
      <c r="O450" s="187">
        <v>11.4</v>
      </c>
      <c r="P450" s="187">
        <v>2.9</v>
      </c>
      <c r="Q450" s="187"/>
      <c r="R450" s="187"/>
      <c r="S450" s="187"/>
      <c r="T450" s="187"/>
      <c r="U450" s="187">
        <v>51.8</v>
      </c>
      <c r="V450" s="187">
        <v>1.35</v>
      </c>
      <c r="W450" s="188">
        <v>39371</v>
      </c>
      <c r="X450" s="691">
        <f t="shared" si="226"/>
        <v>0.92020000000000002</v>
      </c>
      <c r="Y450" s="691">
        <f t="shared" si="203"/>
        <v>11.80156</v>
      </c>
      <c r="Z450" s="198"/>
      <c r="AA450" s="190">
        <f t="shared" si="211"/>
        <v>2007</v>
      </c>
      <c r="AB450" s="191">
        <f t="shared" si="212"/>
        <v>3.3688328624212129</v>
      </c>
      <c r="AC450" s="192">
        <f>IF(AB450="","",AB450*SFAssumptions!$C$3)</f>
        <v>864.8242012605956</v>
      </c>
      <c r="AD450" s="193">
        <f t="shared" si="213"/>
        <v>36.584836000000003</v>
      </c>
      <c r="AE450" s="194">
        <f>IF(AD450="","",AD450*SFAssumptions!$C$3)</f>
        <v>9391.8139795188017</v>
      </c>
      <c r="AF450" s="192">
        <f t="shared" si="202"/>
        <v>3.1</v>
      </c>
      <c r="AG450" s="192">
        <f t="shared" si="214"/>
        <v>11.80156</v>
      </c>
      <c r="AH450" s="192">
        <f t="shared" si="215"/>
        <v>0.92020000000000002</v>
      </c>
      <c r="AI450" s="692">
        <f ca="1">IF(AC450="","",AC450*SFAssumptions!$C$8/'SavingsData&amp;Analysis'!AF450)</f>
        <v>1053.6926841118318</v>
      </c>
      <c r="AJ450" s="692">
        <f ca="1">IF(OR(AE450="",AF450=""),"",AE450*SFAssumptions!$C$8/AF450)</f>
        <v>11442.887081944908</v>
      </c>
      <c r="AK450" s="191">
        <f t="shared" si="216"/>
        <v>2.2962962962962963</v>
      </c>
      <c r="AL450" s="692">
        <f>IF(AK450="","",AK450*SFAssumptions!$C$3)</f>
        <v>589.48980000000006</v>
      </c>
      <c r="AM450" s="193">
        <f t="shared" si="217"/>
        <v>35.340000000000003</v>
      </c>
      <c r="AN450" s="194">
        <f>IF(AM450="","",AM450*SFAssumptions!$C$3)</f>
        <v>9072.2480220000016</v>
      </c>
      <c r="AO450" s="693">
        <f t="shared" si="218"/>
        <v>11.4</v>
      </c>
      <c r="AP450" s="693">
        <f t="shared" si="219"/>
        <v>1.35</v>
      </c>
      <c r="AQ450" s="692">
        <f ca="1">IF(AL450="","",AL450*SFAssumptions!$C$8/'SavingsData&amp;Analysis'!AF450)</f>
        <v>718.22815401459843</v>
      </c>
      <c r="AR450" s="692">
        <f ca="1">IF(OR(AN450="",AF450=""),"",AN450*SFAssumptions!$C$8/AF450)</f>
        <v>11053.531290284671</v>
      </c>
      <c r="AS450" s="190" t="str">
        <f>IF(OR(AG450="",AH450=""),"No",IF(AND(G450="Horizontal",AH450&gt;='Eff. Standards &amp; Certifications'!$B$21,AG450&lt;='Eff. Standards &amp; Certifications'!$C$21),"Consider",IF(AND(G450="Vertical",AH450&gt;='Eff. Standards &amp; Certifications'!$B$20,AG450&lt;='Eff. Standards &amp; Certifications'!$C$20),"Consider","No")))</f>
        <v>No</v>
      </c>
      <c r="AT450" s="190" t="str">
        <f t="shared" si="204"/>
        <v>Residential</v>
      </c>
      <c r="AU450" s="190"/>
      <c r="AV450" s="190" t="str">
        <f t="shared" si="227"/>
        <v>NO</v>
      </c>
      <c r="AW450" s="190" t="str">
        <f t="shared" si="227"/>
        <v>NO</v>
      </c>
      <c r="AX450" s="190" t="str">
        <f t="shared" si="220"/>
        <v>NO</v>
      </c>
      <c r="AY450" s="190" t="str">
        <f t="shared" si="205"/>
        <v>NO</v>
      </c>
      <c r="AZ450" s="190" t="str">
        <f t="shared" si="205"/>
        <v>NO</v>
      </c>
      <c r="BA450" s="190" t="str">
        <f t="shared" si="221"/>
        <v>NO</v>
      </c>
      <c r="BB450" s="190" t="str">
        <f t="shared" si="206"/>
        <v>NO</v>
      </c>
      <c r="BC450" s="190" t="str">
        <f t="shared" si="207"/>
        <v>NO</v>
      </c>
      <c r="BD450" s="190" t="str">
        <f t="shared" si="222"/>
        <v>NO</v>
      </c>
      <c r="BE450" s="190" t="str">
        <f t="shared" si="208"/>
        <v>NO</v>
      </c>
      <c r="BF450" s="190" t="str">
        <f t="shared" si="209"/>
        <v>NO</v>
      </c>
      <c r="BG450" s="190" t="str">
        <f t="shared" si="210"/>
        <v>NO</v>
      </c>
      <c r="BH450" s="88"/>
      <c r="BI450" s="9"/>
      <c r="BJ450" s="694" t="str">
        <f t="shared" si="228"/>
        <v/>
      </c>
      <c r="BK450" s="694" t="str">
        <f t="shared" si="228"/>
        <v/>
      </c>
      <c r="BL450" s="694" t="str">
        <f t="shared" si="229"/>
        <v/>
      </c>
      <c r="BM450" s="694" t="str">
        <f t="shared" si="229"/>
        <v/>
      </c>
      <c r="BN450" s="88"/>
      <c r="BO450" s="195"/>
      <c r="BP450" s="195"/>
      <c r="BQ450" s="195"/>
      <c r="BR450" s="195"/>
      <c r="BS450" s="195"/>
      <c r="BT450" s="195"/>
      <c r="BU450" s="195"/>
      <c r="BV450" s="195"/>
      <c r="BW450" s="195"/>
      <c r="BX450" s="195"/>
    </row>
    <row r="451" spans="1:76" s="124" customFormat="1" ht="15">
      <c r="A451" s="187">
        <v>3146</v>
      </c>
      <c r="B451" s="187" t="s">
        <v>625</v>
      </c>
      <c r="C451" s="187" t="s">
        <v>625</v>
      </c>
      <c r="D451" s="187" t="s">
        <v>795</v>
      </c>
      <c r="E451" s="187" t="s">
        <v>392</v>
      </c>
      <c r="F451" s="187" t="s">
        <v>386</v>
      </c>
      <c r="G451" s="187" t="s">
        <v>393</v>
      </c>
      <c r="H451" s="187" t="b">
        <v>0</v>
      </c>
      <c r="I451" s="187" t="s">
        <v>388</v>
      </c>
      <c r="J451" s="187" t="s">
        <v>389</v>
      </c>
      <c r="K451" s="187" t="b">
        <v>1</v>
      </c>
      <c r="L451" s="187">
        <v>3.1</v>
      </c>
      <c r="M451" s="187">
        <v>1.07</v>
      </c>
      <c r="N451" s="187">
        <v>38.409999999999997</v>
      </c>
      <c r="O451" s="187">
        <v>12.2</v>
      </c>
      <c r="P451" s="187">
        <v>2.94</v>
      </c>
      <c r="Q451" s="187"/>
      <c r="R451" s="187"/>
      <c r="S451" s="187"/>
      <c r="T451" s="187"/>
      <c r="U451" s="187">
        <v>51.2</v>
      </c>
      <c r="V451" s="187">
        <v>1.33</v>
      </c>
      <c r="W451" s="188">
        <v>39371</v>
      </c>
      <c r="X451" s="691">
        <f t="shared" si="226"/>
        <v>0.90039999999999998</v>
      </c>
      <c r="Y451" s="691">
        <f t="shared" si="203"/>
        <v>12.59268</v>
      </c>
      <c r="Z451" s="198"/>
      <c r="AA451" s="190">
        <f t="shared" si="211"/>
        <v>2007</v>
      </c>
      <c r="AB451" s="191">
        <f t="shared" si="212"/>
        <v>3.442914260328743</v>
      </c>
      <c r="AC451" s="192">
        <f>IF(AB451="","",AB451*SFAssumptions!$C$3)</f>
        <v>883.84188138605077</v>
      </c>
      <c r="AD451" s="193">
        <f t="shared" si="213"/>
        <v>39.037308000000003</v>
      </c>
      <c r="AE451" s="194">
        <f>IF(AD451="","",AD451*SFAssumptions!$C$3)</f>
        <v>10021.396159796401</v>
      </c>
      <c r="AF451" s="192">
        <f t="shared" si="202"/>
        <v>3.1</v>
      </c>
      <c r="AG451" s="192">
        <f t="shared" si="214"/>
        <v>12.59268</v>
      </c>
      <c r="AH451" s="192">
        <f t="shared" si="215"/>
        <v>0.90039999999999998</v>
      </c>
      <c r="AI451" s="692">
        <f ca="1">IF(AC451="","",AC451*SFAssumptions!$C$8/'SavingsData&amp;Analysis'!AF451)</f>
        <v>1076.8636249663571</v>
      </c>
      <c r="AJ451" s="692">
        <f ca="1">IF(OR(AE451="",AF451=""),"",AE451*SFAssumptions!$C$8/AF451)</f>
        <v>12209.963369170344</v>
      </c>
      <c r="AK451" s="191">
        <f t="shared" si="216"/>
        <v>2.3308270676691727</v>
      </c>
      <c r="AL451" s="692">
        <f>IF(AK451="","",AK451*SFAssumptions!$C$3)</f>
        <v>598.3543082706766</v>
      </c>
      <c r="AM451" s="193">
        <f t="shared" si="217"/>
        <v>37.82</v>
      </c>
      <c r="AN451" s="194">
        <f>IF(AM451="","",AM451*SFAssumptions!$C$3)</f>
        <v>9708.8970060000011</v>
      </c>
      <c r="AO451" s="693">
        <f t="shared" si="218"/>
        <v>12.2</v>
      </c>
      <c r="AP451" s="693">
        <f t="shared" si="219"/>
        <v>1.33</v>
      </c>
      <c r="AQ451" s="692">
        <f ca="1">IF(AL451="","",AL451*SFAssumptions!$C$8/'SavingsData&amp;Analysis'!AF451)</f>
        <v>729.02857738323871</v>
      </c>
      <c r="AR451" s="692">
        <f ca="1">IF(OR(AN451="",AF451=""),"",AN451*SFAssumptions!$C$8/AF451)</f>
        <v>11829.217696620433</v>
      </c>
      <c r="AS451" s="190" t="str">
        <f>IF(OR(AG451="",AH451=""),"No",IF(AND(G451="Horizontal",AH451&gt;='Eff. Standards &amp; Certifications'!$B$21,AG451&lt;='Eff. Standards &amp; Certifications'!$C$21),"Consider",IF(AND(G451="Vertical",AH451&gt;='Eff. Standards &amp; Certifications'!$B$20,AG451&lt;='Eff. Standards &amp; Certifications'!$C$20),"Consider","No")))</f>
        <v>No</v>
      </c>
      <c r="AT451" s="190" t="str">
        <f t="shared" si="204"/>
        <v>Residential</v>
      </c>
      <c r="AU451" s="190"/>
      <c r="AV451" s="190" t="str">
        <f t="shared" si="227"/>
        <v>NO</v>
      </c>
      <c r="AW451" s="190" t="str">
        <f t="shared" si="227"/>
        <v>NO</v>
      </c>
      <c r="AX451" s="190" t="str">
        <f t="shared" si="220"/>
        <v>NO</v>
      </c>
      <c r="AY451" s="190" t="str">
        <f t="shared" si="205"/>
        <v>NO</v>
      </c>
      <c r="AZ451" s="190" t="str">
        <f t="shared" si="205"/>
        <v>NO</v>
      </c>
      <c r="BA451" s="190" t="str">
        <f t="shared" si="221"/>
        <v>NO</v>
      </c>
      <c r="BB451" s="190" t="str">
        <f t="shared" si="206"/>
        <v>NO</v>
      </c>
      <c r="BC451" s="190" t="str">
        <f t="shared" si="207"/>
        <v>NO</v>
      </c>
      <c r="BD451" s="190" t="str">
        <f t="shared" si="222"/>
        <v>NO</v>
      </c>
      <c r="BE451" s="190" t="str">
        <f t="shared" si="208"/>
        <v>NO</v>
      </c>
      <c r="BF451" s="190" t="str">
        <f t="shared" si="209"/>
        <v>NO</v>
      </c>
      <c r="BG451" s="190" t="str">
        <f t="shared" si="210"/>
        <v>NO</v>
      </c>
      <c r="BH451" s="88"/>
      <c r="BI451" s="9"/>
      <c r="BJ451" s="694" t="str">
        <f t="shared" si="228"/>
        <v/>
      </c>
      <c r="BK451" s="694" t="str">
        <f t="shared" si="228"/>
        <v/>
      </c>
      <c r="BL451" s="694" t="str">
        <f t="shared" si="229"/>
        <v/>
      </c>
      <c r="BM451" s="694" t="str">
        <f t="shared" si="229"/>
        <v/>
      </c>
      <c r="BN451" s="88"/>
      <c r="BO451" s="195"/>
      <c r="BP451" s="195"/>
      <c r="BQ451" s="195"/>
      <c r="BR451" s="195"/>
      <c r="BS451" s="195"/>
      <c r="BT451" s="195"/>
      <c r="BU451" s="195"/>
      <c r="BV451" s="195"/>
      <c r="BW451" s="195"/>
      <c r="BX451" s="195"/>
    </row>
    <row r="452" spans="1:76" s="124" customFormat="1" ht="15">
      <c r="A452" s="187">
        <v>529</v>
      </c>
      <c r="B452" s="187" t="s">
        <v>625</v>
      </c>
      <c r="C452" s="187" t="s">
        <v>625</v>
      </c>
      <c r="D452" s="187" t="s">
        <v>796</v>
      </c>
      <c r="E452" s="187" t="s">
        <v>392</v>
      </c>
      <c r="F452" s="187" t="s">
        <v>386</v>
      </c>
      <c r="G452" s="187" t="s">
        <v>393</v>
      </c>
      <c r="H452" s="187" t="b">
        <v>0</v>
      </c>
      <c r="I452" s="187" t="s">
        <v>388</v>
      </c>
      <c r="J452" s="187" t="s">
        <v>389</v>
      </c>
      <c r="K452" s="187" t="b">
        <v>1</v>
      </c>
      <c r="L452" s="187">
        <v>3.7</v>
      </c>
      <c r="M452" s="187">
        <v>0.33</v>
      </c>
      <c r="N452" s="187">
        <v>14.1</v>
      </c>
      <c r="O452" s="187">
        <v>3.8</v>
      </c>
      <c r="P452" s="187">
        <v>11.29</v>
      </c>
      <c r="Q452" s="187"/>
      <c r="R452" s="187"/>
      <c r="S452" s="187"/>
      <c r="T452" s="187"/>
      <c r="U452" s="187">
        <v>40.799999999999997</v>
      </c>
      <c r="V452" s="187">
        <v>2.4</v>
      </c>
      <c r="W452" s="188">
        <v>40309</v>
      </c>
      <c r="X452" s="691">
        <f t="shared" si="226"/>
        <v>1.9596999999999998</v>
      </c>
      <c r="Y452" s="691">
        <f t="shared" si="203"/>
        <v>4.28592</v>
      </c>
      <c r="Z452" s="198"/>
      <c r="AA452" s="190">
        <f t="shared" si="211"/>
        <v>2010</v>
      </c>
      <c r="AB452" s="191">
        <f t="shared" si="212"/>
        <v>1.8880440883808749</v>
      </c>
      <c r="AC452" s="192">
        <f>IF(AB452="","",AB452*SFAssumptions!$C$3)</f>
        <v>484.68602847374603</v>
      </c>
      <c r="AD452" s="193">
        <f t="shared" si="213"/>
        <v>15.857904000000001</v>
      </c>
      <c r="AE452" s="194">
        <f>IF(AD452="","",AD452*SFAssumptions!$C$3)</f>
        <v>4070.9348669232004</v>
      </c>
      <c r="AF452" s="192">
        <f t="shared" si="202"/>
        <v>3.7</v>
      </c>
      <c r="AG452" s="192">
        <f t="shared" si="214"/>
        <v>4.28592</v>
      </c>
      <c r="AH452" s="192">
        <f t="shared" si="215"/>
        <v>1.9596999999999998</v>
      </c>
      <c r="AI452" s="692">
        <f ca="1">IF(AC452="","",AC452*SFAssumptions!$C$8/'SavingsData&amp;Analysis'!AF452)</f>
        <v>494.77369389177312</v>
      </c>
      <c r="AJ452" s="692">
        <f ca="1">IF(OR(AE452="",AF452=""),"",AE452*SFAssumptions!$C$8/AF452)</f>
        <v>4155.6623533032334</v>
      </c>
      <c r="AK452" s="191">
        <f t="shared" si="216"/>
        <v>1.5416666666666667</v>
      </c>
      <c r="AL452" s="692">
        <f>IF(AK452="","",AK452*SFAssumptions!$C$3)</f>
        <v>395.76633750000002</v>
      </c>
      <c r="AM452" s="193">
        <f t="shared" si="217"/>
        <v>14.06</v>
      </c>
      <c r="AN452" s="194">
        <f>IF(AM452="","",AM452*SFAssumptions!$C$3)</f>
        <v>3609.3889980000004</v>
      </c>
      <c r="AO452" s="693">
        <f t="shared" si="218"/>
        <v>3.8</v>
      </c>
      <c r="AP452" s="693">
        <f t="shared" si="219"/>
        <v>2.4</v>
      </c>
      <c r="AQ452" s="692">
        <f ca="1">IF(AL452="","",AL452*SFAssumptions!$C$8/'SavingsData&amp;Analysis'!AF452)</f>
        <v>404.00333663321152</v>
      </c>
      <c r="AR452" s="692">
        <f ca="1">IF(OR(AN452="",AF452=""),"",AN452*SFAssumptions!$C$8/AF452)</f>
        <v>3684.5104300948892</v>
      </c>
      <c r="AS452" s="190" t="str">
        <f>IF(OR(AG452="",AH452=""),"No",IF(AND(G452="Horizontal",AH452&gt;='Eff. Standards &amp; Certifications'!$B$21,AG452&lt;='Eff. Standards &amp; Certifications'!$C$21),"Consider",IF(AND(G452="Vertical",AH452&gt;='Eff. Standards &amp; Certifications'!$B$20,AG452&lt;='Eff. Standards &amp; Certifications'!$C$20),"Consider","No")))</f>
        <v>Consider</v>
      </c>
      <c r="AT452" s="190" t="str">
        <f t="shared" si="204"/>
        <v>Residential</v>
      </c>
      <c r="AU452" s="190"/>
      <c r="AV452" s="190" t="str">
        <f t="shared" si="227"/>
        <v>YES</v>
      </c>
      <c r="AW452" s="190" t="str">
        <f t="shared" si="227"/>
        <v>NO</v>
      </c>
      <c r="AX452" s="190" t="str">
        <f t="shared" si="220"/>
        <v>YES</v>
      </c>
      <c r="AY452" s="190" t="str">
        <f t="shared" si="205"/>
        <v>YES</v>
      </c>
      <c r="AZ452" s="190" t="str">
        <f t="shared" si="205"/>
        <v>NO</v>
      </c>
      <c r="BA452" s="190" t="str">
        <f t="shared" si="221"/>
        <v>YES</v>
      </c>
      <c r="BB452" s="190" t="str">
        <f t="shared" si="206"/>
        <v>NO</v>
      </c>
      <c r="BC452" s="190" t="str">
        <f t="shared" si="207"/>
        <v>NO</v>
      </c>
      <c r="BD452" s="190" t="str">
        <f t="shared" si="222"/>
        <v>NO</v>
      </c>
      <c r="BE452" s="190" t="str">
        <f t="shared" si="208"/>
        <v>NO</v>
      </c>
      <c r="BF452" s="190" t="str">
        <f t="shared" si="209"/>
        <v>NO</v>
      </c>
      <c r="BG452" s="190" t="str">
        <f t="shared" si="210"/>
        <v>NO</v>
      </c>
      <c r="BH452" s="88"/>
      <c r="BI452" s="9"/>
      <c r="BJ452" s="694">
        <f t="shared" si="228"/>
        <v>1.9596999999999998</v>
      </c>
      <c r="BK452" s="694" t="str">
        <f t="shared" si="228"/>
        <v/>
      </c>
      <c r="BL452" s="694">
        <f t="shared" si="229"/>
        <v>4.28592</v>
      </c>
      <c r="BM452" s="694" t="str">
        <f t="shared" si="229"/>
        <v/>
      </c>
      <c r="BN452" s="88"/>
      <c r="BO452" s="195"/>
      <c r="BP452" s="195"/>
      <c r="BQ452" s="195"/>
      <c r="BR452" s="195"/>
      <c r="BS452" s="195"/>
      <c r="BT452" s="195"/>
      <c r="BU452" s="195"/>
      <c r="BV452" s="195"/>
      <c r="BW452" s="195"/>
      <c r="BX452" s="195"/>
    </row>
    <row r="453" spans="1:76" s="124" customFormat="1" ht="15">
      <c r="A453" s="187">
        <v>552</v>
      </c>
      <c r="B453" s="187" t="s">
        <v>625</v>
      </c>
      <c r="C453" s="187" t="s">
        <v>625</v>
      </c>
      <c r="D453" s="187" t="s">
        <v>797</v>
      </c>
      <c r="E453" s="187" t="s">
        <v>392</v>
      </c>
      <c r="F453" s="187" t="s">
        <v>386</v>
      </c>
      <c r="G453" s="187" t="s">
        <v>393</v>
      </c>
      <c r="H453" s="187" t="b">
        <v>0</v>
      </c>
      <c r="I453" s="187" t="s">
        <v>388</v>
      </c>
      <c r="J453" s="187" t="s">
        <v>389</v>
      </c>
      <c r="K453" s="187" t="b">
        <v>1</v>
      </c>
      <c r="L453" s="187">
        <v>3.5</v>
      </c>
      <c r="M453" s="187">
        <v>0.73</v>
      </c>
      <c r="N453" s="187">
        <v>34.770000000000003</v>
      </c>
      <c r="O453" s="187">
        <v>10</v>
      </c>
      <c r="P453" s="187">
        <v>4.7300000000000004</v>
      </c>
      <c r="Q453" s="187"/>
      <c r="R453" s="187"/>
      <c r="S453" s="187"/>
      <c r="T453" s="187"/>
      <c r="U453" s="187">
        <v>52.8</v>
      </c>
      <c r="V453" s="187">
        <v>1.55</v>
      </c>
      <c r="W453" s="188">
        <v>40316</v>
      </c>
      <c r="X453" s="691">
        <f t="shared" si="226"/>
        <v>1.1181999999999999</v>
      </c>
      <c r="Y453" s="691">
        <f t="shared" si="203"/>
        <v>10.4171</v>
      </c>
      <c r="Z453" s="198"/>
      <c r="AA453" s="190">
        <f t="shared" si="211"/>
        <v>2010</v>
      </c>
      <c r="AB453" s="191">
        <f t="shared" si="212"/>
        <v>3.1300304060096589</v>
      </c>
      <c r="AC453" s="192">
        <f>IF(AB453="","",AB453*SFAssumptions!$C$3)</f>
        <v>803.52043462707934</v>
      </c>
      <c r="AD453" s="193">
        <f t="shared" si="213"/>
        <v>36.459849999999996</v>
      </c>
      <c r="AE453" s="194">
        <f>IF(AD453="","",AD453*SFAssumptions!$C$3)</f>
        <v>9359.7284110049986</v>
      </c>
      <c r="AF453" s="192">
        <f t="shared" si="202"/>
        <v>3.5</v>
      </c>
      <c r="AG453" s="192">
        <f t="shared" si="214"/>
        <v>10.4171</v>
      </c>
      <c r="AH453" s="192">
        <f t="shared" si="215"/>
        <v>1.1181999999999999</v>
      </c>
      <c r="AI453" s="692">
        <f ca="1">IF(AC453="","",AC453*SFAssumptions!$C$8/'SavingsData&amp;Analysis'!AF453)</f>
        <v>867.11501334261118</v>
      </c>
      <c r="AJ453" s="692">
        <f ca="1">IF(OR(AE453="",AF453=""),"",AE453*SFAssumptions!$C$8/AF453)</f>
        <v>10100.503579300386</v>
      </c>
      <c r="AK453" s="191">
        <f t="shared" si="216"/>
        <v>2.258064516129032</v>
      </c>
      <c r="AL453" s="692">
        <f>IF(AK453="","",AK453*SFAssumptions!$C$3)</f>
        <v>579.67519354838703</v>
      </c>
      <c r="AM453" s="193">
        <f t="shared" si="217"/>
        <v>35</v>
      </c>
      <c r="AN453" s="194">
        <f>IF(AM453="","",AM453*SFAssumptions!$C$3)</f>
        <v>8984.9655000000002</v>
      </c>
      <c r="AO453" s="693">
        <f t="shared" si="218"/>
        <v>10</v>
      </c>
      <c r="AP453" s="693">
        <f t="shared" si="219"/>
        <v>1.55</v>
      </c>
      <c r="AQ453" s="692">
        <f ca="1">IF(AL453="","",AL453*SFAssumptions!$C$8/'SavingsData&amp;Analysis'!AF453)</f>
        <v>625.55355349658555</v>
      </c>
      <c r="AR453" s="692">
        <f ca="1">IF(OR(AN453="",AF453=""),"",AN453*SFAssumptions!$C$8/AF453)</f>
        <v>9696.0800791970778</v>
      </c>
      <c r="AS453" s="190" t="str">
        <f>IF(OR(AG453="",AH453=""),"No",IF(AND(G453="Horizontal",AH453&gt;='Eff. Standards &amp; Certifications'!$B$21,AG453&lt;='Eff. Standards &amp; Certifications'!$C$21),"Consider",IF(AND(G453="Vertical",AH453&gt;='Eff. Standards &amp; Certifications'!$B$20,AG453&lt;='Eff. Standards &amp; Certifications'!$C$20),"Consider","No")))</f>
        <v>No</v>
      </c>
      <c r="AT453" s="190" t="str">
        <f t="shared" si="204"/>
        <v>Residential</v>
      </c>
      <c r="AU453" s="190"/>
      <c r="AV453" s="190" t="str">
        <f t="shared" si="227"/>
        <v>NO</v>
      </c>
      <c r="AW453" s="190" t="str">
        <f t="shared" si="227"/>
        <v>NO</v>
      </c>
      <c r="AX453" s="190" t="str">
        <f t="shared" si="220"/>
        <v>NO</v>
      </c>
      <c r="AY453" s="190" t="str">
        <f t="shared" si="205"/>
        <v>NO</v>
      </c>
      <c r="AZ453" s="190" t="str">
        <f t="shared" si="205"/>
        <v>NO</v>
      </c>
      <c r="BA453" s="190" t="str">
        <f t="shared" si="221"/>
        <v>NO</v>
      </c>
      <c r="BB453" s="190" t="str">
        <f t="shared" si="206"/>
        <v>NO</v>
      </c>
      <c r="BC453" s="190" t="str">
        <f t="shared" si="207"/>
        <v>NO</v>
      </c>
      <c r="BD453" s="190" t="str">
        <f t="shared" si="222"/>
        <v>NO</v>
      </c>
      <c r="BE453" s="190" t="str">
        <f t="shared" si="208"/>
        <v>NO</v>
      </c>
      <c r="BF453" s="190" t="str">
        <f t="shared" si="209"/>
        <v>NO</v>
      </c>
      <c r="BG453" s="190" t="str">
        <f t="shared" si="210"/>
        <v>NO</v>
      </c>
      <c r="BH453" s="88"/>
      <c r="BI453" s="9"/>
      <c r="BJ453" s="694" t="str">
        <f t="shared" si="228"/>
        <v/>
      </c>
      <c r="BK453" s="694" t="str">
        <f t="shared" si="228"/>
        <v/>
      </c>
      <c r="BL453" s="694" t="str">
        <f t="shared" si="229"/>
        <v/>
      </c>
      <c r="BM453" s="694" t="str">
        <f t="shared" si="229"/>
        <v/>
      </c>
      <c r="BN453" s="88"/>
      <c r="BO453" s="195"/>
      <c r="BP453" s="195"/>
      <c r="BQ453" s="195"/>
      <c r="BR453" s="195"/>
      <c r="BS453" s="195"/>
      <c r="BT453" s="195"/>
      <c r="BU453" s="195"/>
      <c r="BV453" s="195"/>
      <c r="BW453" s="195"/>
      <c r="BX453" s="195"/>
    </row>
    <row r="454" spans="1:76" s="124" customFormat="1" ht="15">
      <c r="A454" s="187">
        <v>530</v>
      </c>
      <c r="B454" s="187" t="s">
        <v>625</v>
      </c>
      <c r="C454" s="187" t="s">
        <v>625</v>
      </c>
      <c r="D454" s="187" t="s">
        <v>798</v>
      </c>
      <c r="E454" s="187" t="s">
        <v>392</v>
      </c>
      <c r="F454" s="187" t="s">
        <v>386</v>
      </c>
      <c r="G454" s="187" t="s">
        <v>393</v>
      </c>
      <c r="H454" s="187" t="b">
        <v>0</v>
      </c>
      <c r="I454" s="187" t="s">
        <v>388</v>
      </c>
      <c r="J454" s="187" t="s">
        <v>389</v>
      </c>
      <c r="K454" s="187" t="b">
        <v>1</v>
      </c>
      <c r="L454" s="187">
        <v>3.7</v>
      </c>
      <c r="M454" s="187">
        <v>0.32</v>
      </c>
      <c r="N454" s="187">
        <v>14.6</v>
      </c>
      <c r="O454" s="187">
        <v>4</v>
      </c>
      <c r="P454" s="187">
        <v>11.39</v>
      </c>
      <c r="Q454" s="187"/>
      <c r="R454" s="187"/>
      <c r="S454" s="187"/>
      <c r="T454" s="187"/>
      <c r="U454" s="187">
        <v>40.700000000000003</v>
      </c>
      <c r="V454" s="187">
        <v>2.5</v>
      </c>
      <c r="W454" s="188">
        <v>40309</v>
      </c>
      <c r="X454" s="691">
        <f t="shared" si="226"/>
        <v>2.0587</v>
      </c>
      <c r="Y454" s="691">
        <f t="shared" si="203"/>
        <v>4.4836999999999998</v>
      </c>
      <c r="Z454" s="198"/>
      <c r="AA454" s="190">
        <f t="shared" si="211"/>
        <v>2010</v>
      </c>
      <c r="AB454" s="191">
        <f t="shared" si="212"/>
        <v>1.7972506921843883</v>
      </c>
      <c r="AC454" s="192">
        <f>IF(AB454="","",AB454*SFAssumptions!$C$3)</f>
        <v>461.37815611793854</v>
      </c>
      <c r="AD454" s="193">
        <f t="shared" si="213"/>
        <v>16.589690000000001</v>
      </c>
      <c r="AE454" s="194">
        <f>IF(AD454="","",AD454*SFAssumptions!$C$3)</f>
        <v>4258.7940658770003</v>
      </c>
      <c r="AF454" s="192">
        <f t="shared" si="202"/>
        <v>3.7</v>
      </c>
      <c r="AG454" s="192">
        <f t="shared" si="214"/>
        <v>4.4836999999999998</v>
      </c>
      <c r="AH454" s="192">
        <f t="shared" si="215"/>
        <v>2.0587</v>
      </c>
      <c r="AI454" s="692">
        <f ca="1">IF(AC454="","",AC454*SFAssumptions!$C$8/'SavingsData&amp;Analysis'!AF454)</f>
        <v>470.9807198327623</v>
      </c>
      <c r="AJ454" s="692">
        <f ca="1">IF(OR(AE454="",AF454=""),"",AE454*SFAssumptions!$C$8/AF454)</f>
        <v>4347.4314251095939</v>
      </c>
      <c r="AK454" s="191">
        <f t="shared" si="216"/>
        <v>1.48</v>
      </c>
      <c r="AL454" s="692">
        <f>IF(AK454="","",AK454*SFAssumptions!$C$3)</f>
        <v>379.93568399999998</v>
      </c>
      <c r="AM454" s="193">
        <f t="shared" si="217"/>
        <v>14.8</v>
      </c>
      <c r="AN454" s="194">
        <f>IF(AM454="","",AM454*SFAssumptions!$C$3)</f>
        <v>3799.3568400000004</v>
      </c>
      <c r="AO454" s="693">
        <f t="shared" si="218"/>
        <v>4</v>
      </c>
      <c r="AP454" s="693">
        <f t="shared" si="219"/>
        <v>2.5</v>
      </c>
      <c r="AQ454" s="692">
        <f ca="1">IF(AL454="","",AL454*SFAssumptions!$C$8/'SavingsData&amp;Analysis'!AF454)</f>
        <v>387.84320316788302</v>
      </c>
      <c r="AR454" s="692">
        <f ca="1">IF(OR(AN454="",AF454=""),"",AN454*SFAssumptions!$C$8/AF454)</f>
        <v>3878.4320316788308</v>
      </c>
      <c r="AS454" s="190" t="str">
        <f>IF(OR(AG454="",AH454=""),"No",IF(AND(G454="Horizontal",AH454&gt;='Eff. Standards &amp; Certifications'!$B$21,AG454&lt;='Eff. Standards &amp; Certifications'!$C$21),"Consider",IF(AND(G454="Vertical",AH454&gt;='Eff. Standards &amp; Certifications'!$B$20,AG454&lt;='Eff. Standards &amp; Certifications'!$C$20),"Consider","No")))</f>
        <v>Consider</v>
      </c>
      <c r="AT454" s="190" t="str">
        <f t="shared" si="204"/>
        <v>Residential</v>
      </c>
      <c r="AU454" s="190"/>
      <c r="AV454" s="190" t="str">
        <f t="shared" si="227"/>
        <v>YES</v>
      </c>
      <c r="AW454" s="190" t="str">
        <f t="shared" si="227"/>
        <v>NO</v>
      </c>
      <c r="AX454" s="190" t="str">
        <f t="shared" si="220"/>
        <v>YES</v>
      </c>
      <c r="AY454" s="190" t="str">
        <f t="shared" si="205"/>
        <v>YES</v>
      </c>
      <c r="AZ454" s="190" t="str">
        <f t="shared" si="205"/>
        <v>NO</v>
      </c>
      <c r="BA454" s="190" t="str">
        <f t="shared" si="221"/>
        <v>YES</v>
      </c>
      <c r="BB454" s="190" t="str">
        <f t="shared" si="206"/>
        <v>NO</v>
      </c>
      <c r="BC454" s="190" t="str">
        <f t="shared" si="207"/>
        <v>NO</v>
      </c>
      <c r="BD454" s="190" t="str">
        <f t="shared" si="222"/>
        <v>NO</v>
      </c>
      <c r="BE454" s="190" t="str">
        <f t="shared" si="208"/>
        <v>NO</v>
      </c>
      <c r="BF454" s="190" t="str">
        <f t="shared" si="209"/>
        <v>NO</v>
      </c>
      <c r="BG454" s="190" t="str">
        <f t="shared" si="210"/>
        <v>NO</v>
      </c>
      <c r="BH454" s="88"/>
      <c r="BI454" s="9"/>
      <c r="BJ454" s="694">
        <f t="shared" si="228"/>
        <v>2.0587</v>
      </c>
      <c r="BK454" s="694" t="str">
        <f t="shared" si="228"/>
        <v/>
      </c>
      <c r="BL454" s="694">
        <f t="shared" si="229"/>
        <v>4.4836999999999998</v>
      </c>
      <c r="BM454" s="694" t="str">
        <f t="shared" si="229"/>
        <v/>
      </c>
      <c r="BN454" s="88"/>
      <c r="BO454" s="195"/>
      <c r="BP454" s="195"/>
      <c r="BQ454" s="195"/>
      <c r="BR454" s="195"/>
      <c r="BS454" s="195"/>
      <c r="BT454" s="195"/>
      <c r="BU454" s="195"/>
      <c r="BV454" s="195"/>
      <c r="BW454" s="195"/>
      <c r="BX454" s="195"/>
    </row>
    <row r="455" spans="1:76" s="124" customFormat="1" ht="15">
      <c r="A455" s="187">
        <v>531</v>
      </c>
      <c r="B455" s="187" t="s">
        <v>625</v>
      </c>
      <c r="C455" s="187" t="s">
        <v>625</v>
      </c>
      <c r="D455" s="187" t="s">
        <v>799</v>
      </c>
      <c r="E455" s="187" t="s">
        <v>392</v>
      </c>
      <c r="F455" s="187" t="s">
        <v>386</v>
      </c>
      <c r="G455" s="187" t="s">
        <v>393</v>
      </c>
      <c r="H455" s="187" t="b">
        <v>0</v>
      </c>
      <c r="I455" s="187" t="s">
        <v>388</v>
      </c>
      <c r="J455" s="187" t="s">
        <v>389</v>
      </c>
      <c r="K455" s="187" t="b">
        <v>1</v>
      </c>
      <c r="L455" s="187">
        <v>3.7</v>
      </c>
      <c r="M455" s="187">
        <v>0.32</v>
      </c>
      <c r="N455" s="187">
        <v>14.6</v>
      </c>
      <c r="O455" s="187">
        <v>4</v>
      </c>
      <c r="P455" s="187">
        <v>11.39</v>
      </c>
      <c r="Q455" s="187"/>
      <c r="R455" s="187"/>
      <c r="S455" s="187"/>
      <c r="T455" s="187"/>
      <c r="U455" s="187">
        <v>40.700000000000003</v>
      </c>
      <c r="V455" s="187">
        <v>1.52</v>
      </c>
      <c r="W455" s="188">
        <v>40309</v>
      </c>
      <c r="X455" s="691">
        <f t="shared" si="226"/>
        <v>1.0884999999999998</v>
      </c>
      <c r="Y455" s="691">
        <f t="shared" si="203"/>
        <v>4.4836999999999998</v>
      </c>
      <c r="Z455" s="198"/>
      <c r="AA455" s="190">
        <f t="shared" si="211"/>
        <v>2010</v>
      </c>
      <c r="AB455" s="191">
        <f t="shared" si="212"/>
        <v>3.3991731740927889</v>
      </c>
      <c r="AC455" s="192">
        <f>IF(AB455="","",AB455*SFAssumptions!$C$3)</f>
        <v>872.61296279283431</v>
      </c>
      <c r="AD455" s="193">
        <f t="shared" si="213"/>
        <v>16.589690000000001</v>
      </c>
      <c r="AE455" s="194">
        <f>IF(AD455="","",AD455*SFAssumptions!$C$3)</f>
        <v>4258.7940658770003</v>
      </c>
      <c r="AF455" s="192">
        <f t="shared" si="202"/>
        <v>3.7</v>
      </c>
      <c r="AG455" s="192">
        <f t="shared" si="214"/>
        <v>4.4836999999999998</v>
      </c>
      <c r="AH455" s="192">
        <f t="shared" si="215"/>
        <v>1.0884999999999998</v>
      </c>
      <c r="AI455" s="692">
        <f ca="1">IF(AC455="","",AC455*SFAssumptions!$C$8/'SavingsData&amp;Analysis'!AF455)</f>
        <v>890.77446754222115</v>
      </c>
      <c r="AJ455" s="692">
        <f ca="1">IF(OR(AE455="",AF455=""),"",AE455*SFAssumptions!$C$8/AF455)</f>
        <v>4347.4314251095939</v>
      </c>
      <c r="AK455" s="191">
        <f t="shared" si="216"/>
        <v>2.4342105263157894</v>
      </c>
      <c r="AL455" s="692">
        <f>IF(AK455="","",AK455*SFAssumptions!$C$3)</f>
        <v>624.89421710526312</v>
      </c>
      <c r="AM455" s="193">
        <f t="shared" si="217"/>
        <v>14.8</v>
      </c>
      <c r="AN455" s="194">
        <f>IF(AM455="","",AM455*SFAssumptions!$C$3)</f>
        <v>3799.3568400000004</v>
      </c>
      <c r="AO455" s="693">
        <f t="shared" si="218"/>
        <v>4</v>
      </c>
      <c r="AP455" s="693">
        <f t="shared" si="219"/>
        <v>1.52</v>
      </c>
      <c r="AQ455" s="692">
        <f ca="1">IF(AL455="","",AL455*SFAssumptions!$C$8/'SavingsData&amp;Analysis'!AF455)</f>
        <v>637.90000521033403</v>
      </c>
      <c r="AR455" s="692">
        <f ca="1">IF(OR(AN455="",AF455=""),"",AN455*SFAssumptions!$C$8/AF455)</f>
        <v>3878.4320316788308</v>
      </c>
      <c r="AS455" s="190" t="str">
        <f>IF(OR(AG455="",AH455=""),"No",IF(AND(G455="Horizontal",AH455&gt;='Eff. Standards &amp; Certifications'!$B$21,AG455&lt;='Eff. Standards &amp; Certifications'!$C$21),"Consider",IF(AND(G455="Vertical",AH455&gt;='Eff. Standards &amp; Certifications'!$B$20,AG455&lt;='Eff. Standards &amp; Certifications'!$C$20),"Consider","No")))</f>
        <v>No</v>
      </c>
      <c r="AT455" s="190" t="str">
        <f t="shared" si="204"/>
        <v>Residential</v>
      </c>
      <c r="AU455" s="190"/>
      <c r="AV455" s="190" t="str">
        <f t="shared" si="227"/>
        <v>NO</v>
      </c>
      <c r="AW455" s="190" t="str">
        <f t="shared" si="227"/>
        <v>NO</v>
      </c>
      <c r="AX455" s="190" t="str">
        <f t="shared" si="220"/>
        <v>NO</v>
      </c>
      <c r="AY455" s="190" t="str">
        <f t="shared" si="205"/>
        <v>NO</v>
      </c>
      <c r="AZ455" s="190" t="str">
        <f t="shared" si="205"/>
        <v>NO</v>
      </c>
      <c r="BA455" s="190" t="str">
        <f t="shared" si="221"/>
        <v>NO</v>
      </c>
      <c r="BB455" s="190" t="str">
        <f t="shared" si="206"/>
        <v>NO</v>
      </c>
      <c r="BC455" s="190" t="str">
        <f t="shared" si="207"/>
        <v>NO</v>
      </c>
      <c r="BD455" s="190" t="str">
        <f t="shared" si="222"/>
        <v>NO</v>
      </c>
      <c r="BE455" s="190" t="str">
        <f t="shared" si="208"/>
        <v>NO</v>
      </c>
      <c r="BF455" s="190" t="str">
        <f t="shared" si="209"/>
        <v>NO</v>
      </c>
      <c r="BG455" s="190" t="str">
        <f t="shared" si="210"/>
        <v>NO</v>
      </c>
      <c r="BH455" s="88"/>
      <c r="BI455" s="9"/>
      <c r="BJ455" s="694" t="str">
        <f t="shared" si="228"/>
        <v/>
      </c>
      <c r="BK455" s="694" t="str">
        <f t="shared" si="228"/>
        <v/>
      </c>
      <c r="BL455" s="694" t="str">
        <f t="shared" si="229"/>
        <v/>
      </c>
      <c r="BM455" s="694" t="str">
        <f t="shared" si="229"/>
        <v/>
      </c>
      <c r="BN455" s="88"/>
      <c r="BO455" s="195"/>
      <c r="BP455" s="195"/>
      <c r="BQ455" s="195"/>
      <c r="BR455" s="195"/>
      <c r="BS455" s="195"/>
      <c r="BT455" s="195"/>
      <c r="BU455" s="195"/>
      <c r="BV455" s="195"/>
      <c r="BW455" s="195"/>
      <c r="BX455" s="195"/>
    </row>
    <row r="456" spans="1:76" s="124" customFormat="1" ht="15">
      <c r="A456" s="187">
        <v>3150</v>
      </c>
      <c r="B456" s="187" t="s">
        <v>625</v>
      </c>
      <c r="C456" s="187" t="s">
        <v>625</v>
      </c>
      <c r="D456" s="187" t="s">
        <v>800</v>
      </c>
      <c r="E456" s="187" t="s">
        <v>392</v>
      </c>
      <c r="F456" s="187" t="s">
        <v>386</v>
      </c>
      <c r="G456" s="187" t="s">
        <v>393</v>
      </c>
      <c r="H456" s="187" t="b">
        <v>0</v>
      </c>
      <c r="I456" s="187" t="s">
        <v>388</v>
      </c>
      <c r="J456" s="187" t="s">
        <v>389</v>
      </c>
      <c r="K456" s="187" t="b">
        <v>1</v>
      </c>
      <c r="L456" s="187">
        <v>3.1</v>
      </c>
      <c r="M456" s="187">
        <v>1.1200000000000001</v>
      </c>
      <c r="N456" s="187">
        <v>38.31</v>
      </c>
      <c r="O456" s="187">
        <v>12.2</v>
      </c>
      <c r="P456" s="187">
        <v>2.81</v>
      </c>
      <c r="Q456" s="187"/>
      <c r="R456" s="187"/>
      <c r="S456" s="187"/>
      <c r="T456" s="187"/>
      <c r="U456" s="187">
        <v>51.5</v>
      </c>
      <c r="V456" s="187">
        <v>1.28</v>
      </c>
      <c r="W456" s="188">
        <v>39371</v>
      </c>
      <c r="X456" s="691">
        <f t="shared" si="226"/>
        <v>0.8509000000000001</v>
      </c>
      <c r="Y456" s="691">
        <f t="shared" si="203"/>
        <v>12.59268</v>
      </c>
      <c r="Z456" s="198"/>
      <c r="AA456" s="190">
        <f t="shared" si="211"/>
        <v>2007</v>
      </c>
      <c r="AB456" s="191">
        <f t="shared" si="212"/>
        <v>3.6432013162533785</v>
      </c>
      <c r="AC456" s="192">
        <f>IF(AB456="","",AB456*SFAssumptions!$C$3)</f>
        <v>935.25823245974846</v>
      </c>
      <c r="AD456" s="193">
        <f t="shared" si="213"/>
        <v>39.037308000000003</v>
      </c>
      <c r="AE456" s="194">
        <f>IF(AD456="","",AD456*SFAssumptions!$C$3)</f>
        <v>10021.396159796401</v>
      </c>
      <c r="AF456" s="192">
        <f t="shared" si="202"/>
        <v>3.1</v>
      </c>
      <c r="AG456" s="192">
        <f t="shared" si="214"/>
        <v>12.59268</v>
      </c>
      <c r="AH456" s="192">
        <f t="shared" si="215"/>
        <v>0.8509000000000001</v>
      </c>
      <c r="AI456" s="692">
        <f ca="1">IF(AC456="","",AC456*SFAssumptions!$C$8/'SavingsData&amp;Analysis'!AF456)</f>
        <v>1139.5087647428695</v>
      </c>
      <c r="AJ456" s="692">
        <f ca="1">IF(OR(AE456="",AF456=""),"",AE456*SFAssumptions!$C$8/AF456)</f>
        <v>12209.963369170344</v>
      </c>
      <c r="AK456" s="191">
        <f t="shared" si="216"/>
        <v>2.421875</v>
      </c>
      <c r="AL456" s="692">
        <f>IF(AK456="","",AK456*SFAssumptions!$C$3)</f>
        <v>621.72752343750005</v>
      </c>
      <c r="AM456" s="193">
        <f t="shared" si="217"/>
        <v>37.82</v>
      </c>
      <c r="AN456" s="194">
        <f>IF(AM456="","",AM456*SFAssumptions!$C$3)</f>
        <v>9708.8970060000011</v>
      </c>
      <c r="AO456" s="693">
        <f t="shared" si="218"/>
        <v>12.2</v>
      </c>
      <c r="AP456" s="693">
        <f t="shared" si="219"/>
        <v>1.28</v>
      </c>
      <c r="AQ456" s="692">
        <f ca="1">IF(AL456="","",AL456*SFAssumptions!$C$8/'SavingsData&amp;Analysis'!AF456)</f>
        <v>757.50625618727167</v>
      </c>
      <c r="AR456" s="692">
        <f ca="1">IF(OR(AN456="",AF456=""),"",AN456*SFAssumptions!$C$8/AF456)</f>
        <v>11829.217696620433</v>
      </c>
      <c r="AS456" s="190" t="str">
        <f>IF(OR(AG456="",AH456=""),"No",IF(AND(G456="Horizontal",AH456&gt;='Eff. Standards &amp; Certifications'!$B$21,AG456&lt;='Eff. Standards &amp; Certifications'!$C$21),"Consider",IF(AND(G456="Vertical",AH456&gt;='Eff. Standards &amp; Certifications'!$B$20,AG456&lt;='Eff. Standards &amp; Certifications'!$C$20),"Consider","No")))</f>
        <v>No</v>
      </c>
      <c r="AT456" s="190" t="str">
        <f t="shared" si="204"/>
        <v>Residential</v>
      </c>
      <c r="AU456" s="190"/>
      <c r="AV456" s="190" t="str">
        <f t="shared" si="227"/>
        <v>NO</v>
      </c>
      <c r="AW456" s="190" t="str">
        <f t="shared" si="227"/>
        <v>NO</v>
      </c>
      <c r="AX456" s="190" t="str">
        <f t="shared" si="220"/>
        <v>NO</v>
      </c>
      <c r="AY456" s="190" t="str">
        <f t="shared" si="205"/>
        <v>NO</v>
      </c>
      <c r="AZ456" s="190" t="str">
        <f t="shared" si="205"/>
        <v>NO</v>
      </c>
      <c r="BA456" s="190" t="str">
        <f t="shared" si="221"/>
        <v>NO</v>
      </c>
      <c r="BB456" s="190" t="str">
        <f t="shared" si="206"/>
        <v>NO</v>
      </c>
      <c r="BC456" s="190" t="str">
        <f t="shared" si="207"/>
        <v>NO</v>
      </c>
      <c r="BD456" s="190" t="str">
        <f t="shared" si="222"/>
        <v>NO</v>
      </c>
      <c r="BE456" s="190" t="str">
        <f t="shared" si="208"/>
        <v>NO</v>
      </c>
      <c r="BF456" s="190" t="str">
        <f t="shared" si="209"/>
        <v>NO</v>
      </c>
      <c r="BG456" s="190" t="str">
        <f t="shared" si="210"/>
        <v>NO</v>
      </c>
      <c r="BH456" s="88"/>
      <c r="BI456" s="9"/>
      <c r="BJ456" s="694" t="str">
        <f t="shared" si="228"/>
        <v/>
      </c>
      <c r="BK456" s="694" t="str">
        <f t="shared" si="228"/>
        <v/>
      </c>
      <c r="BL456" s="694" t="str">
        <f t="shared" si="229"/>
        <v/>
      </c>
      <c r="BM456" s="694" t="str">
        <f t="shared" si="229"/>
        <v/>
      </c>
      <c r="BN456" s="88"/>
      <c r="BO456" s="195"/>
      <c r="BP456" s="195"/>
      <c r="BQ456" s="195"/>
      <c r="BR456" s="195"/>
      <c r="BS456" s="195"/>
      <c r="BT456" s="195"/>
      <c r="BU456" s="195"/>
      <c r="BV456" s="195"/>
      <c r="BW456" s="195"/>
      <c r="BX456" s="195"/>
    </row>
    <row r="457" spans="1:76" s="124" customFormat="1" ht="15">
      <c r="A457" s="187">
        <v>532</v>
      </c>
      <c r="B457" s="187" t="s">
        <v>625</v>
      </c>
      <c r="C457" s="187" t="s">
        <v>625</v>
      </c>
      <c r="D457" s="187" t="s">
        <v>801</v>
      </c>
      <c r="E457" s="187" t="s">
        <v>392</v>
      </c>
      <c r="F457" s="187" t="s">
        <v>386</v>
      </c>
      <c r="G457" s="187" t="s">
        <v>393</v>
      </c>
      <c r="H457" s="187" t="b">
        <v>0</v>
      </c>
      <c r="I457" s="187" t="s">
        <v>388</v>
      </c>
      <c r="J457" s="187" t="s">
        <v>389</v>
      </c>
      <c r="K457" s="187" t="b">
        <v>1</v>
      </c>
      <c r="L457" s="187">
        <v>3.7</v>
      </c>
      <c r="M457" s="187">
        <v>0.32</v>
      </c>
      <c r="N457" s="187">
        <v>14.6</v>
      </c>
      <c r="O457" s="187">
        <v>4</v>
      </c>
      <c r="P457" s="187">
        <v>11.39</v>
      </c>
      <c r="Q457" s="187"/>
      <c r="R457" s="187"/>
      <c r="S457" s="187"/>
      <c r="T457" s="187"/>
      <c r="U457" s="187">
        <v>40.700000000000003</v>
      </c>
      <c r="V457" s="187">
        <v>2.35</v>
      </c>
      <c r="W457" s="188">
        <v>40309</v>
      </c>
      <c r="X457" s="691">
        <f t="shared" si="226"/>
        <v>1.9102000000000001</v>
      </c>
      <c r="Y457" s="691">
        <f t="shared" si="203"/>
        <v>4.4836999999999998</v>
      </c>
      <c r="Z457" s="198"/>
      <c r="AA457" s="190">
        <f t="shared" si="211"/>
        <v>2010</v>
      </c>
      <c r="AB457" s="191">
        <f t="shared" si="212"/>
        <v>1.9369699507904932</v>
      </c>
      <c r="AC457" s="192">
        <f>IF(AB457="","",AB457*SFAssumptions!$C$3)</f>
        <v>497.24594806826514</v>
      </c>
      <c r="AD457" s="193">
        <f t="shared" si="213"/>
        <v>16.589690000000001</v>
      </c>
      <c r="AE457" s="194">
        <f>IF(AD457="","",AD457*SFAssumptions!$C$3)</f>
        <v>4258.7940658770003</v>
      </c>
      <c r="AF457" s="192">
        <f t="shared" si="202"/>
        <v>3.7</v>
      </c>
      <c r="AG457" s="192">
        <f t="shared" si="214"/>
        <v>4.4836999999999998</v>
      </c>
      <c r="AH457" s="192">
        <f t="shared" si="215"/>
        <v>1.9102000000000001</v>
      </c>
      <c r="AI457" s="692">
        <f ca="1">IF(AC457="","",AC457*SFAssumptions!$C$8/'SavingsData&amp;Analysis'!AF457)</f>
        <v>507.59502037467684</v>
      </c>
      <c r="AJ457" s="692">
        <f ca="1">IF(OR(AE457="",AF457=""),"",AE457*SFAssumptions!$C$8/AF457)</f>
        <v>4347.4314251095939</v>
      </c>
      <c r="AK457" s="191">
        <f t="shared" si="216"/>
        <v>1.574468085106383</v>
      </c>
      <c r="AL457" s="692">
        <f>IF(AK457="","",AK457*SFAssumptions!$C$3)</f>
        <v>404.18689787234047</v>
      </c>
      <c r="AM457" s="193">
        <f t="shared" si="217"/>
        <v>14.8</v>
      </c>
      <c r="AN457" s="194">
        <f>IF(AM457="","",AM457*SFAssumptions!$C$3)</f>
        <v>3799.3568400000004</v>
      </c>
      <c r="AO457" s="693">
        <f t="shared" si="218"/>
        <v>4</v>
      </c>
      <c r="AP457" s="693">
        <f t="shared" si="219"/>
        <v>2.35</v>
      </c>
      <c r="AQ457" s="692">
        <f ca="1">IF(AL457="","",AL457*SFAssumptions!$C$8/'SavingsData&amp;Analysis'!AF457)</f>
        <v>412.59915230625859</v>
      </c>
      <c r="AR457" s="692">
        <f ca="1">IF(OR(AN457="",AF457=""),"",AN457*SFAssumptions!$C$8/AF457)</f>
        <v>3878.4320316788308</v>
      </c>
      <c r="AS457" s="190" t="str">
        <f>IF(OR(AG457="",AH457=""),"No",IF(AND(G457="Horizontal",AH457&gt;='Eff. Standards &amp; Certifications'!$B$21,AG457&lt;='Eff. Standards &amp; Certifications'!$C$21),"Consider",IF(AND(G457="Vertical",AH457&gt;='Eff. Standards &amp; Certifications'!$B$20,AG457&lt;='Eff. Standards &amp; Certifications'!$C$20),"Consider","No")))</f>
        <v>Consider</v>
      </c>
      <c r="AT457" s="190" t="str">
        <f t="shared" si="204"/>
        <v>Residential</v>
      </c>
      <c r="AU457" s="190"/>
      <c r="AV457" s="190" t="str">
        <f t="shared" si="227"/>
        <v>YES</v>
      </c>
      <c r="AW457" s="190" t="str">
        <f t="shared" si="227"/>
        <v>NO</v>
      </c>
      <c r="AX457" s="190" t="str">
        <f t="shared" si="220"/>
        <v>YES</v>
      </c>
      <c r="AY457" s="190" t="str">
        <f t="shared" si="205"/>
        <v>YES</v>
      </c>
      <c r="AZ457" s="190" t="str">
        <f t="shared" si="205"/>
        <v>NO</v>
      </c>
      <c r="BA457" s="190" t="str">
        <f t="shared" si="221"/>
        <v>YES</v>
      </c>
      <c r="BB457" s="190" t="str">
        <f t="shared" si="206"/>
        <v>NO</v>
      </c>
      <c r="BC457" s="190" t="str">
        <f t="shared" si="207"/>
        <v>NO</v>
      </c>
      <c r="BD457" s="190" t="str">
        <f t="shared" si="222"/>
        <v>NO</v>
      </c>
      <c r="BE457" s="190" t="str">
        <f t="shared" si="208"/>
        <v>NO</v>
      </c>
      <c r="BF457" s="190" t="str">
        <f t="shared" si="209"/>
        <v>NO</v>
      </c>
      <c r="BG457" s="190" t="str">
        <f t="shared" si="210"/>
        <v>NO</v>
      </c>
      <c r="BH457" s="88"/>
      <c r="BI457" s="9"/>
      <c r="BJ457" s="694">
        <f t="shared" si="228"/>
        <v>1.9102000000000001</v>
      </c>
      <c r="BK457" s="694" t="str">
        <f t="shared" si="228"/>
        <v/>
      </c>
      <c r="BL457" s="694">
        <f t="shared" si="229"/>
        <v>4.4836999999999998</v>
      </c>
      <c r="BM457" s="694" t="str">
        <f t="shared" si="229"/>
        <v/>
      </c>
      <c r="BN457" s="88"/>
      <c r="BO457" s="195"/>
      <c r="BP457" s="195"/>
      <c r="BQ457" s="195"/>
      <c r="BR457" s="195"/>
      <c r="BS457" s="195"/>
      <c r="BT457" s="195"/>
      <c r="BU457" s="195"/>
      <c r="BV457" s="195"/>
      <c r="BW457" s="195"/>
      <c r="BX457" s="195"/>
    </row>
    <row r="458" spans="1:76" s="124" customFormat="1" ht="15">
      <c r="A458" s="187">
        <v>3417</v>
      </c>
      <c r="B458" s="187" t="s">
        <v>625</v>
      </c>
      <c r="C458" s="187" t="s">
        <v>625</v>
      </c>
      <c r="D458" s="187" t="s">
        <v>802</v>
      </c>
      <c r="E458" s="187" t="s">
        <v>392</v>
      </c>
      <c r="F458" s="187" t="s">
        <v>386</v>
      </c>
      <c r="G458" s="187" t="s">
        <v>393</v>
      </c>
      <c r="H458" s="187" t="b">
        <v>0</v>
      </c>
      <c r="I458" s="187" t="s">
        <v>388</v>
      </c>
      <c r="J458" s="187" t="s">
        <v>389</v>
      </c>
      <c r="K458" s="187" t="b">
        <v>1</v>
      </c>
      <c r="L458" s="187">
        <v>3.5</v>
      </c>
      <c r="M458" s="187">
        <v>0.56999999999999995</v>
      </c>
      <c r="N458" s="187">
        <v>25.92</v>
      </c>
      <c r="O458" s="187">
        <v>7.5</v>
      </c>
      <c r="P458" s="187">
        <v>6.02</v>
      </c>
      <c r="Q458" s="187"/>
      <c r="R458" s="187"/>
      <c r="S458" s="187"/>
      <c r="T458" s="187"/>
      <c r="U458" s="187">
        <v>48.8</v>
      </c>
      <c r="V458" s="187">
        <v>1.76</v>
      </c>
      <c r="W458" s="188">
        <v>39660</v>
      </c>
      <c r="X458" s="691">
        <f t="shared" si="226"/>
        <v>1.3260999999999998</v>
      </c>
      <c r="Y458" s="691">
        <f t="shared" si="203"/>
        <v>7.9448500000000006</v>
      </c>
      <c r="Z458" s="198"/>
      <c r="AA458" s="190">
        <f t="shared" si="211"/>
        <v>2008</v>
      </c>
      <c r="AB458" s="191">
        <f t="shared" si="212"/>
        <v>2.639318301787196</v>
      </c>
      <c r="AC458" s="192">
        <f>IF(AB458="","",AB458*SFAssumptions!$C$3)</f>
        <v>677.54811100218694</v>
      </c>
      <c r="AD458" s="193">
        <f t="shared" si="213"/>
        <v>27.806975000000001</v>
      </c>
      <c r="AE458" s="194">
        <f>IF(AD458="","",AD458*SFAssumptions!$C$3)</f>
        <v>7138.4203152675009</v>
      </c>
      <c r="AF458" s="192">
        <f t="shared" si="202"/>
        <v>3.5</v>
      </c>
      <c r="AG458" s="192">
        <f t="shared" si="214"/>
        <v>7.9448500000000006</v>
      </c>
      <c r="AH458" s="192">
        <f t="shared" si="215"/>
        <v>1.3260999999999998</v>
      </c>
      <c r="AI458" s="692">
        <f ca="1">IF(AC458="","",AC458*SFAssumptions!$C$8/'SavingsData&amp;Analysis'!AF458)</f>
        <v>731.17261738911679</v>
      </c>
      <c r="AJ458" s="692">
        <f ca="1">IF(OR(AE458="",AF458=""),"",AE458*SFAssumptions!$C$8/AF458)</f>
        <v>7703.3901817208907</v>
      </c>
      <c r="AK458" s="191">
        <f t="shared" si="216"/>
        <v>1.9886363636363635</v>
      </c>
      <c r="AL458" s="692">
        <f>IF(AK458="","",AK458*SFAssumptions!$C$3)</f>
        <v>510.50940340909091</v>
      </c>
      <c r="AM458" s="193">
        <f t="shared" si="217"/>
        <v>26.25</v>
      </c>
      <c r="AN458" s="194">
        <f>IF(AM458="","",AM458*SFAssumptions!$C$3)</f>
        <v>6738.7241249999997</v>
      </c>
      <c r="AO458" s="693">
        <f t="shared" si="218"/>
        <v>7.5</v>
      </c>
      <c r="AP458" s="693">
        <f t="shared" si="219"/>
        <v>1.76</v>
      </c>
      <c r="AQ458" s="692">
        <f ca="1">IF(AL458="","",AL458*SFAssumptions!$C$8/'SavingsData&amp;Analysis'!AF458)</f>
        <v>550.91364086347028</v>
      </c>
      <c r="AR458" s="692">
        <f ca="1">IF(OR(AN458="",AF458=""),"",AN458*SFAssumptions!$C$8/AF458)</f>
        <v>7272.0600593978079</v>
      </c>
      <c r="AS458" s="190" t="str">
        <f>IF(OR(AG458="",AH458=""),"No",IF(AND(G458="Horizontal",AH458&gt;='Eff. Standards &amp; Certifications'!$B$21,AG458&lt;='Eff. Standards &amp; Certifications'!$C$21),"Consider",IF(AND(G458="Vertical",AH458&gt;='Eff. Standards &amp; Certifications'!$B$20,AG458&lt;='Eff. Standards &amp; Certifications'!$C$20),"Consider","No")))</f>
        <v>Consider</v>
      </c>
      <c r="AT458" s="190" t="str">
        <f t="shared" si="204"/>
        <v>Residential</v>
      </c>
      <c r="AU458" s="190"/>
      <c r="AV458" s="190" t="str">
        <f t="shared" si="227"/>
        <v>YES</v>
      </c>
      <c r="AW458" s="190" t="str">
        <f t="shared" si="227"/>
        <v>NO</v>
      </c>
      <c r="AX458" s="190" t="str">
        <f t="shared" si="220"/>
        <v>YES</v>
      </c>
      <c r="AY458" s="190" t="str">
        <f t="shared" si="205"/>
        <v>YES</v>
      </c>
      <c r="AZ458" s="190" t="str">
        <f t="shared" si="205"/>
        <v>NO</v>
      </c>
      <c r="BA458" s="190" t="str">
        <f t="shared" si="221"/>
        <v>YES</v>
      </c>
      <c r="BB458" s="190" t="str">
        <f t="shared" si="206"/>
        <v>NO</v>
      </c>
      <c r="BC458" s="190" t="str">
        <f t="shared" si="207"/>
        <v>NO</v>
      </c>
      <c r="BD458" s="190" t="str">
        <f t="shared" si="222"/>
        <v>NO</v>
      </c>
      <c r="BE458" s="190" t="str">
        <f t="shared" si="208"/>
        <v>NO</v>
      </c>
      <c r="BF458" s="190" t="str">
        <f t="shared" si="209"/>
        <v>NO</v>
      </c>
      <c r="BG458" s="190" t="str">
        <f t="shared" si="210"/>
        <v>NO</v>
      </c>
      <c r="BH458" s="88"/>
      <c r="BI458" s="9"/>
      <c r="BJ458" s="694">
        <f t="shared" si="228"/>
        <v>1.3260999999999998</v>
      </c>
      <c r="BK458" s="694" t="str">
        <f t="shared" si="228"/>
        <v/>
      </c>
      <c r="BL458" s="694">
        <f t="shared" si="229"/>
        <v>7.9448500000000006</v>
      </c>
      <c r="BM458" s="694" t="str">
        <f t="shared" si="229"/>
        <v/>
      </c>
      <c r="BN458" s="88"/>
      <c r="BO458" s="195"/>
      <c r="BP458" s="195"/>
      <c r="BQ458" s="195"/>
      <c r="BR458" s="195"/>
      <c r="BS458" s="195"/>
      <c r="BT458" s="195"/>
      <c r="BU458" s="195"/>
      <c r="BV458" s="195"/>
      <c r="BW458" s="195"/>
      <c r="BX458" s="195"/>
    </row>
    <row r="459" spans="1:76" s="124" customFormat="1" ht="15">
      <c r="A459" s="187">
        <v>3152</v>
      </c>
      <c r="B459" s="187" t="s">
        <v>625</v>
      </c>
      <c r="C459" s="187" t="s">
        <v>625</v>
      </c>
      <c r="D459" s="187" t="s">
        <v>803</v>
      </c>
      <c r="E459" s="187" t="s">
        <v>392</v>
      </c>
      <c r="F459" s="187" t="s">
        <v>386</v>
      </c>
      <c r="G459" s="187" t="s">
        <v>393</v>
      </c>
      <c r="H459" s="187" t="b">
        <v>0</v>
      </c>
      <c r="I459" s="187" t="s">
        <v>388</v>
      </c>
      <c r="J459" s="187" t="s">
        <v>389</v>
      </c>
      <c r="K459" s="187" t="b">
        <v>1</v>
      </c>
      <c r="L459" s="187">
        <v>3.1</v>
      </c>
      <c r="M459" s="187">
        <v>1.06</v>
      </c>
      <c r="N459" s="187">
        <v>40.07</v>
      </c>
      <c r="O459" s="187">
        <v>12.8</v>
      </c>
      <c r="P459" s="187">
        <v>2.97</v>
      </c>
      <c r="Q459" s="187"/>
      <c r="R459" s="187"/>
      <c r="S459" s="187"/>
      <c r="T459" s="187"/>
      <c r="U459" s="187">
        <v>49.1</v>
      </c>
      <c r="V459" s="187">
        <v>1.35</v>
      </c>
      <c r="W459" s="188">
        <v>39371</v>
      </c>
      <c r="X459" s="691">
        <f t="shared" si="226"/>
        <v>0.92020000000000002</v>
      </c>
      <c r="Y459" s="691">
        <f t="shared" si="203"/>
        <v>13.186020000000001</v>
      </c>
      <c r="Z459" s="198"/>
      <c r="AA459" s="190">
        <f t="shared" si="211"/>
        <v>2007</v>
      </c>
      <c r="AB459" s="191">
        <f t="shared" si="212"/>
        <v>3.3688328624212129</v>
      </c>
      <c r="AC459" s="192">
        <f>IF(AB459="","",AB459*SFAssumptions!$C$3)</f>
        <v>864.8242012605956</v>
      </c>
      <c r="AD459" s="193">
        <f t="shared" si="213"/>
        <v>40.876662000000003</v>
      </c>
      <c r="AE459" s="194">
        <f>IF(AD459="","",AD459*SFAssumptions!$C$3)</f>
        <v>10493.5827950046</v>
      </c>
      <c r="AF459" s="192">
        <f t="shared" si="202"/>
        <v>3.1</v>
      </c>
      <c r="AG459" s="192">
        <f t="shared" si="214"/>
        <v>13.186020000000001</v>
      </c>
      <c r="AH459" s="192">
        <f t="shared" si="215"/>
        <v>0.92020000000000002</v>
      </c>
      <c r="AI459" s="692">
        <f ca="1">IF(AC459="","",AC459*SFAssumptions!$C$8/'SavingsData&amp;Analysis'!AF459)</f>
        <v>1053.6926841118318</v>
      </c>
      <c r="AJ459" s="692">
        <f ca="1">IF(OR(AE459="",AF459=""),"",AE459*SFAssumptions!$C$8/AF459)</f>
        <v>12785.270584589423</v>
      </c>
      <c r="AK459" s="191">
        <f t="shared" si="216"/>
        <v>2.2962962962962963</v>
      </c>
      <c r="AL459" s="692">
        <f>IF(AK459="","",AK459*SFAssumptions!$C$3)</f>
        <v>589.48980000000006</v>
      </c>
      <c r="AM459" s="193">
        <f t="shared" si="217"/>
        <v>39.680000000000007</v>
      </c>
      <c r="AN459" s="194">
        <f>IF(AM459="","",AM459*SFAssumptions!$C$3)</f>
        <v>10186.383744000002</v>
      </c>
      <c r="AO459" s="693">
        <f t="shared" si="218"/>
        <v>12.8</v>
      </c>
      <c r="AP459" s="693">
        <f t="shared" si="219"/>
        <v>1.35</v>
      </c>
      <c r="AQ459" s="692">
        <f ca="1">IF(AL459="","",AL459*SFAssumptions!$C$8/'SavingsData&amp;Analysis'!AF459)</f>
        <v>718.22815401459843</v>
      </c>
      <c r="AR459" s="692">
        <f ca="1">IF(OR(AN459="",AF459=""),"",AN459*SFAssumptions!$C$8/AF459)</f>
        <v>12410.98250137226</v>
      </c>
      <c r="AS459" s="190" t="str">
        <f>IF(OR(AG459="",AH459=""),"No",IF(AND(G459="Horizontal",AH459&gt;='Eff. Standards &amp; Certifications'!$B$21,AG459&lt;='Eff. Standards &amp; Certifications'!$C$21),"Consider",IF(AND(G459="Vertical",AH459&gt;='Eff. Standards &amp; Certifications'!$B$20,AG459&lt;='Eff. Standards &amp; Certifications'!$C$20),"Consider","No")))</f>
        <v>No</v>
      </c>
      <c r="AT459" s="190" t="str">
        <f t="shared" si="204"/>
        <v>Residential</v>
      </c>
      <c r="AU459" s="190"/>
      <c r="AV459" s="190" t="str">
        <f t="shared" si="227"/>
        <v>NO</v>
      </c>
      <c r="AW459" s="190" t="str">
        <f t="shared" si="227"/>
        <v>NO</v>
      </c>
      <c r="AX459" s="190" t="str">
        <f t="shared" si="220"/>
        <v>NO</v>
      </c>
      <c r="AY459" s="190" t="str">
        <f t="shared" si="205"/>
        <v>NO</v>
      </c>
      <c r="AZ459" s="190" t="str">
        <f t="shared" si="205"/>
        <v>NO</v>
      </c>
      <c r="BA459" s="190" t="str">
        <f t="shared" si="221"/>
        <v>NO</v>
      </c>
      <c r="BB459" s="190" t="str">
        <f t="shared" si="206"/>
        <v>NO</v>
      </c>
      <c r="BC459" s="190" t="str">
        <f t="shared" si="207"/>
        <v>NO</v>
      </c>
      <c r="BD459" s="190" t="str">
        <f t="shared" si="222"/>
        <v>NO</v>
      </c>
      <c r="BE459" s="190" t="str">
        <f t="shared" si="208"/>
        <v>NO</v>
      </c>
      <c r="BF459" s="190" t="str">
        <f t="shared" si="209"/>
        <v>NO</v>
      </c>
      <c r="BG459" s="190" t="str">
        <f t="shared" si="210"/>
        <v>NO</v>
      </c>
      <c r="BH459" s="88"/>
      <c r="BI459" s="9"/>
      <c r="BJ459" s="694" t="str">
        <f t="shared" si="228"/>
        <v/>
      </c>
      <c r="BK459" s="694" t="str">
        <f t="shared" si="228"/>
        <v/>
      </c>
      <c r="BL459" s="694" t="str">
        <f t="shared" si="229"/>
        <v/>
      </c>
      <c r="BM459" s="694" t="str">
        <f t="shared" si="229"/>
        <v/>
      </c>
      <c r="BN459" s="88"/>
      <c r="BO459" s="195"/>
      <c r="BP459" s="195"/>
      <c r="BQ459" s="195"/>
      <c r="BR459" s="195"/>
      <c r="BS459" s="195"/>
      <c r="BT459" s="195"/>
      <c r="BU459" s="195"/>
      <c r="BV459" s="195"/>
      <c r="BW459" s="195"/>
      <c r="BX459" s="195"/>
    </row>
    <row r="460" spans="1:76" s="124" customFormat="1" ht="15">
      <c r="A460" s="187">
        <v>3154</v>
      </c>
      <c r="B460" s="187" t="s">
        <v>625</v>
      </c>
      <c r="C460" s="187" t="s">
        <v>625</v>
      </c>
      <c r="D460" s="187" t="s">
        <v>804</v>
      </c>
      <c r="E460" s="187" t="s">
        <v>392</v>
      </c>
      <c r="F460" s="187" t="s">
        <v>386</v>
      </c>
      <c r="G460" s="187" t="s">
        <v>393</v>
      </c>
      <c r="H460" s="187" t="b">
        <v>0</v>
      </c>
      <c r="I460" s="187" t="s">
        <v>388</v>
      </c>
      <c r="J460" s="187" t="s">
        <v>389</v>
      </c>
      <c r="K460" s="187" t="b">
        <v>1</v>
      </c>
      <c r="L460" s="187">
        <v>3.2</v>
      </c>
      <c r="M460" s="187">
        <v>1.06</v>
      </c>
      <c r="N460" s="187">
        <v>40.01</v>
      </c>
      <c r="O460" s="187">
        <v>12.7</v>
      </c>
      <c r="P460" s="187">
        <v>2.98</v>
      </c>
      <c r="Q460" s="187"/>
      <c r="R460" s="187"/>
      <c r="S460" s="187"/>
      <c r="T460" s="187"/>
      <c r="U460" s="187">
        <v>47.9</v>
      </c>
      <c r="V460" s="187">
        <v>1.38</v>
      </c>
      <c r="W460" s="188">
        <v>39371</v>
      </c>
      <c r="X460" s="691">
        <f t="shared" si="226"/>
        <v>0.94989999999999986</v>
      </c>
      <c r="Y460" s="691">
        <f t="shared" si="203"/>
        <v>13.08713</v>
      </c>
      <c r="Z460" s="198"/>
      <c r="AA460" s="190">
        <f t="shared" si="211"/>
        <v>2007</v>
      </c>
      <c r="AB460" s="191">
        <f t="shared" si="212"/>
        <v>3.368775660595853</v>
      </c>
      <c r="AC460" s="192">
        <f>IF(AB460="","",AB460*SFAssumptions!$C$3)</f>
        <v>864.80951679124144</v>
      </c>
      <c r="AD460" s="193">
        <f t="shared" si="213"/>
        <v>41.878816</v>
      </c>
      <c r="AE460" s="194">
        <f>IF(AD460="","",AD460*SFAssumptions!$C$3)</f>
        <v>10750.8490554528</v>
      </c>
      <c r="AF460" s="192">
        <f t="shared" si="202"/>
        <v>3.2</v>
      </c>
      <c r="AG460" s="192">
        <f t="shared" si="214"/>
        <v>13.08713</v>
      </c>
      <c r="AH460" s="192">
        <f t="shared" si="215"/>
        <v>0.94989999999999986</v>
      </c>
      <c r="AI460" s="692">
        <f ca="1">IF(AC460="","",AC460*SFAssumptions!$C$8/'SavingsData&amp;Analysis'!AF460)</f>
        <v>1020.747455437107</v>
      </c>
      <c r="AJ460" s="692">
        <f ca="1">IF(OR(AE460="",AF460=""),"",AE460*SFAssumptions!$C$8/AF460)</f>
        <v>12689.386048686243</v>
      </c>
      <c r="AK460" s="191">
        <f t="shared" si="216"/>
        <v>2.3188405797101455</v>
      </c>
      <c r="AL460" s="692">
        <f>IF(AK460="","",AK460*SFAssumptions!$C$3)</f>
        <v>595.27721739130448</v>
      </c>
      <c r="AM460" s="193">
        <f t="shared" si="217"/>
        <v>40.64</v>
      </c>
      <c r="AN460" s="194">
        <f>IF(AM460="","",AM460*SFAssumptions!$C$3)</f>
        <v>10432.828512</v>
      </c>
      <c r="AO460" s="693">
        <f t="shared" si="218"/>
        <v>12.7</v>
      </c>
      <c r="AP460" s="693">
        <f t="shared" si="219"/>
        <v>1.38</v>
      </c>
      <c r="AQ460" s="692">
        <f ca="1">IF(AL460="","",AL460*SFAssumptions!$C$8/'SavingsData&amp;Analysis'!AF460)</f>
        <v>702.61449849254188</v>
      </c>
      <c r="AR460" s="692">
        <f ca="1">IF(OR(AN460="",AF460=""),"",AN460*SFAssumptions!$C$8/AF460)</f>
        <v>12314.021700580288</v>
      </c>
      <c r="AS460" s="190" t="str">
        <f>IF(OR(AG460="",AH460=""),"No",IF(AND(G460="Horizontal",AH460&gt;='Eff. Standards &amp; Certifications'!$B$21,AG460&lt;='Eff. Standards &amp; Certifications'!$C$21),"Consider",IF(AND(G460="Vertical",AH460&gt;='Eff. Standards &amp; Certifications'!$B$20,AG460&lt;='Eff. Standards &amp; Certifications'!$C$20),"Consider","No")))</f>
        <v>No</v>
      </c>
      <c r="AT460" s="190" t="str">
        <f t="shared" si="204"/>
        <v>Residential</v>
      </c>
      <c r="AU460" s="190"/>
      <c r="AV460" s="190" t="str">
        <f t="shared" si="227"/>
        <v>NO</v>
      </c>
      <c r="AW460" s="190" t="str">
        <f t="shared" si="227"/>
        <v>NO</v>
      </c>
      <c r="AX460" s="190" t="str">
        <f t="shared" si="220"/>
        <v>NO</v>
      </c>
      <c r="AY460" s="190" t="str">
        <f t="shared" si="205"/>
        <v>NO</v>
      </c>
      <c r="AZ460" s="190" t="str">
        <f t="shared" si="205"/>
        <v>NO</v>
      </c>
      <c r="BA460" s="190" t="str">
        <f t="shared" si="221"/>
        <v>NO</v>
      </c>
      <c r="BB460" s="190" t="str">
        <f t="shared" si="206"/>
        <v>NO</v>
      </c>
      <c r="BC460" s="190" t="str">
        <f t="shared" si="207"/>
        <v>NO</v>
      </c>
      <c r="BD460" s="190" t="str">
        <f t="shared" si="222"/>
        <v>NO</v>
      </c>
      <c r="BE460" s="190" t="str">
        <f t="shared" si="208"/>
        <v>NO</v>
      </c>
      <c r="BF460" s="190" t="str">
        <f t="shared" si="209"/>
        <v>NO</v>
      </c>
      <c r="BG460" s="190" t="str">
        <f t="shared" si="210"/>
        <v>NO</v>
      </c>
      <c r="BH460" s="88"/>
      <c r="BI460" s="9"/>
      <c r="BJ460" s="694" t="str">
        <f t="shared" si="228"/>
        <v/>
      </c>
      <c r="BK460" s="694" t="str">
        <f t="shared" si="228"/>
        <v/>
      </c>
      <c r="BL460" s="694" t="str">
        <f t="shared" si="229"/>
        <v/>
      </c>
      <c r="BM460" s="694" t="str">
        <f t="shared" si="229"/>
        <v/>
      </c>
      <c r="BN460" s="88"/>
      <c r="BO460" s="195"/>
      <c r="BP460" s="195"/>
      <c r="BQ460" s="195"/>
      <c r="BR460" s="195"/>
      <c r="BS460" s="195"/>
      <c r="BT460" s="195"/>
      <c r="BU460" s="195"/>
      <c r="BV460" s="195"/>
      <c r="BW460" s="195"/>
      <c r="BX460" s="195"/>
    </row>
    <row r="461" spans="1:76" s="124" customFormat="1" ht="15">
      <c r="A461" s="187">
        <v>3422</v>
      </c>
      <c r="B461" s="187" t="s">
        <v>625</v>
      </c>
      <c r="C461" s="187" t="s">
        <v>625</v>
      </c>
      <c r="D461" s="187" t="s">
        <v>805</v>
      </c>
      <c r="E461" s="187" t="s">
        <v>392</v>
      </c>
      <c r="F461" s="187" t="s">
        <v>386</v>
      </c>
      <c r="G461" s="187" t="s">
        <v>393</v>
      </c>
      <c r="H461" s="187" t="b">
        <v>0</v>
      </c>
      <c r="I461" s="187" t="s">
        <v>388</v>
      </c>
      <c r="J461" s="187" t="s">
        <v>389</v>
      </c>
      <c r="K461" s="187" t="b">
        <v>1</v>
      </c>
      <c r="L461" s="187">
        <v>3.9</v>
      </c>
      <c r="M461" s="187">
        <v>0.97</v>
      </c>
      <c r="N461" s="187">
        <v>28.97</v>
      </c>
      <c r="O461" s="187">
        <v>7.4</v>
      </c>
      <c r="P461" s="187">
        <v>4.0599999999999996</v>
      </c>
      <c r="Q461" s="187"/>
      <c r="R461" s="187"/>
      <c r="S461" s="187"/>
      <c r="T461" s="187"/>
      <c r="U461" s="187">
        <v>37.9</v>
      </c>
      <c r="V461" s="187">
        <v>1.82</v>
      </c>
      <c r="W461" s="188">
        <v>39685</v>
      </c>
      <c r="X461" s="691">
        <f t="shared" si="226"/>
        <v>1.3855</v>
      </c>
      <c r="Y461" s="691">
        <f t="shared" si="203"/>
        <v>7.8459600000000007</v>
      </c>
      <c r="Z461" s="198"/>
      <c r="AA461" s="190">
        <f t="shared" si="211"/>
        <v>2008</v>
      </c>
      <c r="AB461" s="191">
        <f t="shared" si="212"/>
        <v>2.8148682785997834</v>
      </c>
      <c r="AC461" s="192">
        <f>IF(AB461="","",AB461*SFAssumptions!$C$3)</f>
        <v>722.61412486466975</v>
      </c>
      <c r="AD461" s="193">
        <f t="shared" si="213"/>
        <v>30.599244000000002</v>
      </c>
      <c r="AE461" s="194">
        <f>IF(AD461="","",AD461*SFAssumptions!$C$3)</f>
        <v>7855.2329047452004</v>
      </c>
      <c r="AF461" s="192">
        <f t="shared" si="202"/>
        <v>3.9</v>
      </c>
      <c r="AG461" s="192">
        <f t="shared" si="214"/>
        <v>7.8459600000000007</v>
      </c>
      <c r="AH461" s="192">
        <f t="shared" si="215"/>
        <v>1.3855</v>
      </c>
      <c r="AI461" s="692">
        <f ca="1">IF(AC461="","",AC461*SFAssumptions!$C$8/'SavingsData&amp;Analysis'!AF461)</f>
        <v>699.82533953064421</v>
      </c>
      <c r="AJ461" s="692">
        <f ca="1">IF(OR(AE461="",AF461=""),"",AE461*SFAssumptions!$C$8/AF461)</f>
        <v>7607.5056458177105</v>
      </c>
      <c r="AK461" s="191">
        <f t="shared" si="216"/>
        <v>2.1428571428571428</v>
      </c>
      <c r="AL461" s="692">
        <f>IF(AK461="","",AK461*SFAssumptions!$C$3)</f>
        <v>550.09992857142856</v>
      </c>
      <c r="AM461" s="193">
        <f t="shared" si="217"/>
        <v>28.86</v>
      </c>
      <c r="AN461" s="194">
        <f>IF(AM461="","",AM461*SFAssumptions!$C$3)</f>
        <v>7408.7458379999998</v>
      </c>
      <c r="AO461" s="693">
        <f t="shared" si="218"/>
        <v>7.4</v>
      </c>
      <c r="AP461" s="693">
        <f t="shared" si="219"/>
        <v>1.82</v>
      </c>
      <c r="AQ461" s="692">
        <f ca="1">IF(AL461="","",AL461*SFAssumptions!$C$8/'SavingsData&amp;Analysis'!AF461)</f>
        <v>532.75165270313607</v>
      </c>
      <c r="AR461" s="692">
        <f ca="1">IF(OR(AN461="",AF461=""),"",AN461*SFAssumptions!$C$8/AF461)</f>
        <v>7175.0992586058364</v>
      </c>
      <c r="AS461" s="190" t="str">
        <f>IF(OR(AG461="",AH461=""),"No",IF(AND(G461="Horizontal",AH461&gt;='Eff. Standards &amp; Certifications'!$B$21,AG461&lt;='Eff. Standards &amp; Certifications'!$C$21),"Consider",IF(AND(G461="Vertical",AH461&gt;='Eff. Standards &amp; Certifications'!$B$20,AG461&lt;='Eff. Standards &amp; Certifications'!$C$20),"Consider","No")))</f>
        <v>Consider</v>
      </c>
      <c r="AT461" s="190" t="str">
        <f t="shared" si="204"/>
        <v>Residential</v>
      </c>
      <c r="AU461" s="190"/>
      <c r="AV461" s="190" t="str">
        <f t="shared" si="227"/>
        <v>YES</v>
      </c>
      <c r="AW461" s="190" t="str">
        <f t="shared" si="227"/>
        <v>NO</v>
      </c>
      <c r="AX461" s="190" t="str">
        <f t="shared" si="220"/>
        <v>YES</v>
      </c>
      <c r="AY461" s="190" t="str">
        <f t="shared" si="205"/>
        <v>YES</v>
      </c>
      <c r="AZ461" s="190" t="str">
        <f t="shared" si="205"/>
        <v>NO</v>
      </c>
      <c r="BA461" s="190" t="str">
        <f t="shared" si="221"/>
        <v>YES</v>
      </c>
      <c r="BB461" s="190" t="str">
        <f t="shared" si="206"/>
        <v>NO</v>
      </c>
      <c r="BC461" s="190" t="str">
        <f t="shared" si="207"/>
        <v>NO</v>
      </c>
      <c r="BD461" s="190" t="str">
        <f t="shared" si="222"/>
        <v>NO</v>
      </c>
      <c r="BE461" s="190" t="str">
        <f t="shared" si="208"/>
        <v>NO</v>
      </c>
      <c r="BF461" s="190" t="str">
        <f t="shared" si="209"/>
        <v>NO</v>
      </c>
      <c r="BG461" s="190" t="str">
        <f t="shared" si="210"/>
        <v>NO</v>
      </c>
      <c r="BH461" s="88"/>
      <c r="BI461" s="9"/>
      <c r="BJ461" s="694">
        <f t="shared" si="228"/>
        <v>1.3855</v>
      </c>
      <c r="BK461" s="694" t="str">
        <f t="shared" si="228"/>
        <v/>
      </c>
      <c r="BL461" s="694">
        <f t="shared" si="229"/>
        <v>7.8459600000000007</v>
      </c>
      <c r="BM461" s="694" t="str">
        <f t="shared" si="229"/>
        <v/>
      </c>
      <c r="BN461" s="88"/>
      <c r="BO461" s="195"/>
      <c r="BP461" s="195"/>
      <c r="BQ461" s="195"/>
      <c r="BR461" s="195"/>
      <c r="BS461" s="195"/>
      <c r="BT461" s="195"/>
      <c r="BU461" s="195"/>
      <c r="BV461" s="195"/>
      <c r="BW461" s="195"/>
      <c r="BX461" s="195"/>
    </row>
    <row r="462" spans="1:76" s="124" customFormat="1" ht="15">
      <c r="A462" s="187">
        <v>3164</v>
      </c>
      <c r="B462" s="187" t="s">
        <v>625</v>
      </c>
      <c r="C462" s="187" t="s">
        <v>625</v>
      </c>
      <c r="D462" s="187" t="s">
        <v>806</v>
      </c>
      <c r="E462" s="187" t="s">
        <v>392</v>
      </c>
      <c r="F462" s="187" t="s">
        <v>386</v>
      </c>
      <c r="G462" s="187" t="s">
        <v>393</v>
      </c>
      <c r="H462" s="187" t="b">
        <v>0</v>
      </c>
      <c r="I462" s="187" t="s">
        <v>388</v>
      </c>
      <c r="J462" s="187" t="s">
        <v>389</v>
      </c>
      <c r="K462" s="187" t="b">
        <v>1</v>
      </c>
      <c r="L462" s="187">
        <v>3.9</v>
      </c>
      <c r="M462" s="187">
        <v>0.78</v>
      </c>
      <c r="N462" s="187">
        <v>26.74</v>
      </c>
      <c r="O462" s="187">
        <v>6.9</v>
      </c>
      <c r="P462" s="187">
        <v>4.96</v>
      </c>
      <c r="Q462" s="187"/>
      <c r="R462" s="187"/>
      <c r="S462" s="187"/>
      <c r="T462" s="187"/>
      <c r="U462" s="187">
        <v>38.200000000000003</v>
      </c>
      <c r="V462" s="187">
        <v>1.98</v>
      </c>
      <c r="W462" s="188">
        <v>39371</v>
      </c>
      <c r="X462" s="691">
        <f t="shared" si="226"/>
        <v>1.5438999999999998</v>
      </c>
      <c r="Y462" s="691">
        <f t="shared" si="203"/>
        <v>7.3515100000000002</v>
      </c>
      <c r="Z462" s="198"/>
      <c r="AA462" s="190">
        <f t="shared" si="211"/>
        <v>2007</v>
      </c>
      <c r="AB462" s="191">
        <f t="shared" si="212"/>
        <v>2.5260703413433516</v>
      </c>
      <c r="AC462" s="192">
        <f>IF(AB462="","",AB462*SFAssumptions!$C$3)</f>
        <v>648.47585335837823</v>
      </c>
      <c r="AD462" s="193">
        <f t="shared" si="213"/>
        <v>28.670888999999999</v>
      </c>
      <c r="AE462" s="194">
        <f>IF(AD462="","",AD462*SFAssumptions!$C$3)</f>
        <v>7360.1985291236997</v>
      </c>
      <c r="AF462" s="192">
        <f t="shared" si="202"/>
        <v>3.9</v>
      </c>
      <c r="AG462" s="192">
        <f t="shared" si="214"/>
        <v>7.3515100000000002</v>
      </c>
      <c r="AH462" s="192">
        <f t="shared" si="215"/>
        <v>1.5438999999999998</v>
      </c>
      <c r="AI462" s="692">
        <f ca="1">IF(AC462="","",AC462*SFAssumptions!$C$8/'SavingsData&amp;Analysis'!AF462)</f>
        <v>628.02513629102134</v>
      </c>
      <c r="AJ462" s="692">
        <f ca="1">IF(OR(AE462="",AF462=""),"",AE462*SFAssumptions!$C$8/AF462)</f>
        <v>7128.0829663018103</v>
      </c>
      <c r="AK462" s="191">
        <f t="shared" si="216"/>
        <v>1.9696969696969697</v>
      </c>
      <c r="AL462" s="692">
        <f>IF(AK462="","",AK462*SFAssumptions!$C$3)</f>
        <v>505.64740909090909</v>
      </c>
      <c r="AM462" s="193">
        <f t="shared" si="217"/>
        <v>26.91</v>
      </c>
      <c r="AN462" s="194">
        <f>IF(AM462="","",AM462*SFAssumptions!$C$3)</f>
        <v>6908.1549030000006</v>
      </c>
      <c r="AO462" s="693">
        <f t="shared" si="218"/>
        <v>6.9</v>
      </c>
      <c r="AP462" s="693">
        <f t="shared" si="219"/>
        <v>1.98</v>
      </c>
      <c r="AQ462" s="692">
        <f ca="1">IF(AL462="","",AL462*SFAssumptions!$C$8/'SavingsData&amp;Analysis'!AF462)</f>
        <v>489.70101410086249</v>
      </c>
      <c r="AR462" s="692">
        <f ca="1">IF(OR(AN462="",AF462=""),"",AN462*SFAssumptions!$C$8/AF462)</f>
        <v>6690.2952546459837</v>
      </c>
      <c r="AS462" s="190" t="str">
        <f>IF(OR(AG462="",AH462=""),"No",IF(AND(G462="Horizontal",AH462&gt;='Eff. Standards &amp; Certifications'!$B$21,AG462&lt;='Eff. Standards &amp; Certifications'!$C$21),"Consider",IF(AND(G462="Vertical",AH462&gt;='Eff. Standards &amp; Certifications'!$B$20,AG462&lt;='Eff. Standards &amp; Certifications'!$C$20),"Consider","No")))</f>
        <v>Consider</v>
      </c>
      <c r="AT462" s="190" t="str">
        <f t="shared" si="204"/>
        <v>Residential</v>
      </c>
      <c r="AU462" s="190"/>
      <c r="AV462" s="190" t="str">
        <f t="shared" si="227"/>
        <v>YES</v>
      </c>
      <c r="AW462" s="190" t="str">
        <f t="shared" si="227"/>
        <v>NO</v>
      </c>
      <c r="AX462" s="190" t="str">
        <f t="shared" si="220"/>
        <v>YES</v>
      </c>
      <c r="AY462" s="190" t="str">
        <f t="shared" si="205"/>
        <v>YES</v>
      </c>
      <c r="AZ462" s="190" t="str">
        <f t="shared" si="205"/>
        <v>NO</v>
      </c>
      <c r="BA462" s="190" t="str">
        <f t="shared" si="221"/>
        <v>YES</v>
      </c>
      <c r="BB462" s="190" t="str">
        <f t="shared" si="206"/>
        <v>NO</v>
      </c>
      <c r="BC462" s="190" t="str">
        <f t="shared" si="207"/>
        <v>NO</v>
      </c>
      <c r="BD462" s="190" t="str">
        <f t="shared" si="222"/>
        <v>NO</v>
      </c>
      <c r="BE462" s="190" t="str">
        <f t="shared" si="208"/>
        <v>NO</v>
      </c>
      <c r="BF462" s="190" t="str">
        <f t="shared" si="209"/>
        <v>NO</v>
      </c>
      <c r="BG462" s="190" t="str">
        <f t="shared" si="210"/>
        <v>NO</v>
      </c>
      <c r="BH462" s="88"/>
      <c r="BI462" s="9"/>
      <c r="BJ462" s="694">
        <f t="shared" si="228"/>
        <v>1.5438999999999998</v>
      </c>
      <c r="BK462" s="694" t="str">
        <f t="shared" si="228"/>
        <v/>
      </c>
      <c r="BL462" s="694">
        <f t="shared" si="229"/>
        <v>7.3515100000000002</v>
      </c>
      <c r="BM462" s="694" t="str">
        <f t="shared" si="229"/>
        <v/>
      </c>
      <c r="BN462" s="88"/>
      <c r="BO462" s="195"/>
      <c r="BP462" s="195"/>
      <c r="BQ462" s="195"/>
      <c r="BR462" s="195"/>
      <c r="BS462" s="195"/>
      <c r="BT462" s="195"/>
      <c r="BU462" s="195"/>
      <c r="BV462" s="195"/>
      <c r="BW462" s="195"/>
      <c r="BX462" s="195"/>
    </row>
    <row r="463" spans="1:76" s="124" customFormat="1" ht="15">
      <c r="A463" s="187">
        <v>553</v>
      </c>
      <c r="B463" s="187" t="s">
        <v>625</v>
      </c>
      <c r="C463" s="187" t="s">
        <v>625</v>
      </c>
      <c r="D463" s="187" t="s">
        <v>807</v>
      </c>
      <c r="E463" s="187" t="s">
        <v>392</v>
      </c>
      <c r="F463" s="187" t="s">
        <v>386</v>
      </c>
      <c r="G463" s="187" t="s">
        <v>393</v>
      </c>
      <c r="H463" s="187" t="b">
        <v>0</v>
      </c>
      <c r="I463" s="187" t="s">
        <v>388</v>
      </c>
      <c r="J463" s="187" t="s">
        <v>389</v>
      </c>
      <c r="K463" s="187" t="b">
        <v>1</v>
      </c>
      <c r="L463" s="187">
        <v>4.3</v>
      </c>
      <c r="M463" s="187">
        <v>0.64</v>
      </c>
      <c r="N463" s="187">
        <v>18.07</v>
      </c>
      <c r="O463" s="187">
        <v>4.2</v>
      </c>
      <c r="P463" s="187">
        <v>6.71</v>
      </c>
      <c r="Q463" s="187"/>
      <c r="R463" s="187"/>
      <c r="S463" s="187"/>
      <c r="T463" s="187"/>
      <c r="U463" s="187">
        <v>36</v>
      </c>
      <c r="V463" s="187">
        <v>2.29</v>
      </c>
      <c r="W463" s="188">
        <v>40316</v>
      </c>
      <c r="X463" s="691">
        <f t="shared" si="226"/>
        <v>1.8508</v>
      </c>
      <c r="Y463" s="691">
        <f t="shared" si="203"/>
        <v>4.6814800000000005</v>
      </c>
      <c r="Z463" s="198"/>
      <c r="AA463" s="190">
        <f t="shared" si="211"/>
        <v>2010</v>
      </c>
      <c r="AB463" s="191">
        <f t="shared" si="212"/>
        <v>2.3233196455586773</v>
      </c>
      <c r="AC463" s="192">
        <f>IF(AB463="","",AB463*SFAssumptions!$C$3)</f>
        <v>596.42705316619845</v>
      </c>
      <c r="AD463" s="193">
        <f t="shared" si="213"/>
        <v>20.130364</v>
      </c>
      <c r="AE463" s="194">
        <f>IF(AD463="","",AD463*SFAssumptions!$C$3)</f>
        <v>5167.7321726412001</v>
      </c>
      <c r="AF463" s="192">
        <f t="shared" si="202"/>
        <v>4.3</v>
      </c>
      <c r="AG463" s="192">
        <f t="shared" si="214"/>
        <v>4.6814800000000005</v>
      </c>
      <c r="AH463" s="192">
        <f t="shared" si="215"/>
        <v>1.8508</v>
      </c>
      <c r="AI463" s="692">
        <f ca="1">IF(AC463="","",AC463*SFAssumptions!$C$8/'SavingsData&amp;Analysis'!AF463)</f>
        <v>523.88589146299319</v>
      </c>
      <c r="AJ463" s="692">
        <f ca="1">IF(OR(AE463="",AF463=""),"",AE463*SFAssumptions!$C$8/AF463)</f>
        <v>4539.2004969159534</v>
      </c>
      <c r="AK463" s="191">
        <f t="shared" si="216"/>
        <v>1.8777292576419213</v>
      </c>
      <c r="AL463" s="692">
        <f>IF(AK463="","",AK463*SFAssumptions!$C$3)</f>
        <v>482.03807423580787</v>
      </c>
      <c r="AM463" s="193">
        <f t="shared" si="217"/>
        <v>18.059999999999999</v>
      </c>
      <c r="AN463" s="194">
        <f>IF(AM463="","",AM463*SFAssumptions!$C$3)</f>
        <v>4636.2421979999999</v>
      </c>
      <c r="AO463" s="693">
        <f t="shared" si="218"/>
        <v>4.2</v>
      </c>
      <c r="AP463" s="693">
        <f t="shared" si="219"/>
        <v>2.29</v>
      </c>
      <c r="AQ463" s="692">
        <f ca="1">IF(AL463="","",AL463*SFAssumptions!$C$8/'SavingsData&amp;Analysis'!AF463)</f>
        <v>423.40961044528723</v>
      </c>
      <c r="AR463" s="692">
        <f ca="1">IF(OR(AN463="",AF463=""),"",AN463*SFAssumptions!$C$8/AF463)</f>
        <v>4072.3536332627727</v>
      </c>
      <c r="AS463" s="190" t="str">
        <f>IF(OR(AG463="",AH463=""),"No",IF(AND(G463="Horizontal",AH463&gt;='Eff. Standards &amp; Certifications'!$B$21,AG463&lt;='Eff. Standards &amp; Certifications'!$C$21),"Consider",IF(AND(G463="Vertical",AH463&gt;='Eff. Standards &amp; Certifications'!$B$20,AG463&lt;='Eff. Standards &amp; Certifications'!$C$20),"Consider","No")))</f>
        <v>Consider</v>
      </c>
      <c r="AT463" s="190" t="str">
        <f t="shared" si="204"/>
        <v>Residential</v>
      </c>
      <c r="AU463" s="190"/>
      <c r="AV463" s="190" t="str">
        <f t="shared" ref="AV463:AW478" si="230">IF(AND($G463=AV$18,$AS463="Consider",$AT463="Residential",$AH463&gt;=AV$3,$AH463&lt;=AV$4,$AG463&gt;=AV$5,$AG463&lt;=AV$6),"YES","NO")</f>
        <v>YES</v>
      </c>
      <c r="AW463" s="190" t="str">
        <f t="shared" si="230"/>
        <v>NO</v>
      </c>
      <c r="AX463" s="190" t="str">
        <f t="shared" si="220"/>
        <v>YES</v>
      </c>
      <c r="AY463" s="190" t="str">
        <f t="shared" si="205"/>
        <v>YES</v>
      </c>
      <c r="AZ463" s="190" t="str">
        <f t="shared" si="205"/>
        <v>NO</v>
      </c>
      <c r="BA463" s="190" t="str">
        <f t="shared" si="221"/>
        <v>YES</v>
      </c>
      <c r="BB463" s="190" t="str">
        <f t="shared" si="206"/>
        <v>NO</v>
      </c>
      <c r="BC463" s="190" t="str">
        <f t="shared" si="207"/>
        <v>NO</v>
      </c>
      <c r="BD463" s="190" t="str">
        <f t="shared" si="222"/>
        <v>NO</v>
      </c>
      <c r="BE463" s="190" t="str">
        <f t="shared" si="208"/>
        <v>NO</v>
      </c>
      <c r="BF463" s="190" t="str">
        <f t="shared" si="209"/>
        <v>NO</v>
      </c>
      <c r="BG463" s="190" t="str">
        <f t="shared" si="210"/>
        <v>NO</v>
      </c>
      <c r="BH463" s="88"/>
      <c r="BI463" s="9"/>
      <c r="BJ463" s="694">
        <f t="shared" si="228"/>
        <v>1.8508</v>
      </c>
      <c r="BK463" s="694" t="str">
        <f t="shared" si="228"/>
        <v/>
      </c>
      <c r="BL463" s="694">
        <f t="shared" si="229"/>
        <v>4.6814800000000005</v>
      </c>
      <c r="BM463" s="694" t="str">
        <f t="shared" si="229"/>
        <v/>
      </c>
      <c r="BN463" s="88"/>
      <c r="BO463" s="195"/>
      <c r="BP463" s="195"/>
      <c r="BQ463" s="195"/>
      <c r="BR463" s="195"/>
      <c r="BS463" s="195"/>
      <c r="BT463" s="195"/>
      <c r="BU463" s="195"/>
      <c r="BV463" s="195"/>
      <c r="BW463" s="195"/>
      <c r="BX463" s="195"/>
    </row>
    <row r="464" spans="1:76" s="124" customFormat="1" ht="15">
      <c r="A464" s="187">
        <v>573</v>
      </c>
      <c r="B464" s="187" t="s">
        <v>625</v>
      </c>
      <c r="C464" s="187" t="s">
        <v>625</v>
      </c>
      <c r="D464" s="187" t="s">
        <v>808</v>
      </c>
      <c r="E464" s="187" t="s">
        <v>392</v>
      </c>
      <c r="F464" s="187" t="s">
        <v>386</v>
      </c>
      <c r="G464" s="187" t="s">
        <v>393</v>
      </c>
      <c r="H464" s="187" t="b">
        <v>0</v>
      </c>
      <c r="I464" s="187" t="s">
        <v>388</v>
      </c>
      <c r="J464" s="187" t="s">
        <v>389</v>
      </c>
      <c r="K464" s="187" t="b">
        <v>1</v>
      </c>
      <c r="L464" s="187">
        <v>4.3</v>
      </c>
      <c r="M464" s="187">
        <v>0.48</v>
      </c>
      <c r="N464" s="187">
        <v>15.58</v>
      </c>
      <c r="O464" s="187">
        <v>3.6</v>
      </c>
      <c r="P464" s="187">
        <v>9.07</v>
      </c>
      <c r="Q464" s="187"/>
      <c r="R464" s="187"/>
      <c r="S464" s="187"/>
      <c r="T464" s="187"/>
      <c r="U464" s="187">
        <v>35.799999999999997</v>
      </c>
      <c r="V464" s="187">
        <v>3.61</v>
      </c>
      <c r="W464" s="188">
        <v>40255</v>
      </c>
      <c r="X464" s="691">
        <f t="shared" si="226"/>
        <v>3.1575999999999995</v>
      </c>
      <c r="Y464" s="691">
        <f t="shared" si="203"/>
        <v>4.0881400000000001</v>
      </c>
      <c r="Z464" s="198"/>
      <c r="AA464" s="190">
        <f t="shared" si="211"/>
        <v>2010</v>
      </c>
      <c r="AB464" s="191">
        <f t="shared" si="212"/>
        <v>1.3617937674182925</v>
      </c>
      <c r="AC464" s="192">
        <f>IF(AB464="","",AB464*SFAssumptions!$C$3)</f>
        <v>349.59057195338238</v>
      </c>
      <c r="AD464" s="193">
        <f t="shared" si="213"/>
        <v>17.579001999999999</v>
      </c>
      <c r="AE464" s="194">
        <f>IF(AD464="","",AD464*SFAssumptions!$C$3)</f>
        <v>4512.7636141266003</v>
      </c>
      <c r="AF464" s="192">
        <f t="shared" si="202"/>
        <v>4.3</v>
      </c>
      <c r="AG464" s="192">
        <f t="shared" si="214"/>
        <v>4.0881400000000001</v>
      </c>
      <c r="AH464" s="192">
        <f t="shared" si="215"/>
        <v>3.1575999999999995</v>
      </c>
      <c r="AI464" s="692">
        <f ca="1">IF(AC464="","",AC464*SFAssumptions!$C$8/'SavingsData&amp;Analysis'!AF464)</f>
        <v>307.07119581951736</v>
      </c>
      <c r="AJ464" s="692">
        <f ca="1">IF(OR(AE464="",AF464=""),"",AE464*SFAssumptions!$C$8/AF464)</f>
        <v>3963.8932814968739</v>
      </c>
      <c r="AK464" s="191">
        <f t="shared" si="216"/>
        <v>1.1911357340720221</v>
      </c>
      <c r="AL464" s="692">
        <f>IF(AK464="","",AK464*SFAssumptions!$C$3)</f>
        <v>305.78038504155126</v>
      </c>
      <c r="AM464" s="193">
        <f t="shared" si="217"/>
        <v>15.48</v>
      </c>
      <c r="AN464" s="194">
        <f>IF(AM464="","",AM464*SFAssumptions!$C$3)</f>
        <v>3973.9218840000003</v>
      </c>
      <c r="AO464" s="693">
        <f t="shared" si="218"/>
        <v>3.6</v>
      </c>
      <c r="AP464" s="693">
        <f t="shared" si="219"/>
        <v>3.61</v>
      </c>
      <c r="AQ464" s="692">
        <f ca="1">IF(AL464="","",AL464*SFAssumptions!$C$8/'SavingsData&amp;Analysis'!AF464)</f>
        <v>268.58947587803539</v>
      </c>
      <c r="AR464" s="692">
        <f ca="1">IF(OR(AN464="",AF464=""),"",AN464*SFAssumptions!$C$8/AF464)</f>
        <v>3490.5888285109481</v>
      </c>
      <c r="AS464" s="190" t="str">
        <f>IF(OR(AG464="",AH464=""),"No",IF(AND(G464="Horizontal",AH464&gt;='Eff. Standards &amp; Certifications'!$B$21,AG464&lt;='Eff. Standards &amp; Certifications'!$C$21),"Consider",IF(AND(G464="Vertical",AH464&gt;='Eff. Standards &amp; Certifications'!$B$20,AG464&lt;='Eff. Standards &amp; Certifications'!$C$20),"Consider","No")))</f>
        <v>Consider</v>
      </c>
      <c r="AT464" s="190" t="str">
        <f t="shared" si="204"/>
        <v>Residential</v>
      </c>
      <c r="AU464" s="190"/>
      <c r="AV464" s="190" t="str">
        <f t="shared" si="230"/>
        <v>YES</v>
      </c>
      <c r="AW464" s="190" t="str">
        <f t="shared" si="230"/>
        <v>NO</v>
      </c>
      <c r="AX464" s="190" t="str">
        <f t="shared" si="220"/>
        <v>YES</v>
      </c>
      <c r="AY464" s="190" t="str">
        <f t="shared" si="205"/>
        <v>NO</v>
      </c>
      <c r="AZ464" s="190" t="str">
        <f t="shared" si="205"/>
        <v>NO</v>
      </c>
      <c r="BA464" s="190" t="str">
        <f t="shared" si="221"/>
        <v>NO</v>
      </c>
      <c r="BB464" s="190" t="str">
        <f t="shared" si="206"/>
        <v>YES</v>
      </c>
      <c r="BC464" s="190" t="str">
        <f t="shared" si="207"/>
        <v>NO</v>
      </c>
      <c r="BD464" s="190" t="str">
        <f t="shared" si="222"/>
        <v>YES</v>
      </c>
      <c r="BE464" s="190" t="str">
        <f t="shared" si="208"/>
        <v>NO</v>
      </c>
      <c r="BF464" s="190" t="str">
        <f t="shared" si="209"/>
        <v>NO</v>
      </c>
      <c r="BG464" s="190" t="str">
        <f t="shared" si="210"/>
        <v>NO</v>
      </c>
      <c r="BH464" s="88"/>
      <c r="BI464" s="9"/>
      <c r="BJ464" s="694">
        <f t="shared" si="228"/>
        <v>3.1575999999999995</v>
      </c>
      <c r="BK464" s="694" t="str">
        <f t="shared" si="228"/>
        <v/>
      </c>
      <c r="BL464" s="694">
        <f t="shared" si="229"/>
        <v>4.0881400000000001</v>
      </c>
      <c r="BM464" s="694" t="str">
        <f t="shared" si="229"/>
        <v/>
      </c>
      <c r="BN464" s="88"/>
      <c r="BO464" s="195"/>
      <c r="BP464" s="195"/>
      <c r="BQ464" s="195"/>
      <c r="BR464" s="195"/>
      <c r="BS464" s="195"/>
      <c r="BT464" s="195"/>
      <c r="BU464" s="195"/>
      <c r="BV464" s="195"/>
      <c r="BW464" s="195"/>
      <c r="BX464" s="195"/>
    </row>
    <row r="465" spans="1:76" s="124" customFormat="1" ht="15">
      <c r="A465" s="187">
        <v>4987</v>
      </c>
      <c r="B465" s="187" t="s">
        <v>625</v>
      </c>
      <c r="C465" s="187" t="s">
        <v>625</v>
      </c>
      <c r="D465" s="187" t="s">
        <v>809</v>
      </c>
      <c r="E465" s="187" t="s">
        <v>392</v>
      </c>
      <c r="F465" s="187" t="s">
        <v>386</v>
      </c>
      <c r="G465" s="187" t="s">
        <v>393</v>
      </c>
      <c r="H465" s="187" t="b">
        <v>0</v>
      </c>
      <c r="I465" s="187" t="s">
        <v>388</v>
      </c>
      <c r="J465" s="187" t="s">
        <v>389</v>
      </c>
      <c r="K465" s="187" t="b">
        <v>1</v>
      </c>
      <c r="L465" s="187">
        <v>4</v>
      </c>
      <c r="M465" s="187">
        <v>0.39</v>
      </c>
      <c r="N465" s="187">
        <v>13.56</v>
      </c>
      <c r="O465" s="187">
        <v>3.6</v>
      </c>
      <c r="P465" s="187">
        <v>10.09</v>
      </c>
      <c r="Q465" s="187"/>
      <c r="R465" s="187"/>
      <c r="S465" s="187"/>
      <c r="T465" s="187"/>
      <c r="U465" s="187">
        <v>34.6</v>
      </c>
      <c r="V465" s="187">
        <v>2.63</v>
      </c>
      <c r="W465" s="188">
        <v>40640</v>
      </c>
      <c r="X465" s="691">
        <f t="shared" si="226"/>
        <v>2.1873999999999998</v>
      </c>
      <c r="Y465" s="691">
        <f t="shared" si="203"/>
        <v>4.0881400000000001</v>
      </c>
      <c r="Z465" s="198"/>
      <c r="AA465" s="190">
        <f t="shared" si="211"/>
        <v>2011</v>
      </c>
      <c r="AB465" s="191">
        <f t="shared" si="212"/>
        <v>1.8286550242296793</v>
      </c>
      <c r="AC465" s="192">
        <f>IF(AB465="","",AB465*SFAssumptions!$C$3)</f>
        <v>469.44006583158091</v>
      </c>
      <c r="AD465" s="193">
        <f t="shared" si="213"/>
        <v>16.35256</v>
      </c>
      <c r="AE465" s="194">
        <f>IF(AD465="","",AD465*SFAssumptions!$C$3)</f>
        <v>4197.9196410479999</v>
      </c>
      <c r="AF465" s="192">
        <f t="shared" si="202"/>
        <v>4</v>
      </c>
      <c r="AG465" s="192">
        <f t="shared" si="214"/>
        <v>4.0881400000000001</v>
      </c>
      <c r="AH465" s="192">
        <f t="shared" si="215"/>
        <v>2.1873999999999998</v>
      </c>
      <c r="AI465" s="692">
        <f ca="1">IF(AC465="","",AC465*SFAssumptions!$C$8/'SavingsData&amp;Analysis'!AF465)</f>
        <v>443.269638803926</v>
      </c>
      <c r="AJ465" s="692">
        <f ca="1">IF(OR(AE465="",AF465=""),"",AE465*SFAssumptions!$C$8/AF465)</f>
        <v>3963.8932814968734</v>
      </c>
      <c r="AK465" s="191">
        <f t="shared" si="216"/>
        <v>1.5209125475285172</v>
      </c>
      <c r="AL465" s="692">
        <f>IF(AK465="","",AK465*SFAssumptions!$C$3)</f>
        <v>390.43847908745249</v>
      </c>
      <c r="AM465" s="193">
        <f t="shared" si="217"/>
        <v>14.4</v>
      </c>
      <c r="AN465" s="194">
        <f>IF(AM465="","",AM465*SFAssumptions!$C$3)</f>
        <v>3696.6715200000003</v>
      </c>
      <c r="AO465" s="693">
        <f t="shared" si="218"/>
        <v>3.6</v>
      </c>
      <c r="AP465" s="693">
        <f t="shared" si="219"/>
        <v>2.63</v>
      </c>
      <c r="AQ465" s="692">
        <f ca="1">IF(AL465="","",AL465*SFAssumptions!$C$8/'SavingsData&amp;Analysis'!AF465)</f>
        <v>368.67224635730332</v>
      </c>
      <c r="AR465" s="692">
        <f ca="1">IF(OR(AN465="",AF465=""),"",AN465*SFAssumptions!$C$8/AF465)</f>
        <v>3490.5888285109481</v>
      </c>
      <c r="AS465" s="190" t="str">
        <f>IF(OR(AG465="",AH465=""),"No",IF(AND(G465="Horizontal",AH465&gt;='Eff. Standards &amp; Certifications'!$B$21,AG465&lt;='Eff. Standards &amp; Certifications'!$C$21),"Consider",IF(AND(G465="Vertical",AH465&gt;='Eff. Standards &amp; Certifications'!$B$20,AG465&lt;='Eff. Standards &amp; Certifications'!$C$20),"Consider","No")))</f>
        <v>Consider</v>
      </c>
      <c r="AT465" s="190" t="str">
        <f t="shared" si="204"/>
        <v>Residential</v>
      </c>
      <c r="AU465" s="190"/>
      <c r="AV465" s="190" t="str">
        <f t="shared" si="230"/>
        <v>YES</v>
      </c>
      <c r="AW465" s="190" t="str">
        <f t="shared" si="230"/>
        <v>NO</v>
      </c>
      <c r="AX465" s="190" t="str">
        <f t="shared" si="220"/>
        <v>YES</v>
      </c>
      <c r="AY465" s="190" t="str">
        <f t="shared" si="205"/>
        <v>NO</v>
      </c>
      <c r="AZ465" s="190" t="str">
        <f t="shared" si="205"/>
        <v>NO</v>
      </c>
      <c r="BA465" s="190" t="str">
        <f t="shared" si="221"/>
        <v>NO</v>
      </c>
      <c r="BB465" s="190" t="str">
        <f t="shared" si="206"/>
        <v>YES</v>
      </c>
      <c r="BC465" s="190" t="str">
        <f t="shared" si="207"/>
        <v>NO</v>
      </c>
      <c r="BD465" s="190" t="str">
        <f t="shared" si="222"/>
        <v>YES</v>
      </c>
      <c r="BE465" s="190" t="str">
        <f t="shared" si="208"/>
        <v>NO</v>
      </c>
      <c r="BF465" s="190" t="str">
        <f t="shared" si="209"/>
        <v>NO</v>
      </c>
      <c r="BG465" s="190" t="str">
        <f t="shared" si="210"/>
        <v>NO</v>
      </c>
      <c r="BH465" s="88"/>
      <c r="BI465" s="9"/>
      <c r="BJ465" s="694">
        <f t="shared" si="228"/>
        <v>2.1873999999999998</v>
      </c>
      <c r="BK465" s="694" t="str">
        <f t="shared" si="228"/>
        <v/>
      </c>
      <c r="BL465" s="694">
        <f t="shared" si="229"/>
        <v>4.0881400000000001</v>
      </c>
      <c r="BM465" s="694" t="str">
        <f t="shared" si="229"/>
        <v/>
      </c>
      <c r="BN465" s="88"/>
      <c r="BO465" s="195"/>
      <c r="BP465" s="195"/>
      <c r="BQ465" s="195"/>
      <c r="BR465" s="195"/>
      <c r="BS465" s="195"/>
      <c r="BT465" s="195"/>
      <c r="BU465" s="195"/>
      <c r="BV465" s="195"/>
      <c r="BW465" s="195"/>
      <c r="BX465" s="195"/>
    </row>
    <row r="466" spans="1:76" s="124" customFormat="1" ht="15">
      <c r="A466" s="187">
        <v>522</v>
      </c>
      <c r="B466" s="187" t="s">
        <v>625</v>
      </c>
      <c r="C466" s="187" t="s">
        <v>625</v>
      </c>
      <c r="D466" s="187" t="s">
        <v>810</v>
      </c>
      <c r="E466" s="187" t="s">
        <v>392</v>
      </c>
      <c r="F466" s="187" t="s">
        <v>386</v>
      </c>
      <c r="G466" s="187" t="s">
        <v>393</v>
      </c>
      <c r="H466" s="187" t="b">
        <v>0</v>
      </c>
      <c r="I466" s="187" t="s">
        <v>388</v>
      </c>
      <c r="J466" s="187" t="s">
        <v>389</v>
      </c>
      <c r="K466" s="187" t="b">
        <v>1</v>
      </c>
      <c r="L466" s="187">
        <v>4.5</v>
      </c>
      <c r="M466" s="187">
        <v>0.52</v>
      </c>
      <c r="N466" s="187">
        <v>15.85</v>
      </c>
      <c r="O466" s="187">
        <v>3.6</v>
      </c>
      <c r="P466" s="187">
        <v>8.64</v>
      </c>
      <c r="Q466" s="187"/>
      <c r="R466" s="187"/>
      <c r="S466" s="187"/>
      <c r="T466" s="187"/>
      <c r="U466" s="187">
        <v>34.799999999999997</v>
      </c>
      <c r="V466" s="187">
        <v>2.57</v>
      </c>
      <c r="W466" s="188">
        <v>40309</v>
      </c>
      <c r="X466" s="691">
        <f t="shared" si="226"/>
        <v>2.1279999999999997</v>
      </c>
      <c r="Y466" s="691">
        <f t="shared" si="203"/>
        <v>4.0881400000000001</v>
      </c>
      <c r="Z466" s="198"/>
      <c r="AA466" s="190">
        <f t="shared" si="211"/>
        <v>2010</v>
      </c>
      <c r="AB466" s="191">
        <f t="shared" si="212"/>
        <v>2.1146616541353387</v>
      </c>
      <c r="AC466" s="192">
        <f>IF(AB466="","",AB466*SFAssumptions!$C$3)</f>
        <v>542.86177161654143</v>
      </c>
      <c r="AD466" s="193">
        <f t="shared" si="213"/>
        <v>18.396630000000002</v>
      </c>
      <c r="AE466" s="194">
        <f>IF(AD466="","",AD466*SFAssumptions!$C$3)</f>
        <v>4722.6595961790008</v>
      </c>
      <c r="AF466" s="192">
        <f t="shared" si="202"/>
        <v>4.5</v>
      </c>
      <c r="AG466" s="192">
        <f t="shared" si="214"/>
        <v>4.0881400000000001</v>
      </c>
      <c r="AH466" s="192">
        <f t="shared" si="215"/>
        <v>2.1279999999999997</v>
      </c>
      <c r="AI466" s="692">
        <f ca="1">IF(AC466="","",AC466*SFAssumptions!$C$8/'SavingsData&amp;Analysis'!AF466)</f>
        <v>455.64286086452438</v>
      </c>
      <c r="AJ466" s="692">
        <f ca="1">IF(OR(AE466="",AF466=""),"",AE466*SFAssumptions!$C$8/AF466)</f>
        <v>3963.8932814968744</v>
      </c>
      <c r="AK466" s="191">
        <f t="shared" si="216"/>
        <v>1.7509727626459146</v>
      </c>
      <c r="AL466" s="692">
        <f>IF(AK466="","",AK466*SFAssumptions!$C$3)</f>
        <v>449.49799610894945</v>
      </c>
      <c r="AM466" s="193">
        <f t="shared" si="217"/>
        <v>16.2</v>
      </c>
      <c r="AN466" s="194">
        <f>IF(AM466="","",AM466*SFAssumptions!$C$3)</f>
        <v>4158.7554600000003</v>
      </c>
      <c r="AO466" s="693">
        <f t="shared" si="218"/>
        <v>3.6</v>
      </c>
      <c r="AP466" s="693">
        <f t="shared" si="219"/>
        <v>2.57</v>
      </c>
      <c r="AQ466" s="692">
        <f ca="1">IF(AL466="","",AL466*SFAssumptions!$C$8/'SavingsData&amp;Analysis'!AF466)</f>
        <v>377.27938051350498</v>
      </c>
      <c r="AR466" s="692">
        <f ca="1">IF(OR(AN466="",AF466=""),"",AN466*SFAssumptions!$C$8/AF466)</f>
        <v>3490.5888285109481</v>
      </c>
      <c r="AS466" s="190" t="str">
        <f>IF(OR(AG466="",AH466=""),"No",IF(AND(G466="Horizontal",AH466&gt;='Eff. Standards &amp; Certifications'!$B$21,AG466&lt;='Eff. Standards &amp; Certifications'!$C$21),"Consider",IF(AND(G466="Vertical",AH466&gt;='Eff. Standards &amp; Certifications'!$B$20,AG466&lt;='Eff. Standards &amp; Certifications'!$C$20),"Consider","No")))</f>
        <v>Consider</v>
      </c>
      <c r="AT466" s="190" t="str">
        <f t="shared" si="204"/>
        <v>Residential</v>
      </c>
      <c r="AU466" s="190"/>
      <c r="AV466" s="190" t="str">
        <f t="shared" si="230"/>
        <v>YES</v>
      </c>
      <c r="AW466" s="190" t="str">
        <f t="shared" si="230"/>
        <v>NO</v>
      </c>
      <c r="AX466" s="190" t="str">
        <f t="shared" si="220"/>
        <v>YES</v>
      </c>
      <c r="AY466" s="190" t="str">
        <f t="shared" si="205"/>
        <v>NO</v>
      </c>
      <c r="AZ466" s="190" t="str">
        <f t="shared" si="205"/>
        <v>NO</v>
      </c>
      <c r="BA466" s="190" t="str">
        <f t="shared" si="221"/>
        <v>NO</v>
      </c>
      <c r="BB466" s="190" t="str">
        <f t="shared" si="206"/>
        <v>YES</v>
      </c>
      <c r="BC466" s="190" t="str">
        <f t="shared" si="207"/>
        <v>NO</v>
      </c>
      <c r="BD466" s="190" t="str">
        <f t="shared" si="222"/>
        <v>YES</v>
      </c>
      <c r="BE466" s="190" t="str">
        <f t="shared" si="208"/>
        <v>NO</v>
      </c>
      <c r="BF466" s="190" t="str">
        <f t="shared" si="209"/>
        <v>NO</v>
      </c>
      <c r="BG466" s="190" t="str">
        <f t="shared" si="210"/>
        <v>NO</v>
      </c>
      <c r="BH466" s="88"/>
      <c r="BI466" s="9"/>
      <c r="BJ466" s="694">
        <f t="shared" si="228"/>
        <v>2.1279999999999997</v>
      </c>
      <c r="BK466" s="694" t="str">
        <f t="shared" si="228"/>
        <v/>
      </c>
      <c r="BL466" s="694">
        <f t="shared" si="229"/>
        <v>4.0881400000000001</v>
      </c>
      <c r="BM466" s="694" t="str">
        <f t="shared" si="229"/>
        <v/>
      </c>
      <c r="BN466" s="88"/>
      <c r="BO466" s="195"/>
      <c r="BP466" s="195"/>
      <c r="BQ466" s="195"/>
      <c r="BR466" s="195"/>
      <c r="BS466" s="195"/>
      <c r="BT466" s="195"/>
      <c r="BU466" s="195"/>
      <c r="BV466" s="195"/>
      <c r="BW466" s="195"/>
      <c r="BX466" s="195"/>
    </row>
    <row r="467" spans="1:76" s="124" customFormat="1" ht="15">
      <c r="A467" s="187">
        <v>524</v>
      </c>
      <c r="B467" s="187" t="s">
        <v>625</v>
      </c>
      <c r="C467" s="187" t="s">
        <v>625</v>
      </c>
      <c r="D467" s="187" t="s">
        <v>811</v>
      </c>
      <c r="E467" s="187" t="s">
        <v>392</v>
      </c>
      <c r="F467" s="187" t="s">
        <v>386</v>
      </c>
      <c r="G467" s="187" t="s">
        <v>393</v>
      </c>
      <c r="H467" s="187" t="b">
        <v>0</v>
      </c>
      <c r="I467" s="187" t="s">
        <v>388</v>
      </c>
      <c r="J467" s="187" t="s">
        <v>389</v>
      </c>
      <c r="K467" s="187" t="b">
        <v>1</v>
      </c>
      <c r="L467" s="187">
        <v>4.5</v>
      </c>
      <c r="M467" s="187">
        <v>0.56999999999999995</v>
      </c>
      <c r="N467" s="187">
        <v>16.2</v>
      </c>
      <c r="O467" s="187">
        <v>3.6</v>
      </c>
      <c r="P467" s="187">
        <v>7.84</v>
      </c>
      <c r="Q467" s="187"/>
      <c r="R467" s="187"/>
      <c r="S467" s="187"/>
      <c r="T467" s="187"/>
      <c r="U467" s="187">
        <v>34.6</v>
      </c>
      <c r="V467" s="187">
        <v>2.5</v>
      </c>
      <c r="W467" s="188">
        <v>40309</v>
      </c>
      <c r="X467" s="691">
        <f t="shared" si="226"/>
        <v>2.0587</v>
      </c>
      <c r="Y467" s="691">
        <f t="shared" si="203"/>
        <v>4.0881400000000001</v>
      </c>
      <c r="Z467" s="198"/>
      <c r="AA467" s="190">
        <f t="shared" si="211"/>
        <v>2010</v>
      </c>
      <c r="AB467" s="191">
        <f t="shared" si="212"/>
        <v>2.1858454364404722</v>
      </c>
      <c r="AC467" s="192">
        <f>IF(AB467="","",AB467*SFAssumptions!$C$3)</f>
        <v>561.13559527857387</v>
      </c>
      <c r="AD467" s="193">
        <f t="shared" si="213"/>
        <v>18.396630000000002</v>
      </c>
      <c r="AE467" s="194">
        <f>IF(AD467="","",AD467*SFAssumptions!$C$3)</f>
        <v>4722.6595961790008</v>
      </c>
      <c r="AF467" s="200">
        <f t="shared" si="202"/>
        <v>4.5</v>
      </c>
      <c r="AG467" s="192">
        <f t="shared" si="214"/>
        <v>4.0881400000000001</v>
      </c>
      <c r="AH467" s="192">
        <f t="shared" si="215"/>
        <v>2.0587</v>
      </c>
      <c r="AI467" s="692">
        <f ca="1">IF(AC467="","",AC467*SFAssumptions!$C$8/'SavingsData&amp;Analysis'!AF467)</f>
        <v>470.9807198327623</v>
      </c>
      <c r="AJ467" s="692">
        <f ca="1">IF(OR(AE467="",AF467=""),"",AE467*SFAssumptions!$C$8/AF467)</f>
        <v>3963.8932814968744</v>
      </c>
      <c r="AK467" s="191">
        <f t="shared" si="216"/>
        <v>1.8</v>
      </c>
      <c r="AL467" s="692">
        <f>IF(AK467="","",AK467*SFAssumptions!$C$3)</f>
        <v>462.08394000000004</v>
      </c>
      <c r="AM467" s="193">
        <f t="shared" si="217"/>
        <v>16.2</v>
      </c>
      <c r="AN467" s="194">
        <f>IF(AM467="","",AM467*SFAssumptions!$C$3)</f>
        <v>4158.7554600000003</v>
      </c>
      <c r="AO467" s="693">
        <f t="shared" si="218"/>
        <v>3.6</v>
      </c>
      <c r="AP467" s="693">
        <f t="shared" si="219"/>
        <v>2.5</v>
      </c>
      <c r="AQ467" s="692">
        <f ca="1">IF(AL467="","",AL467*SFAssumptions!$C$8/'SavingsData&amp;Analysis'!AF467)</f>
        <v>387.84320316788313</v>
      </c>
      <c r="AR467" s="692">
        <f ca="1">IF(OR(AN467="",AF467=""),"",AN467*SFAssumptions!$C$8/AF467)</f>
        <v>3490.5888285109481</v>
      </c>
      <c r="AS467" s="190" t="str">
        <f>IF(OR(AG467="",AH467=""),"No",IF(AND(G467="Horizontal",AH467&gt;='Eff. Standards &amp; Certifications'!$B$21,AG467&lt;='Eff. Standards &amp; Certifications'!$C$21),"Consider",IF(AND(G467="Vertical",AH467&gt;='Eff. Standards &amp; Certifications'!$B$20,AG467&lt;='Eff. Standards &amp; Certifications'!$C$20),"Consider","No")))</f>
        <v>Consider</v>
      </c>
      <c r="AT467" s="199" t="str">
        <f t="shared" si="204"/>
        <v>Residential</v>
      </c>
      <c r="AU467" s="199"/>
      <c r="AV467" s="190" t="str">
        <f t="shared" si="230"/>
        <v>YES</v>
      </c>
      <c r="AW467" s="190" t="str">
        <f t="shared" si="230"/>
        <v>NO</v>
      </c>
      <c r="AX467" s="190" t="str">
        <f t="shared" si="220"/>
        <v>YES</v>
      </c>
      <c r="AY467" s="190" t="str">
        <f t="shared" si="205"/>
        <v>YES</v>
      </c>
      <c r="AZ467" s="190" t="str">
        <f t="shared" si="205"/>
        <v>NO</v>
      </c>
      <c r="BA467" s="190" t="str">
        <f t="shared" si="221"/>
        <v>YES</v>
      </c>
      <c r="BB467" s="190" t="str">
        <f t="shared" si="206"/>
        <v>NO</v>
      </c>
      <c r="BC467" s="190" t="str">
        <f t="shared" si="207"/>
        <v>NO</v>
      </c>
      <c r="BD467" s="190" t="str">
        <f t="shared" si="222"/>
        <v>NO</v>
      </c>
      <c r="BE467" s="190" t="str">
        <f t="shared" si="208"/>
        <v>NO</v>
      </c>
      <c r="BF467" s="190" t="str">
        <f t="shared" si="209"/>
        <v>NO</v>
      </c>
      <c r="BG467" s="190" t="str">
        <f t="shared" si="210"/>
        <v>NO</v>
      </c>
      <c r="BH467" s="88"/>
      <c r="BI467" s="9"/>
      <c r="BJ467" s="694">
        <f t="shared" si="228"/>
        <v>2.0587</v>
      </c>
      <c r="BK467" s="694" t="str">
        <f t="shared" si="228"/>
        <v/>
      </c>
      <c r="BL467" s="694">
        <f t="shared" si="229"/>
        <v>4.0881400000000001</v>
      </c>
      <c r="BM467" s="694" t="str">
        <f t="shared" si="229"/>
        <v/>
      </c>
      <c r="BN467" s="88"/>
      <c r="BO467" s="195"/>
      <c r="BP467" s="195"/>
      <c r="BQ467" s="195"/>
      <c r="BR467" s="195"/>
      <c r="BS467" s="195"/>
      <c r="BT467" s="195"/>
      <c r="BU467" s="195"/>
      <c r="BV467" s="195"/>
      <c r="BW467" s="195"/>
      <c r="BX467" s="195"/>
    </row>
    <row r="468" spans="1:76" ht="15">
      <c r="A468" s="187">
        <v>5185</v>
      </c>
      <c r="B468" s="187" t="s">
        <v>625</v>
      </c>
      <c r="C468" s="187" t="s">
        <v>625</v>
      </c>
      <c r="D468" s="187" t="s">
        <v>812</v>
      </c>
      <c r="E468" s="187" t="s">
        <v>392</v>
      </c>
      <c r="F468" s="187" t="s">
        <v>386</v>
      </c>
      <c r="G468" s="187" t="s">
        <v>393</v>
      </c>
      <c r="H468" s="187" t="b">
        <v>0</v>
      </c>
      <c r="I468" s="187" t="s">
        <v>388</v>
      </c>
      <c r="J468" s="187" t="s">
        <v>389</v>
      </c>
      <c r="K468" s="187" t="b">
        <v>1</v>
      </c>
      <c r="L468" s="187">
        <v>4.5999999999999996</v>
      </c>
      <c r="M468" s="187">
        <v>0.47</v>
      </c>
      <c r="N468" s="187">
        <v>16.47</v>
      </c>
      <c r="O468" s="187">
        <v>3.7</v>
      </c>
      <c r="P468" s="187">
        <v>10.89</v>
      </c>
      <c r="Q468" s="187"/>
      <c r="R468" s="187"/>
      <c r="S468" s="187"/>
      <c r="T468" s="187"/>
      <c r="U468" s="187">
        <v>34.6</v>
      </c>
      <c r="V468" s="187">
        <v>2.65</v>
      </c>
      <c r="W468" s="188">
        <v>40798</v>
      </c>
      <c r="X468" s="691">
        <f t="shared" si="226"/>
        <v>2.2071999999999998</v>
      </c>
      <c r="Y468" s="691">
        <f t="shared" si="203"/>
        <v>4.18703</v>
      </c>
      <c r="AA468" s="190">
        <f t="shared" si="211"/>
        <v>2011</v>
      </c>
      <c r="AB468" s="191">
        <f t="shared" si="212"/>
        <v>2.0840884378397972</v>
      </c>
      <c r="AC468" s="192">
        <f>IF(AB468="","",AB468*SFAssumptions!$C$3)</f>
        <v>535.01322036969918</v>
      </c>
      <c r="AD468" s="193">
        <f t="shared" si="213"/>
        <v>19.260337999999997</v>
      </c>
      <c r="AE468" s="194">
        <f>IF(AD468="","",AD468*SFAssumptions!$C$3)</f>
        <v>4944.3849270953997</v>
      </c>
      <c r="AF468" s="200">
        <f t="shared" si="202"/>
        <v>4.5999999999999996</v>
      </c>
      <c r="AG468" s="192">
        <f t="shared" si="214"/>
        <v>4.18703</v>
      </c>
      <c r="AH468" s="192">
        <f t="shared" si="215"/>
        <v>2.2071999999999998</v>
      </c>
      <c r="AI468" s="692">
        <f ca="1">IF(AC468="","",AC468*SFAssumptions!$C$8/'SavingsData&amp;Analysis'!AF468)</f>
        <v>439.29322577007423</v>
      </c>
      <c r="AJ468" s="692">
        <f ca="1">IF(OR(AE468="",AF468=""),"",AE468*SFAssumptions!$C$8/AF468)</f>
        <v>4059.7778174000541</v>
      </c>
      <c r="AK468" s="191">
        <f t="shared" si="216"/>
        <v>1.7358490566037734</v>
      </c>
      <c r="AL468" s="692">
        <f>IF(AK468="","",AK468*SFAssumptions!$C$3)</f>
        <v>445.61553962264145</v>
      </c>
      <c r="AM468" s="193">
        <f t="shared" si="217"/>
        <v>17.02</v>
      </c>
      <c r="AN468" s="194">
        <f>IF(AM468="","",AM468*SFAssumptions!$C$3)</f>
        <v>4369.2603659999995</v>
      </c>
      <c r="AO468" s="693">
        <f t="shared" si="218"/>
        <v>3.7</v>
      </c>
      <c r="AP468" s="693">
        <f t="shared" si="219"/>
        <v>2.65</v>
      </c>
      <c r="AQ468" s="692">
        <f ca="1">IF(AL468="","",AL468*SFAssumptions!$C$8/'SavingsData&amp;Analysis'!AF468)</f>
        <v>365.88981430932364</v>
      </c>
      <c r="AR468" s="692">
        <f ca="1">IF(OR(AN468="",AF468=""),"",AN468*SFAssumptions!$C$8/AF468)</f>
        <v>3587.5496293029182</v>
      </c>
      <c r="AS468" s="190" t="str">
        <f>IF(OR(AG468="",AH468=""),"No",IF(AND(G468="Horizontal",AH468&gt;='Eff. Standards &amp; Certifications'!$B$21,AG468&lt;='Eff. Standards &amp; Certifications'!$C$21),"Consider",IF(AND(G468="Vertical",AH468&gt;='Eff. Standards &amp; Certifications'!$B$20,AG468&lt;='Eff. Standards &amp; Certifications'!$C$20),"Consider","No")))</f>
        <v>Consider</v>
      </c>
      <c r="AT468" s="199" t="str">
        <f t="shared" si="204"/>
        <v>Residential</v>
      </c>
      <c r="AU468" s="199"/>
      <c r="AV468" s="190" t="str">
        <f t="shared" si="230"/>
        <v>YES</v>
      </c>
      <c r="AW468" s="190" t="str">
        <f t="shared" si="230"/>
        <v>NO</v>
      </c>
      <c r="AX468" s="190" t="str">
        <f t="shared" si="220"/>
        <v>YES</v>
      </c>
      <c r="AY468" s="190" t="str">
        <f t="shared" si="205"/>
        <v>NO</v>
      </c>
      <c r="AZ468" s="190" t="str">
        <f t="shared" si="205"/>
        <v>NO</v>
      </c>
      <c r="BA468" s="190" t="str">
        <f t="shared" si="221"/>
        <v>NO</v>
      </c>
      <c r="BB468" s="190" t="str">
        <f t="shared" si="206"/>
        <v>YES</v>
      </c>
      <c r="BC468" s="190" t="str">
        <f t="shared" si="207"/>
        <v>NO</v>
      </c>
      <c r="BD468" s="190" t="str">
        <f t="shared" si="222"/>
        <v>YES</v>
      </c>
      <c r="BE468" s="190" t="str">
        <f t="shared" si="208"/>
        <v>NO</v>
      </c>
      <c r="BF468" s="190" t="str">
        <f t="shared" si="209"/>
        <v>NO</v>
      </c>
      <c r="BG468" s="190" t="str">
        <f t="shared" si="210"/>
        <v>NO</v>
      </c>
      <c r="BH468" s="88"/>
    </row>
    <row r="469" spans="1:76" ht="26.25">
      <c r="A469" s="187">
        <v>5037</v>
      </c>
      <c r="B469" s="187" t="s">
        <v>813</v>
      </c>
      <c r="C469" s="187" t="s">
        <v>966</v>
      </c>
      <c r="D469" s="187" t="s">
        <v>822</v>
      </c>
      <c r="E469" s="187" t="s">
        <v>385</v>
      </c>
      <c r="F469" s="187" t="s">
        <v>386</v>
      </c>
      <c r="G469" s="187" t="s">
        <v>387</v>
      </c>
      <c r="H469" s="187" t="b">
        <v>0</v>
      </c>
      <c r="I469" s="187" t="s">
        <v>388</v>
      </c>
      <c r="J469" s="187" t="s">
        <v>389</v>
      </c>
      <c r="K469" s="187" t="b">
        <v>1</v>
      </c>
      <c r="L469" s="187">
        <v>4.3</v>
      </c>
      <c r="M469" s="187"/>
      <c r="N469" s="187">
        <v>15.85</v>
      </c>
      <c r="O469" s="187">
        <v>3.9</v>
      </c>
      <c r="P469" s="187">
        <v>8.4600000000000009</v>
      </c>
      <c r="Q469" s="187"/>
      <c r="R469" s="187"/>
      <c r="S469" s="187"/>
      <c r="T469" s="187"/>
      <c r="U469" s="187">
        <v>31.4</v>
      </c>
      <c r="V469" s="187">
        <v>2.69</v>
      </c>
      <c r="W469" s="188">
        <v>40662</v>
      </c>
      <c r="X469" s="691">
        <f t="shared" si="226"/>
        <v>2.2867049999999995</v>
      </c>
      <c r="Y469" s="691">
        <f t="shared" si="203"/>
        <v>4.11158</v>
      </c>
      <c r="AA469" s="190">
        <f t="shared" si="211"/>
        <v>2011</v>
      </c>
      <c r="AB469" s="191">
        <f t="shared" si="212"/>
        <v>1.8804349489768031</v>
      </c>
      <c r="AC469" s="192">
        <f>IF(AB469="","",AB469*SFAssumptions!$C$3)</f>
        <v>482.73266118716674</v>
      </c>
      <c r="AD469" s="193">
        <f t="shared" si="213"/>
        <v>17.679793999999998</v>
      </c>
      <c r="AE469" s="194">
        <f>IF(AD469="","",AD469*SFAssumptions!$C$3)</f>
        <v>4538.6382610601995</v>
      </c>
      <c r="AF469" s="200">
        <f t="shared" si="202"/>
        <v>4.3</v>
      </c>
      <c r="AG469" s="192">
        <f t="shared" si="214"/>
        <v>4.11158</v>
      </c>
      <c r="AH469" s="192">
        <f t="shared" si="215"/>
        <v>2.2867049999999995</v>
      </c>
      <c r="AI469" s="692">
        <f ca="1">IF(AC469="","",AC469*SFAssumptions!$C$8/'SavingsData&amp;Analysis'!AF469)</f>
        <v>424.01971741860353</v>
      </c>
      <c r="AJ469" s="692">
        <f ca="1">IF(OR(AE469="",AF469=""),"",AE469*SFAssumptions!$C$8/AF469)</f>
        <v>3986.6208932025115</v>
      </c>
      <c r="AK469" s="191">
        <f t="shared" si="216"/>
        <v>1.5985130111524164</v>
      </c>
      <c r="AL469" s="692">
        <f>IF(AK469="","",AK469*SFAssumptions!$C$3)</f>
        <v>410.35955018587362</v>
      </c>
      <c r="AM469" s="193">
        <f t="shared" si="217"/>
        <v>16.77</v>
      </c>
      <c r="AN469" s="194">
        <f>IF(AM469="","",AM469*SFAssumptions!$C$3)</f>
        <v>4305.0820409999997</v>
      </c>
      <c r="AO469" s="693">
        <f t="shared" si="218"/>
        <v>3.9</v>
      </c>
      <c r="AP469" s="693">
        <f t="shared" si="219"/>
        <v>2.69</v>
      </c>
      <c r="AQ469" s="692">
        <f ca="1">IF(AL469="","",AL469*SFAssumptions!$C$8/'SavingsData&amp;Analysis'!AF469)</f>
        <v>360.44907357609952</v>
      </c>
      <c r="AR469" s="692">
        <f ca="1">IF(OR(AN469="",AF469=""),"",AN469*SFAssumptions!$C$8/AF469)</f>
        <v>3781.4712308868602</v>
      </c>
      <c r="AS469" s="190" t="str">
        <f>IF(OR(AG469="",AH469=""),"No",IF(AND(G469="Horizontal",AH469&gt;='Eff. Standards &amp; Certifications'!$B$21,AG469&lt;='Eff. Standards &amp; Certifications'!$C$21),"Consider",IF(AND(G469="Vertical",AH469&gt;='Eff. Standards &amp; Certifications'!$B$20,AG469&lt;='Eff. Standards &amp; Certifications'!$C$20),"Consider","No")))</f>
        <v>Consider</v>
      </c>
      <c r="AT469" s="199" t="str">
        <f t="shared" si="204"/>
        <v>Residential</v>
      </c>
      <c r="AU469" s="199"/>
      <c r="AV469" s="190" t="str">
        <f t="shared" si="230"/>
        <v>NO</v>
      </c>
      <c r="AW469" s="190" t="str">
        <f t="shared" si="230"/>
        <v>YES</v>
      </c>
      <c r="AX469" s="190" t="str">
        <f t="shared" si="220"/>
        <v>YES</v>
      </c>
      <c r="AY469" s="190" t="str">
        <f t="shared" si="205"/>
        <v>NO</v>
      </c>
      <c r="AZ469" s="190" t="str">
        <f t="shared" si="205"/>
        <v>YES</v>
      </c>
      <c r="BA469" s="190" t="str">
        <f t="shared" si="221"/>
        <v>YES</v>
      </c>
      <c r="BB469" s="190" t="str">
        <f t="shared" si="206"/>
        <v>NO</v>
      </c>
      <c r="BC469" s="190" t="str">
        <f t="shared" si="207"/>
        <v>NO</v>
      </c>
      <c r="BD469" s="190" t="str">
        <f t="shared" si="222"/>
        <v>NO</v>
      </c>
      <c r="BE469" s="190" t="str">
        <f t="shared" si="208"/>
        <v>NO</v>
      </c>
      <c r="BF469" s="190" t="str">
        <f t="shared" si="209"/>
        <v>NO</v>
      </c>
      <c r="BG469" s="190" t="str">
        <f t="shared" si="210"/>
        <v>NO</v>
      </c>
      <c r="BH469" s="88"/>
    </row>
    <row r="470" spans="1:76" ht="26.25">
      <c r="A470" s="187">
        <v>5031</v>
      </c>
      <c r="B470" s="187" t="s">
        <v>813</v>
      </c>
      <c r="C470" s="187" t="s">
        <v>966</v>
      </c>
      <c r="D470" s="187" t="s">
        <v>823</v>
      </c>
      <c r="E470" s="187" t="s">
        <v>385</v>
      </c>
      <c r="F470" s="187" t="s">
        <v>386</v>
      </c>
      <c r="G470" s="187" t="s">
        <v>387</v>
      </c>
      <c r="H470" s="187" t="b">
        <v>0</v>
      </c>
      <c r="I470" s="187" t="s">
        <v>388</v>
      </c>
      <c r="J470" s="187" t="s">
        <v>389</v>
      </c>
      <c r="K470" s="187" t="b">
        <v>1</v>
      </c>
      <c r="L470" s="187">
        <v>3.6</v>
      </c>
      <c r="M470" s="187"/>
      <c r="N470" s="187">
        <v>14.77</v>
      </c>
      <c r="O470" s="187">
        <v>4.0999999999999996</v>
      </c>
      <c r="P470" s="187">
        <v>7.42</v>
      </c>
      <c r="Q470" s="187"/>
      <c r="R470" s="187"/>
      <c r="S470" s="187"/>
      <c r="T470" s="187"/>
      <c r="U470" s="187">
        <v>37.700000000000003</v>
      </c>
      <c r="V470" s="187">
        <v>2.23</v>
      </c>
      <c r="W470" s="188">
        <v>40659</v>
      </c>
      <c r="X470" s="691">
        <f t="shared" si="226"/>
        <v>1.8660349999999999</v>
      </c>
      <c r="Y470" s="691">
        <f t="shared" si="203"/>
        <v>4.3164199999999999</v>
      </c>
      <c r="AA470" s="190">
        <f t="shared" si="211"/>
        <v>2011</v>
      </c>
      <c r="AB470" s="191">
        <f t="shared" si="212"/>
        <v>1.9292242642822885</v>
      </c>
      <c r="AC470" s="192">
        <f>IF(AB470="","",AB470*SFAssumptions!$C$3)</f>
        <v>495.25752732397842</v>
      </c>
      <c r="AD470" s="193">
        <f t="shared" si="213"/>
        <v>15.539111999999999</v>
      </c>
      <c r="AE470" s="194">
        <f>IF(AD470="","",AD470*SFAssumptions!$C$3)</f>
        <v>3989.0967205896</v>
      </c>
      <c r="AF470" s="200">
        <f t="shared" ref="AF470:AF478" si="231">L470</f>
        <v>3.6</v>
      </c>
      <c r="AG470" s="192">
        <f t="shared" si="214"/>
        <v>4.3164199999999999</v>
      </c>
      <c r="AH470" s="192">
        <f t="shared" si="215"/>
        <v>1.8660349999999999</v>
      </c>
      <c r="AI470" s="692">
        <f ca="1">IF(AC470="","",AC470*SFAssumptions!$C$8/'SavingsData&amp;Analysis'!AF470)</f>
        <v>519.60869325586486</v>
      </c>
      <c r="AJ470" s="692">
        <f ca="1">IF(OR(AE470="",AF470=""),"",AE470*SFAssumptions!$C$8/AF470)</f>
        <v>4185.2353975447841</v>
      </c>
      <c r="AK470" s="191">
        <f t="shared" si="216"/>
        <v>1.6143497757847534</v>
      </c>
      <c r="AL470" s="692">
        <f>IF(AK470="","",AK470*SFAssumptions!$C$3)</f>
        <v>414.42505829596411</v>
      </c>
      <c r="AM470" s="193">
        <f t="shared" si="217"/>
        <v>14.76</v>
      </c>
      <c r="AN470" s="194">
        <f>IF(AM470="","",AM470*SFAssumptions!$C$3)</f>
        <v>3789.0883079999999</v>
      </c>
      <c r="AO470" s="693">
        <f t="shared" si="218"/>
        <v>4.0999999999999996</v>
      </c>
      <c r="AP470" s="693">
        <f t="shared" si="219"/>
        <v>2.23</v>
      </c>
      <c r="AQ470" s="692">
        <f ca="1">IF(AL470="","",AL470*SFAssumptions!$C$8/'SavingsData&amp;Analysis'!AF470)</f>
        <v>434.80179727341147</v>
      </c>
      <c r="AR470" s="692">
        <f ca="1">IF(OR(AN470="",AF470=""),"",AN470*SFAssumptions!$C$8/AF470)</f>
        <v>3975.3928324708013</v>
      </c>
      <c r="AS470" s="190" t="str">
        <f>IF(OR(AG470="",AH470=""),"No",IF(AND(G470="Horizontal",AH470&gt;='Eff. Standards &amp; Certifications'!$B$21,AG470&lt;='Eff. Standards &amp; Certifications'!$C$21),"Consider",IF(AND(G470="Vertical",AH470&gt;='Eff. Standards &amp; Certifications'!$B$20,AG470&lt;='Eff. Standards &amp; Certifications'!$C$20),"Consider","No")))</f>
        <v>Consider</v>
      </c>
      <c r="AT470" s="199" t="str">
        <f t="shared" si="204"/>
        <v>Residential</v>
      </c>
      <c r="AU470" s="199"/>
      <c r="AV470" s="190" t="str">
        <f t="shared" si="230"/>
        <v>NO</v>
      </c>
      <c r="AW470" s="190" t="str">
        <f t="shared" si="230"/>
        <v>YES</v>
      </c>
      <c r="AX470" s="190" t="str">
        <f t="shared" si="220"/>
        <v>YES</v>
      </c>
      <c r="AY470" s="190" t="str">
        <f t="shared" si="205"/>
        <v>NO</v>
      </c>
      <c r="AZ470" s="190" t="str">
        <f t="shared" si="205"/>
        <v>YES</v>
      </c>
      <c r="BA470" s="190" t="str">
        <f t="shared" si="221"/>
        <v>YES</v>
      </c>
      <c r="BB470" s="190" t="str">
        <f t="shared" si="206"/>
        <v>NO</v>
      </c>
      <c r="BC470" s="190" t="str">
        <f t="shared" si="207"/>
        <v>NO</v>
      </c>
      <c r="BD470" s="190" t="str">
        <f t="shared" si="222"/>
        <v>NO</v>
      </c>
      <c r="BE470" s="190" t="str">
        <f t="shared" si="208"/>
        <v>NO</v>
      </c>
      <c r="BF470" s="190" t="str">
        <f t="shared" si="209"/>
        <v>NO</v>
      </c>
      <c r="BG470" s="190" t="str">
        <f t="shared" si="210"/>
        <v>NO</v>
      </c>
      <c r="BH470" s="88"/>
    </row>
    <row r="471" spans="1:76" ht="26.25">
      <c r="A471" s="187">
        <v>5411</v>
      </c>
      <c r="B471" s="187" t="s">
        <v>813</v>
      </c>
      <c r="C471" s="187" t="s">
        <v>479</v>
      </c>
      <c r="D471" s="187" t="s">
        <v>814</v>
      </c>
      <c r="E471" s="187" t="s">
        <v>385</v>
      </c>
      <c r="F471" s="187" t="s">
        <v>386</v>
      </c>
      <c r="G471" s="187" t="s">
        <v>387</v>
      </c>
      <c r="H471" s="187" t="b">
        <v>0</v>
      </c>
      <c r="I471" s="187" t="s">
        <v>388</v>
      </c>
      <c r="J471" s="187" t="s">
        <v>389</v>
      </c>
      <c r="K471" s="187" t="b">
        <v>1</v>
      </c>
      <c r="L471" s="187">
        <v>3.6</v>
      </c>
      <c r="M471" s="187"/>
      <c r="N471" s="187">
        <v>14.2</v>
      </c>
      <c r="O471" s="187">
        <v>4</v>
      </c>
      <c r="P471" s="187">
        <v>8.1999999999999993</v>
      </c>
      <c r="Q471" s="187"/>
      <c r="R471" s="187"/>
      <c r="S471" s="187"/>
      <c r="T471" s="187"/>
      <c r="U471" s="187">
        <v>36.700000000000003</v>
      </c>
      <c r="V471" s="187">
        <v>2.41</v>
      </c>
      <c r="W471" s="188">
        <v>41065</v>
      </c>
      <c r="X471" s="691">
        <f t="shared" si="226"/>
        <v>2.0306449999999998</v>
      </c>
      <c r="Y471" s="691">
        <f t="shared" ref="Y471:Y478" si="232">IF($O471="","",IF($G471="Horizontal",O471*slope_FrontLoad_WF+int_FrontLoad_WF,IF($G471="Vertical",O471*slope_TopLoad_WF+int_TopLoad_WF,"")))</f>
        <v>4.2140000000000004</v>
      </c>
      <c r="AA471" s="190">
        <f t="shared" si="211"/>
        <v>2012</v>
      </c>
      <c r="AB471" s="191">
        <f t="shared" si="212"/>
        <v>1.7728357246096687</v>
      </c>
      <c r="AC471" s="192">
        <f>IF(AB471="","",AB471*SFAssumptions!$C$3)</f>
        <v>455.11050922243925</v>
      </c>
      <c r="AD471" s="193">
        <f t="shared" si="213"/>
        <v>15.170400000000003</v>
      </c>
      <c r="AE471" s="194">
        <f>IF(AD471="","",AD471*SFAssumptions!$C$3)</f>
        <v>3894.4434463200009</v>
      </c>
      <c r="AF471" s="200">
        <f t="shared" si="231"/>
        <v>3.6</v>
      </c>
      <c r="AG471" s="192">
        <f t="shared" si="214"/>
        <v>4.2140000000000004</v>
      </c>
      <c r="AH471" s="192">
        <f t="shared" si="215"/>
        <v>2.0306449999999998</v>
      </c>
      <c r="AI471" s="692">
        <f ca="1">IF(AC471="","",AC471*SFAssumptions!$C$8/'SavingsData&amp;Analysis'!AF471)</f>
        <v>477.48769869657565</v>
      </c>
      <c r="AJ471" s="692">
        <f ca="1">IF(OR(AE471="",AF471=""),"",AE471*SFAssumptions!$C$8/AF471)</f>
        <v>4085.9281453736494</v>
      </c>
      <c r="AK471" s="191">
        <f t="shared" si="216"/>
        <v>1.4937759336099585</v>
      </c>
      <c r="AL471" s="692">
        <f>IF(AK471="","",AK471*SFAssumptions!$C$3)</f>
        <v>383.47214937759338</v>
      </c>
      <c r="AM471" s="193">
        <f t="shared" si="217"/>
        <v>14.4</v>
      </c>
      <c r="AN471" s="194">
        <f>IF(AM471="","",AM471*SFAssumptions!$C$3)</f>
        <v>3696.6715200000003</v>
      </c>
      <c r="AO471" s="693">
        <f t="shared" si="218"/>
        <v>4</v>
      </c>
      <c r="AP471" s="693">
        <f t="shared" si="219"/>
        <v>2.41</v>
      </c>
      <c r="AQ471" s="692">
        <f ca="1">IF(AL471="","",AL471*SFAssumptions!$C$8/'SavingsData&amp;Analysis'!AF471)</f>
        <v>402.32697424054265</v>
      </c>
      <c r="AR471" s="692">
        <f ca="1">IF(OR(AN471="",AF471=""),"",AN471*SFAssumptions!$C$8/AF471)</f>
        <v>3878.4320316788312</v>
      </c>
      <c r="AS471" s="190" t="str">
        <f>IF(OR(AG471="",AH471=""),"No",IF(AND(G471="Horizontal",AH471&gt;='Eff. Standards &amp; Certifications'!$B$21,AG471&lt;='Eff. Standards &amp; Certifications'!$C$21),"Consider",IF(AND(G471="Vertical",AH471&gt;='Eff. Standards &amp; Certifications'!$B$20,AG471&lt;='Eff. Standards &amp; Certifications'!$C$20),"Consider","No")))</f>
        <v>Consider</v>
      </c>
      <c r="AT471" s="199" t="str">
        <f t="shared" ref="AT471:AT478" si="233">J471</f>
        <v>Residential</v>
      </c>
      <c r="AU471" s="199"/>
      <c r="AV471" s="190" t="str">
        <f t="shared" si="230"/>
        <v>NO</v>
      </c>
      <c r="AW471" s="190" t="str">
        <f t="shared" si="230"/>
        <v>YES</v>
      </c>
      <c r="AX471" s="190" t="str">
        <f t="shared" si="220"/>
        <v>YES</v>
      </c>
      <c r="AY471" s="190" t="str">
        <f t="shared" ref="AY471:AZ478" si="234">IF(AND($AS471="Consider",$AT471="Residential",$G471=AY$18,$AH471&gt;=BB$3,$AG471&lt;=BB$6),"NO",IF(AND($AS471="Consider",$AT471="Residential",$G471=AY$18,$AH471&gt;=AY$3,$AG471&lt;=AY$6),"YES","NO"))</f>
        <v>NO</v>
      </c>
      <c r="AZ471" s="190" t="str">
        <f t="shared" si="234"/>
        <v>YES</v>
      </c>
      <c r="BA471" s="190" t="str">
        <f t="shared" si="221"/>
        <v>YES</v>
      </c>
      <c r="BB471" s="190" t="str">
        <f t="shared" ref="BB471:BB478" si="235">IF(AND($AS471="Consider",$AT471="Residential",$G471=BB$18,$AH471&gt;=BB$3,$AG471&lt;=BB$6),"YES","NO")</f>
        <v>NO</v>
      </c>
      <c r="BC471" s="190" t="str">
        <f t="shared" ref="BC471:BC478" si="236">IF(AND($G471=BC$18,$AS471="Consider",$AT471="Residential",$AH471&gt;=BC$3,$AH471&lt;=BC$4,$AG471&gt;=BC$5,$AG471&lt;=BC$6),"YES","NO")</f>
        <v>NO</v>
      </c>
      <c r="BD471" s="190" t="str">
        <f t="shared" si="222"/>
        <v>NO</v>
      </c>
      <c r="BE471" s="190" t="str">
        <f t="shared" ref="BE471:BE478" si="237">IF(AND($AS471="Consider",$AT471="Residential",$AH471&gt;=BG$3,$AG471&lt;=BG$6),"NO",IF(AND($AS471="Consider",$AT471="Residential",$AH471&gt;=BF$3,$AG471&lt;=BF$6),"NO",IF(AND($AS471="Consider",$AT471="Residential",$AH471&gt;=BE$3,$AG471&lt;=BE$6),"YES","NO")))</f>
        <v>NO</v>
      </c>
      <c r="BF471" s="190" t="str">
        <f t="shared" ref="BF471:BF478" si="238">IF(AND($AS471="Consider",$AT471="Residential",$AH471&gt;=BG$3,$AG471&lt;=BG$6),"NO",IF(AND($AS471="Consider",$AT471="Residential",$AH471&gt;=BF$3,$AG471&lt;=BF$6),"YES","NO"))</f>
        <v>NO</v>
      </c>
      <c r="BG471" s="190" t="str">
        <f t="shared" ref="BG471:BG478" si="239">IF(AND($AS471="Consider",$AT471="Residential",$AH471&gt;=BG$3,$AG471&lt;=BG$6),"YES","NO")</f>
        <v>NO</v>
      </c>
      <c r="BH471" s="88"/>
    </row>
    <row r="472" spans="1:76" ht="26.25">
      <c r="A472" s="187">
        <v>5379</v>
      </c>
      <c r="B472" s="187" t="s">
        <v>813</v>
      </c>
      <c r="C472" s="187" t="s">
        <v>479</v>
      </c>
      <c r="D472" s="187" t="s">
        <v>815</v>
      </c>
      <c r="E472" s="187" t="s">
        <v>385</v>
      </c>
      <c r="F472" s="187" t="s">
        <v>386</v>
      </c>
      <c r="G472" s="187" t="s">
        <v>387</v>
      </c>
      <c r="H472" s="187" t="b">
        <v>0</v>
      </c>
      <c r="I472" s="187" t="s">
        <v>388</v>
      </c>
      <c r="J472" s="187" t="s">
        <v>389</v>
      </c>
      <c r="K472" s="187" t="b">
        <v>1</v>
      </c>
      <c r="L472" s="187">
        <v>4.0999999999999996</v>
      </c>
      <c r="M472" s="187"/>
      <c r="N472" s="187">
        <v>14.8</v>
      </c>
      <c r="O472" s="187">
        <v>3.6</v>
      </c>
      <c r="P472" s="187">
        <v>9.16</v>
      </c>
      <c r="Q472" s="187"/>
      <c r="R472" s="187"/>
      <c r="S472" s="187"/>
      <c r="T472" s="187"/>
      <c r="U472" s="187">
        <v>33</v>
      </c>
      <c r="V472" s="187">
        <v>2.65</v>
      </c>
      <c r="W472" s="188">
        <v>41017</v>
      </c>
      <c r="X472" s="691">
        <f t="shared" si="226"/>
        <v>2.2501249999999997</v>
      </c>
      <c r="Y472" s="691">
        <f t="shared" si="232"/>
        <v>3.8043200000000001</v>
      </c>
      <c r="AA472" s="190">
        <f t="shared" ref="AA472:AA478" si="240">YEAR(W472)</f>
        <v>2012</v>
      </c>
      <c r="AB472" s="191">
        <f t="shared" ref="AB472:AB478" si="241">IF(OR(L472="",X472=""),"",L472/X472)</f>
        <v>1.8221209932781512</v>
      </c>
      <c r="AC472" s="192">
        <f>IF(AB472="","",AB472*SFAssumptions!$C$3)</f>
        <v>467.76269318371203</v>
      </c>
      <c r="AD472" s="193">
        <f t="shared" ref="AD472:AD478" si="242">IF(OR(Y472="",L472=""),"",Y472*L472)</f>
        <v>15.597712</v>
      </c>
      <c r="AE472" s="194">
        <f>IF(AD472="","",AD472*SFAssumptions!$C$3)</f>
        <v>4004.1401199696002</v>
      </c>
      <c r="AF472" s="200">
        <f t="shared" si="231"/>
        <v>4.0999999999999996</v>
      </c>
      <c r="AG472" s="192">
        <f t="shared" ref="AG472:AG478" si="243">IF(Y472="","",Y472)</f>
        <v>3.8043200000000001</v>
      </c>
      <c r="AH472" s="192">
        <f t="shared" ref="AH472:AH478" si="244">IF(X472="","",X472)</f>
        <v>2.2501249999999997</v>
      </c>
      <c r="AI472" s="692">
        <f ca="1">IF(AC472="","",AC472*SFAssumptions!$C$8/'SavingsData&amp;Analysis'!AF472)</f>
        <v>430.91295280027015</v>
      </c>
      <c r="AJ472" s="692">
        <f ca="1">IF(OR(AE472="",AF472=""),"",AE472*SFAssumptions!$C$8/AF472)</f>
        <v>3688.6991366891029</v>
      </c>
      <c r="AK472" s="191">
        <f t="shared" ref="AK472:AK478" si="245">IF(OR(L472="",V472=""),"",L472/V472)</f>
        <v>1.5471698113207546</v>
      </c>
      <c r="AL472" s="692">
        <f>IF(AK472="","",AK472*SFAssumptions!$C$3)</f>
        <v>397.17906792452828</v>
      </c>
      <c r="AM472" s="193">
        <f t="shared" ref="AM472:AM478" si="246">IF(OR(L472="",O472=""),"",O472*L472)</f>
        <v>14.76</v>
      </c>
      <c r="AN472" s="194">
        <f>IF(AM472="","",AM472*SFAssumptions!$C$3)</f>
        <v>3789.0883079999999</v>
      </c>
      <c r="AO472" s="693">
        <f t="shared" ref="AO472:AO478" si="247">IF(O472="","",O472)</f>
        <v>3.6</v>
      </c>
      <c r="AP472" s="693">
        <f t="shared" ref="AP472:AP478" si="248">IF(V472="","",V472)</f>
        <v>2.65</v>
      </c>
      <c r="AQ472" s="692">
        <f ca="1">IF(AL472="","",AL472*SFAssumptions!$C$8/'SavingsData&amp;Analysis'!AF472)</f>
        <v>365.88981430932364</v>
      </c>
      <c r="AR472" s="692">
        <f ca="1">IF(OR(AN472="",AF472=""),"",AN472*SFAssumptions!$C$8/AF472)</f>
        <v>3490.5888285109477</v>
      </c>
      <c r="AS472" s="190" t="str">
        <f>IF(OR(AG472="",AH472=""),"No",IF(AND(G472="Horizontal",AH472&gt;='Eff. Standards &amp; Certifications'!$B$21,AG472&lt;='Eff. Standards &amp; Certifications'!$C$21),"Consider",IF(AND(G472="Vertical",AH472&gt;='Eff. Standards &amp; Certifications'!$B$20,AG472&lt;='Eff. Standards &amp; Certifications'!$C$20),"Consider","No")))</f>
        <v>Consider</v>
      </c>
      <c r="AT472" s="199" t="str">
        <f t="shared" si="233"/>
        <v>Residential</v>
      </c>
      <c r="AU472" s="199"/>
      <c r="AV472" s="190" t="str">
        <f t="shared" si="230"/>
        <v>NO</v>
      </c>
      <c r="AW472" s="190" t="str">
        <f t="shared" si="230"/>
        <v>YES</v>
      </c>
      <c r="AX472" s="190" t="str">
        <f t="shared" ref="AX472:AX478" si="249">IF(OR(AV472="YES",AW472="YES"),"YES","NO")</f>
        <v>YES</v>
      </c>
      <c r="AY472" s="190" t="str">
        <f t="shared" si="234"/>
        <v>NO</v>
      </c>
      <c r="AZ472" s="190" t="str">
        <f t="shared" si="234"/>
        <v>YES</v>
      </c>
      <c r="BA472" s="190" t="str">
        <f t="shared" ref="BA472:BA478" si="250">IF(OR(AY472="YES",AZ472="YES"),"YES","NO")</f>
        <v>YES</v>
      </c>
      <c r="BB472" s="190" t="str">
        <f t="shared" si="235"/>
        <v>NO</v>
      </c>
      <c r="BC472" s="190" t="str">
        <f t="shared" si="236"/>
        <v>NO</v>
      </c>
      <c r="BD472" s="190" t="str">
        <f t="shared" ref="BD472:BD478" si="251">IF(OR(BB472="YES",BC472="YES"),"YES","NO")</f>
        <v>NO</v>
      </c>
      <c r="BE472" s="190" t="str">
        <f t="shared" si="237"/>
        <v>NO</v>
      </c>
      <c r="BF472" s="190" t="str">
        <f t="shared" si="238"/>
        <v>NO</v>
      </c>
      <c r="BG472" s="190" t="str">
        <f t="shared" si="239"/>
        <v>NO</v>
      </c>
      <c r="BH472" s="88"/>
    </row>
    <row r="473" spans="1:76" ht="26.25">
      <c r="A473" s="187">
        <v>5033</v>
      </c>
      <c r="B473" s="187" t="s">
        <v>813</v>
      </c>
      <c r="C473" s="187" t="s">
        <v>479</v>
      </c>
      <c r="D473" s="187" t="s">
        <v>816</v>
      </c>
      <c r="E473" s="187" t="s">
        <v>385</v>
      </c>
      <c r="F473" s="187" t="s">
        <v>386</v>
      </c>
      <c r="G473" s="187" t="s">
        <v>387</v>
      </c>
      <c r="H473" s="187" t="b">
        <v>0</v>
      </c>
      <c r="I473" s="187" t="s">
        <v>388</v>
      </c>
      <c r="J473" s="187" t="s">
        <v>389</v>
      </c>
      <c r="K473" s="187" t="b">
        <v>1</v>
      </c>
      <c r="L473" s="187">
        <v>4.0999999999999996</v>
      </c>
      <c r="M473" s="187"/>
      <c r="N473" s="187">
        <v>15.65</v>
      </c>
      <c r="O473" s="187">
        <v>3.9</v>
      </c>
      <c r="P473" s="187">
        <v>8.14</v>
      </c>
      <c r="Q473" s="187"/>
      <c r="R473" s="187"/>
      <c r="S473" s="187"/>
      <c r="T473" s="187"/>
      <c r="U473" s="187">
        <v>31.7</v>
      </c>
      <c r="V473" s="187">
        <v>2.61</v>
      </c>
      <c r="W473" s="188">
        <v>40662</v>
      </c>
      <c r="X473" s="691">
        <f t="shared" si="226"/>
        <v>2.2135449999999999</v>
      </c>
      <c r="Y473" s="691">
        <f t="shared" si="232"/>
        <v>4.11158</v>
      </c>
      <c r="AA473" s="190">
        <f t="shared" si="240"/>
        <v>2011</v>
      </c>
      <c r="AB473" s="191">
        <f t="shared" si="241"/>
        <v>1.8522325048734043</v>
      </c>
      <c r="AC473" s="192">
        <f>IF(AB473="","",AB473*SFAssumptions!$C$3)</f>
        <v>475.49271869331773</v>
      </c>
      <c r="AD473" s="193">
        <f t="shared" si="242"/>
        <v>16.857477999999997</v>
      </c>
      <c r="AE473" s="194">
        <f>IF(AD473="","",AD473*SFAssumptions!$C$3)</f>
        <v>4327.538807057399</v>
      </c>
      <c r="AF473" s="200">
        <f t="shared" si="231"/>
        <v>4.0999999999999996</v>
      </c>
      <c r="AG473" s="192">
        <f t="shared" si="243"/>
        <v>4.11158</v>
      </c>
      <c r="AH473" s="192">
        <f t="shared" si="244"/>
        <v>2.2135449999999999</v>
      </c>
      <c r="AI473" s="692">
        <f ca="1">IF(AC473="","",AC473*SFAssumptions!$C$8/'SavingsData&amp;Analysis'!AF473)</f>
        <v>438.03401689132488</v>
      </c>
      <c r="AJ473" s="692">
        <f ca="1">IF(OR(AE473="",AF473=""),"",AE473*SFAssumptions!$C$8/AF473)</f>
        <v>3986.6208932025115</v>
      </c>
      <c r="AK473" s="191">
        <f t="shared" si="245"/>
        <v>1.5708812260536398</v>
      </c>
      <c r="AL473" s="692">
        <f>IF(AK473="","",AK473*SFAssumptions!$C$3)</f>
        <v>403.26610344827583</v>
      </c>
      <c r="AM473" s="193">
        <f t="shared" si="246"/>
        <v>15.989999999999998</v>
      </c>
      <c r="AN473" s="194">
        <f>IF(AM473="","",AM473*SFAssumptions!$C$3)</f>
        <v>4104.8456669999996</v>
      </c>
      <c r="AO473" s="693">
        <f t="shared" si="247"/>
        <v>3.9</v>
      </c>
      <c r="AP473" s="693">
        <f t="shared" si="248"/>
        <v>2.61</v>
      </c>
      <c r="AQ473" s="692">
        <f ca="1">IF(AL473="","",AL473*SFAssumptions!$C$8/'SavingsData&amp;Analysis'!AF473)</f>
        <v>371.4973210420336</v>
      </c>
      <c r="AR473" s="692">
        <f ca="1">IF(OR(AN473="",AF473=""),"",AN473*SFAssumptions!$C$8/AF473)</f>
        <v>3781.4712308868598</v>
      </c>
      <c r="AS473" s="190" t="str">
        <f>IF(OR(AG473="",AH473=""),"No",IF(AND(G473="Horizontal",AH473&gt;='Eff. Standards &amp; Certifications'!$B$21,AG473&lt;='Eff. Standards &amp; Certifications'!$C$21),"Consider",IF(AND(G473="Vertical",AH473&gt;='Eff. Standards &amp; Certifications'!$B$20,AG473&lt;='Eff. Standards &amp; Certifications'!$C$20),"Consider","No")))</f>
        <v>Consider</v>
      </c>
      <c r="AT473" s="199" t="str">
        <f t="shared" si="233"/>
        <v>Residential</v>
      </c>
      <c r="AU473" s="199"/>
      <c r="AV473" s="190" t="str">
        <f t="shared" si="230"/>
        <v>NO</v>
      </c>
      <c r="AW473" s="190" t="str">
        <f t="shared" si="230"/>
        <v>YES</v>
      </c>
      <c r="AX473" s="190" t="str">
        <f t="shared" si="249"/>
        <v>YES</v>
      </c>
      <c r="AY473" s="190" t="str">
        <f t="shared" si="234"/>
        <v>NO</v>
      </c>
      <c r="AZ473" s="190" t="str">
        <f t="shared" si="234"/>
        <v>YES</v>
      </c>
      <c r="BA473" s="190" t="str">
        <f t="shared" si="250"/>
        <v>YES</v>
      </c>
      <c r="BB473" s="190" t="str">
        <f t="shared" si="235"/>
        <v>NO</v>
      </c>
      <c r="BC473" s="190" t="str">
        <f t="shared" si="236"/>
        <v>NO</v>
      </c>
      <c r="BD473" s="190" t="str">
        <f t="shared" si="251"/>
        <v>NO</v>
      </c>
      <c r="BE473" s="190" t="str">
        <f t="shared" si="237"/>
        <v>NO</v>
      </c>
      <c r="BF473" s="190" t="str">
        <f t="shared" si="238"/>
        <v>NO</v>
      </c>
      <c r="BG473" s="190" t="str">
        <f t="shared" si="239"/>
        <v>NO</v>
      </c>
      <c r="BH473" s="88"/>
    </row>
    <row r="474" spans="1:76" ht="26.25">
      <c r="A474" s="187">
        <v>5015</v>
      </c>
      <c r="B474" s="187" t="s">
        <v>813</v>
      </c>
      <c r="C474" s="187" t="s">
        <v>479</v>
      </c>
      <c r="D474" s="187" t="s">
        <v>817</v>
      </c>
      <c r="E474" s="187" t="s">
        <v>385</v>
      </c>
      <c r="F474" s="187" t="s">
        <v>386</v>
      </c>
      <c r="G474" s="187" t="s">
        <v>387</v>
      </c>
      <c r="H474" s="187" t="b">
        <v>0</v>
      </c>
      <c r="I474" s="187" t="s">
        <v>388</v>
      </c>
      <c r="J474" s="187" t="s">
        <v>389</v>
      </c>
      <c r="K474" s="187" t="b">
        <v>1</v>
      </c>
      <c r="L474" s="187">
        <v>3.3</v>
      </c>
      <c r="M474" s="187"/>
      <c r="N474" s="187">
        <v>13.87</v>
      </c>
      <c r="O474" s="187">
        <v>4.0999999999999996</v>
      </c>
      <c r="P474" s="187">
        <v>9.24</v>
      </c>
      <c r="Q474" s="187"/>
      <c r="R474" s="187"/>
      <c r="S474" s="187"/>
      <c r="T474" s="187"/>
      <c r="U474" s="187">
        <v>42.6</v>
      </c>
      <c r="V474" s="187">
        <v>2.2200000000000002</v>
      </c>
      <c r="W474" s="188">
        <v>40655</v>
      </c>
      <c r="X474" s="691">
        <f t="shared" si="226"/>
        <v>1.8568900000000002</v>
      </c>
      <c r="Y474" s="691">
        <f t="shared" si="232"/>
        <v>4.3164199999999999</v>
      </c>
      <c r="AA474" s="190">
        <f t="shared" si="240"/>
        <v>2011</v>
      </c>
      <c r="AB474" s="191">
        <f t="shared" si="241"/>
        <v>1.7771650447791736</v>
      </c>
      <c r="AC474" s="192">
        <f>IF(AB474="","",AB474*SFAssumptions!$C$3)</f>
        <v>456.22190328990945</v>
      </c>
      <c r="AD474" s="193">
        <f t="shared" si="242"/>
        <v>14.244185999999999</v>
      </c>
      <c r="AE474" s="194">
        <f>IF(AD474="","",AD474*SFAssumptions!$C$3)</f>
        <v>3656.6719938737997</v>
      </c>
      <c r="AF474" s="200">
        <f t="shared" si="231"/>
        <v>3.3</v>
      </c>
      <c r="AG474" s="192">
        <f t="shared" si="243"/>
        <v>4.3164199999999999</v>
      </c>
      <c r="AH474" s="192">
        <f t="shared" si="244"/>
        <v>1.8568900000000002</v>
      </c>
      <c r="AI474" s="692">
        <f ca="1">IF(AC474="","",AC474*SFAssumptions!$C$8/'SavingsData&amp;Analysis'!AF474)</f>
        <v>522.16771479177964</v>
      </c>
      <c r="AJ474" s="692">
        <f ca="1">IF(OR(AE474="",AF474=""),"",AE474*SFAssumptions!$C$8/AF474)</f>
        <v>4185.2353975447841</v>
      </c>
      <c r="AK474" s="191">
        <f t="shared" si="245"/>
        <v>1.4864864864864862</v>
      </c>
      <c r="AL474" s="692">
        <f>IF(AK474="","",AK474*SFAssumptions!$C$3)</f>
        <v>381.60085135135125</v>
      </c>
      <c r="AM474" s="193">
        <f t="shared" si="246"/>
        <v>13.529999999999998</v>
      </c>
      <c r="AN474" s="194">
        <f>IF(AM474="","",AM474*SFAssumptions!$C$3)</f>
        <v>3473.3309489999992</v>
      </c>
      <c r="AO474" s="693">
        <f t="shared" si="247"/>
        <v>4.0999999999999996</v>
      </c>
      <c r="AP474" s="693">
        <f t="shared" si="248"/>
        <v>2.2200000000000002</v>
      </c>
      <c r="AQ474" s="692">
        <f ca="1">IF(AL474="","",AL474*SFAssumptions!$C$8/'SavingsData&amp;Analysis'!AF474)</f>
        <v>436.76036392779622</v>
      </c>
      <c r="AR474" s="692">
        <f ca="1">IF(OR(AN474="",AF474=""),"",AN474*SFAssumptions!$C$8/AF474)</f>
        <v>3975.3928324708008</v>
      </c>
      <c r="AS474" s="190" t="str">
        <f>IF(OR(AG474="",AH474=""),"No",IF(AND(G474="Horizontal",AH474&gt;='Eff. Standards &amp; Certifications'!$B$21,AG474&lt;='Eff. Standards &amp; Certifications'!$C$21),"Consider",IF(AND(G474="Vertical",AH474&gt;='Eff. Standards &amp; Certifications'!$B$20,AG474&lt;='Eff. Standards &amp; Certifications'!$C$20),"Consider","No")))</f>
        <v>Consider</v>
      </c>
      <c r="AT474" s="199" t="str">
        <f t="shared" si="233"/>
        <v>Residential</v>
      </c>
      <c r="AU474" s="199"/>
      <c r="AV474" s="190" t="str">
        <f t="shared" si="230"/>
        <v>NO</v>
      </c>
      <c r="AW474" s="190" t="str">
        <f t="shared" si="230"/>
        <v>YES</v>
      </c>
      <c r="AX474" s="190" t="str">
        <f t="shared" si="249"/>
        <v>YES</v>
      </c>
      <c r="AY474" s="190" t="str">
        <f t="shared" si="234"/>
        <v>NO</v>
      </c>
      <c r="AZ474" s="190" t="str">
        <f t="shared" si="234"/>
        <v>YES</v>
      </c>
      <c r="BA474" s="190" t="str">
        <f t="shared" si="250"/>
        <v>YES</v>
      </c>
      <c r="BB474" s="190" t="str">
        <f t="shared" si="235"/>
        <v>NO</v>
      </c>
      <c r="BC474" s="190" t="str">
        <f t="shared" si="236"/>
        <v>NO</v>
      </c>
      <c r="BD474" s="190" t="str">
        <f t="shared" si="251"/>
        <v>NO</v>
      </c>
      <c r="BE474" s="190" t="str">
        <f t="shared" si="237"/>
        <v>NO</v>
      </c>
      <c r="BF474" s="190" t="str">
        <f t="shared" si="238"/>
        <v>NO</v>
      </c>
      <c r="BG474" s="190" t="str">
        <f t="shared" si="239"/>
        <v>NO</v>
      </c>
      <c r="BH474" s="88"/>
    </row>
    <row r="475" spans="1:76" ht="26.25">
      <c r="A475" s="187">
        <v>5409</v>
      </c>
      <c r="B475" s="187" t="s">
        <v>813</v>
      </c>
      <c r="C475" s="187" t="s">
        <v>479</v>
      </c>
      <c r="D475" s="187" t="s">
        <v>818</v>
      </c>
      <c r="E475" s="187" t="s">
        <v>385</v>
      </c>
      <c r="F475" s="187" t="s">
        <v>386</v>
      </c>
      <c r="G475" s="187" t="s">
        <v>387</v>
      </c>
      <c r="H475" s="187" t="b">
        <v>0</v>
      </c>
      <c r="I475" s="187" t="s">
        <v>388</v>
      </c>
      <c r="J475" s="187" t="s">
        <v>389</v>
      </c>
      <c r="K475" s="187" t="b">
        <v>1</v>
      </c>
      <c r="L475" s="187">
        <v>3.6</v>
      </c>
      <c r="M475" s="187"/>
      <c r="N475" s="187">
        <v>14.2</v>
      </c>
      <c r="O475" s="187">
        <v>4</v>
      </c>
      <c r="P475" s="187">
        <v>9.7799999999999994</v>
      </c>
      <c r="Q475" s="187"/>
      <c r="R475" s="187"/>
      <c r="S475" s="187"/>
      <c r="T475" s="187"/>
      <c r="U475" s="187">
        <v>36.700000000000003</v>
      </c>
      <c r="V475" s="187">
        <v>2.54</v>
      </c>
      <c r="W475" s="188">
        <v>41065</v>
      </c>
      <c r="X475" s="691">
        <f t="shared" si="226"/>
        <v>2.1495300000000004</v>
      </c>
      <c r="Y475" s="691">
        <f t="shared" si="232"/>
        <v>4.2140000000000004</v>
      </c>
      <c r="AA475" s="190">
        <f t="shared" si="240"/>
        <v>2012</v>
      </c>
      <c r="AB475" s="191">
        <f t="shared" si="241"/>
        <v>1.6747847203807342</v>
      </c>
      <c r="AC475" s="192">
        <f>IF(AB475="","",AB475*SFAssumptions!$C$3)</f>
        <v>429.93951235851557</v>
      </c>
      <c r="AD475" s="193">
        <f t="shared" si="242"/>
        <v>15.170400000000003</v>
      </c>
      <c r="AE475" s="194">
        <f>IF(AD475="","",AD475*SFAssumptions!$C$3)</f>
        <v>3894.4434463200009</v>
      </c>
      <c r="AF475" s="200">
        <f t="shared" si="231"/>
        <v>3.6</v>
      </c>
      <c r="AG475" s="192">
        <f t="shared" si="243"/>
        <v>4.2140000000000004</v>
      </c>
      <c r="AH475" s="192">
        <f t="shared" si="244"/>
        <v>2.1495300000000004</v>
      </c>
      <c r="AI475" s="692">
        <f ca="1">IF(AC475="","",AC475*SFAssumptions!$C$8/'SavingsData&amp;Analysis'!AF475)</f>
        <v>451.07907678409123</v>
      </c>
      <c r="AJ475" s="692">
        <f ca="1">IF(OR(AE475="",AF475=""),"",AE475*SFAssumptions!$C$8/AF475)</f>
        <v>4085.9281453736494</v>
      </c>
      <c r="AK475" s="191">
        <f t="shared" si="245"/>
        <v>1.4173228346456692</v>
      </c>
      <c r="AL475" s="692">
        <f>IF(AK475="","",AK475*SFAssumptions!$C$3)</f>
        <v>363.84562204724409</v>
      </c>
      <c r="AM475" s="193">
        <f t="shared" si="246"/>
        <v>14.4</v>
      </c>
      <c r="AN475" s="194">
        <f>IF(AM475="","",AM475*SFAssumptions!$C$3)</f>
        <v>3696.6715200000003</v>
      </c>
      <c r="AO475" s="693">
        <f t="shared" si="247"/>
        <v>4</v>
      </c>
      <c r="AP475" s="693">
        <f t="shared" si="248"/>
        <v>2.54</v>
      </c>
      <c r="AQ475" s="692">
        <f ca="1">IF(AL475="","",AL475*SFAssumptions!$C$8/'SavingsData&amp;Analysis'!AF475)</f>
        <v>381.73543618886129</v>
      </c>
      <c r="AR475" s="692">
        <f ca="1">IF(OR(AN475="",AF475=""),"",AN475*SFAssumptions!$C$8/AF475)</f>
        <v>3878.4320316788312</v>
      </c>
      <c r="AS475" s="190" t="str">
        <f>IF(OR(AG475="",AH475=""),"No",IF(AND(G475="Horizontal",AH475&gt;='Eff. Standards &amp; Certifications'!$B$21,AG475&lt;='Eff. Standards &amp; Certifications'!$C$21),"Consider",IF(AND(G475="Vertical",AH475&gt;='Eff. Standards &amp; Certifications'!$B$20,AG475&lt;='Eff. Standards &amp; Certifications'!$C$20),"Consider","No")))</f>
        <v>Consider</v>
      </c>
      <c r="AT475" s="199" t="str">
        <f t="shared" si="233"/>
        <v>Residential</v>
      </c>
      <c r="AU475" s="199"/>
      <c r="AV475" s="190" t="str">
        <f t="shared" si="230"/>
        <v>NO</v>
      </c>
      <c r="AW475" s="190" t="str">
        <f t="shared" si="230"/>
        <v>YES</v>
      </c>
      <c r="AX475" s="190" t="str">
        <f t="shared" si="249"/>
        <v>YES</v>
      </c>
      <c r="AY475" s="190" t="str">
        <f t="shared" si="234"/>
        <v>NO</v>
      </c>
      <c r="AZ475" s="190" t="str">
        <f t="shared" si="234"/>
        <v>YES</v>
      </c>
      <c r="BA475" s="190" t="str">
        <f t="shared" si="250"/>
        <v>YES</v>
      </c>
      <c r="BB475" s="190" t="str">
        <f t="shared" si="235"/>
        <v>NO</v>
      </c>
      <c r="BC475" s="190" t="str">
        <f t="shared" si="236"/>
        <v>NO</v>
      </c>
      <c r="BD475" s="190" t="str">
        <f t="shared" si="251"/>
        <v>NO</v>
      </c>
      <c r="BE475" s="190" t="str">
        <f t="shared" si="237"/>
        <v>NO</v>
      </c>
      <c r="BF475" s="190" t="str">
        <f t="shared" si="238"/>
        <v>NO</v>
      </c>
      <c r="BG475" s="190" t="str">
        <f t="shared" si="239"/>
        <v>NO</v>
      </c>
      <c r="BH475" s="88"/>
    </row>
    <row r="476" spans="1:76" ht="26.25">
      <c r="A476" s="187">
        <v>5039</v>
      </c>
      <c r="B476" s="187" t="s">
        <v>813</v>
      </c>
      <c r="C476" s="187" t="s">
        <v>479</v>
      </c>
      <c r="D476" s="187" t="s">
        <v>819</v>
      </c>
      <c r="E476" s="187" t="s">
        <v>385</v>
      </c>
      <c r="F476" s="187" t="s">
        <v>386</v>
      </c>
      <c r="G476" s="187" t="s">
        <v>387</v>
      </c>
      <c r="H476" s="187" t="b">
        <v>0</v>
      </c>
      <c r="I476" s="187" t="s">
        <v>388</v>
      </c>
      <c r="J476" s="187" t="s">
        <v>389</v>
      </c>
      <c r="K476" s="187" t="b">
        <v>1</v>
      </c>
      <c r="L476" s="187">
        <v>3.5</v>
      </c>
      <c r="M476" s="187"/>
      <c r="N476" s="187">
        <v>12.87</v>
      </c>
      <c r="O476" s="187">
        <v>4</v>
      </c>
      <c r="P476" s="187">
        <v>9</v>
      </c>
      <c r="Q476" s="187"/>
      <c r="R476" s="187"/>
      <c r="S476" s="187"/>
      <c r="T476" s="187"/>
      <c r="U476" s="187">
        <v>41.8</v>
      </c>
      <c r="V476" s="187">
        <v>2.2000000000000002</v>
      </c>
      <c r="W476" s="188">
        <v>40662</v>
      </c>
      <c r="X476" s="691">
        <f t="shared" si="226"/>
        <v>1.8386000000000002</v>
      </c>
      <c r="Y476" s="691">
        <f t="shared" si="232"/>
        <v>4.2140000000000004</v>
      </c>
      <c r="AA476" s="190">
        <f t="shared" si="240"/>
        <v>2011</v>
      </c>
      <c r="AB476" s="191">
        <f t="shared" si="241"/>
        <v>1.9036223213314476</v>
      </c>
      <c r="AC476" s="192">
        <f>IF(AB476="","",AB476*SFAssumptions!$C$3)</f>
        <v>488.68516806265632</v>
      </c>
      <c r="AD476" s="193">
        <f t="shared" si="242"/>
        <v>14.749000000000002</v>
      </c>
      <c r="AE476" s="194">
        <f>IF(AD476="","",AD476*SFAssumptions!$C$3)</f>
        <v>3786.2644617000005</v>
      </c>
      <c r="AF476" s="200">
        <f t="shared" si="231"/>
        <v>3.5</v>
      </c>
      <c r="AG476" s="192">
        <f t="shared" si="243"/>
        <v>4.2140000000000004</v>
      </c>
      <c r="AH476" s="192">
        <f t="shared" si="244"/>
        <v>1.8386000000000002</v>
      </c>
      <c r="AI476" s="692">
        <f ca="1">IF(AC476="","",AC476*SFAssumptions!$C$8/'SavingsData&amp;Analysis'!AF476)</f>
        <v>527.36212766219273</v>
      </c>
      <c r="AJ476" s="692">
        <f ca="1">IF(OR(AE476="",AF476=""),"",AE476*SFAssumptions!$C$8/AF476)</f>
        <v>4085.9281453736485</v>
      </c>
      <c r="AK476" s="191">
        <f t="shared" si="245"/>
        <v>1.5909090909090908</v>
      </c>
      <c r="AL476" s="692">
        <f>IF(AK476="","",AK476*SFAssumptions!$C$3)</f>
        <v>408.40752272727269</v>
      </c>
      <c r="AM476" s="193">
        <f t="shared" si="246"/>
        <v>14</v>
      </c>
      <c r="AN476" s="194">
        <f>IF(AM476="","",AM476*SFAssumptions!$C$3)</f>
        <v>3593.9862000000003</v>
      </c>
      <c r="AO476" s="693">
        <f t="shared" si="247"/>
        <v>4</v>
      </c>
      <c r="AP476" s="693">
        <f t="shared" si="248"/>
        <v>2.2000000000000002</v>
      </c>
      <c r="AQ476" s="692">
        <f ca="1">IF(AL476="","",AL476*SFAssumptions!$C$8/'SavingsData&amp;Analysis'!AF476)</f>
        <v>440.73091269077617</v>
      </c>
      <c r="AR476" s="692">
        <f ca="1">IF(OR(AN476="",AF476=""),"",AN476*SFAssumptions!$C$8/AF476)</f>
        <v>3878.4320316788312</v>
      </c>
      <c r="AS476" s="190" t="str">
        <f>IF(OR(AG476="",AH476=""),"No",IF(AND(G476="Horizontal",AH476&gt;='Eff. Standards &amp; Certifications'!$B$21,AG476&lt;='Eff. Standards &amp; Certifications'!$C$21),"Consider",IF(AND(G476="Vertical",AH476&gt;='Eff. Standards &amp; Certifications'!$B$20,AG476&lt;='Eff. Standards &amp; Certifications'!$C$20),"Consider","No")))</f>
        <v>No</v>
      </c>
      <c r="AT476" s="199" t="str">
        <f t="shared" si="233"/>
        <v>Residential</v>
      </c>
      <c r="AU476" s="199"/>
      <c r="AV476" s="190" t="str">
        <f t="shared" si="230"/>
        <v>NO</v>
      </c>
      <c r="AW476" s="190" t="str">
        <f t="shared" si="230"/>
        <v>NO</v>
      </c>
      <c r="AX476" s="190" t="str">
        <f t="shared" si="249"/>
        <v>NO</v>
      </c>
      <c r="AY476" s="190" t="str">
        <f t="shared" si="234"/>
        <v>NO</v>
      </c>
      <c r="AZ476" s="190" t="str">
        <f t="shared" si="234"/>
        <v>NO</v>
      </c>
      <c r="BA476" s="190" t="str">
        <f t="shared" si="250"/>
        <v>NO</v>
      </c>
      <c r="BB476" s="190" t="str">
        <f t="shared" si="235"/>
        <v>NO</v>
      </c>
      <c r="BC476" s="190" t="str">
        <f t="shared" si="236"/>
        <v>NO</v>
      </c>
      <c r="BD476" s="190" t="str">
        <f t="shared" si="251"/>
        <v>NO</v>
      </c>
      <c r="BE476" s="190" t="str">
        <f t="shared" si="237"/>
        <v>NO</v>
      </c>
      <c r="BF476" s="190" t="str">
        <f t="shared" si="238"/>
        <v>NO</v>
      </c>
      <c r="BG476" s="190" t="str">
        <f t="shared" si="239"/>
        <v>NO</v>
      </c>
      <c r="BH476" s="88"/>
    </row>
    <row r="477" spans="1:76" ht="26.25">
      <c r="A477" s="187">
        <v>5019</v>
      </c>
      <c r="B477" s="187" t="s">
        <v>813</v>
      </c>
      <c r="C477" s="187" t="s">
        <v>479</v>
      </c>
      <c r="D477" s="187" t="s">
        <v>820</v>
      </c>
      <c r="E477" s="187" t="s">
        <v>385</v>
      </c>
      <c r="F477" s="187" t="s">
        <v>386</v>
      </c>
      <c r="G477" s="187" t="s">
        <v>387</v>
      </c>
      <c r="H477" s="187" t="b">
        <v>0</v>
      </c>
      <c r="I477" s="187" t="s">
        <v>388</v>
      </c>
      <c r="J477" s="187" t="s">
        <v>389</v>
      </c>
      <c r="K477" s="187" t="b">
        <v>1</v>
      </c>
      <c r="L477" s="187">
        <v>3.5</v>
      </c>
      <c r="M477" s="187"/>
      <c r="N477" s="187">
        <v>13.09</v>
      </c>
      <c r="O477" s="187">
        <v>3.8</v>
      </c>
      <c r="P477" s="187">
        <v>10.53</v>
      </c>
      <c r="Q477" s="187"/>
      <c r="R477" s="187"/>
      <c r="S477" s="187"/>
      <c r="T477" s="187"/>
      <c r="U477" s="187">
        <v>40</v>
      </c>
      <c r="V477" s="187">
        <v>2.3199999999999998</v>
      </c>
      <c r="W477" s="188">
        <v>40655</v>
      </c>
      <c r="X477" s="691">
        <f t="shared" si="226"/>
        <v>1.9483399999999997</v>
      </c>
      <c r="Y477" s="691">
        <f t="shared" si="232"/>
        <v>4.0091599999999996</v>
      </c>
      <c r="AA477" s="190">
        <f t="shared" si="240"/>
        <v>2011</v>
      </c>
      <c r="AB477" s="191">
        <f t="shared" si="241"/>
        <v>1.796401038833058</v>
      </c>
      <c r="AC477" s="192">
        <f>IF(AB477="","",AB477*SFAssumptions!$C$3)</f>
        <v>461.16003880226248</v>
      </c>
      <c r="AD477" s="193">
        <f t="shared" si="242"/>
        <v>14.032059999999998</v>
      </c>
      <c r="AE477" s="194">
        <f>IF(AD477="","",AD477*SFAssumptions!$C$3)</f>
        <v>3602.2164283979996</v>
      </c>
      <c r="AF477" s="200">
        <f t="shared" si="231"/>
        <v>3.5</v>
      </c>
      <c r="AG477" s="192">
        <f t="shared" si="243"/>
        <v>4.0091599999999996</v>
      </c>
      <c r="AH477" s="192">
        <f t="shared" si="244"/>
        <v>1.9483399999999997</v>
      </c>
      <c r="AI477" s="692">
        <f ca="1">IF(AC477="","",AC477*SFAssumptions!$C$8/'SavingsData&amp;Analysis'!AF477)</f>
        <v>497.65852362508991</v>
      </c>
      <c r="AJ477" s="692">
        <f ca="1">IF(OR(AE477="",AF477=""),"",AE477*SFAssumptions!$C$8/AF477)</f>
        <v>3887.3136410313746</v>
      </c>
      <c r="AK477" s="191">
        <f t="shared" si="245"/>
        <v>1.5086206896551726</v>
      </c>
      <c r="AL477" s="692">
        <f>IF(AK477="","",AK477*SFAssumptions!$C$3)</f>
        <v>387.28299568965525</v>
      </c>
      <c r="AM477" s="193">
        <f t="shared" si="246"/>
        <v>13.299999999999999</v>
      </c>
      <c r="AN477" s="194">
        <f>IF(AM477="","",AM477*SFAssumptions!$C$3)</f>
        <v>3414.2868899999999</v>
      </c>
      <c r="AO477" s="693">
        <f t="shared" si="247"/>
        <v>3.8</v>
      </c>
      <c r="AP477" s="693">
        <f t="shared" si="248"/>
        <v>2.3199999999999998</v>
      </c>
      <c r="AQ477" s="692">
        <f ca="1">IF(AL477="","",AL477*SFAssumptions!$C$8/'SavingsData&amp;Analysis'!AF477)</f>
        <v>417.9344861722879</v>
      </c>
      <c r="AR477" s="692">
        <f ca="1">IF(OR(AN477="",AF477=""),"",AN477*SFAssumptions!$C$8/AF477)</f>
        <v>3684.5104300948888</v>
      </c>
      <c r="AS477" s="190" t="str">
        <f>IF(OR(AG477="",AH477=""),"No",IF(AND(G477="Horizontal",AH477&gt;='Eff. Standards &amp; Certifications'!$B$21,AG477&lt;='Eff. Standards &amp; Certifications'!$C$21),"Consider",IF(AND(G477="Vertical",AH477&gt;='Eff. Standards &amp; Certifications'!$B$20,AG477&lt;='Eff. Standards &amp; Certifications'!$C$20),"Consider","No")))</f>
        <v>Consider</v>
      </c>
      <c r="AT477" s="199" t="str">
        <f t="shared" si="233"/>
        <v>Residential</v>
      </c>
      <c r="AU477" s="199"/>
      <c r="AV477" s="190" t="str">
        <f t="shared" si="230"/>
        <v>NO</v>
      </c>
      <c r="AW477" s="190" t="str">
        <f t="shared" si="230"/>
        <v>YES</v>
      </c>
      <c r="AX477" s="190" t="str">
        <f t="shared" si="249"/>
        <v>YES</v>
      </c>
      <c r="AY477" s="190" t="str">
        <f t="shared" si="234"/>
        <v>NO</v>
      </c>
      <c r="AZ477" s="190" t="str">
        <f t="shared" si="234"/>
        <v>YES</v>
      </c>
      <c r="BA477" s="190" t="str">
        <f t="shared" si="250"/>
        <v>YES</v>
      </c>
      <c r="BB477" s="190" t="str">
        <f t="shared" si="235"/>
        <v>NO</v>
      </c>
      <c r="BC477" s="190" t="str">
        <f t="shared" si="236"/>
        <v>NO</v>
      </c>
      <c r="BD477" s="190" t="str">
        <f t="shared" si="251"/>
        <v>NO</v>
      </c>
      <c r="BE477" s="190" t="str">
        <f t="shared" si="237"/>
        <v>NO</v>
      </c>
      <c r="BF477" s="190" t="str">
        <f t="shared" si="238"/>
        <v>NO</v>
      </c>
      <c r="BG477" s="190" t="str">
        <f t="shared" si="239"/>
        <v>NO</v>
      </c>
      <c r="BH477" s="88"/>
    </row>
    <row r="478" spans="1:76" ht="26.25">
      <c r="A478" s="187">
        <v>5032</v>
      </c>
      <c r="B478" s="187" t="s">
        <v>813</v>
      </c>
      <c r="C478" s="187" t="s">
        <v>479</v>
      </c>
      <c r="D478" s="187" t="s">
        <v>821</v>
      </c>
      <c r="E478" s="187" t="s">
        <v>385</v>
      </c>
      <c r="F478" s="187" t="s">
        <v>386</v>
      </c>
      <c r="G478" s="187" t="s">
        <v>387</v>
      </c>
      <c r="H478" s="187" t="b">
        <v>0</v>
      </c>
      <c r="I478" s="187" t="s">
        <v>388</v>
      </c>
      <c r="J478" s="187" t="s">
        <v>389</v>
      </c>
      <c r="K478" s="187" t="b">
        <v>1</v>
      </c>
      <c r="L478" s="187">
        <v>3.5</v>
      </c>
      <c r="M478" s="187"/>
      <c r="N478" s="187">
        <v>14.12</v>
      </c>
      <c r="O478" s="187">
        <v>4.2</v>
      </c>
      <c r="P478" s="187">
        <v>9.4499999999999993</v>
      </c>
      <c r="Q478" s="187"/>
      <c r="R478" s="187"/>
      <c r="S478" s="187"/>
      <c r="T478" s="187"/>
      <c r="U478" s="187">
        <v>41.4</v>
      </c>
      <c r="V478" s="187">
        <v>2.2000000000000002</v>
      </c>
      <c r="W478" s="188">
        <v>40662</v>
      </c>
      <c r="X478" s="691">
        <f t="shared" si="226"/>
        <v>1.8386000000000002</v>
      </c>
      <c r="Y478" s="691">
        <f t="shared" si="232"/>
        <v>4.4188400000000003</v>
      </c>
      <c r="AA478" s="190">
        <f t="shared" si="240"/>
        <v>2011</v>
      </c>
      <c r="AB478" s="191">
        <f t="shared" si="241"/>
        <v>1.9036223213314476</v>
      </c>
      <c r="AC478" s="192">
        <f>IF(AB478="","",AB478*SFAssumptions!$C$3)</f>
        <v>488.68516806265632</v>
      </c>
      <c r="AD478" s="193">
        <f t="shared" si="242"/>
        <v>15.465940000000002</v>
      </c>
      <c r="AE478" s="194">
        <f>IF(AD478="","",AD478*SFAssumptions!$C$3)</f>
        <v>3970.3124950020006</v>
      </c>
      <c r="AF478" s="200">
        <f t="shared" si="231"/>
        <v>3.5</v>
      </c>
      <c r="AG478" s="192">
        <f t="shared" si="243"/>
        <v>4.4188400000000003</v>
      </c>
      <c r="AH478" s="192">
        <f t="shared" si="244"/>
        <v>1.8386000000000002</v>
      </c>
      <c r="AI478" s="692">
        <f ca="1">IF(AC478="","",AC478*SFAssumptions!$C$8/'SavingsData&amp;Analysis'!AF478)</f>
        <v>527.36212766219273</v>
      </c>
      <c r="AJ478" s="692">
        <f ca="1">IF(OR(AE478="",AF478=""),"",AE478*SFAssumptions!$C$8/AF478)</f>
        <v>4284.5426497159215</v>
      </c>
      <c r="AK478" s="191">
        <f t="shared" si="245"/>
        <v>1.5909090909090908</v>
      </c>
      <c r="AL478" s="692">
        <f>IF(AK478="","",AK478*SFAssumptions!$C$3)</f>
        <v>408.40752272727269</v>
      </c>
      <c r="AM478" s="193">
        <f t="shared" si="246"/>
        <v>14.700000000000001</v>
      </c>
      <c r="AN478" s="194">
        <f>IF(AM478="","",AM478*SFAssumptions!$C$3)</f>
        <v>3773.6855100000002</v>
      </c>
      <c r="AO478" s="693">
        <f t="shared" si="247"/>
        <v>4.2</v>
      </c>
      <c r="AP478" s="693">
        <f t="shared" si="248"/>
        <v>2.2000000000000002</v>
      </c>
      <c r="AQ478" s="692">
        <f ca="1">IF(AL478="","",AL478*SFAssumptions!$C$8/'SavingsData&amp;Analysis'!AF478)</f>
        <v>440.73091269077617</v>
      </c>
      <c r="AR478" s="692">
        <f ca="1">IF(OR(AN478="",AF478=""),"",AN478*SFAssumptions!$C$8/AF478)</f>
        <v>4072.3536332627727</v>
      </c>
      <c r="AS478" s="190" t="str">
        <f>IF(OR(AG478="",AH478=""),"No",IF(AND(G478="Horizontal",AH478&gt;='Eff. Standards &amp; Certifications'!$B$21,AG478&lt;='Eff. Standards &amp; Certifications'!$C$21),"Consider",IF(AND(G478="Vertical",AH478&gt;='Eff. Standards &amp; Certifications'!$B$20,AG478&lt;='Eff. Standards &amp; Certifications'!$C$20),"Consider","No")))</f>
        <v>No</v>
      </c>
      <c r="AT478" s="199" t="str">
        <f t="shared" si="233"/>
        <v>Residential</v>
      </c>
      <c r="AU478" s="199"/>
      <c r="AV478" s="190" t="str">
        <f t="shared" si="230"/>
        <v>NO</v>
      </c>
      <c r="AW478" s="190" t="str">
        <f t="shared" si="230"/>
        <v>NO</v>
      </c>
      <c r="AX478" s="190" t="str">
        <f t="shared" si="249"/>
        <v>NO</v>
      </c>
      <c r="AY478" s="190" t="str">
        <f t="shared" si="234"/>
        <v>NO</v>
      </c>
      <c r="AZ478" s="190" t="str">
        <f t="shared" si="234"/>
        <v>NO</v>
      </c>
      <c r="BA478" s="190" t="str">
        <f t="shared" si="250"/>
        <v>NO</v>
      </c>
      <c r="BB478" s="190" t="str">
        <f t="shared" si="235"/>
        <v>NO</v>
      </c>
      <c r="BC478" s="190" t="str">
        <f t="shared" si="236"/>
        <v>NO</v>
      </c>
      <c r="BD478" s="190" t="str">
        <f t="shared" si="251"/>
        <v>NO</v>
      </c>
      <c r="BE478" s="190" t="str">
        <f t="shared" si="237"/>
        <v>NO</v>
      </c>
      <c r="BF478" s="190" t="str">
        <f t="shared" si="238"/>
        <v>NO</v>
      </c>
      <c r="BG478" s="190" t="str">
        <f t="shared" si="239"/>
        <v>NO</v>
      </c>
      <c r="BH478" s="88"/>
    </row>
    <row r="479" spans="1:76">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8"/>
      <c r="X479" s="695"/>
      <c r="Y479" s="695"/>
    </row>
    <row r="480" spans="1:76">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8"/>
      <c r="X480" s="695"/>
      <c r="Y480" s="695"/>
    </row>
    <row r="481" spans="1:25">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8"/>
      <c r="X481" s="695"/>
      <c r="Y481" s="695"/>
    </row>
    <row r="482" spans="1:25">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8"/>
      <c r="X482" s="695"/>
      <c r="Y482" s="695"/>
    </row>
    <row r="483" spans="1:25">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8"/>
      <c r="X483" s="695"/>
      <c r="Y483" s="695"/>
    </row>
    <row r="484" spans="1:25">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8"/>
      <c r="X484" s="695"/>
      <c r="Y484" s="695"/>
    </row>
    <row r="485" spans="1:25">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8"/>
      <c r="X485" s="695"/>
      <c r="Y485" s="695"/>
    </row>
    <row r="486" spans="1:25">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8"/>
      <c r="X486" s="695"/>
      <c r="Y486" s="695"/>
    </row>
    <row r="487" spans="1:25">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8"/>
      <c r="X487" s="695"/>
      <c r="Y487" s="695"/>
    </row>
    <row r="488" spans="1:25">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8"/>
      <c r="X488" s="695"/>
      <c r="Y488" s="695"/>
    </row>
    <row r="489" spans="1:25">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8"/>
      <c r="X489" s="695"/>
      <c r="Y489" s="695"/>
    </row>
    <row r="490" spans="1:25">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8"/>
      <c r="X490" s="695"/>
      <c r="Y490" s="695"/>
    </row>
    <row r="491" spans="1:25">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8"/>
      <c r="X491" s="695"/>
      <c r="Y491" s="695"/>
    </row>
    <row r="492" spans="1:25">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8"/>
      <c r="X492" s="695"/>
      <c r="Y492" s="695"/>
    </row>
    <row r="493" spans="1:25">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8"/>
      <c r="X493" s="695"/>
      <c r="Y493" s="695"/>
    </row>
    <row r="494" spans="1:25">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8"/>
      <c r="X494" s="695"/>
      <c r="Y494" s="695"/>
    </row>
    <row r="495" spans="1:25">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8"/>
      <c r="X495" s="695"/>
      <c r="Y495" s="695"/>
    </row>
    <row r="496" spans="1:25">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8"/>
      <c r="X496" s="695"/>
      <c r="Y496" s="695"/>
    </row>
    <row r="497" spans="1:25">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8"/>
      <c r="X497" s="695"/>
      <c r="Y497" s="695"/>
    </row>
    <row r="498" spans="1:25">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8"/>
      <c r="X498" s="695"/>
      <c r="Y498" s="695"/>
    </row>
    <row r="499" spans="1:25">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8"/>
      <c r="X499" s="695"/>
      <c r="Y499" s="695"/>
    </row>
    <row r="500" spans="1:25">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8"/>
      <c r="X500" s="695"/>
      <c r="Y500" s="695"/>
    </row>
    <row r="501" spans="1:25">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8"/>
      <c r="X501" s="695"/>
      <c r="Y501" s="695"/>
    </row>
    <row r="502" spans="1:25">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8"/>
      <c r="X502" s="695"/>
      <c r="Y502" s="695"/>
    </row>
    <row r="503" spans="1:25">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8"/>
      <c r="X503" s="695"/>
      <c r="Y503" s="695"/>
    </row>
    <row r="504" spans="1:25">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8"/>
      <c r="X504" s="695"/>
      <c r="Y504" s="695"/>
    </row>
    <row r="505" spans="1:25">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8"/>
      <c r="X505" s="695"/>
      <c r="Y505" s="695"/>
    </row>
    <row r="506" spans="1:25">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8"/>
      <c r="X506" s="695"/>
      <c r="Y506" s="695"/>
    </row>
    <row r="507" spans="1:25">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8"/>
      <c r="X507" s="695"/>
      <c r="Y507" s="695"/>
    </row>
    <row r="508" spans="1:25">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8"/>
      <c r="X508" s="695"/>
      <c r="Y508" s="695"/>
    </row>
    <row r="509" spans="1:25">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8"/>
      <c r="X509" s="695"/>
      <c r="Y509" s="695"/>
    </row>
    <row r="510" spans="1:25">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8"/>
      <c r="X510" s="695"/>
      <c r="Y510" s="695"/>
    </row>
    <row r="511" spans="1:25">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8"/>
      <c r="X511" s="695"/>
      <c r="Y511" s="695"/>
    </row>
    <row r="512" spans="1:25">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8"/>
      <c r="X512" s="695"/>
      <c r="Y512" s="695"/>
    </row>
    <row r="513" spans="1:25">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8"/>
      <c r="X513" s="695"/>
      <c r="Y513" s="695"/>
    </row>
    <row r="514" spans="1:25">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8"/>
      <c r="X514" s="695"/>
      <c r="Y514" s="695"/>
    </row>
    <row r="515" spans="1:25">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8"/>
      <c r="X515" s="695"/>
      <c r="Y515" s="695"/>
    </row>
    <row r="516" spans="1:25">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8"/>
      <c r="X516" s="695"/>
      <c r="Y516" s="695"/>
    </row>
    <row r="517" spans="1:25">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8"/>
      <c r="X517" s="695"/>
      <c r="Y517" s="695"/>
    </row>
    <row r="518" spans="1:25">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8"/>
      <c r="X518" s="695"/>
      <c r="Y518" s="695"/>
    </row>
    <row r="519" spans="1:25">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8"/>
      <c r="X519" s="695"/>
      <c r="Y519" s="695"/>
    </row>
    <row r="520" spans="1:25">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8"/>
      <c r="X520" s="695"/>
      <c r="Y520" s="695"/>
    </row>
    <row r="521" spans="1:25">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8"/>
      <c r="X521" s="695"/>
      <c r="Y521" s="695"/>
    </row>
    <row r="522" spans="1:25">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8"/>
      <c r="X522" s="695"/>
      <c r="Y522" s="695"/>
    </row>
    <row r="523" spans="1:25">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8"/>
      <c r="X523" s="695"/>
      <c r="Y523" s="695"/>
    </row>
    <row r="524" spans="1:25">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8"/>
      <c r="X524" s="695"/>
      <c r="Y524" s="695"/>
    </row>
    <row r="525" spans="1:25">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8"/>
      <c r="X525" s="695"/>
      <c r="Y525" s="695"/>
    </row>
    <row r="526" spans="1:25">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8"/>
      <c r="X526" s="695"/>
      <c r="Y526" s="695"/>
    </row>
    <row r="527" spans="1:25">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8"/>
      <c r="X527" s="695"/>
      <c r="Y527" s="695"/>
    </row>
    <row r="528" spans="1:25">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8"/>
      <c r="X528" s="695"/>
      <c r="Y528" s="695"/>
    </row>
    <row r="529" spans="1:25">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8"/>
      <c r="X529" s="695"/>
      <c r="Y529" s="695"/>
    </row>
    <row r="530" spans="1:25">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8"/>
      <c r="X530" s="695"/>
      <c r="Y530" s="695"/>
    </row>
    <row r="531" spans="1:25">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8"/>
      <c r="X531" s="695"/>
      <c r="Y531" s="695"/>
    </row>
    <row r="532" spans="1:25">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8"/>
      <c r="X532" s="695"/>
      <c r="Y532" s="695"/>
    </row>
    <row r="533" spans="1:25">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8"/>
      <c r="X533" s="695"/>
      <c r="Y533" s="695"/>
    </row>
    <row r="534" spans="1:25">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8"/>
      <c r="X534" s="695"/>
      <c r="Y534" s="695"/>
    </row>
    <row r="535" spans="1:25">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8"/>
      <c r="X535" s="695"/>
      <c r="Y535" s="695"/>
    </row>
    <row r="536" spans="1:25">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8"/>
      <c r="X536" s="695"/>
      <c r="Y536" s="695"/>
    </row>
    <row r="537" spans="1:25">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8"/>
      <c r="X537" s="695"/>
      <c r="Y537" s="695"/>
    </row>
    <row r="538" spans="1:25">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8"/>
      <c r="X538" s="695"/>
      <c r="Y538" s="695"/>
    </row>
    <row r="539" spans="1:25">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8"/>
      <c r="X539" s="695"/>
      <c r="Y539" s="695"/>
    </row>
    <row r="540" spans="1:25">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8"/>
      <c r="X540" s="695"/>
      <c r="Y540" s="695"/>
    </row>
    <row r="541" spans="1:25">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8"/>
      <c r="X541" s="695"/>
      <c r="Y541" s="695"/>
    </row>
    <row r="542" spans="1:25">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8"/>
      <c r="X542" s="695"/>
      <c r="Y542" s="695"/>
    </row>
    <row r="543" spans="1:25">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8"/>
      <c r="X543" s="695"/>
      <c r="Y543" s="695"/>
    </row>
    <row r="544" spans="1:25">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8"/>
      <c r="X544" s="695"/>
      <c r="Y544" s="695"/>
    </row>
    <row r="545" spans="1:25">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8"/>
      <c r="X545" s="695"/>
      <c r="Y545" s="695"/>
    </row>
    <row r="546" spans="1:25">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8"/>
      <c r="X546" s="695"/>
      <c r="Y546" s="695"/>
    </row>
    <row r="547" spans="1:25">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8"/>
      <c r="X547" s="695"/>
      <c r="Y547" s="695"/>
    </row>
    <row r="548" spans="1:25">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8"/>
      <c r="X548" s="695"/>
      <c r="Y548" s="695"/>
    </row>
    <row r="549" spans="1:25">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8"/>
      <c r="X549" s="695"/>
      <c r="Y549" s="695"/>
    </row>
    <row r="550" spans="1:25">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8"/>
      <c r="X550" s="695"/>
      <c r="Y550" s="695"/>
    </row>
    <row r="551" spans="1:25">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8"/>
      <c r="X551" s="695"/>
      <c r="Y551" s="695"/>
    </row>
    <row r="552" spans="1:25">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8"/>
      <c r="X552" s="695"/>
      <c r="Y552" s="695"/>
    </row>
    <row r="553" spans="1:25">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8"/>
      <c r="X553" s="695"/>
      <c r="Y553" s="695"/>
    </row>
    <row r="554" spans="1:25">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8"/>
      <c r="X554" s="695"/>
      <c r="Y554" s="695"/>
    </row>
    <row r="555" spans="1:25">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8"/>
      <c r="X555" s="695"/>
      <c r="Y555" s="695"/>
    </row>
    <row r="556" spans="1:25">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8"/>
      <c r="X556" s="695"/>
      <c r="Y556" s="695"/>
    </row>
    <row r="557" spans="1:25">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8"/>
      <c r="X557" s="695"/>
      <c r="Y557" s="695"/>
    </row>
    <row r="558" spans="1:25">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8"/>
      <c r="X558" s="695"/>
      <c r="Y558" s="695"/>
    </row>
    <row r="559" spans="1:25">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8"/>
      <c r="X559" s="695"/>
      <c r="Y559" s="695"/>
    </row>
    <row r="560" spans="1:25">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8"/>
      <c r="X560" s="695"/>
      <c r="Y560" s="695"/>
    </row>
    <row r="561" spans="1:25">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8"/>
      <c r="X561" s="695"/>
      <c r="Y561" s="695"/>
    </row>
    <row r="562" spans="1:25">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8"/>
      <c r="X562" s="695"/>
      <c r="Y562" s="695"/>
    </row>
    <row r="563" spans="1:25">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8"/>
      <c r="X563" s="695"/>
      <c r="Y563" s="695"/>
    </row>
    <row r="564" spans="1:25">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8"/>
      <c r="X564" s="695"/>
      <c r="Y564" s="695"/>
    </row>
    <row r="565" spans="1:25">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8"/>
      <c r="X565" s="695"/>
      <c r="Y565" s="695"/>
    </row>
    <row r="566" spans="1:25">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8"/>
      <c r="X566" s="695"/>
      <c r="Y566" s="695"/>
    </row>
    <row r="567" spans="1:25">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8"/>
      <c r="X567" s="695"/>
      <c r="Y567" s="695"/>
    </row>
    <row r="568" spans="1:25">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8"/>
      <c r="X568" s="695"/>
      <c r="Y568" s="695"/>
    </row>
    <row r="569" spans="1:25">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8"/>
      <c r="X569" s="695"/>
      <c r="Y569" s="695"/>
    </row>
    <row r="570" spans="1:25">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8"/>
      <c r="X570" s="695"/>
      <c r="Y570" s="695"/>
    </row>
    <row r="571" spans="1:25">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8"/>
      <c r="X571" s="695"/>
      <c r="Y571" s="695"/>
    </row>
    <row r="572" spans="1:25">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8"/>
      <c r="X572" s="695"/>
      <c r="Y572" s="695"/>
    </row>
    <row r="573" spans="1:25">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8"/>
      <c r="X573" s="695"/>
      <c r="Y573" s="695"/>
    </row>
    <row r="574" spans="1:25">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8"/>
      <c r="X574" s="695"/>
      <c r="Y574" s="695"/>
    </row>
    <row r="575" spans="1:25">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8"/>
      <c r="X575" s="695"/>
      <c r="Y575" s="695"/>
    </row>
    <row r="576" spans="1:25">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8"/>
      <c r="X576" s="695"/>
      <c r="Y576" s="695"/>
    </row>
    <row r="577" spans="1:25">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8"/>
      <c r="X577" s="695"/>
      <c r="Y577" s="695"/>
    </row>
    <row r="578" spans="1:25">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8"/>
      <c r="X578" s="695"/>
      <c r="Y578" s="695"/>
    </row>
    <row r="579" spans="1:25">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8"/>
      <c r="X579" s="695"/>
      <c r="Y579" s="695"/>
    </row>
    <row r="580" spans="1:25">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8"/>
      <c r="X580" s="695"/>
      <c r="Y580" s="695"/>
    </row>
    <row r="581" spans="1:25">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8"/>
      <c r="X581" s="695"/>
      <c r="Y581" s="695"/>
    </row>
    <row r="582" spans="1:25">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8"/>
      <c r="X582" s="695"/>
      <c r="Y582" s="695"/>
    </row>
    <row r="583" spans="1:25">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8"/>
      <c r="X583" s="695"/>
      <c r="Y583" s="695"/>
    </row>
    <row r="584" spans="1:25">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8"/>
      <c r="X584" s="695"/>
      <c r="Y584" s="695"/>
    </row>
    <row r="585" spans="1:25">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8"/>
      <c r="X585" s="695"/>
      <c r="Y585" s="695"/>
    </row>
    <row r="586" spans="1:25">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8"/>
      <c r="X586" s="695"/>
      <c r="Y586" s="695"/>
    </row>
    <row r="587" spans="1:25">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8"/>
      <c r="X587" s="695"/>
      <c r="Y587" s="695"/>
    </row>
    <row r="588" spans="1:25">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8"/>
      <c r="X588" s="695"/>
      <c r="Y588" s="695"/>
    </row>
    <row r="589" spans="1:25">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8"/>
      <c r="X589" s="695"/>
      <c r="Y589" s="695"/>
    </row>
    <row r="590" spans="1:25">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8"/>
      <c r="X590" s="695"/>
      <c r="Y590" s="695"/>
    </row>
    <row r="591" spans="1:25">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8"/>
      <c r="X591" s="695"/>
      <c r="Y591" s="695"/>
    </row>
    <row r="592" spans="1:25">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8"/>
      <c r="X592" s="695"/>
      <c r="Y592" s="695"/>
    </row>
    <row r="593" spans="1:25">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8"/>
      <c r="X593" s="695"/>
      <c r="Y593" s="695"/>
    </row>
    <row r="594" spans="1:25">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8"/>
      <c r="X594" s="695"/>
      <c r="Y594" s="695"/>
    </row>
    <row r="595" spans="1:25">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8"/>
      <c r="X595" s="695"/>
      <c r="Y595" s="695"/>
    </row>
    <row r="596" spans="1:25">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8"/>
      <c r="X596" s="695"/>
      <c r="Y596" s="695"/>
    </row>
    <row r="597" spans="1:25">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8"/>
      <c r="X597" s="695"/>
      <c r="Y597" s="695"/>
    </row>
    <row r="598" spans="1:25">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8"/>
      <c r="X598" s="695"/>
      <c r="Y598" s="695"/>
    </row>
    <row r="599" spans="1:25">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8"/>
      <c r="X599" s="695"/>
      <c r="Y599" s="695"/>
    </row>
    <row r="600" spans="1:25">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8"/>
      <c r="X600" s="695"/>
      <c r="Y600" s="695"/>
    </row>
    <row r="601" spans="1:25">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8"/>
      <c r="X601" s="695"/>
      <c r="Y601" s="695"/>
    </row>
    <row r="602" spans="1:25">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8"/>
      <c r="X602" s="695"/>
      <c r="Y602" s="695"/>
    </row>
    <row r="603" spans="1:25">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8"/>
      <c r="X603" s="695"/>
      <c r="Y603" s="695"/>
    </row>
    <row r="604" spans="1:25">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8"/>
      <c r="X604" s="695"/>
      <c r="Y604" s="695"/>
    </row>
    <row r="605" spans="1:25">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8"/>
      <c r="X605" s="695"/>
      <c r="Y605" s="695"/>
    </row>
    <row r="606" spans="1:25">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8"/>
      <c r="X606" s="695"/>
      <c r="Y606" s="695"/>
    </row>
    <row r="607" spans="1:25">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8"/>
      <c r="X607" s="695"/>
      <c r="Y607" s="695"/>
    </row>
    <row r="608" spans="1:25">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8"/>
      <c r="X608" s="695"/>
      <c r="Y608" s="695"/>
    </row>
    <row r="609" spans="1:25">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8"/>
      <c r="X609" s="695"/>
      <c r="Y609" s="695"/>
    </row>
    <row r="610" spans="1:25">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8"/>
      <c r="X610" s="695"/>
      <c r="Y610" s="695"/>
    </row>
    <row r="611" spans="1:25">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8"/>
      <c r="X611" s="695"/>
      <c r="Y611" s="695"/>
    </row>
    <row r="612" spans="1:25">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8"/>
      <c r="X612" s="695"/>
      <c r="Y612" s="695"/>
    </row>
    <row r="613" spans="1:25">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8"/>
      <c r="X613" s="695"/>
      <c r="Y613" s="695"/>
    </row>
    <row r="614" spans="1:25">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8"/>
      <c r="X614" s="695"/>
      <c r="Y614" s="695"/>
    </row>
    <row r="615" spans="1:25">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8"/>
      <c r="X615" s="695"/>
      <c r="Y615" s="695"/>
    </row>
    <row r="616" spans="1:25">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8"/>
      <c r="X616" s="695"/>
      <c r="Y616" s="695"/>
    </row>
    <row r="617" spans="1:25">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8"/>
      <c r="X617" s="695"/>
      <c r="Y617" s="695"/>
    </row>
    <row r="618" spans="1:25">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8"/>
      <c r="X618" s="695"/>
      <c r="Y618" s="695"/>
    </row>
    <row r="619" spans="1:25">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8"/>
      <c r="X619" s="695"/>
      <c r="Y619" s="695"/>
    </row>
    <row r="620" spans="1:25">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8"/>
      <c r="X620" s="695"/>
      <c r="Y620" s="695"/>
    </row>
    <row r="621" spans="1:25">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8"/>
      <c r="X621" s="695"/>
      <c r="Y621" s="695"/>
    </row>
    <row r="622" spans="1:25">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8"/>
      <c r="X622" s="695"/>
      <c r="Y622" s="695"/>
    </row>
    <row r="623" spans="1:25">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8"/>
      <c r="X623" s="695"/>
      <c r="Y623" s="695"/>
    </row>
    <row r="624" spans="1:25">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8"/>
      <c r="X624" s="695"/>
      <c r="Y624" s="695"/>
    </row>
    <row r="625" spans="1:25">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8"/>
      <c r="X625" s="695"/>
      <c r="Y625" s="695"/>
    </row>
    <row r="626" spans="1:25">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8"/>
      <c r="X626" s="695"/>
      <c r="Y626" s="695"/>
    </row>
    <row r="627" spans="1:25">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8"/>
      <c r="X627" s="695"/>
      <c r="Y627" s="695"/>
    </row>
    <row r="628" spans="1:25">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8"/>
      <c r="X628" s="695"/>
      <c r="Y628" s="695"/>
    </row>
    <row r="629" spans="1:25">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8"/>
      <c r="X629" s="695"/>
      <c r="Y629" s="695"/>
    </row>
    <row r="630" spans="1:25">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8"/>
      <c r="X630" s="695"/>
      <c r="Y630" s="695"/>
    </row>
    <row r="631" spans="1:25">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8"/>
      <c r="X631" s="695"/>
      <c r="Y631" s="695"/>
    </row>
    <row r="632" spans="1:25">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8"/>
      <c r="X632" s="695"/>
      <c r="Y632" s="695"/>
    </row>
    <row r="633" spans="1:25">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8"/>
      <c r="X633" s="695"/>
      <c r="Y633" s="695"/>
    </row>
    <row r="634" spans="1:25">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8"/>
      <c r="X634" s="695"/>
      <c r="Y634" s="695"/>
    </row>
    <row r="635" spans="1:25">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8"/>
      <c r="X635" s="695"/>
      <c r="Y635" s="695"/>
    </row>
    <row r="636" spans="1:25">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8"/>
      <c r="X636" s="695"/>
      <c r="Y636" s="695"/>
    </row>
    <row r="637" spans="1:25">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8"/>
      <c r="X637" s="695"/>
      <c r="Y637" s="695"/>
    </row>
    <row r="638" spans="1:25">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8"/>
      <c r="X638" s="695"/>
      <c r="Y638" s="695"/>
    </row>
    <row r="639" spans="1:25">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8"/>
      <c r="X639" s="695"/>
      <c r="Y639" s="695"/>
    </row>
    <row r="640" spans="1:25">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8"/>
      <c r="X640" s="695"/>
      <c r="Y640" s="695"/>
    </row>
    <row r="641" spans="1:25">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8"/>
      <c r="X641" s="695"/>
      <c r="Y641" s="695"/>
    </row>
    <row r="642" spans="1:25">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8"/>
      <c r="X642" s="695"/>
      <c r="Y642" s="695"/>
    </row>
    <row r="643" spans="1:25">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8"/>
      <c r="X643" s="695"/>
      <c r="Y643" s="695"/>
    </row>
    <row r="644" spans="1:25">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8"/>
      <c r="X644" s="695"/>
      <c r="Y644" s="695"/>
    </row>
    <row r="645" spans="1:25">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8"/>
      <c r="X645" s="695"/>
      <c r="Y645" s="695"/>
    </row>
    <row r="646" spans="1:25">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8"/>
      <c r="X646" s="695"/>
      <c r="Y646" s="695"/>
    </row>
    <row r="647" spans="1:25">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8"/>
      <c r="X647" s="695"/>
      <c r="Y647" s="695"/>
    </row>
    <row r="648" spans="1:25">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8"/>
      <c r="X648" s="695"/>
      <c r="Y648" s="695"/>
    </row>
    <row r="649" spans="1:25">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8"/>
      <c r="X649" s="695"/>
      <c r="Y649" s="695"/>
    </row>
    <row r="650" spans="1:25">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8"/>
      <c r="X650" s="695"/>
      <c r="Y650" s="695"/>
    </row>
    <row r="651" spans="1:25">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8"/>
      <c r="X651" s="695"/>
      <c r="Y651" s="695"/>
    </row>
    <row r="652" spans="1:25">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8"/>
      <c r="X652" s="695"/>
      <c r="Y652" s="695"/>
    </row>
    <row r="653" spans="1:25">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8"/>
      <c r="X653" s="695"/>
      <c r="Y653" s="695"/>
    </row>
    <row r="654" spans="1:25">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8"/>
      <c r="X654" s="695"/>
      <c r="Y654" s="695"/>
    </row>
    <row r="655" spans="1:25">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8"/>
      <c r="X655" s="695"/>
      <c r="Y655" s="695"/>
    </row>
    <row r="656" spans="1:25">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8"/>
      <c r="X656" s="695"/>
      <c r="Y656" s="695"/>
    </row>
    <row r="657" spans="1:25">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8"/>
      <c r="X657" s="695"/>
      <c r="Y657" s="695"/>
    </row>
    <row r="658" spans="1:25">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8"/>
      <c r="X658" s="695"/>
      <c r="Y658" s="695"/>
    </row>
    <row r="659" spans="1:25">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8"/>
      <c r="X659" s="695"/>
      <c r="Y659" s="695"/>
    </row>
    <row r="660" spans="1:25">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8"/>
      <c r="X660" s="695"/>
      <c r="Y660" s="695"/>
    </row>
    <row r="661" spans="1:25">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8"/>
      <c r="X661" s="695"/>
      <c r="Y661" s="695"/>
    </row>
    <row r="662" spans="1:25">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8"/>
      <c r="X662" s="695"/>
      <c r="Y662" s="695"/>
    </row>
    <row r="663" spans="1:25">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8"/>
      <c r="X663" s="695"/>
      <c r="Y663" s="695"/>
    </row>
    <row r="664" spans="1:25">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8"/>
      <c r="X664" s="695"/>
      <c r="Y664" s="695"/>
    </row>
    <row r="665" spans="1:25">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8"/>
      <c r="X665" s="695"/>
      <c r="Y665" s="695"/>
    </row>
    <row r="666" spans="1:25">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8"/>
      <c r="X666" s="695"/>
      <c r="Y666" s="695"/>
    </row>
    <row r="667" spans="1:25">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8"/>
      <c r="X667" s="695"/>
      <c r="Y667" s="695"/>
    </row>
    <row r="668" spans="1:25">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8"/>
      <c r="X668" s="695"/>
      <c r="Y668" s="695"/>
    </row>
    <row r="669" spans="1:25">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8"/>
      <c r="X669" s="695"/>
      <c r="Y669" s="695"/>
    </row>
    <row r="670" spans="1:25">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8"/>
      <c r="X670" s="695"/>
      <c r="Y670" s="695"/>
    </row>
    <row r="671" spans="1:25">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8"/>
      <c r="X671" s="695"/>
      <c r="Y671" s="695"/>
    </row>
    <row r="672" spans="1:25">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8"/>
      <c r="X672" s="695"/>
      <c r="Y672" s="695"/>
    </row>
    <row r="673" spans="1:25">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8"/>
      <c r="X673" s="695"/>
      <c r="Y673" s="695"/>
    </row>
    <row r="674" spans="1:25">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8"/>
      <c r="X674" s="695"/>
      <c r="Y674" s="695"/>
    </row>
    <row r="675" spans="1:25">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8"/>
      <c r="X675" s="695"/>
      <c r="Y675" s="695"/>
    </row>
    <row r="676" spans="1:25">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8"/>
      <c r="X676" s="695"/>
      <c r="Y676" s="695"/>
    </row>
    <row r="677" spans="1:25">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8"/>
      <c r="X677" s="695"/>
      <c r="Y677" s="695"/>
    </row>
    <row r="678" spans="1:25">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8"/>
      <c r="X678" s="695"/>
      <c r="Y678" s="695"/>
    </row>
    <row r="679" spans="1:25">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8"/>
      <c r="X679" s="695"/>
      <c r="Y679" s="695"/>
    </row>
    <row r="680" spans="1:25">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8"/>
      <c r="X680" s="695"/>
      <c r="Y680" s="695"/>
    </row>
    <row r="681" spans="1:25">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8"/>
      <c r="X681" s="695"/>
      <c r="Y681" s="695"/>
    </row>
    <row r="682" spans="1:25">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8"/>
      <c r="X682" s="695"/>
      <c r="Y682" s="695"/>
    </row>
    <row r="683" spans="1:25">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8"/>
      <c r="X683" s="695"/>
      <c r="Y683" s="695"/>
    </row>
    <row r="684" spans="1:25">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8"/>
      <c r="X684" s="695"/>
      <c r="Y684" s="695"/>
    </row>
    <row r="685" spans="1:25">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8"/>
      <c r="X685" s="695"/>
      <c r="Y685" s="695"/>
    </row>
    <row r="686" spans="1:25">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8"/>
      <c r="X686" s="695"/>
      <c r="Y686" s="695"/>
    </row>
    <row r="687" spans="1:25">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8"/>
      <c r="X687" s="695"/>
      <c r="Y687" s="695"/>
    </row>
    <row r="688" spans="1:25">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8"/>
      <c r="X688" s="695"/>
      <c r="Y688" s="695"/>
    </row>
    <row r="689" spans="1:25">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8"/>
      <c r="X689" s="695"/>
      <c r="Y689" s="695"/>
    </row>
    <row r="690" spans="1:25">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8"/>
      <c r="X690" s="695"/>
      <c r="Y690" s="695"/>
    </row>
    <row r="691" spans="1:25">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8"/>
      <c r="X691" s="695"/>
      <c r="Y691" s="695"/>
    </row>
    <row r="692" spans="1:25">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8"/>
      <c r="X692" s="695"/>
      <c r="Y692" s="695"/>
    </row>
    <row r="693" spans="1:25">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8"/>
      <c r="X693" s="695"/>
      <c r="Y693" s="695"/>
    </row>
    <row r="694" spans="1:25">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8"/>
      <c r="X694" s="695"/>
      <c r="Y694" s="695"/>
    </row>
    <row r="695" spans="1:25">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8"/>
      <c r="X695" s="695"/>
      <c r="Y695" s="695"/>
    </row>
    <row r="696" spans="1:25">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8"/>
      <c r="X696" s="695"/>
      <c r="Y696" s="695"/>
    </row>
    <row r="697" spans="1:25">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8"/>
      <c r="X697" s="695"/>
      <c r="Y697" s="695"/>
    </row>
    <row r="698" spans="1:25">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8"/>
      <c r="X698" s="695"/>
      <c r="Y698" s="695"/>
    </row>
    <row r="699" spans="1:25">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8"/>
      <c r="X699" s="695"/>
      <c r="Y699" s="695"/>
    </row>
    <row r="700" spans="1:25">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8"/>
      <c r="X700" s="695"/>
      <c r="Y700" s="695"/>
    </row>
    <row r="701" spans="1:25">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8"/>
      <c r="X701" s="695"/>
      <c r="Y701" s="695"/>
    </row>
    <row r="702" spans="1:25">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8"/>
      <c r="X702" s="695"/>
      <c r="Y702" s="695"/>
    </row>
    <row r="703" spans="1:25">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8"/>
      <c r="X703" s="695"/>
      <c r="Y703" s="695"/>
    </row>
    <row r="704" spans="1:25">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8"/>
      <c r="X704" s="695"/>
      <c r="Y704" s="695"/>
    </row>
    <row r="705" spans="1:25">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8"/>
      <c r="X705" s="695"/>
      <c r="Y705" s="695"/>
    </row>
    <row r="706" spans="1:25">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8"/>
      <c r="X706" s="695"/>
      <c r="Y706" s="695"/>
    </row>
    <row r="707" spans="1:25">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8"/>
      <c r="X707" s="695"/>
      <c r="Y707" s="695"/>
    </row>
    <row r="708" spans="1:25">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8"/>
      <c r="X708" s="695"/>
      <c r="Y708" s="695"/>
    </row>
    <row r="709" spans="1:25">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8"/>
      <c r="X709" s="695"/>
      <c r="Y709" s="695"/>
    </row>
    <row r="710" spans="1:25">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8"/>
      <c r="X710" s="695"/>
      <c r="Y710" s="695"/>
    </row>
    <row r="711" spans="1:25">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8"/>
      <c r="X711" s="695"/>
      <c r="Y711" s="695"/>
    </row>
    <row r="712" spans="1:25">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8"/>
      <c r="X712" s="695"/>
      <c r="Y712" s="695"/>
    </row>
    <row r="713" spans="1:25">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8"/>
      <c r="X713" s="695"/>
      <c r="Y713" s="695"/>
    </row>
    <row r="714" spans="1:25">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8"/>
      <c r="X714" s="695"/>
      <c r="Y714" s="695"/>
    </row>
    <row r="715" spans="1:25">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8"/>
      <c r="X715" s="695"/>
      <c r="Y715" s="695"/>
    </row>
    <row r="716" spans="1:25">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8"/>
      <c r="X716" s="695"/>
      <c r="Y716" s="695"/>
    </row>
    <row r="717" spans="1:25">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8"/>
      <c r="X717" s="695"/>
      <c r="Y717" s="695"/>
    </row>
    <row r="718" spans="1:25">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8"/>
      <c r="X718" s="695"/>
      <c r="Y718" s="695"/>
    </row>
    <row r="719" spans="1:25">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8"/>
      <c r="X719" s="695"/>
      <c r="Y719" s="695"/>
    </row>
    <row r="720" spans="1:25">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8"/>
      <c r="X720" s="695"/>
      <c r="Y720" s="695"/>
    </row>
    <row r="721" spans="1:25">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8"/>
      <c r="X721" s="695"/>
      <c r="Y721" s="695"/>
    </row>
    <row r="722" spans="1:25">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8"/>
      <c r="X722" s="695"/>
      <c r="Y722" s="695"/>
    </row>
    <row r="723" spans="1:25">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8"/>
      <c r="X723" s="695"/>
      <c r="Y723" s="695"/>
    </row>
    <row r="724" spans="1:25">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8"/>
      <c r="X724" s="695"/>
      <c r="Y724" s="695"/>
    </row>
    <row r="725" spans="1:25">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8"/>
      <c r="X725" s="695"/>
      <c r="Y725" s="695"/>
    </row>
    <row r="726" spans="1:25">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8"/>
      <c r="X726" s="695"/>
      <c r="Y726" s="695"/>
    </row>
    <row r="727" spans="1:25">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8"/>
      <c r="X727" s="695"/>
      <c r="Y727" s="695"/>
    </row>
    <row r="728" spans="1:25">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8"/>
      <c r="X728" s="695"/>
      <c r="Y728" s="695"/>
    </row>
    <row r="729" spans="1:25">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8"/>
      <c r="X729" s="695"/>
      <c r="Y729" s="695"/>
    </row>
    <row r="730" spans="1:25">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8"/>
      <c r="X730" s="695"/>
      <c r="Y730" s="695"/>
    </row>
    <row r="731" spans="1:25">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8"/>
      <c r="X731" s="695"/>
      <c r="Y731" s="695"/>
    </row>
    <row r="732" spans="1:25">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8"/>
      <c r="X732" s="695"/>
      <c r="Y732" s="695"/>
    </row>
    <row r="733" spans="1:25">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8"/>
      <c r="X733" s="695"/>
      <c r="Y733" s="695"/>
    </row>
    <row r="734" spans="1:25">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8"/>
      <c r="X734" s="695"/>
      <c r="Y734" s="695"/>
    </row>
    <row r="735" spans="1:25">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8"/>
      <c r="X735" s="695"/>
      <c r="Y735" s="695"/>
    </row>
    <row r="736" spans="1:25">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8"/>
      <c r="X736" s="695"/>
      <c r="Y736" s="695"/>
    </row>
    <row r="737" spans="1:25">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8"/>
      <c r="X737" s="695"/>
      <c r="Y737" s="695"/>
    </row>
    <row r="738" spans="1:25">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8"/>
      <c r="X738" s="695"/>
      <c r="Y738" s="695"/>
    </row>
    <row r="739" spans="1:25">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8"/>
      <c r="X739" s="695"/>
      <c r="Y739" s="695"/>
    </row>
    <row r="740" spans="1:25">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8"/>
      <c r="X740" s="695"/>
      <c r="Y740" s="695"/>
    </row>
    <row r="741" spans="1:25">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8"/>
      <c r="X741" s="695"/>
      <c r="Y741" s="695"/>
    </row>
    <row r="742" spans="1:25">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8"/>
      <c r="X742" s="695"/>
      <c r="Y742" s="695"/>
    </row>
    <row r="743" spans="1:25">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8"/>
      <c r="X743" s="695"/>
      <c r="Y743" s="695"/>
    </row>
    <row r="744" spans="1:25">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8"/>
      <c r="X744" s="695"/>
      <c r="Y744" s="695"/>
    </row>
    <row r="745" spans="1:25">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8"/>
      <c r="X745" s="695"/>
      <c r="Y745" s="695"/>
    </row>
    <row r="746" spans="1:25">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8"/>
      <c r="X746" s="695"/>
      <c r="Y746" s="695"/>
    </row>
    <row r="747" spans="1:25">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8"/>
      <c r="X747" s="695"/>
      <c r="Y747" s="695"/>
    </row>
    <row r="748" spans="1:25">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8"/>
      <c r="X748" s="695"/>
      <c r="Y748" s="695"/>
    </row>
    <row r="749" spans="1:25">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8"/>
      <c r="X749" s="695"/>
      <c r="Y749" s="695"/>
    </row>
    <row r="750" spans="1:25">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8"/>
      <c r="X750" s="695"/>
      <c r="Y750" s="695"/>
    </row>
    <row r="751" spans="1:25">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8"/>
      <c r="X751" s="695"/>
      <c r="Y751" s="695"/>
    </row>
    <row r="752" spans="1:25">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8"/>
      <c r="X752" s="695"/>
      <c r="Y752" s="695"/>
    </row>
    <row r="753" spans="1:25">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8"/>
      <c r="X753" s="695"/>
      <c r="Y753" s="695"/>
    </row>
    <row r="754" spans="1:25">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8"/>
      <c r="X754" s="695"/>
      <c r="Y754" s="695"/>
    </row>
    <row r="755" spans="1:25">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8"/>
      <c r="X755" s="695"/>
      <c r="Y755" s="695"/>
    </row>
    <row r="756" spans="1:25">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8"/>
      <c r="X756" s="695"/>
      <c r="Y756" s="695"/>
    </row>
    <row r="757" spans="1:25">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8"/>
      <c r="X757" s="695"/>
      <c r="Y757" s="695"/>
    </row>
    <row r="758" spans="1:25">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8"/>
      <c r="X758" s="695"/>
      <c r="Y758" s="695"/>
    </row>
    <row r="759" spans="1:25">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8"/>
      <c r="X759" s="695"/>
      <c r="Y759" s="695"/>
    </row>
    <row r="760" spans="1:25">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8"/>
      <c r="X760" s="695"/>
      <c r="Y760" s="695"/>
    </row>
    <row r="761" spans="1:25">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8"/>
      <c r="X761" s="695"/>
      <c r="Y761" s="695"/>
    </row>
    <row r="762" spans="1:25">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8"/>
      <c r="X762" s="695"/>
      <c r="Y762" s="695"/>
    </row>
    <row r="763" spans="1:25">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8"/>
      <c r="X763" s="695"/>
      <c r="Y763" s="695"/>
    </row>
    <row r="764" spans="1:25">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8"/>
      <c r="X764" s="695"/>
      <c r="Y764" s="695"/>
    </row>
    <row r="765" spans="1:25">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8"/>
      <c r="X765" s="695"/>
      <c r="Y765" s="695"/>
    </row>
    <row r="766" spans="1:25">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8"/>
      <c r="X766" s="695"/>
      <c r="Y766" s="695"/>
    </row>
    <row r="767" spans="1:25">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8"/>
      <c r="X767" s="695"/>
      <c r="Y767" s="695"/>
    </row>
    <row r="768" spans="1:25">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8"/>
      <c r="X768" s="695"/>
      <c r="Y768" s="695"/>
    </row>
    <row r="769" spans="1:25">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8"/>
      <c r="X769" s="695"/>
      <c r="Y769" s="695"/>
    </row>
    <row r="770" spans="1:25">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8"/>
      <c r="X770" s="695"/>
      <c r="Y770" s="695"/>
    </row>
    <row r="771" spans="1:25">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8"/>
      <c r="X771" s="695"/>
      <c r="Y771" s="695"/>
    </row>
    <row r="772" spans="1:25">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8"/>
      <c r="X772" s="695"/>
      <c r="Y772" s="695"/>
    </row>
    <row r="773" spans="1:25">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8"/>
      <c r="X773" s="695"/>
      <c r="Y773" s="695"/>
    </row>
    <row r="774" spans="1:25">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8"/>
      <c r="X774" s="695"/>
      <c r="Y774" s="695"/>
    </row>
    <row r="775" spans="1:25">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8"/>
      <c r="X775" s="695"/>
      <c r="Y775" s="695"/>
    </row>
    <row r="776" spans="1:25">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8"/>
      <c r="X776" s="695"/>
      <c r="Y776" s="695"/>
    </row>
    <row r="777" spans="1:25">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8"/>
      <c r="X777" s="695"/>
      <c r="Y777" s="695"/>
    </row>
    <row r="778" spans="1:25">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8"/>
      <c r="X778" s="695"/>
      <c r="Y778" s="695"/>
    </row>
    <row r="779" spans="1:25">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8"/>
      <c r="X779" s="695"/>
      <c r="Y779" s="695"/>
    </row>
    <row r="780" spans="1:25">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8"/>
      <c r="X780" s="695"/>
      <c r="Y780" s="695"/>
    </row>
    <row r="781" spans="1:25">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8"/>
      <c r="X781" s="695"/>
      <c r="Y781" s="695"/>
    </row>
    <row r="782" spans="1:25">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8"/>
      <c r="X782" s="695"/>
      <c r="Y782" s="695"/>
    </row>
    <row r="783" spans="1:25">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8"/>
      <c r="X783" s="695"/>
      <c r="Y783" s="695"/>
    </row>
    <row r="784" spans="1:25">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8"/>
      <c r="X784" s="695"/>
      <c r="Y784" s="695"/>
    </row>
    <row r="785" spans="1:25">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8"/>
      <c r="X785" s="695"/>
      <c r="Y785" s="695"/>
    </row>
    <row r="786" spans="1:25">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8"/>
      <c r="X786" s="695"/>
      <c r="Y786" s="695"/>
    </row>
    <row r="787" spans="1:25">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8"/>
      <c r="X787" s="695"/>
      <c r="Y787" s="695"/>
    </row>
    <row r="788" spans="1:25">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8"/>
      <c r="X788" s="695"/>
      <c r="Y788" s="695"/>
    </row>
    <row r="789" spans="1:25">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8"/>
      <c r="X789" s="695"/>
      <c r="Y789" s="695"/>
    </row>
    <row r="790" spans="1:25">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8"/>
      <c r="X790" s="695"/>
      <c r="Y790" s="695"/>
    </row>
    <row r="791" spans="1:25">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8"/>
      <c r="X791" s="695"/>
      <c r="Y791" s="695"/>
    </row>
    <row r="792" spans="1:25">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8"/>
      <c r="X792" s="695"/>
      <c r="Y792" s="695"/>
    </row>
    <row r="793" spans="1:25">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8"/>
      <c r="X793" s="695"/>
      <c r="Y793" s="695"/>
    </row>
    <row r="794" spans="1:25">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8"/>
      <c r="X794" s="695"/>
      <c r="Y794" s="695"/>
    </row>
    <row r="795" spans="1:25">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8"/>
      <c r="X795" s="695"/>
      <c r="Y795" s="695"/>
    </row>
    <row r="796" spans="1:25">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8"/>
      <c r="X796" s="695"/>
      <c r="Y796" s="695"/>
    </row>
    <row r="797" spans="1:25">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8"/>
      <c r="X797" s="695"/>
      <c r="Y797" s="695"/>
    </row>
    <row r="798" spans="1:25">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8"/>
      <c r="X798" s="695"/>
      <c r="Y798" s="695"/>
    </row>
    <row r="799" spans="1:25">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8"/>
      <c r="X799" s="695"/>
      <c r="Y799" s="695"/>
    </row>
    <row r="800" spans="1:25">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8"/>
      <c r="X800" s="695"/>
      <c r="Y800" s="695"/>
    </row>
    <row r="801" spans="1:25">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8"/>
      <c r="X801" s="695"/>
      <c r="Y801" s="695"/>
    </row>
    <row r="802" spans="1:25">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8"/>
      <c r="X802" s="695"/>
      <c r="Y802" s="695"/>
    </row>
    <row r="803" spans="1:25">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8"/>
      <c r="X803" s="695"/>
      <c r="Y803" s="695"/>
    </row>
    <row r="804" spans="1:25">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8"/>
      <c r="X804" s="695"/>
      <c r="Y804" s="695"/>
    </row>
    <row r="805" spans="1:25">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8"/>
      <c r="X805" s="695"/>
      <c r="Y805" s="695"/>
    </row>
    <row r="806" spans="1:25">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8"/>
      <c r="X806" s="695"/>
      <c r="Y806" s="695"/>
    </row>
    <row r="807" spans="1:25">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8"/>
      <c r="X807" s="695"/>
      <c r="Y807" s="695"/>
    </row>
    <row r="808" spans="1:25">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8"/>
      <c r="X808" s="695"/>
      <c r="Y808" s="695"/>
    </row>
    <row r="809" spans="1:25">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8"/>
      <c r="X809" s="695"/>
      <c r="Y809" s="695"/>
    </row>
    <row r="810" spans="1:25">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8"/>
      <c r="X810" s="695"/>
      <c r="Y810" s="695"/>
    </row>
    <row r="811" spans="1:25">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8"/>
      <c r="X811" s="695"/>
      <c r="Y811" s="695"/>
    </row>
    <row r="812" spans="1:25">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8"/>
      <c r="X812" s="695"/>
      <c r="Y812" s="695"/>
    </row>
    <row r="813" spans="1:25">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8"/>
      <c r="X813" s="695"/>
      <c r="Y813" s="695"/>
    </row>
    <row r="814" spans="1:25">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8"/>
      <c r="X814" s="695"/>
      <c r="Y814" s="695"/>
    </row>
    <row r="815" spans="1:25">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8"/>
      <c r="X815" s="695"/>
      <c r="Y815" s="695"/>
    </row>
    <row r="816" spans="1:25">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8"/>
      <c r="X816" s="695"/>
      <c r="Y816" s="695"/>
    </row>
    <row r="817" spans="1:25">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8"/>
      <c r="X817" s="695"/>
      <c r="Y817" s="695"/>
    </row>
    <row r="818" spans="1:25">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8"/>
      <c r="X818" s="695"/>
      <c r="Y818" s="695"/>
    </row>
    <row r="819" spans="1:25">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8"/>
      <c r="X819" s="695"/>
      <c r="Y819" s="695"/>
    </row>
    <row r="820" spans="1:25">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8"/>
      <c r="X820" s="695"/>
      <c r="Y820" s="695"/>
    </row>
    <row r="821" spans="1:25">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8"/>
      <c r="X821" s="695"/>
      <c r="Y821" s="695"/>
    </row>
    <row r="822" spans="1:25">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8"/>
      <c r="X822" s="695"/>
      <c r="Y822" s="695"/>
    </row>
    <row r="823" spans="1:25">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8"/>
      <c r="X823" s="695"/>
      <c r="Y823" s="695"/>
    </row>
    <row r="824" spans="1:25">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8"/>
      <c r="X824" s="695"/>
      <c r="Y824" s="695"/>
    </row>
    <row r="825" spans="1:25">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8"/>
      <c r="X825" s="695"/>
      <c r="Y825" s="695"/>
    </row>
    <row r="826" spans="1:25">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8"/>
      <c r="X826" s="695"/>
      <c r="Y826" s="695"/>
    </row>
    <row r="827" spans="1:25">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8"/>
      <c r="X827" s="695"/>
      <c r="Y827" s="695"/>
    </row>
    <row r="828" spans="1:25">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8"/>
      <c r="X828" s="695"/>
      <c r="Y828" s="695"/>
    </row>
    <row r="829" spans="1:25">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8"/>
      <c r="X829" s="695"/>
      <c r="Y829" s="695"/>
    </row>
    <row r="830" spans="1:25">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8"/>
      <c r="X830" s="695"/>
      <c r="Y830" s="695"/>
    </row>
    <row r="831" spans="1:25">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8"/>
      <c r="X831" s="695"/>
      <c r="Y831" s="695"/>
    </row>
    <row r="832" spans="1:25">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8"/>
      <c r="X832" s="695"/>
      <c r="Y832" s="695"/>
    </row>
    <row r="833" spans="1:25">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8"/>
      <c r="X833" s="695"/>
      <c r="Y833" s="695"/>
    </row>
    <row r="834" spans="1:25">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8"/>
      <c r="X834" s="695"/>
      <c r="Y834" s="695"/>
    </row>
    <row r="835" spans="1:25">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8"/>
      <c r="X835" s="695"/>
      <c r="Y835" s="695"/>
    </row>
    <row r="836" spans="1:25">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8"/>
      <c r="X836" s="695"/>
      <c r="Y836" s="695"/>
    </row>
    <row r="837" spans="1:25">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8"/>
      <c r="X837" s="695"/>
      <c r="Y837" s="695"/>
    </row>
    <row r="838" spans="1:25">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8"/>
      <c r="X838" s="695"/>
      <c r="Y838" s="695"/>
    </row>
    <row r="839" spans="1:25">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8"/>
      <c r="X839" s="695"/>
      <c r="Y839" s="695"/>
    </row>
    <row r="840" spans="1:25">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8"/>
      <c r="X840" s="695"/>
      <c r="Y840" s="695"/>
    </row>
    <row r="841" spans="1:25">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8"/>
      <c r="X841" s="695"/>
      <c r="Y841" s="695"/>
    </row>
    <row r="842" spans="1:25">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8"/>
      <c r="X842" s="695"/>
      <c r="Y842" s="695"/>
    </row>
    <row r="843" spans="1:25">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8"/>
      <c r="X843" s="695"/>
      <c r="Y843" s="695"/>
    </row>
    <row r="844" spans="1:25">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8"/>
      <c r="X844" s="695"/>
      <c r="Y844" s="695"/>
    </row>
    <row r="845" spans="1:25">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8"/>
      <c r="X845" s="695"/>
      <c r="Y845" s="695"/>
    </row>
    <row r="846" spans="1:25">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8"/>
      <c r="X846" s="695"/>
      <c r="Y846" s="695"/>
    </row>
    <row r="847" spans="1:25">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8"/>
      <c r="X847" s="695"/>
      <c r="Y847" s="695"/>
    </row>
    <row r="848" spans="1:25">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8"/>
      <c r="X848" s="695"/>
      <c r="Y848" s="695"/>
    </row>
    <row r="849" spans="1:25">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8"/>
      <c r="X849" s="695"/>
      <c r="Y849" s="695"/>
    </row>
    <row r="850" spans="1:25">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8"/>
      <c r="X850" s="695"/>
      <c r="Y850" s="695"/>
    </row>
    <row r="851" spans="1:25">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8"/>
      <c r="X851" s="695"/>
      <c r="Y851" s="695"/>
    </row>
    <row r="852" spans="1:25">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8"/>
      <c r="X852" s="695"/>
      <c r="Y852" s="695"/>
    </row>
    <row r="853" spans="1:25">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8"/>
      <c r="X853" s="695"/>
      <c r="Y853" s="695"/>
    </row>
    <row r="854" spans="1:25">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8"/>
      <c r="X854" s="695"/>
      <c r="Y854" s="695"/>
    </row>
    <row r="855" spans="1:25">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8"/>
      <c r="X855" s="695"/>
      <c r="Y855" s="695"/>
    </row>
    <row r="856" spans="1:25">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8"/>
      <c r="X856" s="695"/>
      <c r="Y856" s="695"/>
    </row>
    <row r="857" spans="1:25">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8"/>
      <c r="X857" s="695"/>
      <c r="Y857" s="695"/>
    </row>
    <row r="858" spans="1:25">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8"/>
      <c r="X858" s="695"/>
      <c r="Y858" s="695"/>
    </row>
    <row r="859" spans="1:25">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8"/>
      <c r="X859" s="695"/>
      <c r="Y859" s="695"/>
    </row>
    <row r="860" spans="1:25">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8"/>
      <c r="X860" s="695"/>
      <c r="Y860" s="695"/>
    </row>
    <row r="861" spans="1:25">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8"/>
      <c r="X861" s="695"/>
      <c r="Y861" s="695"/>
    </row>
    <row r="862" spans="1:25">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8"/>
      <c r="X862" s="695"/>
      <c r="Y862" s="695"/>
    </row>
    <row r="863" spans="1:25">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8"/>
      <c r="X863" s="695"/>
      <c r="Y863" s="695"/>
    </row>
    <row r="864" spans="1:25">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8"/>
      <c r="X864" s="695"/>
      <c r="Y864" s="695"/>
    </row>
    <row r="865" spans="1:25">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8"/>
      <c r="X865" s="695"/>
      <c r="Y865" s="695"/>
    </row>
    <row r="866" spans="1:25">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8"/>
      <c r="X866" s="695"/>
      <c r="Y866" s="695"/>
    </row>
    <row r="867" spans="1:25">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8"/>
      <c r="X867" s="695"/>
      <c r="Y867" s="695"/>
    </row>
    <row r="868" spans="1:25">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8"/>
      <c r="X868" s="695"/>
      <c r="Y868" s="695"/>
    </row>
    <row r="869" spans="1:25">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8"/>
      <c r="X869" s="695"/>
      <c r="Y869" s="695"/>
    </row>
    <row r="870" spans="1:25">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8"/>
      <c r="X870" s="695"/>
      <c r="Y870" s="695"/>
    </row>
    <row r="871" spans="1:25">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8"/>
      <c r="X871" s="695"/>
      <c r="Y871" s="695"/>
    </row>
    <row r="872" spans="1:25">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8"/>
      <c r="X872" s="695"/>
      <c r="Y872" s="695"/>
    </row>
    <row r="873" spans="1:25">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8"/>
      <c r="X873" s="695"/>
      <c r="Y873" s="695"/>
    </row>
    <row r="874" spans="1:25">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8"/>
      <c r="X874" s="695"/>
      <c r="Y874" s="695"/>
    </row>
    <row r="875" spans="1:25">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8"/>
      <c r="X875" s="695"/>
      <c r="Y875" s="695"/>
    </row>
    <row r="876" spans="1:25">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8"/>
      <c r="X876" s="695"/>
      <c r="Y876" s="695"/>
    </row>
    <row r="877" spans="1:25">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8"/>
      <c r="X877" s="695"/>
      <c r="Y877" s="695"/>
    </row>
    <row r="878" spans="1:25">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8"/>
      <c r="X878" s="695"/>
      <c r="Y878" s="695"/>
    </row>
    <row r="879" spans="1:25">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8"/>
      <c r="X879" s="695"/>
      <c r="Y879" s="695"/>
    </row>
    <row r="880" spans="1:25">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8"/>
      <c r="X880" s="695"/>
      <c r="Y880" s="695"/>
    </row>
    <row r="881" spans="1:25">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8"/>
      <c r="X881" s="695"/>
      <c r="Y881" s="695"/>
    </row>
    <row r="882" spans="1:25">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8"/>
      <c r="X882" s="695"/>
      <c r="Y882" s="695"/>
    </row>
    <row r="883" spans="1:25">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8"/>
      <c r="X883" s="695"/>
      <c r="Y883" s="695"/>
    </row>
    <row r="884" spans="1:25">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8"/>
      <c r="X884" s="695"/>
      <c r="Y884" s="695"/>
    </row>
    <row r="885" spans="1:25">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8"/>
      <c r="X885" s="695"/>
      <c r="Y885" s="695"/>
    </row>
    <row r="886" spans="1:25">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8"/>
      <c r="X886" s="695"/>
      <c r="Y886" s="695"/>
    </row>
    <row r="887" spans="1:25">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8"/>
      <c r="X887" s="695"/>
      <c r="Y887" s="695"/>
    </row>
    <row r="888" spans="1:25">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8"/>
      <c r="X888" s="695"/>
      <c r="Y888" s="695"/>
    </row>
    <row r="889" spans="1:25">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8"/>
      <c r="X889" s="695"/>
      <c r="Y889" s="695"/>
    </row>
    <row r="890" spans="1:25">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8"/>
      <c r="X890" s="695"/>
      <c r="Y890" s="695"/>
    </row>
    <row r="891" spans="1:25">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8"/>
      <c r="X891" s="695"/>
      <c r="Y891" s="695"/>
    </row>
    <row r="892" spans="1:25">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8"/>
      <c r="X892" s="695"/>
      <c r="Y892" s="695"/>
    </row>
    <row r="893" spans="1:25">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8"/>
      <c r="X893" s="695"/>
      <c r="Y893" s="695"/>
    </row>
    <row r="894" spans="1:25">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8"/>
      <c r="X894" s="695"/>
      <c r="Y894" s="695"/>
    </row>
    <row r="895" spans="1:25">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8"/>
      <c r="X895" s="695"/>
      <c r="Y895" s="695"/>
    </row>
    <row r="896" spans="1:25">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8"/>
      <c r="X896" s="695"/>
      <c r="Y896" s="695"/>
    </row>
    <row r="897" spans="1:25">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8"/>
      <c r="X897" s="695"/>
      <c r="Y897" s="695"/>
    </row>
    <row r="898" spans="1:25">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8"/>
      <c r="X898" s="695"/>
      <c r="Y898" s="695"/>
    </row>
    <row r="899" spans="1:25">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8"/>
      <c r="X899" s="695"/>
      <c r="Y899" s="695"/>
    </row>
    <row r="900" spans="1:25">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8"/>
      <c r="X900" s="695"/>
      <c r="Y900" s="695"/>
    </row>
    <row r="901" spans="1:25">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8"/>
      <c r="X901" s="695"/>
      <c r="Y901" s="695"/>
    </row>
    <row r="902" spans="1:25">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8"/>
      <c r="X902" s="695"/>
      <c r="Y902" s="695"/>
    </row>
    <row r="903" spans="1:25">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8"/>
      <c r="X903" s="695"/>
      <c r="Y903" s="695"/>
    </row>
    <row r="904" spans="1:25">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8"/>
      <c r="X904" s="695"/>
      <c r="Y904" s="695"/>
    </row>
    <row r="905" spans="1:25">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8"/>
      <c r="X905" s="695"/>
      <c r="Y905" s="695"/>
    </row>
    <row r="906" spans="1:25">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8"/>
      <c r="X906" s="695"/>
      <c r="Y906" s="695"/>
    </row>
    <row r="907" spans="1:25">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8"/>
      <c r="X907" s="695"/>
      <c r="Y907" s="695"/>
    </row>
    <row r="908" spans="1:25">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8"/>
      <c r="X908" s="695"/>
      <c r="Y908" s="695"/>
    </row>
    <row r="909" spans="1:25">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8"/>
      <c r="X909" s="695"/>
      <c r="Y909" s="695"/>
    </row>
    <row r="910" spans="1:25">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8"/>
      <c r="X910" s="695"/>
      <c r="Y910" s="695"/>
    </row>
    <row r="911" spans="1:25">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8"/>
      <c r="X911" s="695"/>
      <c r="Y911" s="695"/>
    </row>
    <row r="912" spans="1:25">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8"/>
      <c r="X912" s="695"/>
      <c r="Y912" s="695"/>
    </row>
    <row r="913" spans="1:25">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8"/>
      <c r="X913" s="695"/>
      <c r="Y913" s="695"/>
    </row>
    <row r="914" spans="1:25">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8"/>
      <c r="X914" s="695"/>
      <c r="Y914" s="695"/>
    </row>
    <row r="915" spans="1:25">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8"/>
      <c r="X915" s="695"/>
      <c r="Y915" s="695"/>
    </row>
    <row r="916" spans="1:25">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8"/>
      <c r="X916" s="695"/>
      <c r="Y916" s="695"/>
    </row>
    <row r="917" spans="1:25">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8"/>
      <c r="X917" s="695"/>
      <c r="Y917" s="695"/>
    </row>
    <row r="918" spans="1:25">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8"/>
      <c r="X918" s="695"/>
      <c r="Y918" s="695"/>
    </row>
    <row r="919" spans="1:25">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8"/>
      <c r="X919" s="695"/>
      <c r="Y919" s="695"/>
    </row>
    <row r="920" spans="1:25">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8"/>
      <c r="X920" s="695"/>
      <c r="Y920" s="695"/>
    </row>
    <row r="921" spans="1:25">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8"/>
      <c r="X921" s="695"/>
      <c r="Y921" s="695"/>
    </row>
    <row r="922" spans="1:25">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8"/>
      <c r="X922" s="695"/>
      <c r="Y922" s="695"/>
    </row>
    <row r="923" spans="1:25">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8"/>
      <c r="X923" s="695"/>
      <c r="Y923" s="695"/>
    </row>
    <row r="924" spans="1:25">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8"/>
      <c r="X924" s="695"/>
      <c r="Y924" s="695"/>
    </row>
    <row r="925" spans="1:25">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8"/>
      <c r="X925" s="695"/>
      <c r="Y925" s="695"/>
    </row>
    <row r="926" spans="1:25">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8"/>
      <c r="X926" s="695"/>
      <c r="Y926" s="695"/>
    </row>
    <row r="927" spans="1:25">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8"/>
      <c r="X927" s="695"/>
      <c r="Y927" s="695"/>
    </row>
    <row r="928" spans="1:25">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8"/>
      <c r="X928" s="695"/>
      <c r="Y928" s="695"/>
    </row>
    <row r="929" spans="1:25">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8"/>
      <c r="X929" s="695"/>
      <c r="Y929" s="695"/>
    </row>
    <row r="930" spans="1:25">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8"/>
      <c r="X930" s="695"/>
      <c r="Y930" s="695"/>
    </row>
    <row r="931" spans="1:25">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8"/>
      <c r="X931" s="695"/>
      <c r="Y931" s="695"/>
    </row>
    <row r="932" spans="1:25">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8"/>
      <c r="X932" s="695"/>
      <c r="Y932" s="695"/>
    </row>
    <row r="933" spans="1:25">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8"/>
      <c r="X933" s="695"/>
      <c r="Y933" s="695"/>
    </row>
    <row r="934" spans="1:25">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8"/>
      <c r="X934" s="695"/>
      <c r="Y934" s="695"/>
    </row>
    <row r="935" spans="1:25">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8"/>
      <c r="X935" s="695"/>
      <c r="Y935" s="695"/>
    </row>
    <row r="936" spans="1:25">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8"/>
      <c r="X936" s="695"/>
      <c r="Y936" s="695"/>
    </row>
    <row r="937" spans="1:25">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8"/>
      <c r="X937" s="695"/>
      <c r="Y937" s="695"/>
    </row>
    <row r="938" spans="1:25">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8"/>
      <c r="X938" s="695"/>
      <c r="Y938" s="695"/>
    </row>
    <row r="939" spans="1:25">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8"/>
      <c r="X939" s="695"/>
      <c r="Y939" s="695"/>
    </row>
    <row r="940" spans="1:25">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8"/>
      <c r="X940" s="695"/>
      <c r="Y940" s="695"/>
    </row>
    <row r="941" spans="1:25">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8"/>
      <c r="X941" s="695"/>
      <c r="Y941" s="695"/>
    </row>
    <row r="942" spans="1:25">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8"/>
      <c r="X942" s="695"/>
      <c r="Y942" s="695"/>
    </row>
    <row r="943" spans="1:25">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8"/>
      <c r="X943" s="695"/>
      <c r="Y943" s="695"/>
    </row>
    <row r="944" spans="1:25">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8"/>
      <c r="X944" s="695"/>
      <c r="Y944" s="695"/>
    </row>
    <row r="945" spans="1:25">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8"/>
      <c r="X945" s="695"/>
      <c r="Y945" s="695"/>
    </row>
    <row r="946" spans="1:25">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8"/>
      <c r="X946" s="695"/>
      <c r="Y946" s="695"/>
    </row>
    <row r="947" spans="1:25">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8"/>
      <c r="X947" s="695"/>
      <c r="Y947" s="695"/>
    </row>
    <row r="948" spans="1:25">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8"/>
      <c r="X948" s="695"/>
      <c r="Y948" s="695"/>
    </row>
    <row r="949" spans="1:25">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8"/>
      <c r="X949" s="695"/>
      <c r="Y949" s="695"/>
    </row>
    <row r="950" spans="1:25">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8"/>
      <c r="X950" s="695"/>
      <c r="Y950" s="695"/>
    </row>
    <row r="951" spans="1:25">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8"/>
      <c r="X951" s="695"/>
      <c r="Y951" s="695"/>
    </row>
    <row r="952" spans="1:25">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8"/>
      <c r="X952" s="695"/>
      <c r="Y952" s="695"/>
    </row>
    <row r="953" spans="1:25">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8"/>
      <c r="X953" s="695"/>
      <c r="Y953" s="695"/>
    </row>
    <row r="954" spans="1:25">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8"/>
      <c r="X954" s="695"/>
      <c r="Y954" s="695"/>
    </row>
    <row r="955" spans="1:25">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8"/>
      <c r="X955" s="695"/>
      <c r="Y955" s="695"/>
    </row>
    <row r="956" spans="1:25">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8"/>
      <c r="X956" s="695"/>
      <c r="Y956" s="695"/>
    </row>
    <row r="957" spans="1:25">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8"/>
      <c r="X957" s="695"/>
      <c r="Y957" s="695"/>
    </row>
    <row r="958" spans="1:25">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8"/>
      <c r="X958" s="695"/>
      <c r="Y958" s="695"/>
    </row>
    <row r="959" spans="1:25">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8"/>
      <c r="X959" s="695"/>
      <c r="Y959" s="695"/>
    </row>
    <row r="960" spans="1:25">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8"/>
      <c r="X960" s="695"/>
      <c r="Y960" s="695"/>
    </row>
    <row r="961" spans="1:25">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8"/>
      <c r="X961" s="695"/>
      <c r="Y961" s="695"/>
    </row>
    <row r="962" spans="1:25">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8"/>
      <c r="X962" s="695"/>
      <c r="Y962" s="695"/>
    </row>
    <row r="963" spans="1:25">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8"/>
      <c r="X963" s="695"/>
      <c r="Y963" s="695"/>
    </row>
    <row r="964" spans="1:25">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8"/>
      <c r="X964" s="695"/>
      <c r="Y964" s="695"/>
    </row>
    <row r="965" spans="1:25">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8"/>
      <c r="X965" s="695"/>
      <c r="Y965" s="695"/>
    </row>
    <row r="966" spans="1:25">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8"/>
      <c r="X966" s="695"/>
      <c r="Y966" s="695"/>
    </row>
    <row r="967" spans="1:25">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8"/>
      <c r="X967" s="695"/>
      <c r="Y967" s="695"/>
    </row>
    <row r="968" spans="1:25">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8"/>
      <c r="X968" s="695"/>
      <c r="Y968" s="695"/>
    </row>
    <row r="969" spans="1:25">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8"/>
      <c r="X969" s="695"/>
      <c r="Y969" s="695"/>
    </row>
    <row r="970" spans="1:25">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8"/>
      <c r="X970" s="695"/>
      <c r="Y970" s="695"/>
    </row>
    <row r="971" spans="1:25">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8"/>
      <c r="X971" s="695"/>
      <c r="Y971" s="695"/>
    </row>
    <row r="972" spans="1:25">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8"/>
      <c r="X972" s="695"/>
      <c r="Y972" s="695"/>
    </row>
    <row r="973" spans="1:25">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8"/>
      <c r="X973" s="695"/>
      <c r="Y973" s="695"/>
    </row>
    <row r="974" spans="1:25">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8"/>
      <c r="X974" s="695"/>
      <c r="Y974" s="695"/>
    </row>
    <row r="975" spans="1:25">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8"/>
      <c r="X975" s="695"/>
      <c r="Y975" s="695"/>
    </row>
    <row r="976" spans="1:25">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8"/>
      <c r="X976" s="695"/>
      <c r="Y976" s="695"/>
    </row>
    <row r="977" spans="1:25">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8"/>
      <c r="X977" s="695"/>
      <c r="Y977" s="695"/>
    </row>
    <row r="978" spans="1:25">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8"/>
      <c r="X978" s="695"/>
      <c r="Y978" s="695"/>
    </row>
    <row r="979" spans="1:25">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8"/>
      <c r="X979" s="695"/>
      <c r="Y979" s="695"/>
    </row>
    <row r="980" spans="1:25">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8"/>
      <c r="X980" s="695"/>
      <c r="Y980" s="695"/>
    </row>
    <row r="981" spans="1:25">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8"/>
      <c r="X981" s="695"/>
      <c r="Y981" s="695"/>
    </row>
    <row r="982" spans="1:25">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8"/>
      <c r="X982" s="695"/>
      <c r="Y982" s="695"/>
    </row>
    <row r="983" spans="1:25">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8"/>
      <c r="X983" s="695"/>
      <c r="Y983" s="695"/>
    </row>
    <row r="984" spans="1:25">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8"/>
      <c r="X984" s="695"/>
      <c r="Y984" s="695"/>
    </row>
    <row r="985" spans="1:25">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8"/>
      <c r="X985" s="695"/>
      <c r="Y985" s="695"/>
    </row>
    <row r="986" spans="1:25">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8"/>
      <c r="X986" s="695"/>
      <c r="Y986" s="695"/>
    </row>
    <row r="987" spans="1:25">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8"/>
      <c r="X987" s="695"/>
      <c r="Y987" s="695"/>
    </row>
    <row r="988" spans="1:25">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8"/>
      <c r="X988" s="695"/>
      <c r="Y988" s="695"/>
    </row>
    <row r="989" spans="1:25">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8"/>
      <c r="X989" s="695"/>
      <c r="Y989" s="695"/>
    </row>
    <row r="990" spans="1:25">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8"/>
      <c r="X990" s="695"/>
      <c r="Y990" s="695"/>
    </row>
    <row r="991" spans="1:25">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8"/>
      <c r="X991" s="695"/>
      <c r="Y991" s="695"/>
    </row>
    <row r="992" spans="1:25">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8"/>
      <c r="X992" s="695"/>
      <c r="Y992" s="695"/>
    </row>
    <row r="993" spans="1:25">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8"/>
      <c r="X993" s="695"/>
      <c r="Y993" s="695"/>
    </row>
    <row r="994" spans="1:25">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8"/>
      <c r="X994" s="695"/>
      <c r="Y994" s="695"/>
    </row>
    <row r="995" spans="1:25">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8"/>
      <c r="X995" s="695"/>
      <c r="Y995" s="695"/>
    </row>
    <row r="996" spans="1:25">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8"/>
      <c r="X996" s="695"/>
      <c r="Y996" s="695"/>
    </row>
    <row r="997" spans="1:25">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8"/>
      <c r="X997" s="695"/>
      <c r="Y997" s="695"/>
    </row>
    <row r="998" spans="1:25">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8"/>
      <c r="X998" s="695"/>
      <c r="Y998" s="695"/>
    </row>
    <row r="999" spans="1:25">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8"/>
      <c r="X999" s="695"/>
      <c r="Y999" s="695"/>
    </row>
    <row r="1000" spans="1:25">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8"/>
      <c r="X1000" s="695"/>
      <c r="Y1000" s="695"/>
    </row>
    <row r="1001" spans="1:25">
      <c r="A1001" s="187"/>
      <c r="B1001" s="187"/>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8"/>
      <c r="X1001" s="695"/>
      <c r="Y1001" s="695"/>
    </row>
    <row r="1002" spans="1:25">
      <c r="A1002" s="187"/>
      <c r="B1002" s="187"/>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8"/>
      <c r="X1002" s="695"/>
      <c r="Y1002" s="695"/>
    </row>
    <row r="1003" spans="1:25">
      <c r="A1003" s="187"/>
      <c r="B1003" s="187"/>
      <c r="C1003" s="187"/>
      <c r="D1003" s="187"/>
      <c r="E1003" s="187"/>
      <c r="F1003" s="187"/>
      <c r="G1003" s="187"/>
      <c r="H1003" s="187"/>
      <c r="I1003" s="187"/>
      <c r="J1003" s="187"/>
      <c r="K1003" s="187"/>
      <c r="L1003" s="187"/>
      <c r="M1003" s="187"/>
      <c r="N1003" s="187"/>
      <c r="O1003" s="187"/>
      <c r="P1003" s="187"/>
      <c r="Q1003" s="187"/>
      <c r="R1003" s="187"/>
      <c r="S1003" s="187"/>
      <c r="T1003" s="187"/>
      <c r="U1003" s="187"/>
      <c r="V1003" s="187"/>
      <c r="W1003" s="188"/>
      <c r="X1003" s="695"/>
      <c r="Y1003" s="695"/>
    </row>
    <row r="1004" spans="1:25">
      <c r="A1004" s="187"/>
      <c r="B1004" s="187"/>
      <c r="C1004" s="187"/>
      <c r="D1004" s="187"/>
      <c r="E1004" s="187"/>
      <c r="F1004" s="187"/>
      <c r="G1004" s="187"/>
      <c r="H1004" s="187"/>
      <c r="I1004" s="187"/>
      <c r="J1004" s="187"/>
      <c r="K1004" s="187"/>
      <c r="L1004" s="187"/>
      <c r="M1004" s="187"/>
      <c r="N1004" s="187"/>
      <c r="O1004" s="187"/>
      <c r="P1004" s="187"/>
      <c r="Q1004" s="187"/>
      <c r="R1004" s="187"/>
      <c r="S1004" s="187"/>
      <c r="T1004" s="187"/>
      <c r="U1004" s="187"/>
      <c r="V1004" s="187"/>
      <c r="W1004" s="188"/>
      <c r="X1004" s="695"/>
      <c r="Y1004" s="695"/>
    </row>
    <row r="1005" spans="1:25">
      <c r="A1005" s="187"/>
      <c r="B1005" s="187"/>
      <c r="C1005" s="187"/>
      <c r="D1005" s="187"/>
      <c r="E1005" s="187"/>
      <c r="F1005" s="187"/>
      <c r="G1005" s="187"/>
      <c r="H1005" s="187"/>
      <c r="I1005" s="187"/>
      <c r="J1005" s="187"/>
      <c r="K1005" s="187"/>
      <c r="L1005" s="187"/>
      <c r="M1005" s="187"/>
      <c r="N1005" s="187"/>
      <c r="O1005" s="187"/>
      <c r="P1005" s="187"/>
      <c r="Q1005" s="187"/>
      <c r="R1005" s="187"/>
      <c r="S1005" s="187"/>
      <c r="T1005" s="187"/>
      <c r="U1005" s="187"/>
      <c r="V1005" s="187"/>
      <c r="W1005" s="188"/>
      <c r="X1005" s="695"/>
      <c r="Y1005" s="695"/>
    </row>
    <row r="1006" spans="1:25">
      <c r="A1006" s="187"/>
      <c r="B1006" s="187"/>
      <c r="C1006" s="187"/>
      <c r="D1006" s="187"/>
      <c r="E1006" s="187"/>
      <c r="F1006" s="187"/>
      <c r="G1006" s="187"/>
      <c r="H1006" s="187"/>
      <c r="I1006" s="187"/>
      <c r="J1006" s="187"/>
      <c r="K1006" s="187"/>
      <c r="L1006" s="187"/>
      <c r="M1006" s="187"/>
      <c r="N1006" s="187"/>
      <c r="O1006" s="187"/>
      <c r="P1006" s="187"/>
      <c r="Q1006" s="187"/>
      <c r="R1006" s="187"/>
      <c r="S1006" s="187"/>
      <c r="T1006" s="187"/>
      <c r="U1006" s="187"/>
      <c r="V1006" s="187"/>
      <c r="W1006" s="188"/>
      <c r="X1006" s="695"/>
      <c r="Y1006" s="695"/>
    </row>
    <row r="1007" spans="1:25">
      <c r="A1007" s="187"/>
      <c r="B1007" s="187"/>
      <c r="C1007" s="187"/>
      <c r="D1007" s="187"/>
      <c r="E1007" s="187"/>
      <c r="F1007" s="187"/>
      <c r="G1007" s="187"/>
      <c r="H1007" s="187"/>
      <c r="I1007" s="187"/>
      <c r="J1007" s="187"/>
      <c r="K1007" s="187"/>
      <c r="L1007" s="187"/>
      <c r="M1007" s="187"/>
      <c r="N1007" s="187"/>
      <c r="O1007" s="187"/>
      <c r="P1007" s="187"/>
      <c r="Q1007" s="187"/>
      <c r="R1007" s="187"/>
      <c r="S1007" s="187"/>
      <c r="T1007" s="187"/>
      <c r="U1007" s="187"/>
      <c r="V1007" s="187"/>
      <c r="W1007" s="188"/>
      <c r="X1007" s="695"/>
      <c r="Y1007" s="695"/>
    </row>
    <row r="1008" spans="1:25">
      <c r="A1008" s="187"/>
      <c r="B1008" s="187"/>
      <c r="C1008" s="187"/>
      <c r="D1008" s="187"/>
      <c r="E1008" s="187"/>
      <c r="F1008" s="187"/>
      <c r="G1008" s="187"/>
      <c r="H1008" s="187"/>
      <c r="I1008" s="187"/>
      <c r="J1008" s="187"/>
      <c r="K1008" s="187"/>
      <c r="L1008" s="187"/>
      <c r="M1008" s="187"/>
      <c r="N1008" s="187"/>
      <c r="O1008" s="187"/>
      <c r="P1008" s="187"/>
      <c r="Q1008" s="187"/>
      <c r="R1008" s="187"/>
      <c r="S1008" s="187"/>
      <c r="T1008" s="187"/>
      <c r="U1008" s="187"/>
      <c r="V1008" s="187"/>
      <c r="W1008" s="188"/>
      <c r="X1008" s="695"/>
      <c r="Y1008" s="695"/>
    </row>
    <row r="1009" spans="1:25">
      <c r="A1009" s="187"/>
      <c r="B1009" s="187"/>
      <c r="C1009" s="187"/>
      <c r="D1009" s="187"/>
      <c r="E1009" s="187"/>
      <c r="F1009" s="187"/>
      <c r="G1009" s="187"/>
      <c r="H1009" s="187"/>
      <c r="I1009" s="187"/>
      <c r="J1009" s="187"/>
      <c r="K1009" s="187"/>
      <c r="L1009" s="187"/>
      <c r="M1009" s="187"/>
      <c r="N1009" s="187"/>
      <c r="O1009" s="187"/>
      <c r="P1009" s="187"/>
      <c r="Q1009" s="187"/>
      <c r="R1009" s="187"/>
      <c r="S1009" s="187"/>
      <c r="T1009" s="187"/>
      <c r="U1009" s="187"/>
      <c r="V1009" s="187"/>
      <c r="W1009" s="188"/>
      <c r="X1009" s="695"/>
      <c r="Y1009" s="695"/>
    </row>
    <row r="1010" spans="1:25">
      <c r="A1010" s="187"/>
      <c r="B1010" s="187"/>
      <c r="C1010" s="187"/>
      <c r="D1010" s="187"/>
      <c r="E1010" s="187"/>
      <c r="F1010" s="187"/>
      <c r="G1010" s="187"/>
      <c r="H1010" s="187"/>
      <c r="I1010" s="187"/>
      <c r="J1010" s="187"/>
      <c r="K1010" s="187"/>
      <c r="L1010" s="187"/>
      <c r="M1010" s="187"/>
      <c r="N1010" s="187"/>
      <c r="O1010" s="187"/>
      <c r="P1010" s="187"/>
      <c r="Q1010" s="187"/>
      <c r="R1010" s="187"/>
      <c r="S1010" s="187"/>
      <c r="T1010" s="187"/>
      <c r="U1010" s="187"/>
      <c r="V1010" s="187"/>
      <c r="W1010" s="188"/>
      <c r="X1010" s="695"/>
      <c r="Y1010" s="695"/>
    </row>
    <row r="1011" spans="1:25">
      <c r="A1011" s="187"/>
      <c r="B1011" s="187"/>
      <c r="C1011" s="187"/>
      <c r="D1011" s="187"/>
      <c r="E1011" s="187"/>
      <c r="F1011" s="187"/>
      <c r="G1011" s="187"/>
      <c r="H1011" s="187"/>
      <c r="I1011" s="187"/>
      <c r="J1011" s="187"/>
      <c r="K1011" s="187"/>
      <c r="L1011" s="187"/>
      <c r="M1011" s="187"/>
      <c r="N1011" s="187"/>
      <c r="O1011" s="187"/>
      <c r="P1011" s="187"/>
      <c r="Q1011" s="187"/>
      <c r="R1011" s="187"/>
      <c r="S1011" s="187"/>
      <c r="T1011" s="187"/>
      <c r="U1011" s="187"/>
      <c r="V1011" s="187"/>
      <c r="W1011" s="188"/>
      <c r="X1011" s="695"/>
      <c r="Y1011" s="695"/>
    </row>
    <row r="1012" spans="1:25">
      <c r="A1012" s="187"/>
      <c r="B1012" s="187"/>
      <c r="C1012" s="187"/>
      <c r="D1012" s="187"/>
      <c r="E1012" s="187"/>
      <c r="F1012" s="187"/>
      <c r="G1012" s="187"/>
      <c r="H1012" s="187"/>
      <c r="I1012" s="187"/>
      <c r="J1012" s="187"/>
      <c r="K1012" s="187"/>
      <c r="L1012" s="187"/>
      <c r="M1012" s="187"/>
      <c r="N1012" s="187"/>
      <c r="O1012" s="187"/>
      <c r="P1012" s="187"/>
      <c r="Q1012" s="187"/>
      <c r="R1012" s="187"/>
      <c r="S1012" s="187"/>
      <c r="T1012" s="187"/>
      <c r="U1012" s="187"/>
      <c r="V1012" s="187"/>
      <c r="W1012" s="188"/>
      <c r="X1012" s="695"/>
      <c r="Y1012" s="695"/>
    </row>
    <row r="1013" spans="1:25">
      <c r="A1013" s="187"/>
      <c r="B1013" s="187"/>
      <c r="C1013" s="187"/>
      <c r="D1013" s="187"/>
      <c r="E1013" s="187"/>
      <c r="F1013" s="187"/>
      <c r="G1013" s="187"/>
      <c r="H1013" s="187"/>
      <c r="I1013" s="187"/>
      <c r="J1013" s="187"/>
      <c r="K1013" s="187"/>
      <c r="L1013" s="187"/>
      <c r="M1013" s="187"/>
      <c r="N1013" s="187"/>
      <c r="O1013" s="187"/>
      <c r="P1013" s="187"/>
      <c r="Q1013" s="187"/>
      <c r="R1013" s="187"/>
      <c r="S1013" s="187"/>
      <c r="T1013" s="187"/>
      <c r="U1013" s="187"/>
      <c r="V1013" s="187"/>
      <c r="W1013" s="188"/>
      <c r="X1013" s="695"/>
      <c r="Y1013" s="695"/>
    </row>
    <row r="1014" spans="1:25">
      <c r="A1014" s="187"/>
      <c r="B1014" s="187"/>
      <c r="C1014" s="187"/>
      <c r="D1014" s="187"/>
      <c r="E1014" s="187"/>
      <c r="F1014" s="187"/>
      <c r="G1014" s="187"/>
      <c r="H1014" s="187"/>
      <c r="I1014" s="187"/>
      <c r="J1014" s="187"/>
      <c r="K1014" s="187"/>
      <c r="L1014" s="187"/>
      <c r="M1014" s="187"/>
      <c r="N1014" s="187"/>
      <c r="O1014" s="187"/>
      <c r="P1014" s="187"/>
      <c r="Q1014" s="187"/>
      <c r="R1014" s="187"/>
      <c r="S1014" s="187"/>
      <c r="T1014" s="187"/>
      <c r="U1014" s="187"/>
      <c r="V1014" s="187"/>
      <c r="W1014" s="188"/>
      <c r="X1014" s="695"/>
      <c r="Y1014" s="695"/>
    </row>
    <row r="1015" spans="1:25">
      <c r="A1015" s="187"/>
      <c r="B1015" s="187"/>
      <c r="C1015" s="187"/>
      <c r="D1015" s="187"/>
      <c r="E1015" s="187"/>
      <c r="F1015" s="187"/>
      <c r="G1015" s="187"/>
      <c r="H1015" s="187"/>
      <c r="I1015" s="187"/>
      <c r="J1015" s="187"/>
      <c r="K1015" s="187"/>
      <c r="L1015" s="187"/>
      <c r="M1015" s="187"/>
      <c r="N1015" s="187"/>
      <c r="O1015" s="187"/>
      <c r="P1015" s="187"/>
      <c r="Q1015" s="187"/>
      <c r="R1015" s="187"/>
      <c r="S1015" s="187"/>
      <c r="T1015" s="187"/>
      <c r="U1015" s="187"/>
      <c r="V1015" s="187"/>
      <c r="W1015" s="188"/>
      <c r="X1015" s="695"/>
      <c r="Y1015" s="695"/>
    </row>
    <row r="1016" spans="1:25">
      <c r="A1016" s="187"/>
      <c r="B1016" s="187"/>
      <c r="C1016" s="187"/>
      <c r="D1016" s="187"/>
      <c r="E1016" s="187"/>
      <c r="F1016" s="187"/>
      <c r="G1016" s="187"/>
      <c r="H1016" s="187"/>
      <c r="I1016" s="187"/>
      <c r="J1016" s="187"/>
      <c r="K1016" s="187"/>
      <c r="L1016" s="187"/>
      <c r="M1016" s="187"/>
      <c r="N1016" s="187"/>
      <c r="O1016" s="187"/>
      <c r="P1016" s="187"/>
      <c r="Q1016" s="187"/>
      <c r="R1016" s="187"/>
      <c r="S1016" s="187"/>
      <c r="T1016" s="187"/>
      <c r="U1016" s="187"/>
      <c r="V1016" s="187"/>
      <c r="W1016" s="188"/>
      <c r="X1016" s="695"/>
      <c r="Y1016" s="695"/>
    </row>
    <row r="1017" spans="1:25">
      <c r="A1017" s="187"/>
      <c r="B1017" s="187"/>
      <c r="C1017" s="187"/>
      <c r="D1017" s="187"/>
      <c r="E1017" s="187"/>
      <c r="F1017" s="187"/>
      <c r="G1017" s="187"/>
      <c r="H1017" s="187"/>
      <c r="I1017" s="187"/>
      <c r="J1017" s="187"/>
      <c r="K1017" s="187"/>
      <c r="L1017" s="187"/>
      <c r="M1017" s="187"/>
      <c r="N1017" s="187"/>
      <c r="O1017" s="187"/>
      <c r="P1017" s="187"/>
      <c r="Q1017" s="187"/>
      <c r="R1017" s="187"/>
      <c r="S1017" s="187"/>
      <c r="T1017" s="187"/>
      <c r="U1017" s="187"/>
      <c r="V1017" s="187"/>
      <c r="W1017" s="188"/>
      <c r="X1017" s="695"/>
      <c r="Y1017" s="695"/>
    </row>
    <row r="1018" spans="1:25">
      <c r="A1018" s="187"/>
      <c r="B1018" s="187"/>
      <c r="C1018" s="187"/>
      <c r="D1018" s="187"/>
      <c r="E1018" s="187"/>
      <c r="F1018" s="187"/>
      <c r="G1018" s="187"/>
      <c r="H1018" s="187"/>
      <c r="I1018" s="187"/>
      <c r="J1018" s="187"/>
      <c r="K1018" s="187"/>
      <c r="L1018" s="187"/>
      <c r="M1018" s="187"/>
      <c r="N1018" s="187"/>
      <c r="O1018" s="187"/>
      <c r="P1018" s="187"/>
      <c r="Q1018" s="187"/>
      <c r="R1018" s="187"/>
      <c r="S1018" s="187"/>
      <c r="T1018" s="187"/>
      <c r="U1018" s="187"/>
      <c r="V1018" s="187"/>
      <c r="W1018" s="188"/>
      <c r="X1018" s="695"/>
      <c r="Y1018" s="695"/>
    </row>
    <row r="1019" spans="1:25">
      <c r="A1019" s="187"/>
      <c r="B1019" s="187"/>
      <c r="C1019" s="187"/>
      <c r="D1019" s="187"/>
      <c r="E1019" s="187"/>
      <c r="F1019" s="187"/>
      <c r="G1019" s="187"/>
      <c r="H1019" s="187"/>
      <c r="I1019" s="187"/>
      <c r="J1019" s="187"/>
      <c r="K1019" s="187"/>
      <c r="L1019" s="187"/>
      <c r="M1019" s="187"/>
      <c r="N1019" s="187"/>
      <c r="O1019" s="187"/>
      <c r="P1019" s="187"/>
      <c r="Q1019" s="187"/>
      <c r="R1019" s="187"/>
      <c r="S1019" s="187"/>
      <c r="T1019" s="187"/>
      <c r="U1019" s="187"/>
      <c r="V1019" s="187"/>
      <c r="W1019" s="188"/>
      <c r="X1019" s="695"/>
      <c r="Y1019" s="695"/>
    </row>
    <row r="1020" spans="1:25">
      <c r="A1020" s="187"/>
      <c r="B1020" s="187"/>
      <c r="C1020" s="187"/>
      <c r="D1020" s="187"/>
      <c r="E1020" s="187"/>
      <c r="F1020" s="187"/>
      <c r="G1020" s="187"/>
      <c r="H1020" s="187"/>
      <c r="I1020" s="187"/>
      <c r="J1020" s="187"/>
      <c r="K1020" s="187"/>
      <c r="L1020" s="187"/>
      <c r="M1020" s="187"/>
      <c r="N1020" s="187"/>
      <c r="O1020" s="187"/>
      <c r="P1020" s="187"/>
      <c r="Q1020" s="187"/>
      <c r="R1020" s="187"/>
      <c r="S1020" s="187"/>
      <c r="T1020" s="187"/>
      <c r="U1020" s="187"/>
      <c r="V1020" s="187"/>
      <c r="W1020" s="188"/>
      <c r="X1020" s="695"/>
      <c r="Y1020" s="695"/>
    </row>
    <row r="1021" spans="1:25">
      <c r="A1021" s="187"/>
      <c r="B1021" s="187"/>
      <c r="C1021" s="187"/>
      <c r="D1021" s="187"/>
      <c r="E1021" s="187"/>
      <c r="F1021" s="187"/>
      <c r="G1021" s="187"/>
      <c r="H1021" s="187"/>
      <c r="I1021" s="187"/>
      <c r="J1021" s="187"/>
      <c r="K1021" s="187"/>
      <c r="L1021" s="187"/>
      <c r="M1021" s="187"/>
      <c r="N1021" s="187"/>
      <c r="O1021" s="187"/>
      <c r="P1021" s="187"/>
      <c r="Q1021" s="187"/>
      <c r="R1021" s="187"/>
      <c r="S1021" s="187"/>
      <c r="T1021" s="187"/>
      <c r="U1021" s="187"/>
      <c r="V1021" s="187"/>
      <c r="W1021" s="188"/>
      <c r="X1021" s="695"/>
      <c r="Y1021" s="695"/>
    </row>
    <row r="1022" spans="1:25">
      <c r="A1022" s="187"/>
      <c r="B1022" s="187"/>
      <c r="C1022" s="187"/>
      <c r="D1022" s="187"/>
      <c r="E1022" s="187"/>
      <c r="F1022" s="187"/>
      <c r="G1022" s="187"/>
      <c r="H1022" s="187"/>
      <c r="I1022" s="187"/>
      <c r="J1022" s="187"/>
      <c r="K1022" s="187"/>
      <c r="L1022" s="187"/>
      <c r="M1022" s="187"/>
      <c r="N1022" s="187"/>
      <c r="O1022" s="187"/>
      <c r="P1022" s="187"/>
      <c r="Q1022" s="187"/>
      <c r="R1022" s="187"/>
      <c r="S1022" s="187"/>
      <c r="T1022" s="187"/>
      <c r="U1022" s="187"/>
      <c r="V1022" s="187"/>
      <c r="W1022" s="188"/>
      <c r="X1022" s="695"/>
      <c r="Y1022" s="695"/>
    </row>
    <row r="1023" spans="1:25">
      <c r="A1023" s="187"/>
      <c r="B1023" s="187"/>
      <c r="C1023" s="187"/>
      <c r="D1023" s="187"/>
      <c r="E1023" s="187"/>
      <c r="F1023" s="187"/>
      <c r="G1023" s="187"/>
      <c r="H1023" s="187"/>
      <c r="I1023" s="187"/>
      <c r="J1023" s="187"/>
      <c r="K1023" s="187"/>
      <c r="L1023" s="187"/>
      <c r="M1023" s="187"/>
      <c r="N1023" s="187"/>
      <c r="O1023" s="187"/>
      <c r="P1023" s="187"/>
      <c r="Q1023" s="187"/>
      <c r="R1023" s="187"/>
      <c r="S1023" s="187"/>
      <c r="T1023" s="187"/>
      <c r="U1023" s="187"/>
      <c r="V1023" s="187"/>
      <c r="W1023" s="188"/>
      <c r="X1023" s="695"/>
      <c r="Y1023" s="695"/>
    </row>
    <row r="1024" spans="1:25">
      <c r="A1024" s="187"/>
      <c r="B1024" s="187"/>
      <c r="C1024" s="187"/>
      <c r="D1024" s="187"/>
      <c r="E1024" s="187"/>
      <c r="F1024" s="187"/>
      <c r="G1024" s="187"/>
      <c r="H1024" s="187"/>
      <c r="I1024" s="187"/>
      <c r="J1024" s="187"/>
      <c r="K1024" s="187"/>
      <c r="L1024" s="187"/>
      <c r="M1024" s="187"/>
      <c r="N1024" s="187"/>
      <c r="O1024" s="187"/>
      <c r="P1024" s="187"/>
      <c r="Q1024" s="187"/>
      <c r="R1024" s="187"/>
      <c r="S1024" s="187"/>
      <c r="T1024" s="187"/>
      <c r="U1024" s="187"/>
      <c r="V1024" s="187"/>
      <c r="W1024" s="188"/>
      <c r="X1024" s="695"/>
      <c r="Y1024" s="695"/>
    </row>
    <row r="1025" spans="1:25">
      <c r="A1025" s="187"/>
      <c r="B1025" s="187"/>
      <c r="C1025" s="187"/>
      <c r="D1025" s="187"/>
      <c r="E1025" s="187"/>
      <c r="F1025" s="187"/>
      <c r="G1025" s="187"/>
      <c r="H1025" s="187"/>
      <c r="I1025" s="187"/>
      <c r="J1025" s="187"/>
      <c r="K1025" s="187"/>
      <c r="L1025" s="187"/>
      <c r="M1025" s="187"/>
      <c r="N1025" s="187"/>
      <c r="O1025" s="187"/>
      <c r="P1025" s="187"/>
      <c r="Q1025" s="187"/>
      <c r="R1025" s="187"/>
      <c r="S1025" s="187"/>
      <c r="T1025" s="187"/>
      <c r="U1025" s="187"/>
      <c r="V1025" s="187"/>
      <c r="W1025" s="188"/>
      <c r="X1025" s="695"/>
      <c r="Y1025" s="695"/>
    </row>
    <row r="1026" spans="1:25">
      <c r="A1026" s="187"/>
      <c r="B1026" s="187"/>
      <c r="C1026" s="187"/>
      <c r="D1026" s="187"/>
      <c r="E1026" s="187"/>
      <c r="F1026" s="187"/>
      <c r="G1026" s="187"/>
      <c r="H1026" s="187"/>
      <c r="I1026" s="187"/>
      <c r="J1026" s="187"/>
      <c r="K1026" s="187"/>
      <c r="L1026" s="187"/>
      <c r="M1026" s="187"/>
      <c r="N1026" s="187"/>
      <c r="O1026" s="187"/>
      <c r="P1026" s="187"/>
      <c r="Q1026" s="187"/>
      <c r="R1026" s="187"/>
      <c r="S1026" s="187"/>
      <c r="T1026" s="187"/>
      <c r="U1026" s="187"/>
      <c r="V1026" s="187"/>
      <c r="W1026" s="188"/>
      <c r="X1026" s="695"/>
      <c r="Y1026" s="695"/>
    </row>
    <row r="1027" spans="1:25">
      <c r="A1027" s="187"/>
      <c r="B1027" s="187"/>
      <c r="C1027" s="187"/>
      <c r="D1027" s="187"/>
      <c r="E1027" s="187"/>
      <c r="F1027" s="187"/>
      <c r="G1027" s="187"/>
      <c r="H1027" s="187"/>
      <c r="I1027" s="187"/>
      <c r="J1027" s="187"/>
      <c r="K1027" s="187"/>
      <c r="L1027" s="187"/>
      <c r="M1027" s="187"/>
      <c r="N1027" s="187"/>
      <c r="O1027" s="187"/>
      <c r="P1027" s="187"/>
      <c r="Q1027" s="187"/>
      <c r="R1027" s="187"/>
      <c r="S1027" s="187"/>
      <c r="T1027" s="187"/>
      <c r="U1027" s="187"/>
      <c r="V1027" s="187"/>
      <c r="W1027" s="188"/>
      <c r="X1027" s="695"/>
      <c r="Y1027" s="695"/>
    </row>
    <row r="1028" spans="1:25">
      <c r="A1028" s="187"/>
      <c r="B1028" s="187"/>
      <c r="C1028" s="187"/>
      <c r="D1028" s="187"/>
      <c r="E1028" s="187"/>
      <c r="F1028" s="187"/>
      <c r="G1028" s="187"/>
      <c r="H1028" s="187"/>
      <c r="I1028" s="187"/>
      <c r="J1028" s="187"/>
      <c r="K1028" s="187"/>
      <c r="L1028" s="187"/>
      <c r="M1028" s="187"/>
      <c r="N1028" s="187"/>
      <c r="O1028" s="187"/>
      <c r="P1028" s="187"/>
      <c r="Q1028" s="187"/>
      <c r="R1028" s="187"/>
      <c r="S1028" s="187"/>
      <c r="T1028" s="187"/>
      <c r="U1028" s="187"/>
      <c r="V1028" s="187"/>
      <c r="W1028" s="188"/>
      <c r="X1028" s="695"/>
      <c r="Y1028" s="695"/>
    </row>
    <row r="1029" spans="1:25">
      <c r="A1029" s="187"/>
      <c r="B1029" s="187"/>
      <c r="C1029" s="187"/>
      <c r="D1029" s="187"/>
      <c r="E1029" s="187"/>
      <c r="F1029" s="187"/>
      <c r="G1029" s="187"/>
      <c r="H1029" s="187"/>
      <c r="I1029" s="187"/>
      <c r="J1029" s="187"/>
      <c r="K1029" s="187"/>
      <c r="L1029" s="187"/>
      <c r="M1029" s="187"/>
      <c r="N1029" s="187"/>
      <c r="O1029" s="187"/>
      <c r="P1029" s="187"/>
      <c r="Q1029" s="187"/>
      <c r="R1029" s="187"/>
      <c r="S1029" s="187"/>
      <c r="T1029" s="187"/>
      <c r="U1029" s="187"/>
      <c r="V1029" s="187"/>
      <c r="W1029" s="188"/>
      <c r="X1029" s="695"/>
      <c r="Y1029" s="695"/>
    </row>
    <row r="1030" spans="1:25">
      <c r="A1030" s="187"/>
      <c r="B1030" s="187"/>
      <c r="C1030" s="187"/>
      <c r="D1030" s="187"/>
      <c r="E1030" s="187"/>
      <c r="F1030" s="187"/>
      <c r="G1030" s="187"/>
      <c r="H1030" s="187"/>
      <c r="I1030" s="187"/>
      <c r="J1030" s="187"/>
      <c r="K1030" s="187"/>
      <c r="L1030" s="187"/>
      <c r="M1030" s="187"/>
      <c r="N1030" s="187"/>
      <c r="O1030" s="187"/>
      <c r="P1030" s="187"/>
      <c r="Q1030" s="187"/>
      <c r="R1030" s="187"/>
      <c r="S1030" s="187"/>
      <c r="T1030" s="187"/>
      <c r="U1030" s="187"/>
      <c r="V1030" s="187"/>
      <c r="W1030" s="188"/>
      <c r="X1030" s="695"/>
      <c r="Y1030" s="695"/>
    </row>
    <row r="1031" spans="1:25">
      <c r="A1031" s="187"/>
      <c r="B1031" s="187"/>
      <c r="C1031" s="187"/>
      <c r="D1031" s="187"/>
      <c r="E1031" s="187"/>
      <c r="F1031" s="187"/>
      <c r="G1031" s="187"/>
      <c r="H1031" s="187"/>
      <c r="I1031" s="187"/>
      <c r="J1031" s="187"/>
      <c r="K1031" s="187"/>
      <c r="L1031" s="187"/>
      <c r="M1031" s="187"/>
      <c r="N1031" s="187"/>
      <c r="O1031" s="187"/>
      <c r="P1031" s="187"/>
      <c r="Q1031" s="187"/>
      <c r="R1031" s="187"/>
      <c r="S1031" s="187"/>
      <c r="T1031" s="187"/>
      <c r="U1031" s="187"/>
      <c r="V1031" s="187"/>
      <c r="W1031" s="188"/>
      <c r="X1031" s="695"/>
      <c r="Y1031" s="695"/>
    </row>
    <row r="1032" spans="1:25">
      <c r="A1032" s="187"/>
      <c r="B1032" s="187"/>
      <c r="C1032" s="187"/>
      <c r="D1032" s="187"/>
      <c r="E1032" s="187"/>
      <c r="F1032" s="187"/>
      <c r="G1032" s="187"/>
      <c r="H1032" s="187"/>
      <c r="I1032" s="187"/>
      <c r="J1032" s="187"/>
      <c r="K1032" s="187"/>
      <c r="L1032" s="187"/>
      <c r="M1032" s="187"/>
      <c r="N1032" s="187"/>
      <c r="O1032" s="187"/>
      <c r="P1032" s="187"/>
      <c r="Q1032" s="187"/>
      <c r="R1032" s="187"/>
      <c r="S1032" s="187"/>
      <c r="T1032" s="187"/>
      <c r="U1032" s="187"/>
      <c r="V1032" s="187"/>
      <c r="W1032" s="188"/>
      <c r="X1032" s="695"/>
      <c r="Y1032" s="695"/>
    </row>
    <row r="1033" spans="1:25">
      <c r="A1033" s="187"/>
      <c r="B1033" s="187"/>
      <c r="C1033" s="187"/>
      <c r="D1033" s="187"/>
      <c r="E1033" s="187"/>
      <c r="F1033" s="187"/>
      <c r="G1033" s="187"/>
      <c r="H1033" s="187"/>
      <c r="I1033" s="187"/>
      <c r="J1033" s="187"/>
      <c r="K1033" s="187"/>
      <c r="L1033" s="187"/>
      <c r="M1033" s="187"/>
      <c r="N1033" s="187"/>
      <c r="O1033" s="187"/>
      <c r="P1033" s="187"/>
      <c r="Q1033" s="187"/>
      <c r="R1033" s="187"/>
      <c r="S1033" s="187"/>
      <c r="T1033" s="187"/>
      <c r="U1033" s="187"/>
      <c r="V1033" s="187"/>
      <c r="W1033" s="188"/>
      <c r="X1033" s="695"/>
      <c r="Y1033" s="695"/>
    </row>
    <row r="1034" spans="1:25">
      <c r="A1034" s="187"/>
      <c r="B1034" s="187"/>
      <c r="C1034" s="187"/>
      <c r="D1034" s="187"/>
      <c r="E1034" s="187"/>
      <c r="F1034" s="187"/>
      <c r="G1034" s="187"/>
      <c r="H1034" s="187"/>
      <c r="I1034" s="187"/>
      <c r="J1034" s="187"/>
      <c r="K1034" s="187"/>
      <c r="L1034" s="187"/>
      <c r="M1034" s="187"/>
      <c r="N1034" s="187"/>
      <c r="O1034" s="187"/>
      <c r="P1034" s="187"/>
      <c r="Q1034" s="187"/>
      <c r="R1034" s="187"/>
      <c r="S1034" s="187"/>
      <c r="T1034" s="187"/>
      <c r="U1034" s="187"/>
      <c r="V1034" s="187"/>
      <c r="W1034" s="188"/>
      <c r="X1034" s="695"/>
      <c r="Y1034" s="695"/>
    </row>
    <row r="1035" spans="1:25">
      <c r="A1035" s="187"/>
      <c r="B1035" s="187"/>
      <c r="C1035" s="187"/>
      <c r="D1035" s="187"/>
      <c r="E1035" s="187"/>
      <c r="F1035" s="187"/>
      <c r="G1035" s="187"/>
      <c r="H1035" s="187"/>
      <c r="I1035" s="187"/>
      <c r="J1035" s="187"/>
      <c r="K1035" s="187"/>
      <c r="L1035" s="187"/>
      <c r="M1035" s="187"/>
      <c r="N1035" s="187"/>
      <c r="O1035" s="187"/>
      <c r="P1035" s="187"/>
      <c r="Q1035" s="187"/>
      <c r="R1035" s="187"/>
      <c r="S1035" s="187"/>
      <c r="T1035" s="187"/>
      <c r="U1035" s="187"/>
      <c r="V1035" s="187"/>
      <c r="W1035" s="188"/>
      <c r="X1035" s="695"/>
      <c r="Y1035" s="695"/>
    </row>
    <row r="1036" spans="1:25">
      <c r="A1036" s="187"/>
      <c r="B1036" s="187"/>
      <c r="C1036" s="187"/>
      <c r="D1036" s="187"/>
      <c r="E1036" s="187"/>
      <c r="F1036" s="187"/>
      <c r="G1036" s="187"/>
      <c r="H1036" s="187"/>
      <c r="I1036" s="187"/>
      <c r="J1036" s="187"/>
      <c r="K1036" s="187"/>
      <c r="L1036" s="187"/>
      <c r="M1036" s="187"/>
      <c r="N1036" s="187"/>
      <c r="O1036" s="187"/>
      <c r="P1036" s="187"/>
      <c r="Q1036" s="187"/>
      <c r="R1036" s="187"/>
      <c r="S1036" s="187"/>
      <c r="T1036" s="187"/>
      <c r="U1036" s="187"/>
      <c r="V1036" s="187"/>
      <c r="W1036" s="188"/>
      <c r="X1036" s="695"/>
      <c r="Y1036" s="695"/>
    </row>
    <row r="1037" spans="1:25">
      <c r="A1037" s="187"/>
      <c r="B1037" s="187"/>
      <c r="C1037" s="187"/>
      <c r="D1037" s="187"/>
      <c r="E1037" s="187"/>
      <c r="F1037" s="187"/>
      <c r="G1037" s="187"/>
      <c r="H1037" s="187"/>
      <c r="I1037" s="187"/>
      <c r="J1037" s="187"/>
      <c r="K1037" s="187"/>
      <c r="L1037" s="187"/>
      <c r="M1037" s="187"/>
      <c r="N1037" s="187"/>
      <c r="O1037" s="187"/>
      <c r="P1037" s="187"/>
      <c r="Q1037" s="187"/>
      <c r="R1037" s="187"/>
      <c r="S1037" s="187"/>
      <c r="T1037" s="187"/>
      <c r="U1037" s="187"/>
      <c r="V1037" s="187"/>
      <c r="W1037" s="188"/>
      <c r="X1037" s="695"/>
      <c r="Y1037" s="695"/>
    </row>
    <row r="1038" spans="1:25">
      <c r="A1038" s="187"/>
      <c r="B1038" s="187"/>
      <c r="C1038" s="187"/>
      <c r="D1038" s="187"/>
      <c r="E1038" s="187"/>
      <c r="F1038" s="187"/>
      <c r="G1038" s="187"/>
      <c r="H1038" s="187"/>
      <c r="I1038" s="187"/>
      <c r="J1038" s="187"/>
      <c r="K1038" s="187"/>
      <c r="L1038" s="187"/>
      <c r="M1038" s="187"/>
      <c r="N1038" s="187"/>
      <c r="O1038" s="187"/>
      <c r="P1038" s="187"/>
      <c r="Q1038" s="187"/>
      <c r="R1038" s="187"/>
      <c r="S1038" s="187"/>
      <c r="T1038" s="187"/>
      <c r="U1038" s="187"/>
      <c r="V1038" s="187"/>
      <c r="W1038" s="188"/>
      <c r="X1038" s="695"/>
      <c r="Y1038" s="695"/>
    </row>
    <row r="1039" spans="1:25">
      <c r="A1039" s="187"/>
      <c r="B1039" s="187"/>
      <c r="C1039" s="187"/>
      <c r="D1039" s="187"/>
      <c r="E1039" s="187"/>
      <c r="F1039" s="187"/>
      <c r="G1039" s="187"/>
      <c r="H1039" s="187"/>
      <c r="I1039" s="187"/>
      <c r="J1039" s="187"/>
      <c r="K1039" s="187"/>
      <c r="L1039" s="187"/>
      <c r="M1039" s="187"/>
      <c r="N1039" s="187"/>
      <c r="O1039" s="187"/>
      <c r="P1039" s="187"/>
      <c r="Q1039" s="187"/>
      <c r="R1039" s="187"/>
      <c r="S1039" s="187"/>
      <c r="T1039" s="187"/>
      <c r="U1039" s="187"/>
      <c r="V1039" s="187"/>
      <c r="W1039" s="188"/>
      <c r="X1039" s="695"/>
      <c r="Y1039" s="695"/>
    </row>
    <row r="1040" spans="1:25">
      <c r="A1040" s="187"/>
      <c r="B1040" s="187"/>
      <c r="C1040" s="187"/>
      <c r="D1040" s="187"/>
      <c r="E1040" s="187"/>
      <c r="F1040" s="187"/>
      <c r="G1040" s="187"/>
      <c r="H1040" s="187"/>
      <c r="I1040" s="187"/>
      <c r="J1040" s="187"/>
      <c r="K1040" s="187"/>
      <c r="L1040" s="187"/>
      <c r="M1040" s="187"/>
      <c r="N1040" s="187"/>
      <c r="O1040" s="187"/>
      <c r="P1040" s="187"/>
      <c r="Q1040" s="187"/>
      <c r="R1040" s="187"/>
      <c r="S1040" s="187"/>
      <c r="T1040" s="187"/>
      <c r="U1040" s="187"/>
      <c r="V1040" s="187"/>
      <c r="W1040" s="188"/>
      <c r="X1040" s="695"/>
      <c r="Y1040" s="695"/>
    </row>
    <row r="1041" spans="1:25">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8"/>
      <c r="X1041" s="695"/>
      <c r="Y1041" s="695"/>
    </row>
    <row r="1042" spans="1:25">
      <c r="A1042" s="187"/>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8"/>
      <c r="X1042" s="695"/>
      <c r="Y1042" s="695"/>
    </row>
    <row r="1043" spans="1:25">
      <c r="A1043" s="187"/>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8"/>
      <c r="X1043" s="695"/>
      <c r="Y1043" s="695"/>
    </row>
    <row r="1044" spans="1:25">
      <c r="A1044" s="187"/>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8"/>
      <c r="X1044" s="695"/>
      <c r="Y1044" s="695"/>
    </row>
    <row r="1045" spans="1:25">
      <c r="A1045" s="187"/>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8"/>
      <c r="X1045" s="695"/>
      <c r="Y1045" s="695"/>
    </row>
    <row r="1046" spans="1:25">
      <c r="A1046" s="187"/>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8"/>
      <c r="X1046" s="695"/>
      <c r="Y1046" s="695"/>
    </row>
    <row r="1047" spans="1:25">
      <c r="A1047" s="187"/>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8"/>
      <c r="X1047" s="695"/>
      <c r="Y1047" s="695"/>
    </row>
    <row r="1048" spans="1:25">
      <c r="A1048" s="187"/>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8"/>
      <c r="X1048" s="695"/>
      <c r="Y1048" s="695"/>
    </row>
    <row r="1049" spans="1:25">
      <c r="A1049" s="187"/>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8"/>
      <c r="X1049" s="695"/>
      <c r="Y1049" s="695"/>
    </row>
    <row r="1050" spans="1:25">
      <c r="A1050" s="187"/>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8"/>
      <c r="X1050" s="695"/>
      <c r="Y1050" s="695"/>
    </row>
    <row r="1051" spans="1:25">
      <c r="A1051" s="187"/>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8"/>
      <c r="X1051" s="695"/>
      <c r="Y1051" s="695"/>
    </row>
    <row r="1052" spans="1:25">
      <c r="A1052" s="187"/>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8"/>
      <c r="X1052" s="695"/>
      <c r="Y1052" s="695"/>
    </row>
    <row r="1053" spans="1:25">
      <c r="A1053" s="187"/>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8"/>
      <c r="X1053" s="695"/>
      <c r="Y1053" s="695"/>
    </row>
    <row r="1054" spans="1:25">
      <c r="A1054" s="187"/>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8"/>
      <c r="X1054" s="695"/>
      <c r="Y1054" s="695"/>
    </row>
    <row r="1055" spans="1:25">
      <c r="A1055" s="187"/>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8"/>
      <c r="X1055" s="695"/>
      <c r="Y1055" s="695"/>
    </row>
    <row r="1056" spans="1:25">
      <c r="A1056" s="187"/>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8"/>
      <c r="X1056" s="695"/>
      <c r="Y1056" s="695"/>
    </row>
    <row r="1057" spans="1:25">
      <c r="A1057" s="187"/>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8"/>
      <c r="X1057" s="695"/>
      <c r="Y1057" s="695"/>
    </row>
    <row r="1058" spans="1:25">
      <c r="A1058" s="187"/>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8"/>
      <c r="X1058" s="695"/>
      <c r="Y1058" s="695"/>
    </row>
    <row r="1059" spans="1:25">
      <c r="A1059" s="187"/>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8"/>
      <c r="X1059" s="695"/>
      <c r="Y1059" s="695"/>
    </row>
    <row r="1060" spans="1:25">
      <c r="A1060" s="187"/>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8"/>
      <c r="X1060" s="695"/>
      <c r="Y1060" s="695"/>
    </row>
    <row r="1061" spans="1:25">
      <c r="A1061" s="187"/>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8"/>
      <c r="X1061" s="695"/>
      <c r="Y1061" s="695"/>
    </row>
    <row r="1062" spans="1:25">
      <c r="A1062" s="187"/>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8"/>
      <c r="X1062" s="695"/>
      <c r="Y1062" s="695"/>
    </row>
    <row r="1063" spans="1:25">
      <c r="A1063" s="187"/>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8"/>
      <c r="X1063" s="695"/>
      <c r="Y1063" s="695"/>
    </row>
    <row r="1064" spans="1:25">
      <c r="A1064" s="187"/>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8"/>
      <c r="X1064" s="695"/>
      <c r="Y1064" s="695"/>
    </row>
    <row r="1065" spans="1:25">
      <c r="A1065" s="187"/>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8"/>
      <c r="X1065" s="695"/>
      <c r="Y1065" s="695"/>
    </row>
    <row r="1066" spans="1:25">
      <c r="A1066" s="187"/>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8"/>
      <c r="X1066" s="695"/>
      <c r="Y1066" s="695"/>
    </row>
    <row r="1067" spans="1:25">
      <c r="A1067" s="187"/>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8"/>
      <c r="X1067" s="695"/>
      <c r="Y1067" s="695"/>
    </row>
    <row r="1068" spans="1:25">
      <c r="A1068" s="187"/>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8"/>
      <c r="X1068" s="695"/>
      <c r="Y1068" s="695"/>
    </row>
    <row r="1069" spans="1:25">
      <c r="A1069" s="187"/>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8"/>
      <c r="X1069" s="695"/>
      <c r="Y1069" s="695"/>
    </row>
    <row r="1070" spans="1:25">
      <c r="A1070" s="187"/>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8"/>
      <c r="X1070" s="695"/>
      <c r="Y1070" s="695"/>
    </row>
    <row r="1071" spans="1:25">
      <c r="A1071" s="187"/>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8"/>
      <c r="X1071" s="695"/>
      <c r="Y1071" s="695"/>
    </row>
    <row r="1072" spans="1:25">
      <c r="A1072" s="187"/>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8"/>
      <c r="X1072" s="695"/>
      <c r="Y1072" s="695"/>
    </row>
    <row r="1073" spans="1:25">
      <c r="A1073" s="187"/>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8"/>
      <c r="X1073" s="695"/>
      <c r="Y1073" s="695"/>
    </row>
    <row r="1074" spans="1:25">
      <c r="A1074" s="187"/>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8"/>
      <c r="X1074" s="695"/>
      <c r="Y1074" s="695"/>
    </row>
    <row r="1075" spans="1:25">
      <c r="A1075" s="187"/>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8"/>
      <c r="X1075" s="695"/>
      <c r="Y1075" s="695"/>
    </row>
    <row r="1076" spans="1:25">
      <c r="A1076" s="187"/>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8"/>
      <c r="X1076" s="695"/>
      <c r="Y1076" s="695"/>
    </row>
    <row r="1077" spans="1:25">
      <c r="A1077" s="187"/>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8"/>
      <c r="X1077" s="695"/>
      <c r="Y1077" s="695"/>
    </row>
    <row r="1078" spans="1:25">
      <c r="A1078" s="187"/>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8"/>
      <c r="X1078" s="695"/>
      <c r="Y1078" s="695"/>
    </row>
    <row r="1079" spans="1:25">
      <c r="A1079" s="187"/>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8"/>
      <c r="X1079" s="695"/>
      <c r="Y1079" s="695"/>
    </row>
    <row r="1080" spans="1:25">
      <c r="A1080" s="187"/>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8"/>
      <c r="X1080" s="695"/>
      <c r="Y1080" s="695"/>
    </row>
    <row r="1081" spans="1:25">
      <c r="A1081" s="187"/>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8"/>
      <c r="X1081" s="695"/>
      <c r="Y1081" s="695"/>
    </row>
    <row r="1082" spans="1:25">
      <c r="A1082" s="187"/>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8"/>
      <c r="X1082" s="695"/>
      <c r="Y1082" s="695"/>
    </row>
    <row r="1083" spans="1:25">
      <c r="A1083" s="187"/>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8"/>
      <c r="X1083" s="695"/>
      <c r="Y1083" s="695"/>
    </row>
    <row r="1084" spans="1:25">
      <c r="A1084" s="187"/>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8"/>
      <c r="X1084" s="695"/>
      <c r="Y1084" s="695"/>
    </row>
    <row r="1085" spans="1:25">
      <c r="A1085" s="187"/>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8"/>
      <c r="X1085" s="695"/>
      <c r="Y1085" s="695"/>
    </row>
    <row r="1086" spans="1:25">
      <c r="A1086" s="187"/>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8"/>
      <c r="X1086" s="695"/>
      <c r="Y1086" s="695"/>
    </row>
    <row r="1087" spans="1:25">
      <c r="A1087" s="187"/>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8"/>
      <c r="X1087" s="695"/>
      <c r="Y1087" s="695"/>
    </row>
    <row r="1088" spans="1:25">
      <c r="A1088" s="187"/>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8"/>
      <c r="X1088" s="695"/>
      <c r="Y1088" s="695"/>
    </row>
    <row r="1089" spans="1:25">
      <c r="A1089" s="187"/>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8"/>
      <c r="X1089" s="695"/>
      <c r="Y1089" s="695"/>
    </row>
    <row r="1090" spans="1:25">
      <c r="A1090" s="187"/>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8"/>
      <c r="X1090" s="695"/>
      <c r="Y1090" s="695"/>
    </row>
    <row r="1091" spans="1:25">
      <c r="A1091" s="187"/>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8"/>
      <c r="X1091" s="695"/>
      <c r="Y1091" s="695"/>
    </row>
    <row r="1092" spans="1:25">
      <c r="A1092" s="187"/>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8"/>
      <c r="X1092" s="695"/>
      <c r="Y1092" s="695"/>
    </row>
    <row r="1093" spans="1:25">
      <c r="A1093" s="187"/>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8"/>
      <c r="X1093" s="695"/>
      <c r="Y1093" s="695"/>
    </row>
    <row r="1094" spans="1:25">
      <c r="A1094" s="187"/>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8"/>
      <c r="X1094" s="695"/>
      <c r="Y1094" s="695"/>
    </row>
    <row r="1095" spans="1:25">
      <c r="A1095" s="187"/>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8"/>
      <c r="X1095" s="695"/>
      <c r="Y1095" s="695"/>
    </row>
    <row r="1096" spans="1:25">
      <c r="A1096" s="187"/>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8"/>
      <c r="X1096" s="695"/>
      <c r="Y1096" s="695"/>
    </row>
    <row r="1097" spans="1:25">
      <c r="A1097" s="187"/>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8"/>
      <c r="X1097" s="695"/>
      <c r="Y1097" s="695"/>
    </row>
    <row r="1098" spans="1:25">
      <c r="A1098" s="187"/>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8"/>
      <c r="X1098" s="695"/>
      <c r="Y1098" s="695"/>
    </row>
    <row r="1099" spans="1:25">
      <c r="A1099" s="187"/>
      <c r="B1099" s="187"/>
      <c r="C1099" s="187"/>
      <c r="D1099" s="187"/>
      <c r="E1099" s="187"/>
      <c r="F1099" s="187"/>
      <c r="G1099" s="187"/>
      <c r="H1099" s="187"/>
      <c r="I1099" s="187"/>
      <c r="J1099" s="187"/>
      <c r="K1099" s="187"/>
      <c r="L1099" s="187"/>
      <c r="M1099" s="187"/>
      <c r="N1099" s="187"/>
      <c r="O1099" s="187"/>
      <c r="P1099" s="187"/>
      <c r="Q1099" s="187"/>
      <c r="R1099" s="187"/>
      <c r="S1099" s="187"/>
      <c r="T1099" s="187"/>
      <c r="U1099" s="187"/>
      <c r="V1099" s="187"/>
      <c r="W1099" s="188"/>
      <c r="X1099" s="695"/>
      <c r="Y1099" s="695"/>
    </row>
    <row r="1100" spans="1:25">
      <c r="A1100" s="187"/>
      <c r="B1100" s="187"/>
      <c r="C1100" s="187"/>
      <c r="D1100" s="187"/>
      <c r="E1100" s="187"/>
      <c r="F1100" s="187"/>
      <c r="G1100" s="187"/>
      <c r="H1100" s="187"/>
      <c r="I1100" s="187"/>
      <c r="J1100" s="187"/>
      <c r="K1100" s="187"/>
      <c r="L1100" s="187"/>
      <c r="M1100" s="187"/>
      <c r="N1100" s="187"/>
      <c r="O1100" s="187"/>
      <c r="P1100" s="187"/>
      <c r="Q1100" s="187"/>
      <c r="R1100" s="187"/>
      <c r="S1100" s="187"/>
      <c r="T1100" s="187"/>
      <c r="U1100" s="187"/>
      <c r="V1100" s="187"/>
      <c r="W1100" s="188"/>
      <c r="X1100" s="695"/>
      <c r="Y1100" s="695"/>
    </row>
    <row r="1101" spans="1:25">
      <c r="A1101" s="187"/>
      <c r="B1101" s="187"/>
      <c r="C1101" s="187"/>
      <c r="D1101" s="187"/>
      <c r="E1101" s="187"/>
      <c r="F1101" s="187"/>
      <c r="G1101" s="187"/>
      <c r="H1101" s="187"/>
      <c r="I1101" s="187"/>
      <c r="J1101" s="187"/>
      <c r="K1101" s="187"/>
      <c r="L1101" s="187"/>
      <c r="M1101" s="187"/>
      <c r="N1101" s="187"/>
      <c r="O1101" s="187"/>
      <c r="P1101" s="187"/>
      <c r="Q1101" s="187"/>
      <c r="R1101" s="187"/>
      <c r="S1101" s="187"/>
      <c r="T1101" s="187"/>
      <c r="U1101" s="187"/>
      <c r="V1101" s="187"/>
      <c r="W1101" s="188"/>
      <c r="X1101" s="695"/>
      <c r="Y1101" s="695"/>
    </row>
    <row r="1102" spans="1:25">
      <c r="A1102" s="187"/>
      <c r="B1102" s="187"/>
      <c r="C1102" s="187"/>
      <c r="D1102" s="187"/>
      <c r="E1102" s="187"/>
      <c r="F1102" s="187"/>
      <c r="G1102" s="187"/>
      <c r="H1102" s="187"/>
      <c r="I1102" s="187"/>
      <c r="J1102" s="187"/>
      <c r="K1102" s="187"/>
      <c r="L1102" s="187"/>
      <c r="M1102" s="187"/>
      <c r="N1102" s="187"/>
      <c r="O1102" s="187"/>
      <c r="P1102" s="187"/>
      <c r="Q1102" s="187"/>
      <c r="R1102" s="187"/>
      <c r="S1102" s="187"/>
      <c r="T1102" s="187"/>
      <c r="U1102" s="187"/>
      <c r="V1102" s="187"/>
      <c r="W1102" s="188"/>
      <c r="X1102" s="695"/>
      <c r="Y1102" s="695"/>
    </row>
    <row r="1103" spans="1:25">
      <c r="A1103" s="187"/>
      <c r="B1103" s="187"/>
      <c r="C1103" s="187"/>
      <c r="D1103" s="187"/>
      <c r="E1103" s="187"/>
      <c r="F1103" s="187"/>
      <c r="G1103" s="187"/>
      <c r="H1103" s="187"/>
      <c r="I1103" s="187"/>
      <c r="J1103" s="187"/>
      <c r="K1103" s="187"/>
      <c r="L1103" s="187"/>
      <c r="M1103" s="187"/>
      <c r="N1103" s="187"/>
      <c r="O1103" s="187"/>
      <c r="P1103" s="187"/>
      <c r="Q1103" s="187"/>
      <c r="R1103" s="187"/>
      <c r="S1103" s="187"/>
      <c r="T1103" s="187"/>
      <c r="U1103" s="187"/>
      <c r="V1103" s="187"/>
      <c r="W1103" s="188"/>
      <c r="X1103" s="695"/>
      <c r="Y1103" s="695"/>
    </row>
    <row r="1104" spans="1:25">
      <c r="A1104" s="187"/>
      <c r="B1104" s="187"/>
      <c r="C1104" s="187"/>
      <c r="D1104" s="187"/>
      <c r="E1104" s="187"/>
      <c r="F1104" s="187"/>
      <c r="G1104" s="187"/>
      <c r="H1104" s="187"/>
      <c r="I1104" s="187"/>
      <c r="J1104" s="187"/>
      <c r="K1104" s="187"/>
      <c r="L1104" s="187"/>
      <c r="M1104" s="187"/>
      <c r="N1104" s="187"/>
      <c r="O1104" s="187"/>
      <c r="P1104" s="187"/>
      <c r="Q1104" s="187"/>
      <c r="R1104" s="187"/>
      <c r="S1104" s="187"/>
      <c r="T1104" s="187"/>
      <c r="U1104" s="187"/>
      <c r="V1104" s="187"/>
      <c r="W1104" s="188"/>
      <c r="X1104" s="695"/>
      <c r="Y1104" s="695"/>
    </row>
    <row r="1105" spans="1:25">
      <c r="A1105" s="187"/>
      <c r="B1105" s="187"/>
      <c r="C1105" s="187"/>
      <c r="D1105" s="187"/>
      <c r="E1105" s="187"/>
      <c r="F1105" s="187"/>
      <c r="G1105" s="187"/>
      <c r="H1105" s="187"/>
      <c r="I1105" s="187"/>
      <c r="J1105" s="187"/>
      <c r="K1105" s="187"/>
      <c r="L1105" s="187"/>
      <c r="M1105" s="187"/>
      <c r="N1105" s="187"/>
      <c r="O1105" s="187"/>
      <c r="P1105" s="187"/>
      <c r="Q1105" s="187"/>
      <c r="R1105" s="187"/>
      <c r="S1105" s="187"/>
      <c r="T1105" s="187"/>
      <c r="U1105" s="187"/>
      <c r="V1105" s="187"/>
      <c r="W1105" s="188"/>
      <c r="X1105" s="695"/>
      <c r="Y1105" s="695"/>
    </row>
    <row r="1106" spans="1:25">
      <c r="A1106" s="187"/>
      <c r="B1106" s="187"/>
      <c r="C1106" s="187"/>
      <c r="D1106" s="187"/>
      <c r="E1106" s="187"/>
      <c r="F1106" s="187"/>
      <c r="G1106" s="187"/>
      <c r="H1106" s="187"/>
      <c r="I1106" s="187"/>
      <c r="J1106" s="187"/>
      <c r="K1106" s="187"/>
      <c r="L1106" s="187"/>
      <c r="M1106" s="187"/>
      <c r="N1106" s="187"/>
      <c r="O1106" s="187"/>
      <c r="P1106" s="187"/>
      <c r="Q1106" s="187"/>
      <c r="R1106" s="187"/>
      <c r="S1106" s="187"/>
      <c r="T1106" s="187"/>
      <c r="U1106" s="187"/>
      <c r="V1106" s="187"/>
      <c r="W1106" s="188"/>
      <c r="X1106" s="695"/>
      <c r="Y1106" s="695"/>
    </row>
    <row r="1107" spans="1:25">
      <c r="A1107" s="187"/>
      <c r="B1107" s="187"/>
      <c r="C1107" s="187"/>
      <c r="D1107" s="187"/>
      <c r="E1107" s="187"/>
      <c r="F1107" s="187"/>
      <c r="G1107" s="187"/>
      <c r="H1107" s="187"/>
      <c r="I1107" s="187"/>
      <c r="J1107" s="187"/>
      <c r="K1107" s="187"/>
      <c r="L1107" s="187"/>
      <c r="M1107" s="187"/>
      <c r="N1107" s="187"/>
      <c r="O1107" s="187"/>
      <c r="P1107" s="187"/>
      <c r="Q1107" s="187"/>
      <c r="R1107" s="187"/>
      <c r="S1107" s="187"/>
      <c r="T1107" s="187"/>
      <c r="U1107" s="187"/>
      <c r="V1107" s="187"/>
      <c r="W1107" s="188"/>
      <c r="X1107" s="695"/>
      <c r="Y1107" s="695"/>
    </row>
    <row r="1108" spans="1:25">
      <c r="A1108" s="187"/>
      <c r="B1108" s="187"/>
      <c r="C1108" s="187"/>
      <c r="D1108" s="187"/>
      <c r="E1108" s="187"/>
      <c r="F1108" s="187"/>
      <c r="G1108" s="187"/>
      <c r="H1108" s="187"/>
      <c r="I1108" s="187"/>
      <c r="J1108" s="187"/>
      <c r="K1108" s="187"/>
      <c r="L1108" s="187"/>
      <c r="M1108" s="187"/>
      <c r="N1108" s="187"/>
      <c r="O1108" s="187"/>
      <c r="P1108" s="187"/>
      <c r="Q1108" s="187"/>
      <c r="R1108" s="187"/>
      <c r="S1108" s="187"/>
      <c r="T1108" s="187"/>
      <c r="U1108" s="187"/>
      <c r="V1108" s="187"/>
      <c r="W1108" s="188"/>
      <c r="X1108" s="695"/>
      <c r="Y1108" s="695"/>
    </row>
    <row r="1109" spans="1:25">
      <c r="A1109" s="187"/>
      <c r="B1109" s="187"/>
      <c r="C1109" s="187"/>
      <c r="D1109" s="187"/>
      <c r="E1109" s="187"/>
      <c r="F1109" s="187"/>
      <c r="G1109" s="187"/>
      <c r="H1109" s="187"/>
      <c r="I1109" s="187"/>
      <c r="J1109" s="187"/>
      <c r="K1109" s="187"/>
      <c r="L1109" s="187"/>
      <c r="M1109" s="187"/>
      <c r="N1109" s="187"/>
      <c r="O1109" s="187"/>
      <c r="P1109" s="187"/>
      <c r="Q1109" s="187"/>
      <c r="R1109" s="187"/>
      <c r="S1109" s="187"/>
      <c r="T1109" s="187"/>
      <c r="U1109" s="187"/>
      <c r="V1109" s="187"/>
      <c r="W1109" s="188"/>
      <c r="X1109" s="695"/>
      <c r="Y1109" s="695"/>
    </row>
    <row r="1110" spans="1:25">
      <c r="A1110" s="187"/>
      <c r="B1110" s="187"/>
      <c r="C1110" s="187"/>
      <c r="D1110" s="187"/>
      <c r="E1110" s="187"/>
      <c r="F1110" s="187"/>
      <c r="G1110" s="187"/>
      <c r="H1110" s="187"/>
      <c r="I1110" s="187"/>
      <c r="J1110" s="187"/>
      <c r="K1110" s="187"/>
      <c r="L1110" s="187"/>
      <c r="M1110" s="187"/>
      <c r="N1110" s="187"/>
      <c r="O1110" s="187"/>
      <c r="P1110" s="187"/>
      <c r="Q1110" s="187"/>
      <c r="R1110" s="187"/>
      <c r="S1110" s="187"/>
      <c r="T1110" s="187"/>
      <c r="U1110" s="187"/>
      <c r="V1110" s="187"/>
      <c r="W1110" s="188"/>
      <c r="X1110" s="695"/>
      <c r="Y1110" s="695"/>
    </row>
    <row r="1111" spans="1:25">
      <c r="A1111" s="187"/>
      <c r="B1111" s="187"/>
      <c r="C1111" s="187"/>
      <c r="D1111" s="187"/>
      <c r="E1111" s="187"/>
      <c r="F1111" s="187"/>
      <c r="G1111" s="187"/>
      <c r="H1111" s="187"/>
      <c r="I1111" s="187"/>
      <c r="J1111" s="187"/>
      <c r="K1111" s="187"/>
      <c r="L1111" s="187"/>
      <c r="M1111" s="187"/>
      <c r="N1111" s="187"/>
      <c r="O1111" s="187"/>
      <c r="P1111" s="187"/>
      <c r="Q1111" s="187"/>
      <c r="R1111" s="187"/>
      <c r="S1111" s="187"/>
      <c r="T1111" s="187"/>
      <c r="U1111" s="187"/>
      <c r="V1111" s="187"/>
      <c r="W1111" s="188"/>
      <c r="X1111" s="695"/>
      <c r="Y1111" s="695"/>
    </row>
    <row r="1112" spans="1:25">
      <c r="A1112" s="187"/>
      <c r="B1112" s="187"/>
      <c r="C1112" s="187"/>
      <c r="D1112" s="187"/>
      <c r="E1112" s="187"/>
      <c r="F1112" s="187"/>
      <c r="G1112" s="187"/>
      <c r="H1112" s="187"/>
      <c r="I1112" s="187"/>
      <c r="J1112" s="187"/>
      <c r="K1112" s="187"/>
      <c r="L1112" s="187"/>
      <c r="M1112" s="187"/>
      <c r="N1112" s="187"/>
      <c r="O1112" s="187"/>
      <c r="P1112" s="187"/>
      <c r="Q1112" s="187"/>
      <c r="R1112" s="187"/>
      <c r="S1112" s="187"/>
      <c r="T1112" s="187"/>
      <c r="U1112" s="187"/>
      <c r="V1112" s="187"/>
      <c r="W1112" s="188"/>
      <c r="X1112" s="695"/>
      <c r="Y1112" s="695"/>
    </row>
    <row r="1113" spans="1:25">
      <c r="A1113" s="187"/>
      <c r="B1113" s="187"/>
      <c r="C1113" s="187"/>
      <c r="D1113" s="187"/>
      <c r="E1113" s="187"/>
      <c r="F1113" s="187"/>
      <c r="G1113" s="187"/>
      <c r="H1113" s="187"/>
      <c r="I1113" s="187"/>
      <c r="J1113" s="187"/>
      <c r="K1113" s="187"/>
      <c r="L1113" s="187"/>
      <c r="M1113" s="187"/>
      <c r="N1113" s="187"/>
      <c r="O1113" s="187"/>
      <c r="P1113" s="187"/>
      <c r="Q1113" s="187"/>
      <c r="R1113" s="187"/>
      <c r="S1113" s="187"/>
      <c r="T1113" s="187"/>
      <c r="U1113" s="187"/>
      <c r="V1113" s="187"/>
      <c r="W1113" s="188"/>
      <c r="X1113" s="695"/>
      <c r="Y1113" s="695"/>
    </row>
    <row r="1114" spans="1:25">
      <c r="A1114" s="187"/>
      <c r="B1114" s="187"/>
      <c r="C1114" s="187"/>
      <c r="D1114" s="187"/>
      <c r="E1114" s="187"/>
      <c r="F1114" s="187"/>
      <c r="G1114" s="187"/>
      <c r="H1114" s="187"/>
      <c r="I1114" s="187"/>
      <c r="J1114" s="187"/>
      <c r="K1114" s="187"/>
      <c r="L1114" s="187"/>
      <c r="M1114" s="187"/>
      <c r="N1114" s="187"/>
      <c r="O1114" s="187"/>
      <c r="P1114" s="187"/>
      <c r="Q1114" s="187"/>
      <c r="R1114" s="187"/>
      <c r="S1114" s="187"/>
      <c r="T1114" s="187"/>
      <c r="U1114" s="187"/>
      <c r="V1114" s="187"/>
      <c r="W1114" s="188"/>
      <c r="X1114" s="695"/>
      <c r="Y1114" s="695"/>
    </row>
    <row r="1115" spans="1:25">
      <c r="A1115" s="187"/>
      <c r="B1115" s="187"/>
      <c r="C1115" s="187"/>
      <c r="D1115" s="187"/>
      <c r="E1115" s="187"/>
      <c r="F1115" s="187"/>
      <c r="G1115" s="187"/>
      <c r="H1115" s="187"/>
      <c r="I1115" s="187"/>
      <c r="J1115" s="187"/>
      <c r="K1115" s="187"/>
      <c r="L1115" s="187"/>
      <c r="M1115" s="187"/>
      <c r="N1115" s="187"/>
      <c r="O1115" s="187"/>
      <c r="P1115" s="187"/>
      <c r="Q1115" s="187"/>
      <c r="R1115" s="187"/>
      <c r="S1115" s="187"/>
      <c r="T1115" s="187"/>
      <c r="U1115" s="187"/>
      <c r="V1115" s="187"/>
      <c r="W1115" s="188"/>
      <c r="X1115" s="695"/>
      <c r="Y1115" s="695"/>
    </row>
    <row r="1116" spans="1:25">
      <c r="A1116" s="187"/>
      <c r="B1116" s="187"/>
      <c r="C1116" s="187"/>
      <c r="D1116" s="187"/>
      <c r="E1116" s="187"/>
      <c r="F1116" s="187"/>
      <c r="G1116" s="187"/>
      <c r="H1116" s="187"/>
      <c r="I1116" s="187"/>
      <c r="J1116" s="187"/>
      <c r="K1116" s="187"/>
      <c r="L1116" s="187"/>
      <c r="M1116" s="187"/>
      <c r="N1116" s="187"/>
      <c r="O1116" s="187"/>
      <c r="P1116" s="187"/>
      <c r="Q1116" s="187"/>
      <c r="R1116" s="187"/>
      <c r="S1116" s="187"/>
      <c r="T1116" s="187"/>
      <c r="U1116" s="187"/>
      <c r="V1116" s="187"/>
      <c r="W1116" s="188"/>
      <c r="X1116" s="695"/>
      <c r="Y1116" s="695"/>
    </row>
    <row r="1117" spans="1:25">
      <c r="A1117" s="187"/>
      <c r="B1117" s="187"/>
      <c r="C1117" s="187"/>
      <c r="D1117" s="187"/>
      <c r="E1117" s="187"/>
      <c r="F1117" s="187"/>
      <c r="G1117" s="187"/>
      <c r="H1117" s="187"/>
      <c r="I1117" s="187"/>
      <c r="J1117" s="187"/>
      <c r="K1117" s="187"/>
      <c r="L1117" s="187"/>
      <c r="M1117" s="187"/>
      <c r="N1117" s="187"/>
      <c r="O1117" s="187"/>
      <c r="P1117" s="187"/>
      <c r="Q1117" s="187"/>
      <c r="R1117" s="187"/>
      <c r="S1117" s="187"/>
      <c r="T1117" s="187"/>
      <c r="U1117" s="187"/>
      <c r="V1117" s="187"/>
      <c r="W1117" s="188"/>
      <c r="X1117" s="695"/>
      <c r="Y1117" s="695"/>
    </row>
    <row r="1118" spans="1:25">
      <c r="A1118" s="187"/>
      <c r="B1118" s="187"/>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8"/>
      <c r="X1118" s="695"/>
      <c r="Y1118" s="695"/>
    </row>
    <row r="1119" spans="1:25">
      <c r="A1119" s="187"/>
      <c r="B1119" s="187"/>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8"/>
      <c r="X1119" s="695"/>
      <c r="Y1119" s="695"/>
    </row>
    <row r="1120" spans="1:25">
      <c r="A1120" s="187"/>
      <c r="B1120" s="187"/>
      <c r="C1120" s="187"/>
      <c r="D1120" s="187"/>
      <c r="E1120" s="187"/>
      <c r="F1120" s="187"/>
      <c r="G1120" s="187"/>
      <c r="H1120" s="187"/>
      <c r="I1120" s="187"/>
      <c r="J1120" s="187"/>
      <c r="K1120" s="187"/>
      <c r="L1120" s="187"/>
      <c r="M1120" s="187"/>
      <c r="N1120" s="187"/>
      <c r="O1120" s="187"/>
      <c r="P1120" s="187"/>
      <c r="Q1120" s="187"/>
      <c r="R1120" s="187"/>
      <c r="S1120" s="187"/>
      <c r="T1120" s="187"/>
      <c r="U1120" s="187"/>
      <c r="V1120" s="187"/>
      <c r="W1120" s="188"/>
      <c r="X1120" s="695"/>
      <c r="Y1120" s="695"/>
    </row>
    <row r="1121" spans="1:25">
      <c r="A1121" s="187"/>
      <c r="B1121" s="187"/>
      <c r="C1121" s="187"/>
      <c r="D1121" s="187"/>
      <c r="E1121" s="187"/>
      <c r="F1121" s="187"/>
      <c r="G1121" s="187"/>
      <c r="H1121" s="187"/>
      <c r="I1121" s="187"/>
      <c r="J1121" s="187"/>
      <c r="K1121" s="187"/>
      <c r="L1121" s="187"/>
      <c r="M1121" s="187"/>
      <c r="N1121" s="187"/>
      <c r="O1121" s="187"/>
      <c r="P1121" s="187"/>
      <c r="Q1121" s="187"/>
      <c r="R1121" s="187"/>
      <c r="S1121" s="187"/>
      <c r="T1121" s="187"/>
      <c r="U1121" s="187"/>
      <c r="V1121" s="187"/>
      <c r="W1121" s="188"/>
      <c r="X1121" s="695"/>
      <c r="Y1121" s="695"/>
    </row>
    <row r="1122" spans="1:25">
      <c r="A1122" s="187"/>
      <c r="B1122" s="187"/>
      <c r="C1122" s="187"/>
      <c r="D1122" s="187"/>
      <c r="E1122" s="187"/>
      <c r="F1122" s="187"/>
      <c r="G1122" s="187"/>
      <c r="H1122" s="187"/>
      <c r="I1122" s="187"/>
      <c r="J1122" s="187"/>
      <c r="K1122" s="187"/>
      <c r="L1122" s="187"/>
      <c r="M1122" s="187"/>
      <c r="N1122" s="187"/>
      <c r="O1122" s="187"/>
      <c r="P1122" s="187"/>
      <c r="Q1122" s="187"/>
      <c r="R1122" s="187"/>
      <c r="S1122" s="187"/>
      <c r="T1122" s="187"/>
      <c r="U1122" s="187"/>
      <c r="V1122" s="187"/>
      <c r="W1122" s="188"/>
      <c r="X1122" s="695"/>
      <c r="Y1122" s="695"/>
    </row>
    <row r="1123" spans="1:25">
      <c r="A1123" s="187"/>
      <c r="B1123" s="187"/>
      <c r="C1123" s="187"/>
      <c r="D1123" s="187"/>
      <c r="E1123" s="187"/>
      <c r="F1123" s="187"/>
      <c r="G1123" s="187"/>
      <c r="H1123" s="187"/>
      <c r="I1123" s="187"/>
      <c r="J1123" s="187"/>
      <c r="K1123" s="187"/>
      <c r="L1123" s="187"/>
      <c r="M1123" s="187"/>
      <c r="N1123" s="187"/>
      <c r="O1123" s="187"/>
      <c r="P1123" s="187"/>
      <c r="Q1123" s="187"/>
      <c r="R1123" s="187"/>
      <c r="S1123" s="187"/>
      <c r="T1123" s="187"/>
      <c r="U1123" s="187"/>
      <c r="V1123" s="187"/>
      <c r="W1123" s="188"/>
      <c r="X1123" s="695"/>
      <c r="Y1123" s="695"/>
    </row>
    <row r="1124" spans="1:25">
      <c r="A1124" s="187"/>
      <c r="B1124" s="187"/>
      <c r="C1124" s="187"/>
      <c r="D1124" s="187"/>
      <c r="E1124" s="187"/>
      <c r="F1124" s="187"/>
      <c r="G1124" s="187"/>
      <c r="H1124" s="187"/>
      <c r="I1124" s="187"/>
      <c r="J1124" s="187"/>
      <c r="K1124" s="187"/>
      <c r="L1124" s="187"/>
      <c r="M1124" s="187"/>
      <c r="N1124" s="187"/>
      <c r="O1124" s="187"/>
      <c r="P1124" s="187"/>
      <c r="Q1124" s="187"/>
      <c r="R1124" s="187"/>
      <c r="S1124" s="187"/>
      <c r="T1124" s="187"/>
      <c r="U1124" s="187"/>
      <c r="V1124" s="187"/>
      <c r="W1124" s="188"/>
      <c r="X1124" s="695"/>
      <c r="Y1124" s="695"/>
    </row>
    <row r="1125" spans="1:25">
      <c r="A1125" s="187"/>
      <c r="B1125" s="187"/>
      <c r="C1125" s="187"/>
      <c r="D1125" s="187"/>
      <c r="E1125" s="187"/>
      <c r="F1125" s="187"/>
      <c r="G1125" s="187"/>
      <c r="H1125" s="187"/>
      <c r="I1125" s="187"/>
      <c r="J1125" s="187"/>
      <c r="K1125" s="187"/>
      <c r="L1125" s="187"/>
      <c r="M1125" s="187"/>
      <c r="N1125" s="187"/>
      <c r="O1125" s="187"/>
      <c r="P1125" s="187"/>
      <c r="Q1125" s="187"/>
      <c r="R1125" s="187"/>
      <c r="S1125" s="187"/>
      <c r="T1125" s="187"/>
      <c r="U1125" s="187"/>
      <c r="V1125" s="187"/>
      <c r="W1125" s="188"/>
      <c r="X1125" s="695"/>
      <c r="Y1125" s="695"/>
    </row>
    <row r="1126" spans="1:25">
      <c r="A1126" s="187"/>
      <c r="B1126" s="187"/>
      <c r="C1126" s="187"/>
      <c r="D1126" s="187"/>
      <c r="E1126" s="187"/>
      <c r="F1126" s="187"/>
      <c r="G1126" s="187"/>
      <c r="H1126" s="187"/>
      <c r="I1126" s="187"/>
      <c r="J1126" s="187"/>
      <c r="K1126" s="187"/>
      <c r="L1126" s="187"/>
      <c r="M1126" s="187"/>
      <c r="N1126" s="187"/>
      <c r="O1126" s="187"/>
      <c r="P1126" s="187"/>
      <c r="Q1126" s="187"/>
      <c r="R1126" s="187"/>
      <c r="S1126" s="187"/>
      <c r="T1126" s="187"/>
      <c r="U1126" s="187"/>
      <c r="V1126" s="187"/>
      <c r="W1126" s="188"/>
      <c r="X1126" s="695"/>
      <c r="Y1126" s="695"/>
    </row>
    <row r="1127" spans="1:25">
      <c r="A1127" s="187"/>
      <c r="B1127" s="187"/>
      <c r="C1127" s="187"/>
      <c r="D1127" s="187"/>
      <c r="E1127" s="187"/>
      <c r="F1127" s="187"/>
      <c r="G1127" s="187"/>
      <c r="H1127" s="187"/>
      <c r="I1127" s="187"/>
      <c r="J1127" s="187"/>
      <c r="K1127" s="187"/>
      <c r="L1127" s="187"/>
      <c r="M1127" s="187"/>
      <c r="N1127" s="187"/>
      <c r="O1127" s="187"/>
      <c r="P1127" s="187"/>
      <c r="Q1127" s="187"/>
      <c r="R1127" s="187"/>
      <c r="S1127" s="187"/>
      <c r="T1127" s="187"/>
      <c r="U1127" s="187"/>
      <c r="V1127" s="187"/>
      <c r="W1127" s="188"/>
      <c r="X1127" s="695"/>
      <c r="Y1127" s="695"/>
    </row>
    <row r="1128" spans="1:25">
      <c r="A1128" s="187"/>
      <c r="B1128" s="187"/>
      <c r="C1128" s="187"/>
      <c r="D1128" s="187"/>
      <c r="E1128" s="187"/>
      <c r="F1128" s="187"/>
      <c r="G1128" s="187"/>
      <c r="H1128" s="187"/>
      <c r="I1128" s="187"/>
      <c r="J1128" s="187"/>
      <c r="K1128" s="187"/>
      <c r="L1128" s="187"/>
      <c r="M1128" s="187"/>
      <c r="N1128" s="187"/>
      <c r="O1128" s="187"/>
      <c r="P1128" s="187"/>
      <c r="Q1128" s="187"/>
      <c r="R1128" s="187"/>
      <c r="S1128" s="187"/>
      <c r="T1128" s="187"/>
      <c r="U1128" s="187"/>
      <c r="V1128" s="187"/>
      <c r="W1128" s="188"/>
      <c r="X1128" s="695"/>
      <c r="Y1128" s="695"/>
    </row>
    <row r="1129" spans="1:25">
      <c r="A1129" s="187"/>
      <c r="B1129" s="187"/>
      <c r="C1129" s="187"/>
      <c r="D1129" s="187"/>
      <c r="E1129" s="187"/>
      <c r="F1129" s="187"/>
      <c r="G1129" s="187"/>
      <c r="H1129" s="187"/>
      <c r="I1129" s="187"/>
      <c r="J1129" s="187"/>
      <c r="K1129" s="187"/>
      <c r="L1129" s="187"/>
      <c r="M1129" s="187"/>
      <c r="N1129" s="187"/>
      <c r="O1129" s="187"/>
      <c r="P1129" s="187"/>
      <c r="Q1129" s="187"/>
      <c r="R1129" s="187"/>
      <c r="S1129" s="187"/>
      <c r="T1129" s="187"/>
      <c r="U1129" s="187"/>
      <c r="V1129" s="187"/>
      <c r="W1129" s="188"/>
      <c r="X1129" s="695"/>
      <c r="Y1129" s="695"/>
    </row>
    <row r="1130" spans="1:25">
      <c r="A1130" s="187"/>
      <c r="B1130" s="187"/>
      <c r="C1130" s="187"/>
      <c r="D1130" s="187"/>
      <c r="E1130" s="187"/>
      <c r="F1130" s="187"/>
      <c r="G1130" s="187"/>
      <c r="H1130" s="187"/>
      <c r="I1130" s="187"/>
      <c r="J1130" s="187"/>
      <c r="K1130" s="187"/>
      <c r="L1130" s="187"/>
      <c r="M1130" s="187"/>
      <c r="N1130" s="187"/>
      <c r="O1130" s="187"/>
      <c r="P1130" s="187"/>
      <c r="Q1130" s="187"/>
      <c r="R1130" s="187"/>
      <c r="S1130" s="187"/>
      <c r="T1130" s="187"/>
      <c r="U1130" s="187"/>
      <c r="V1130" s="187"/>
      <c r="W1130" s="188"/>
      <c r="X1130" s="695"/>
      <c r="Y1130" s="695"/>
    </row>
    <row r="1131" spans="1:25">
      <c r="A1131" s="187"/>
      <c r="B1131" s="187"/>
      <c r="C1131" s="187"/>
      <c r="D1131" s="187"/>
      <c r="E1131" s="187"/>
      <c r="F1131" s="187"/>
      <c r="G1131" s="187"/>
      <c r="H1131" s="187"/>
      <c r="I1131" s="187"/>
      <c r="J1131" s="187"/>
      <c r="K1131" s="187"/>
      <c r="L1131" s="187"/>
      <c r="M1131" s="187"/>
      <c r="N1131" s="187"/>
      <c r="O1131" s="187"/>
      <c r="P1131" s="187"/>
      <c r="Q1131" s="187"/>
      <c r="R1131" s="187"/>
      <c r="S1131" s="187"/>
      <c r="T1131" s="187"/>
      <c r="U1131" s="187"/>
      <c r="V1131" s="187"/>
      <c r="W1131" s="188"/>
      <c r="X1131" s="695"/>
      <c r="Y1131" s="695"/>
    </row>
    <row r="1132" spans="1:25">
      <c r="A1132" s="187"/>
      <c r="B1132" s="187"/>
      <c r="C1132" s="187"/>
      <c r="D1132" s="187"/>
      <c r="E1132" s="187"/>
      <c r="F1132" s="187"/>
      <c r="G1132" s="187"/>
      <c r="H1132" s="187"/>
      <c r="I1132" s="187"/>
      <c r="J1132" s="187"/>
      <c r="K1132" s="187"/>
      <c r="L1132" s="187"/>
      <c r="M1132" s="187"/>
      <c r="N1132" s="187"/>
      <c r="O1132" s="187"/>
      <c r="P1132" s="187"/>
      <c r="Q1132" s="187"/>
      <c r="R1132" s="187"/>
      <c r="S1132" s="187"/>
      <c r="T1132" s="187"/>
      <c r="U1132" s="187"/>
      <c r="V1132" s="187"/>
      <c r="W1132" s="188"/>
      <c r="X1132" s="695"/>
      <c r="Y1132" s="695"/>
    </row>
    <row r="1133" spans="1:25">
      <c r="A1133" s="187"/>
      <c r="B1133" s="187"/>
      <c r="C1133" s="187"/>
      <c r="D1133" s="187"/>
      <c r="E1133" s="187"/>
      <c r="F1133" s="187"/>
      <c r="G1133" s="187"/>
      <c r="H1133" s="187"/>
      <c r="I1133" s="187"/>
      <c r="J1133" s="187"/>
      <c r="K1133" s="187"/>
      <c r="L1133" s="187"/>
      <c r="M1133" s="187"/>
      <c r="N1133" s="187"/>
      <c r="O1133" s="187"/>
      <c r="P1133" s="187"/>
      <c r="Q1133" s="187"/>
      <c r="R1133" s="187"/>
      <c r="S1133" s="187"/>
      <c r="T1133" s="187"/>
      <c r="U1133" s="187"/>
      <c r="V1133" s="187"/>
      <c r="W1133" s="188"/>
      <c r="X1133" s="695"/>
      <c r="Y1133" s="695"/>
    </row>
    <row r="1134" spans="1:25">
      <c r="A1134" s="187"/>
      <c r="B1134" s="187"/>
      <c r="C1134" s="187"/>
      <c r="D1134" s="187"/>
      <c r="E1134" s="187"/>
      <c r="F1134" s="187"/>
      <c r="G1134" s="187"/>
      <c r="H1134" s="187"/>
      <c r="I1134" s="187"/>
      <c r="J1134" s="187"/>
      <c r="K1134" s="187"/>
      <c r="L1134" s="187"/>
      <c r="M1134" s="187"/>
      <c r="N1134" s="187"/>
      <c r="O1134" s="187"/>
      <c r="P1134" s="187"/>
      <c r="Q1134" s="187"/>
      <c r="R1134" s="187"/>
      <c r="S1134" s="187"/>
      <c r="T1134" s="187"/>
      <c r="U1134" s="187"/>
      <c r="V1134" s="187"/>
      <c r="W1134" s="188"/>
      <c r="X1134" s="695"/>
      <c r="Y1134" s="695"/>
    </row>
    <row r="1135" spans="1:25">
      <c r="A1135" s="187"/>
      <c r="B1135" s="187"/>
      <c r="C1135" s="187"/>
      <c r="D1135" s="187"/>
      <c r="E1135" s="187"/>
      <c r="F1135" s="187"/>
      <c r="G1135" s="187"/>
      <c r="H1135" s="187"/>
      <c r="I1135" s="187"/>
      <c r="J1135" s="187"/>
      <c r="K1135" s="187"/>
      <c r="L1135" s="187"/>
      <c r="M1135" s="187"/>
      <c r="N1135" s="187"/>
      <c r="O1135" s="187"/>
      <c r="P1135" s="187"/>
      <c r="Q1135" s="187"/>
      <c r="R1135" s="187"/>
      <c r="S1135" s="187"/>
      <c r="T1135" s="187"/>
      <c r="U1135" s="187"/>
      <c r="V1135" s="187"/>
      <c r="W1135" s="188"/>
      <c r="X1135" s="695"/>
      <c r="Y1135" s="695"/>
    </row>
    <row r="1136" spans="1:25">
      <c r="A1136" s="187"/>
      <c r="B1136" s="187"/>
      <c r="C1136" s="187"/>
      <c r="D1136" s="187"/>
      <c r="E1136" s="187"/>
      <c r="F1136" s="187"/>
      <c r="G1136" s="187"/>
      <c r="H1136" s="187"/>
      <c r="I1136" s="187"/>
      <c r="J1136" s="187"/>
      <c r="K1136" s="187"/>
      <c r="L1136" s="187"/>
      <c r="M1136" s="187"/>
      <c r="N1136" s="187"/>
      <c r="O1136" s="187"/>
      <c r="P1136" s="187"/>
      <c r="Q1136" s="187"/>
      <c r="R1136" s="187"/>
      <c r="S1136" s="187"/>
      <c r="T1136" s="187"/>
      <c r="U1136" s="187"/>
      <c r="V1136" s="187"/>
      <c r="W1136" s="188"/>
      <c r="X1136" s="695"/>
      <c r="Y1136" s="695"/>
    </row>
    <row r="1137" spans="1:25">
      <c r="A1137" s="187"/>
      <c r="B1137" s="187"/>
      <c r="C1137" s="187"/>
      <c r="D1137" s="187"/>
      <c r="E1137" s="187"/>
      <c r="F1137" s="187"/>
      <c r="G1137" s="187"/>
      <c r="H1137" s="187"/>
      <c r="I1137" s="187"/>
      <c r="J1137" s="187"/>
      <c r="K1137" s="187"/>
      <c r="L1137" s="187"/>
      <c r="M1137" s="187"/>
      <c r="N1137" s="187"/>
      <c r="O1137" s="187"/>
      <c r="P1137" s="187"/>
      <c r="Q1137" s="187"/>
      <c r="R1137" s="187"/>
      <c r="S1137" s="187"/>
      <c r="T1137" s="187"/>
      <c r="U1137" s="187"/>
      <c r="V1137" s="187"/>
      <c r="W1137" s="188"/>
      <c r="X1137" s="695"/>
      <c r="Y1137" s="695"/>
    </row>
    <row r="1138" spans="1:25">
      <c r="A1138" s="187"/>
      <c r="B1138" s="187"/>
      <c r="C1138" s="187"/>
      <c r="D1138" s="187"/>
      <c r="E1138" s="187"/>
      <c r="F1138" s="187"/>
      <c r="G1138" s="187"/>
      <c r="H1138" s="187"/>
      <c r="I1138" s="187"/>
      <c r="J1138" s="187"/>
      <c r="K1138" s="187"/>
      <c r="L1138" s="187"/>
      <c r="M1138" s="187"/>
      <c r="N1138" s="187"/>
      <c r="O1138" s="187"/>
      <c r="P1138" s="187"/>
      <c r="Q1138" s="187"/>
      <c r="R1138" s="187"/>
      <c r="S1138" s="187"/>
      <c r="T1138" s="187"/>
      <c r="U1138" s="187"/>
      <c r="V1138" s="187"/>
      <c r="W1138" s="188"/>
      <c r="X1138" s="695"/>
      <c r="Y1138" s="695"/>
    </row>
    <row r="1139" spans="1:25">
      <c r="A1139" s="187"/>
      <c r="B1139" s="187"/>
      <c r="C1139" s="187"/>
      <c r="D1139" s="187"/>
      <c r="E1139" s="187"/>
      <c r="F1139" s="187"/>
      <c r="G1139" s="187"/>
      <c r="H1139" s="187"/>
      <c r="I1139" s="187"/>
      <c r="J1139" s="187"/>
      <c r="K1139" s="187"/>
      <c r="L1139" s="187"/>
      <c r="M1139" s="187"/>
      <c r="N1139" s="187"/>
      <c r="O1139" s="187"/>
      <c r="P1139" s="187"/>
      <c r="Q1139" s="187"/>
      <c r="R1139" s="187"/>
      <c r="S1139" s="187"/>
      <c r="T1139" s="187"/>
      <c r="U1139" s="187"/>
      <c r="V1139" s="187"/>
      <c r="W1139" s="188"/>
      <c r="X1139" s="695"/>
      <c r="Y1139" s="695"/>
    </row>
    <row r="1140" spans="1:25">
      <c r="A1140" s="187"/>
      <c r="B1140" s="187"/>
      <c r="C1140" s="187"/>
      <c r="D1140" s="187"/>
      <c r="E1140" s="187"/>
      <c r="F1140" s="187"/>
      <c r="G1140" s="187"/>
      <c r="H1140" s="187"/>
      <c r="I1140" s="187"/>
      <c r="J1140" s="187"/>
      <c r="K1140" s="187"/>
      <c r="L1140" s="187"/>
      <c r="M1140" s="187"/>
      <c r="N1140" s="187"/>
      <c r="O1140" s="187"/>
      <c r="P1140" s="187"/>
      <c r="Q1140" s="187"/>
      <c r="R1140" s="187"/>
      <c r="S1140" s="187"/>
      <c r="T1140" s="187"/>
      <c r="U1140" s="187"/>
      <c r="V1140" s="187"/>
      <c r="W1140" s="188"/>
      <c r="X1140" s="695"/>
      <c r="Y1140" s="695"/>
    </row>
    <row r="1141" spans="1:25">
      <c r="A1141" s="187"/>
      <c r="B1141" s="187"/>
      <c r="C1141" s="187"/>
      <c r="D1141" s="187"/>
      <c r="E1141" s="187"/>
      <c r="F1141" s="187"/>
      <c r="G1141" s="187"/>
      <c r="H1141" s="187"/>
      <c r="I1141" s="187"/>
      <c r="J1141" s="187"/>
      <c r="K1141" s="187"/>
      <c r="L1141" s="187"/>
      <c r="M1141" s="187"/>
      <c r="N1141" s="187"/>
      <c r="O1141" s="187"/>
      <c r="P1141" s="187"/>
      <c r="Q1141" s="187"/>
      <c r="R1141" s="187"/>
      <c r="S1141" s="187"/>
      <c r="T1141" s="187"/>
      <c r="U1141" s="187"/>
      <c r="V1141" s="187"/>
      <c r="W1141" s="188"/>
      <c r="X1141" s="695"/>
      <c r="Y1141" s="695"/>
    </row>
    <row r="1142" spans="1:25">
      <c r="A1142" s="187"/>
      <c r="B1142" s="187"/>
      <c r="C1142" s="187"/>
      <c r="D1142" s="187"/>
      <c r="E1142" s="187"/>
      <c r="F1142" s="187"/>
      <c r="G1142" s="187"/>
      <c r="H1142" s="187"/>
      <c r="I1142" s="187"/>
      <c r="J1142" s="187"/>
      <c r="K1142" s="187"/>
      <c r="L1142" s="187"/>
      <c r="M1142" s="187"/>
      <c r="N1142" s="187"/>
      <c r="O1142" s="187"/>
      <c r="P1142" s="187"/>
      <c r="Q1142" s="187"/>
      <c r="R1142" s="187"/>
      <c r="S1142" s="187"/>
      <c r="T1142" s="187"/>
      <c r="U1142" s="187"/>
      <c r="V1142" s="187"/>
      <c r="W1142" s="188"/>
      <c r="X1142" s="695"/>
      <c r="Y1142" s="695"/>
    </row>
    <row r="1143" spans="1:25">
      <c r="A1143" s="187"/>
      <c r="B1143" s="187"/>
      <c r="C1143" s="187"/>
      <c r="D1143" s="187"/>
      <c r="E1143" s="187"/>
      <c r="F1143" s="187"/>
      <c r="G1143" s="187"/>
      <c r="H1143" s="187"/>
      <c r="I1143" s="187"/>
      <c r="J1143" s="187"/>
      <c r="K1143" s="187"/>
      <c r="L1143" s="187"/>
      <c r="M1143" s="187"/>
      <c r="N1143" s="187"/>
      <c r="O1143" s="187"/>
      <c r="P1143" s="187"/>
      <c r="Q1143" s="187"/>
      <c r="R1143" s="187"/>
      <c r="S1143" s="187"/>
      <c r="T1143" s="187"/>
      <c r="U1143" s="187"/>
      <c r="V1143" s="187"/>
      <c r="W1143" s="188"/>
      <c r="X1143" s="695"/>
      <c r="Y1143" s="695"/>
    </row>
    <row r="1144" spans="1:25">
      <c r="A1144" s="187"/>
      <c r="B1144" s="187"/>
      <c r="C1144" s="187"/>
      <c r="D1144" s="187"/>
      <c r="E1144" s="187"/>
      <c r="F1144" s="187"/>
      <c r="G1144" s="187"/>
      <c r="H1144" s="187"/>
      <c r="I1144" s="187"/>
      <c r="J1144" s="187"/>
      <c r="K1144" s="187"/>
      <c r="L1144" s="187"/>
      <c r="M1144" s="187"/>
      <c r="N1144" s="187"/>
      <c r="O1144" s="187"/>
      <c r="P1144" s="187"/>
      <c r="Q1144" s="187"/>
      <c r="R1144" s="187"/>
      <c r="S1144" s="187"/>
      <c r="T1144" s="187"/>
      <c r="U1144" s="187"/>
      <c r="V1144" s="187"/>
      <c r="W1144" s="188"/>
      <c r="X1144" s="695"/>
      <c r="Y1144" s="695"/>
    </row>
    <row r="1145" spans="1:25">
      <c r="A1145" s="187"/>
      <c r="B1145" s="187"/>
      <c r="C1145" s="187"/>
      <c r="D1145" s="187"/>
      <c r="E1145" s="187"/>
      <c r="F1145" s="187"/>
      <c r="G1145" s="187"/>
      <c r="H1145" s="187"/>
      <c r="I1145" s="187"/>
      <c r="J1145" s="187"/>
      <c r="K1145" s="187"/>
      <c r="L1145" s="187"/>
      <c r="M1145" s="187"/>
      <c r="N1145" s="187"/>
      <c r="O1145" s="187"/>
      <c r="P1145" s="187"/>
      <c r="Q1145" s="187"/>
      <c r="R1145" s="187"/>
      <c r="S1145" s="187"/>
      <c r="T1145" s="187"/>
      <c r="U1145" s="187"/>
      <c r="V1145" s="187"/>
      <c r="W1145" s="188"/>
      <c r="X1145" s="695"/>
      <c r="Y1145" s="695"/>
    </row>
    <row r="1146" spans="1:25">
      <c r="A1146" s="187"/>
      <c r="B1146" s="187"/>
      <c r="C1146" s="187"/>
      <c r="D1146" s="187"/>
      <c r="E1146" s="187"/>
      <c r="F1146" s="187"/>
      <c r="G1146" s="187"/>
      <c r="H1146" s="187"/>
      <c r="I1146" s="187"/>
      <c r="J1146" s="187"/>
      <c r="K1146" s="187"/>
      <c r="L1146" s="187"/>
      <c r="M1146" s="187"/>
      <c r="N1146" s="187"/>
      <c r="O1146" s="187"/>
      <c r="P1146" s="187"/>
      <c r="Q1146" s="187"/>
      <c r="R1146" s="187"/>
      <c r="S1146" s="187"/>
      <c r="T1146" s="187"/>
      <c r="U1146" s="187"/>
      <c r="V1146" s="187"/>
      <c r="W1146" s="188"/>
      <c r="X1146" s="695"/>
      <c r="Y1146" s="695"/>
    </row>
    <row r="1147" spans="1:25">
      <c r="A1147" s="187"/>
      <c r="B1147" s="187"/>
      <c r="C1147" s="187"/>
      <c r="D1147" s="187"/>
      <c r="E1147" s="187"/>
      <c r="F1147" s="187"/>
      <c r="G1147" s="187"/>
      <c r="H1147" s="187"/>
      <c r="I1147" s="187"/>
      <c r="J1147" s="187"/>
      <c r="K1147" s="187"/>
      <c r="L1147" s="187"/>
      <c r="M1147" s="187"/>
      <c r="N1147" s="187"/>
      <c r="O1147" s="187"/>
      <c r="P1147" s="187"/>
      <c r="Q1147" s="187"/>
      <c r="R1147" s="187"/>
      <c r="S1147" s="187"/>
      <c r="T1147" s="187"/>
      <c r="U1147" s="187"/>
      <c r="V1147" s="187"/>
      <c r="W1147" s="188"/>
      <c r="X1147" s="695"/>
      <c r="Y1147" s="695"/>
    </row>
    <row r="1148" spans="1:25">
      <c r="A1148" s="187"/>
      <c r="B1148" s="187"/>
      <c r="C1148" s="187"/>
      <c r="D1148" s="187"/>
      <c r="E1148" s="187"/>
      <c r="F1148" s="187"/>
      <c r="G1148" s="187"/>
      <c r="H1148" s="187"/>
      <c r="I1148" s="187"/>
      <c r="J1148" s="187"/>
      <c r="K1148" s="187"/>
      <c r="L1148" s="187"/>
      <c r="M1148" s="187"/>
      <c r="N1148" s="187"/>
      <c r="O1148" s="187"/>
      <c r="P1148" s="187"/>
      <c r="Q1148" s="187"/>
      <c r="R1148" s="187"/>
      <c r="S1148" s="187"/>
      <c r="T1148" s="187"/>
      <c r="U1148" s="187"/>
      <c r="V1148" s="187"/>
      <c r="W1148" s="188"/>
      <c r="X1148" s="695"/>
      <c r="Y1148" s="695"/>
    </row>
    <row r="1149" spans="1:25">
      <c r="A1149" s="187"/>
      <c r="B1149" s="187"/>
      <c r="C1149" s="187"/>
      <c r="D1149" s="187"/>
      <c r="E1149" s="187"/>
      <c r="F1149" s="187"/>
      <c r="G1149" s="187"/>
      <c r="H1149" s="187"/>
      <c r="I1149" s="187"/>
      <c r="J1149" s="187"/>
      <c r="K1149" s="187"/>
      <c r="L1149" s="187"/>
      <c r="M1149" s="187"/>
      <c r="N1149" s="187"/>
      <c r="O1149" s="187"/>
      <c r="P1149" s="187"/>
      <c r="Q1149" s="187"/>
      <c r="R1149" s="187"/>
      <c r="S1149" s="187"/>
      <c r="T1149" s="187"/>
      <c r="U1149" s="187"/>
      <c r="V1149" s="187"/>
      <c r="W1149" s="188"/>
      <c r="X1149" s="695"/>
      <c r="Y1149" s="695"/>
    </row>
    <row r="1150" spans="1:25">
      <c r="A1150" s="187"/>
      <c r="B1150" s="187"/>
      <c r="C1150" s="187"/>
      <c r="D1150" s="187"/>
      <c r="E1150" s="187"/>
      <c r="F1150" s="187"/>
      <c r="G1150" s="187"/>
      <c r="H1150" s="187"/>
      <c r="I1150" s="187"/>
      <c r="J1150" s="187"/>
      <c r="K1150" s="187"/>
      <c r="L1150" s="187"/>
      <c r="M1150" s="187"/>
      <c r="N1150" s="187"/>
      <c r="O1150" s="187"/>
      <c r="P1150" s="187"/>
      <c r="Q1150" s="187"/>
      <c r="R1150" s="187"/>
      <c r="S1150" s="187"/>
      <c r="T1150" s="187"/>
      <c r="U1150" s="187"/>
      <c r="V1150" s="187"/>
      <c r="W1150" s="188"/>
      <c r="X1150" s="695"/>
      <c r="Y1150" s="695"/>
    </row>
    <row r="1151" spans="1:25">
      <c r="A1151" s="187"/>
      <c r="B1151" s="187"/>
      <c r="C1151" s="187"/>
      <c r="D1151" s="187"/>
      <c r="E1151" s="187"/>
      <c r="F1151" s="187"/>
      <c r="G1151" s="187"/>
      <c r="H1151" s="187"/>
      <c r="I1151" s="187"/>
      <c r="J1151" s="187"/>
      <c r="K1151" s="187"/>
      <c r="L1151" s="187"/>
      <c r="M1151" s="187"/>
      <c r="N1151" s="187"/>
      <c r="O1151" s="187"/>
      <c r="P1151" s="187"/>
      <c r="Q1151" s="187"/>
      <c r="R1151" s="187"/>
      <c r="S1151" s="187"/>
      <c r="T1151" s="187"/>
      <c r="U1151" s="187"/>
      <c r="V1151" s="187"/>
      <c r="W1151" s="188"/>
      <c r="X1151" s="695"/>
      <c r="Y1151" s="695"/>
    </row>
    <row r="1152" spans="1:25">
      <c r="A1152" s="187"/>
      <c r="B1152" s="187"/>
      <c r="C1152" s="187"/>
      <c r="D1152" s="187"/>
      <c r="E1152" s="187"/>
      <c r="F1152" s="187"/>
      <c r="G1152" s="187"/>
      <c r="H1152" s="187"/>
      <c r="I1152" s="187"/>
      <c r="J1152" s="187"/>
      <c r="K1152" s="187"/>
      <c r="L1152" s="187"/>
      <c r="M1152" s="187"/>
      <c r="N1152" s="187"/>
      <c r="O1152" s="187"/>
      <c r="P1152" s="187"/>
      <c r="Q1152" s="187"/>
      <c r="R1152" s="187"/>
      <c r="S1152" s="187"/>
      <c r="T1152" s="187"/>
      <c r="U1152" s="187"/>
      <c r="V1152" s="187"/>
      <c r="W1152" s="188"/>
      <c r="X1152" s="695"/>
      <c r="Y1152" s="695"/>
    </row>
    <row r="1153" spans="1:25">
      <c r="A1153" s="187"/>
      <c r="B1153" s="187"/>
      <c r="C1153" s="187"/>
      <c r="D1153" s="187"/>
      <c r="E1153" s="187"/>
      <c r="F1153" s="187"/>
      <c r="G1153" s="187"/>
      <c r="H1153" s="187"/>
      <c r="I1153" s="187"/>
      <c r="J1153" s="187"/>
      <c r="K1153" s="187"/>
      <c r="L1153" s="187"/>
      <c r="M1153" s="187"/>
      <c r="N1153" s="187"/>
      <c r="O1153" s="187"/>
      <c r="P1153" s="187"/>
      <c r="Q1153" s="187"/>
      <c r="R1153" s="187"/>
      <c r="S1153" s="187"/>
      <c r="T1153" s="187"/>
      <c r="U1153" s="187"/>
      <c r="V1153" s="187"/>
      <c r="W1153" s="188"/>
      <c r="X1153" s="695"/>
      <c r="Y1153" s="695"/>
    </row>
    <row r="1154" spans="1:25">
      <c r="A1154" s="187"/>
      <c r="B1154" s="187"/>
      <c r="C1154" s="187"/>
      <c r="D1154" s="187"/>
      <c r="E1154" s="187"/>
      <c r="F1154" s="187"/>
      <c r="G1154" s="187"/>
      <c r="H1154" s="187"/>
      <c r="I1154" s="187"/>
      <c r="J1154" s="187"/>
      <c r="K1154" s="187"/>
      <c r="L1154" s="187"/>
      <c r="M1154" s="187"/>
      <c r="N1154" s="187"/>
      <c r="O1154" s="187"/>
      <c r="P1154" s="187"/>
      <c r="Q1154" s="187"/>
      <c r="R1154" s="187"/>
      <c r="S1154" s="187"/>
      <c r="T1154" s="187"/>
      <c r="U1154" s="187"/>
      <c r="V1154" s="187"/>
      <c r="W1154" s="188"/>
      <c r="X1154" s="695"/>
      <c r="Y1154" s="695"/>
    </row>
    <row r="1155" spans="1:25">
      <c r="A1155" s="187"/>
      <c r="B1155" s="187"/>
      <c r="C1155" s="187"/>
      <c r="D1155" s="187"/>
      <c r="E1155" s="187"/>
      <c r="F1155" s="187"/>
      <c r="G1155" s="187"/>
      <c r="H1155" s="187"/>
      <c r="I1155" s="187"/>
      <c r="J1155" s="187"/>
      <c r="K1155" s="187"/>
      <c r="L1155" s="187"/>
      <c r="M1155" s="187"/>
      <c r="N1155" s="187"/>
      <c r="O1155" s="187"/>
      <c r="P1155" s="187"/>
      <c r="Q1155" s="187"/>
      <c r="R1155" s="187"/>
      <c r="S1155" s="187"/>
      <c r="T1155" s="187"/>
      <c r="U1155" s="187"/>
      <c r="V1155" s="187"/>
      <c r="W1155" s="188"/>
      <c r="X1155" s="695"/>
      <c r="Y1155" s="695"/>
    </row>
    <row r="1156" spans="1:25">
      <c r="A1156" s="187"/>
      <c r="B1156" s="187"/>
      <c r="C1156" s="187"/>
      <c r="D1156" s="187"/>
      <c r="E1156" s="187"/>
      <c r="F1156" s="187"/>
      <c r="G1156" s="187"/>
      <c r="H1156" s="187"/>
      <c r="I1156" s="187"/>
      <c r="J1156" s="187"/>
      <c r="K1156" s="187"/>
      <c r="L1156" s="187"/>
      <c r="M1156" s="187"/>
      <c r="N1156" s="187"/>
      <c r="O1156" s="187"/>
      <c r="P1156" s="187"/>
      <c r="Q1156" s="187"/>
      <c r="R1156" s="187"/>
      <c r="S1156" s="187"/>
      <c r="T1156" s="187"/>
      <c r="U1156" s="187"/>
      <c r="V1156" s="187"/>
      <c r="W1156" s="188"/>
      <c r="X1156" s="695"/>
      <c r="Y1156" s="695"/>
    </row>
    <row r="1157" spans="1:25">
      <c r="A1157" s="187"/>
      <c r="B1157" s="187"/>
      <c r="C1157" s="187"/>
      <c r="D1157" s="187"/>
      <c r="E1157" s="187"/>
      <c r="F1157" s="187"/>
      <c r="G1157" s="187"/>
      <c r="H1157" s="187"/>
      <c r="I1157" s="187"/>
      <c r="J1157" s="187"/>
      <c r="K1157" s="187"/>
      <c r="L1157" s="187"/>
      <c r="M1157" s="187"/>
      <c r="N1157" s="187"/>
      <c r="O1157" s="187"/>
      <c r="P1157" s="187"/>
      <c r="Q1157" s="187"/>
      <c r="R1157" s="187"/>
      <c r="S1157" s="187"/>
      <c r="T1157" s="187"/>
      <c r="U1157" s="187"/>
      <c r="V1157" s="187"/>
      <c r="W1157" s="188"/>
      <c r="X1157" s="695"/>
      <c r="Y1157" s="695"/>
    </row>
    <row r="1158" spans="1:25">
      <c r="A1158" s="187"/>
      <c r="B1158" s="187"/>
      <c r="C1158" s="187"/>
      <c r="D1158" s="187"/>
      <c r="E1158" s="187"/>
      <c r="F1158" s="187"/>
      <c r="G1158" s="187"/>
      <c r="H1158" s="187"/>
      <c r="I1158" s="187"/>
      <c r="J1158" s="187"/>
      <c r="K1158" s="187"/>
      <c r="L1158" s="187"/>
      <c r="M1158" s="187"/>
      <c r="N1158" s="187"/>
      <c r="O1158" s="187"/>
      <c r="P1158" s="187"/>
      <c r="Q1158" s="187"/>
      <c r="R1158" s="187"/>
      <c r="S1158" s="187"/>
      <c r="T1158" s="187"/>
      <c r="U1158" s="187"/>
      <c r="V1158" s="187"/>
      <c r="W1158" s="188"/>
      <c r="X1158" s="695"/>
      <c r="Y1158" s="695"/>
    </row>
    <row r="1159" spans="1:25">
      <c r="A1159" s="187"/>
      <c r="B1159" s="187"/>
      <c r="C1159" s="187"/>
      <c r="D1159" s="187"/>
      <c r="E1159" s="187"/>
      <c r="F1159" s="187"/>
      <c r="G1159" s="187"/>
      <c r="H1159" s="187"/>
      <c r="I1159" s="187"/>
      <c r="J1159" s="187"/>
      <c r="K1159" s="187"/>
      <c r="L1159" s="187"/>
      <c r="M1159" s="187"/>
      <c r="N1159" s="187"/>
      <c r="O1159" s="187"/>
      <c r="P1159" s="187"/>
      <c r="Q1159" s="187"/>
      <c r="R1159" s="187"/>
      <c r="S1159" s="187"/>
      <c r="T1159" s="187"/>
      <c r="U1159" s="187"/>
      <c r="V1159" s="187"/>
      <c r="W1159" s="188"/>
      <c r="X1159" s="695"/>
      <c r="Y1159" s="695"/>
    </row>
    <row r="1160" spans="1:25">
      <c r="A1160" s="187"/>
      <c r="B1160" s="187"/>
      <c r="C1160" s="187"/>
      <c r="D1160" s="187"/>
      <c r="E1160" s="187"/>
      <c r="F1160" s="187"/>
      <c r="G1160" s="187"/>
      <c r="H1160" s="187"/>
      <c r="I1160" s="187"/>
      <c r="J1160" s="187"/>
      <c r="K1160" s="187"/>
      <c r="L1160" s="187"/>
      <c r="M1160" s="187"/>
      <c r="N1160" s="187"/>
      <c r="O1160" s="187"/>
      <c r="P1160" s="187"/>
      <c r="Q1160" s="187"/>
      <c r="R1160" s="187"/>
      <c r="S1160" s="187"/>
      <c r="T1160" s="187"/>
      <c r="U1160" s="187"/>
      <c r="V1160" s="187"/>
      <c r="W1160" s="188"/>
      <c r="X1160" s="695"/>
      <c r="Y1160" s="695"/>
    </row>
    <row r="1161" spans="1:25">
      <c r="A1161" s="187"/>
      <c r="B1161" s="187"/>
      <c r="C1161" s="187"/>
      <c r="D1161" s="187"/>
      <c r="E1161" s="187"/>
      <c r="F1161" s="187"/>
      <c r="G1161" s="187"/>
      <c r="H1161" s="187"/>
      <c r="I1161" s="187"/>
      <c r="J1161" s="187"/>
      <c r="K1161" s="187"/>
      <c r="L1161" s="187"/>
      <c r="M1161" s="187"/>
      <c r="N1161" s="187"/>
      <c r="O1161" s="187"/>
      <c r="P1161" s="187"/>
      <c r="Q1161" s="187"/>
      <c r="R1161" s="187"/>
      <c r="S1161" s="187"/>
      <c r="T1161" s="187"/>
      <c r="U1161" s="187"/>
      <c r="V1161" s="187"/>
      <c r="W1161" s="188"/>
      <c r="X1161" s="695"/>
      <c r="Y1161" s="695"/>
    </row>
    <row r="1162" spans="1:25">
      <c r="A1162" s="187"/>
      <c r="B1162" s="187"/>
      <c r="C1162" s="187"/>
      <c r="D1162" s="187"/>
      <c r="E1162" s="187"/>
      <c r="F1162" s="187"/>
      <c r="G1162" s="187"/>
      <c r="H1162" s="187"/>
      <c r="I1162" s="187"/>
      <c r="J1162" s="187"/>
      <c r="K1162" s="187"/>
      <c r="L1162" s="187"/>
      <c r="M1162" s="187"/>
      <c r="N1162" s="187"/>
      <c r="O1162" s="187"/>
      <c r="P1162" s="187"/>
      <c r="Q1162" s="187"/>
      <c r="R1162" s="187"/>
      <c r="S1162" s="187"/>
      <c r="T1162" s="187"/>
      <c r="U1162" s="187"/>
      <c r="V1162" s="187"/>
      <c r="W1162" s="188"/>
      <c r="X1162" s="695"/>
      <c r="Y1162" s="695"/>
    </row>
    <row r="1163" spans="1:25">
      <c r="A1163" s="187"/>
      <c r="B1163" s="187"/>
      <c r="C1163" s="187"/>
      <c r="D1163" s="187"/>
      <c r="E1163" s="187"/>
      <c r="F1163" s="187"/>
      <c r="G1163" s="187"/>
      <c r="H1163" s="187"/>
      <c r="I1163" s="187"/>
      <c r="J1163" s="187"/>
      <c r="K1163" s="187"/>
      <c r="L1163" s="187"/>
      <c r="M1163" s="187"/>
      <c r="N1163" s="187"/>
      <c r="O1163" s="187"/>
      <c r="P1163" s="187"/>
      <c r="Q1163" s="187"/>
      <c r="R1163" s="187"/>
      <c r="S1163" s="187"/>
      <c r="T1163" s="187"/>
      <c r="U1163" s="187"/>
      <c r="V1163" s="187"/>
      <c r="W1163" s="188"/>
      <c r="X1163" s="695"/>
      <c r="Y1163" s="695"/>
    </row>
    <row r="1164" spans="1:25">
      <c r="A1164" s="187"/>
      <c r="B1164" s="187"/>
      <c r="C1164" s="187"/>
      <c r="D1164" s="187"/>
      <c r="E1164" s="187"/>
      <c r="F1164" s="187"/>
      <c r="G1164" s="187"/>
      <c r="H1164" s="187"/>
      <c r="I1164" s="187"/>
      <c r="J1164" s="187"/>
      <c r="K1164" s="187"/>
      <c r="L1164" s="187"/>
      <c r="M1164" s="187"/>
      <c r="N1164" s="187"/>
      <c r="O1164" s="187"/>
      <c r="P1164" s="187"/>
      <c r="Q1164" s="187"/>
      <c r="R1164" s="187"/>
      <c r="S1164" s="187"/>
      <c r="T1164" s="187"/>
      <c r="U1164" s="187"/>
      <c r="V1164" s="187"/>
      <c r="W1164" s="188"/>
      <c r="X1164" s="695"/>
      <c r="Y1164" s="695"/>
    </row>
    <row r="1165" spans="1:25">
      <c r="A1165" s="187"/>
      <c r="B1165" s="187"/>
      <c r="C1165" s="187"/>
      <c r="D1165" s="187"/>
      <c r="E1165" s="187"/>
      <c r="F1165" s="187"/>
      <c r="G1165" s="187"/>
      <c r="H1165" s="187"/>
      <c r="I1165" s="187"/>
      <c r="J1165" s="187"/>
      <c r="K1165" s="187"/>
      <c r="L1165" s="187"/>
      <c r="M1165" s="187"/>
      <c r="N1165" s="187"/>
      <c r="O1165" s="187"/>
      <c r="P1165" s="187"/>
      <c r="Q1165" s="187"/>
      <c r="R1165" s="187"/>
      <c r="S1165" s="187"/>
      <c r="T1165" s="187"/>
      <c r="U1165" s="187"/>
      <c r="V1165" s="187"/>
      <c r="W1165" s="188"/>
      <c r="X1165" s="695"/>
      <c r="Y1165" s="695"/>
    </row>
    <row r="1166" spans="1:25">
      <c r="A1166" s="187"/>
      <c r="B1166" s="187"/>
      <c r="C1166" s="187"/>
      <c r="D1166" s="187"/>
      <c r="E1166" s="187"/>
      <c r="F1166" s="187"/>
      <c r="G1166" s="187"/>
      <c r="H1166" s="187"/>
      <c r="I1166" s="187"/>
      <c r="J1166" s="187"/>
      <c r="K1166" s="187"/>
      <c r="L1166" s="187"/>
      <c r="M1166" s="187"/>
      <c r="N1166" s="187"/>
      <c r="O1166" s="187"/>
      <c r="P1166" s="187"/>
      <c r="Q1166" s="187"/>
      <c r="R1166" s="187"/>
      <c r="S1166" s="187"/>
      <c r="T1166" s="187"/>
      <c r="U1166" s="187"/>
      <c r="V1166" s="187"/>
      <c r="W1166" s="188"/>
      <c r="X1166" s="695"/>
      <c r="Y1166" s="695"/>
    </row>
    <row r="1167" spans="1:25">
      <c r="A1167" s="187"/>
      <c r="B1167" s="187"/>
      <c r="C1167" s="187"/>
      <c r="D1167" s="187"/>
      <c r="E1167" s="187"/>
      <c r="F1167" s="187"/>
      <c r="G1167" s="187"/>
      <c r="H1167" s="187"/>
      <c r="I1167" s="187"/>
      <c r="J1167" s="187"/>
      <c r="K1167" s="187"/>
      <c r="L1167" s="187"/>
      <c r="M1167" s="187"/>
      <c r="N1167" s="187"/>
      <c r="O1167" s="187"/>
      <c r="P1167" s="187"/>
      <c r="Q1167" s="187"/>
      <c r="R1167" s="187"/>
      <c r="S1167" s="187"/>
      <c r="T1167" s="187"/>
      <c r="U1167" s="187"/>
      <c r="V1167" s="187"/>
      <c r="W1167" s="188"/>
      <c r="X1167" s="695"/>
      <c r="Y1167" s="695"/>
    </row>
    <row r="1168" spans="1:25">
      <c r="A1168" s="187"/>
      <c r="B1168" s="187"/>
      <c r="C1168" s="187"/>
      <c r="D1168" s="187"/>
      <c r="E1168" s="187"/>
      <c r="F1168" s="187"/>
      <c r="G1168" s="187"/>
      <c r="H1168" s="187"/>
      <c r="I1168" s="187"/>
      <c r="J1168" s="187"/>
      <c r="K1168" s="187"/>
      <c r="L1168" s="187"/>
      <c r="M1168" s="187"/>
      <c r="N1168" s="187"/>
      <c r="O1168" s="187"/>
      <c r="P1168" s="187"/>
      <c r="Q1168" s="187"/>
      <c r="R1168" s="187"/>
      <c r="S1168" s="187"/>
      <c r="T1168" s="187"/>
      <c r="U1168" s="187"/>
      <c r="V1168" s="187"/>
      <c r="W1168" s="188"/>
      <c r="X1168" s="695"/>
      <c r="Y1168" s="695"/>
    </row>
    <row r="1169" spans="1:25">
      <c r="A1169" s="187"/>
      <c r="B1169" s="187"/>
      <c r="C1169" s="187"/>
      <c r="D1169" s="187"/>
      <c r="E1169" s="187"/>
      <c r="F1169" s="187"/>
      <c r="G1169" s="187"/>
      <c r="H1169" s="187"/>
      <c r="I1169" s="187"/>
      <c r="J1169" s="187"/>
      <c r="K1169" s="187"/>
      <c r="L1169" s="187"/>
      <c r="M1169" s="187"/>
      <c r="N1169" s="187"/>
      <c r="O1169" s="187"/>
      <c r="P1169" s="187"/>
      <c r="Q1169" s="187"/>
      <c r="R1169" s="187"/>
      <c r="S1169" s="187"/>
      <c r="T1169" s="187"/>
      <c r="U1169" s="187"/>
      <c r="V1169" s="187"/>
      <c r="W1169" s="188"/>
      <c r="X1169" s="695"/>
      <c r="Y1169" s="695"/>
    </row>
    <row r="1170" spans="1:25">
      <c r="A1170" s="187"/>
      <c r="B1170" s="187"/>
      <c r="C1170" s="187"/>
      <c r="D1170" s="187"/>
      <c r="E1170" s="187"/>
      <c r="F1170" s="187"/>
      <c r="G1170" s="187"/>
      <c r="H1170" s="187"/>
      <c r="I1170" s="187"/>
      <c r="J1170" s="187"/>
      <c r="K1170" s="187"/>
      <c r="L1170" s="187"/>
      <c r="M1170" s="187"/>
      <c r="N1170" s="187"/>
      <c r="O1170" s="187"/>
      <c r="P1170" s="187"/>
      <c r="Q1170" s="187"/>
      <c r="R1170" s="187"/>
      <c r="S1170" s="187"/>
      <c r="T1170" s="187"/>
      <c r="U1170" s="187"/>
      <c r="V1170" s="187"/>
      <c r="W1170" s="188"/>
      <c r="X1170" s="695"/>
      <c r="Y1170" s="695"/>
    </row>
    <row r="1171" spans="1:25">
      <c r="A1171" s="187"/>
      <c r="B1171" s="187"/>
      <c r="C1171" s="187"/>
      <c r="D1171" s="187"/>
      <c r="E1171" s="187"/>
      <c r="F1171" s="187"/>
      <c r="G1171" s="187"/>
      <c r="H1171" s="187"/>
      <c r="I1171" s="187"/>
      <c r="J1171" s="187"/>
      <c r="K1171" s="187"/>
      <c r="L1171" s="187"/>
      <c r="M1171" s="187"/>
      <c r="N1171" s="187"/>
      <c r="O1171" s="187"/>
      <c r="P1171" s="187"/>
      <c r="Q1171" s="187"/>
      <c r="R1171" s="187"/>
      <c r="S1171" s="187"/>
      <c r="T1171" s="187"/>
      <c r="U1171" s="187"/>
      <c r="V1171" s="187"/>
      <c r="W1171" s="188"/>
      <c r="X1171" s="695"/>
      <c r="Y1171" s="695"/>
    </row>
    <row r="1172" spans="1:25">
      <c r="A1172" s="187"/>
      <c r="B1172" s="187"/>
      <c r="C1172" s="187"/>
      <c r="D1172" s="187"/>
      <c r="E1172" s="187"/>
      <c r="F1172" s="187"/>
      <c r="G1172" s="187"/>
      <c r="H1172" s="187"/>
      <c r="I1172" s="187"/>
      <c r="J1172" s="187"/>
      <c r="K1172" s="187"/>
      <c r="L1172" s="187"/>
      <c r="M1172" s="187"/>
      <c r="N1172" s="187"/>
      <c r="O1172" s="187"/>
      <c r="P1172" s="187"/>
      <c r="Q1172" s="187"/>
      <c r="R1172" s="187"/>
      <c r="S1172" s="187"/>
      <c r="T1172" s="187"/>
      <c r="U1172" s="187"/>
      <c r="V1172" s="187"/>
      <c r="W1172" s="188"/>
      <c r="X1172" s="695"/>
      <c r="Y1172" s="695"/>
    </row>
    <row r="1173" spans="1:25">
      <c r="A1173" s="187"/>
      <c r="B1173" s="187"/>
      <c r="C1173" s="187"/>
      <c r="D1173" s="187"/>
      <c r="E1173" s="187"/>
      <c r="F1173" s="187"/>
      <c r="G1173" s="187"/>
      <c r="H1173" s="187"/>
      <c r="I1173" s="187"/>
      <c r="J1173" s="187"/>
      <c r="K1173" s="187"/>
      <c r="L1173" s="187"/>
      <c r="M1173" s="187"/>
      <c r="N1173" s="187"/>
      <c r="O1173" s="187"/>
      <c r="P1173" s="187"/>
      <c r="Q1173" s="187"/>
      <c r="R1173" s="187"/>
      <c r="S1173" s="187"/>
      <c r="T1173" s="187"/>
      <c r="U1173" s="187"/>
      <c r="V1173" s="187"/>
      <c r="W1173" s="188"/>
      <c r="X1173" s="695"/>
      <c r="Y1173" s="695"/>
    </row>
    <row r="1174" spans="1:25">
      <c r="A1174" s="187"/>
      <c r="B1174" s="187"/>
      <c r="C1174" s="187"/>
      <c r="D1174" s="187"/>
      <c r="E1174" s="187"/>
      <c r="F1174" s="187"/>
      <c r="G1174" s="187"/>
      <c r="H1174" s="187"/>
      <c r="I1174" s="187"/>
      <c r="J1174" s="187"/>
      <c r="K1174" s="187"/>
      <c r="L1174" s="187"/>
      <c r="M1174" s="187"/>
      <c r="N1174" s="187"/>
      <c r="O1174" s="187"/>
      <c r="P1174" s="187"/>
      <c r="Q1174" s="187"/>
      <c r="R1174" s="187"/>
      <c r="S1174" s="187"/>
      <c r="T1174" s="187"/>
      <c r="U1174" s="187"/>
      <c r="V1174" s="187"/>
      <c r="W1174" s="188"/>
      <c r="X1174" s="695"/>
      <c r="Y1174" s="695"/>
    </row>
    <row r="1175" spans="1:25">
      <c r="A1175" s="187"/>
      <c r="B1175" s="187"/>
      <c r="C1175" s="187"/>
      <c r="D1175" s="187"/>
      <c r="E1175" s="187"/>
      <c r="F1175" s="187"/>
      <c r="G1175" s="187"/>
      <c r="H1175" s="187"/>
      <c r="I1175" s="187"/>
      <c r="J1175" s="187"/>
      <c r="K1175" s="187"/>
      <c r="L1175" s="187"/>
      <c r="M1175" s="187"/>
      <c r="N1175" s="187"/>
      <c r="O1175" s="187"/>
      <c r="P1175" s="187"/>
      <c r="Q1175" s="187"/>
      <c r="R1175" s="187"/>
      <c r="S1175" s="187"/>
      <c r="T1175" s="187"/>
      <c r="U1175" s="187"/>
      <c r="V1175" s="187"/>
      <c r="W1175" s="188"/>
      <c r="X1175" s="695"/>
      <c r="Y1175" s="695"/>
    </row>
    <row r="1176" spans="1:25">
      <c r="A1176" s="187"/>
      <c r="B1176" s="187"/>
      <c r="C1176" s="187"/>
      <c r="D1176" s="187"/>
      <c r="E1176" s="187"/>
      <c r="F1176" s="187"/>
      <c r="G1176" s="187"/>
      <c r="H1176" s="187"/>
      <c r="I1176" s="187"/>
      <c r="J1176" s="187"/>
      <c r="K1176" s="187"/>
      <c r="L1176" s="187"/>
      <c r="M1176" s="187"/>
      <c r="N1176" s="187"/>
      <c r="O1176" s="187"/>
      <c r="P1176" s="187"/>
      <c r="Q1176" s="187"/>
      <c r="R1176" s="187"/>
      <c r="S1176" s="187"/>
      <c r="T1176" s="187"/>
      <c r="U1176" s="187"/>
      <c r="V1176" s="187"/>
      <c r="W1176" s="188"/>
      <c r="X1176" s="695"/>
      <c r="Y1176" s="695"/>
    </row>
    <row r="1177" spans="1:25">
      <c r="A1177" s="187"/>
      <c r="B1177" s="187"/>
      <c r="C1177" s="187"/>
      <c r="D1177" s="187"/>
      <c r="E1177" s="187"/>
      <c r="F1177" s="187"/>
      <c r="G1177" s="187"/>
      <c r="H1177" s="187"/>
      <c r="I1177" s="187"/>
      <c r="J1177" s="187"/>
      <c r="K1177" s="187"/>
      <c r="L1177" s="187"/>
      <c r="M1177" s="187"/>
      <c r="N1177" s="187"/>
      <c r="O1177" s="187"/>
      <c r="P1177" s="187"/>
      <c r="Q1177" s="187"/>
      <c r="R1177" s="187"/>
      <c r="S1177" s="187"/>
      <c r="T1177" s="187"/>
      <c r="U1177" s="187"/>
      <c r="V1177" s="187"/>
      <c r="W1177" s="188"/>
      <c r="X1177" s="695"/>
      <c r="Y1177" s="695"/>
    </row>
    <row r="1178" spans="1:25">
      <c r="A1178" s="187"/>
      <c r="B1178" s="187"/>
      <c r="C1178" s="187"/>
      <c r="D1178" s="187"/>
      <c r="E1178" s="187"/>
      <c r="F1178" s="187"/>
      <c r="G1178" s="187"/>
      <c r="H1178" s="187"/>
      <c r="I1178" s="187"/>
      <c r="J1178" s="187"/>
      <c r="K1178" s="187"/>
      <c r="L1178" s="187"/>
      <c r="M1178" s="187"/>
      <c r="N1178" s="187"/>
      <c r="O1178" s="187"/>
      <c r="P1178" s="187"/>
      <c r="Q1178" s="187"/>
      <c r="R1178" s="187"/>
      <c r="S1178" s="187"/>
      <c r="T1178" s="187"/>
      <c r="U1178" s="187"/>
      <c r="V1178" s="187"/>
      <c r="W1178" s="188"/>
      <c r="X1178" s="695"/>
      <c r="Y1178" s="695"/>
    </row>
    <row r="1179" spans="1:25">
      <c r="A1179" s="187"/>
      <c r="B1179" s="187"/>
      <c r="C1179" s="187"/>
      <c r="D1179" s="187"/>
      <c r="E1179" s="187"/>
      <c r="F1179" s="187"/>
      <c r="G1179" s="187"/>
      <c r="H1179" s="187"/>
      <c r="I1179" s="187"/>
      <c r="J1179" s="187"/>
      <c r="K1179" s="187"/>
      <c r="L1179" s="187"/>
      <c r="M1179" s="187"/>
      <c r="N1179" s="187"/>
      <c r="O1179" s="187"/>
      <c r="P1179" s="187"/>
      <c r="Q1179" s="187"/>
      <c r="R1179" s="187"/>
      <c r="S1179" s="187"/>
      <c r="T1179" s="187"/>
      <c r="U1179" s="187"/>
      <c r="V1179" s="187"/>
      <c r="W1179" s="188"/>
      <c r="X1179" s="695"/>
      <c r="Y1179" s="695"/>
    </row>
    <row r="1180" spans="1:25">
      <c r="A1180" s="187"/>
      <c r="B1180" s="187"/>
      <c r="C1180" s="187"/>
      <c r="D1180" s="187"/>
      <c r="E1180" s="187"/>
      <c r="F1180" s="187"/>
      <c r="G1180" s="187"/>
      <c r="H1180" s="187"/>
      <c r="I1180" s="187"/>
      <c r="J1180" s="187"/>
      <c r="K1180" s="187"/>
      <c r="L1180" s="187"/>
      <c r="M1180" s="187"/>
      <c r="N1180" s="187"/>
      <c r="O1180" s="187"/>
      <c r="P1180" s="187"/>
      <c r="Q1180" s="187"/>
      <c r="R1180" s="187"/>
      <c r="S1180" s="187"/>
      <c r="T1180" s="187"/>
      <c r="U1180" s="187"/>
      <c r="V1180" s="187"/>
      <c r="W1180" s="188"/>
      <c r="X1180" s="695"/>
      <c r="Y1180" s="695"/>
    </row>
    <row r="1181" spans="1:25">
      <c r="A1181" s="187"/>
      <c r="B1181" s="187"/>
      <c r="C1181" s="187"/>
      <c r="D1181" s="187"/>
      <c r="E1181" s="187"/>
      <c r="F1181" s="187"/>
      <c r="G1181" s="187"/>
      <c r="H1181" s="187"/>
      <c r="I1181" s="187"/>
      <c r="J1181" s="187"/>
      <c r="K1181" s="187"/>
      <c r="L1181" s="187"/>
      <c r="M1181" s="187"/>
      <c r="N1181" s="187"/>
      <c r="O1181" s="187"/>
      <c r="P1181" s="187"/>
      <c r="Q1181" s="187"/>
      <c r="R1181" s="187"/>
      <c r="S1181" s="187"/>
      <c r="T1181" s="187"/>
      <c r="U1181" s="187"/>
      <c r="V1181" s="187"/>
      <c r="W1181" s="188"/>
      <c r="X1181" s="695"/>
      <c r="Y1181" s="695"/>
    </row>
    <row r="1182" spans="1:25">
      <c r="A1182" s="187"/>
      <c r="B1182" s="187"/>
      <c r="C1182" s="187"/>
      <c r="D1182" s="187"/>
      <c r="E1182" s="187"/>
      <c r="F1182" s="187"/>
      <c r="G1182" s="187"/>
      <c r="H1182" s="187"/>
      <c r="I1182" s="187"/>
      <c r="J1182" s="187"/>
      <c r="K1182" s="187"/>
      <c r="L1182" s="187"/>
      <c r="M1182" s="187"/>
      <c r="N1182" s="187"/>
      <c r="O1182" s="187"/>
      <c r="P1182" s="187"/>
      <c r="Q1182" s="187"/>
      <c r="R1182" s="187"/>
      <c r="S1182" s="187"/>
      <c r="T1182" s="187"/>
      <c r="U1182" s="187"/>
      <c r="V1182" s="187"/>
      <c r="W1182" s="188"/>
      <c r="X1182" s="695"/>
      <c r="Y1182" s="695"/>
    </row>
    <row r="1183" spans="1:25">
      <c r="A1183" s="187"/>
      <c r="B1183" s="187"/>
      <c r="C1183" s="187"/>
      <c r="D1183" s="187"/>
      <c r="E1183" s="187"/>
      <c r="F1183" s="187"/>
      <c r="G1183" s="187"/>
      <c r="H1183" s="187"/>
      <c r="I1183" s="187"/>
      <c r="J1183" s="187"/>
      <c r="K1183" s="187"/>
      <c r="L1183" s="187"/>
      <c r="M1183" s="187"/>
      <c r="N1183" s="187"/>
      <c r="O1183" s="187"/>
      <c r="P1183" s="187"/>
      <c r="Q1183" s="187"/>
      <c r="R1183" s="187"/>
      <c r="S1183" s="187"/>
      <c r="T1183" s="187"/>
      <c r="U1183" s="187"/>
      <c r="V1183" s="187"/>
      <c r="W1183" s="188"/>
      <c r="X1183" s="695"/>
      <c r="Y1183" s="695"/>
    </row>
    <row r="1184" spans="1:25">
      <c r="A1184" s="187"/>
      <c r="B1184" s="187"/>
      <c r="C1184" s="187"/>
      <c r="D1184" s="187"/>
      <c r="E1184" s="187"/>
      <c r="F1184" s="187"/>
      <c r="G1184" s="187"/>
      <c r="H1184" s="187"/>
      <c r="I1184" s="187"/>
      <c r="J1184" s="187"/>
      <c r="K1184" s="187"/>
      <c r="L1184" s="187"/>
      <c r="M1184" s="187"/>
      <c r="N1184" s="187"/>
      <c r="O1184" s="187"/>
      <c r="P1184" s="187"/>
      <c r="Q1184" s="187"/>
      <c r="R1184" s="187"/>
      <c r="S1184" s="187"/>
      <c r="T1184" s="187"/>
      <c r="U1184" s="187"/>
      <c r="V1184" s="187"/>
      <c r="W1184" s="188"/>
      <c r="X1184" s="695"/>
      <c r="Y1184" s="695"/>
    </row>
    <row r="1185" spans="1:25">
      <c r="A1185" s="187"/>
      <c r="B1185" s="187"/>
      <c r="C1185" s="187"/>
      <c r="D1185" s="187"/>
      <c r="E1185" s="187"/>
      <c r="F1185" s="187"/>
      <c r="G1185" s="187"/>
      <c r="H1185" s="187"/>
      <c r="I1185" s="187"/>
      <c r="J1185" s="187"/>
      <c r="K1185" s="187"/>
      <c r="L1185" s="187"/>
      <c r="M1185" s="187"/>
      <c r="N1185" s="187"/>
      <c r="O1185" s="187"/>
      <c r="P1185" s="187"/>
      <c r="Q1185" s="187"/>
      <c r="R1185" s="187"/>
      <c r="S1185" s="187"/>
      <c r="T1185" s="187"/>
      <c r="U1185" s="187"/>
      <c r="V1185" s="187"/>
      <c r="W1185" s="188"/>
      <c r="X1185" s="695"/>
      <c r="Y1185" s="695"/>
    </row>
    <row r="1186" spans="1:25">
      <c r="A1186" s="187"/>
      <c r="B1186" s="187"/>
      <c r="C1186" s="187"/>
      <c r="D1186" s="187"/>
      <c r="E1186" s="187"/>
      <c r="F1186" s="187"/>
      <c r="G1186" s="187"/>
      <c r="H1186" s="187"/>
      <c r="I1186" s="187"/>
      <c r="J1186" s="187"/>
      <c r="K1186" s="187"/>
      <c r="L1186" s="187"/>
      <c r="M1186" s="187"/>
      <c r="N1186" s="187"/>
      <c r="O1186" s="187"/>
      <c r="P1186" s="187"/>
      <c r="Q1186" s="187"/>
      <c r="R1186" s="187"/>
      <c r="S1186" s="187"/>
      <c r="T1186" s="187"/>
      <c r="U1186" s="187"/>
      <c r="V1186" s="187"/>
      <c r="W1186" s="188"/>
      <c r="X1186" s="695"/>
      <c r="Y1186" s="695"/>
    </row>
    <row r="1187" spans="1:25">
      <c r="A1187" s="187"/>
      <c r="B1187" s="187"/>
      <c r="C1187" s="187"/>
      <c r="D1187" s="187"/>
      <c r="E1187" s="187"/>
      <c r="F1187" s="187"/>
      <c r="G1187" s="187"/>
      <c r="H1187" s="187"/>
      <c r="I1187" s="187"/>
      <c r="J1187" s="187"/>
      <c r="K1187" s="187"/>
      <c r="L1187" s="187"/>
      <c r="M1187" s="187"/>
      <c r="N1187" s="187"/>
      <c r="O1187" s="187"/>
      <c r="P1187" s="187"/>
      <c r="Q1187" s="187"/>
      <c r="R1187" s="187"/>
      <c r="S1187" s="187"/>
      <c r="T1187" s="187"/>
      <c r="U1187" s="187"/>
      <c r="V1187" s="187"/>
      <c r="W1187" s="188"/>
      <c r="X1187" s="695"/>
      <c r="Y1187" s="695"/>
    </row>
    <row r="1188" spans="1:25">
      <c r="A1188" s="187"/>
      <c r="B1188" s="187"/>
      <c r="C1188" s="187"/>
      <c r="D1188" s="187"/>
      <c r="E1188" s="187"/>
      <c r="F1188" s="187"/>
      <c r="G1188" s="187"/>
      <c r="H1188" s="187"/>
      <c r="I1188" s="187"/>
      <c r="J1188" s="187"/>
      <c r="K1188" s="187"/>
      <c r="L1188" s="187"/>
      <c r="M1188" s="187"/>
      <c r="N1188" s="187"/>
      <c r="O1188" s="187"/>
      <c r="P1188" s="187"/>
      <c r="Q1188" s="187"/>
      <c r="R1188" s="187"/>
      <c r="S1188" s="187"/>
      <c r="T1188" s="187"/>
      <c r="U1188" s="187"/>
      <c r="V1188" s="187"/>
      <c r="W1188" s="188"/>
      <c r="X1188" s="695"/>
      <c r="Y1188" s="695"/>
    </row>
    <row r="1189" spans="1:25">
      <c r="A1189" s="187"/>
      <c r="B1189" s="187"/>
      <c r="C1189" s="187"/>
      <c r="D1189" s="187"/>
      <c r="E1189" s="187"/>
      <c r="F1189" s="187"/>
      <c r="G1189" s="187"/>
      <c r="H1189" s="187"/>
      <c r="I1189" s="187"/>
      <c r="J1189" s="187"/>
      <c r="K1189" s="187"/>
      <c r="L1189" s="187"/>
      <c r="M1189" s="187"/>
      <c r="N1189" s="187"/>
      <c r="O1189" s="187"/>
      <c r="P1189" s="187"/>
      <c r="Q1189" s="187"/>
      <c r="R1189" s="187"/>
      <c r="S1189" s="187"/>
      <c r="T1189" s="187"/>
      <c r="U1189" s="187"/>
      <c r="V1189" s="187"/>
      <c r="W1189" s="188"/>
      <c r="X1189" s="695"/>
      <c r="Y1189" s="695"/>
    </row>
    <row r="1190" spans="1:25">
      <c r="A1190" s="187"/>
      <c r="B1190" s="187"/>
      <c r="C1190" s="187"/>
      <c r="D1190" s="187"/>
      <c r="E1190" s="187"/>
      <c r="F1190" s="187"/>
      <c r="G1190" s="187"/>
      <c r="H1190" s="187"/>
      <c r="I1190" s="187"/>
      <c r="J1190" s="187"/>
      <c r="K1190" s="187"/>
      <c r="L1190" s="187"/>
      <c r="M1190" s="187"/>
      <c r="N1190" s="187"/>
      <c r="O1190" s="187"/>
      <c r="P1190" s="187"/>
      <c r="Q1190" s="187"/>
      <c r="R1190" s="187"/>
      <c r="S1190" s="187"/>
      <c r="T1190" s="187"/>
      <c r="U1190" s="187"/>
      <c r="V1190" s="187"/>
      <c r="W1190" s="188"/>
      <c r="X1190" s="695"/>
      <c r="Y1190" s="695"/>
    </row>
    <row r="1191" spans="1:25">
      <c r="A1191" s="187"/>
      <c r="B1191" s="187"/>
      <c r="C1191" s="187"/>
      <c r="D1191" s="187"/>
      <c r="E1191" s="187"/>
      <c r="F1191" s="187"/>
      <c r="G1191" s="187"/>
      <c r="H1191" s="187"/>
      <c r="I1191" s="187"/>
      <c r="J1191" s="187"/>
      <c r="K1191" s="187"/>
      <c r="L1191" s="187"/>
      <c r="M1191" s="187"/>
      <c r="N1191" s="187"/>
      <c r="O1191" s="187"/>
      <c r="P1191" s="187"/>
      <c r="Q1191" s="187"/>
      <c r="R1191" s="187"/>
      <c r="S1191" s="187"/>
      <c r="T1191" s="187"/>
      <c r="U1191" s="187"/>
      <c r="V1191" s="187"/>
      <c r="W1191" s="188"/>
      <c r="X1191" s="695"/>
      <c r="Y1191" s="695"/>
    </row>
    <row r="1192" spans="1:25">
      <c r="A1192" s="187"/>
      <c r="B1192" s="187"/>
      <c r="C1192" s="187"/>
      <c r="D1192" s="187"/>
      <c r="E1192" s="187"/>
      <c r="F1192" s="187"/>
      <c r="G1192" s="187"/>
      <c r="H1192" s="187"/>
      <c r="I1192" s="187"/>
      <c r="J1192" s="187"/>
      <c r="K1192" s="187"/>
      <c r="L1192" s="187"/>
      <c r="M1192" s="187"/>
      <c r="N1192" s="187"/>
      <c r="O1192" s="187"/>
      <c r="P1192" s="187"/>
      <c r="Q1192" s="187"/>
      <c r="R1192" s="187"/>
      <c r="S1192" s="187"/>
      <c r="T1192" s="187"/>
      <c r="U1192" s="187"/>
      <c r="V1192" s="187"/>
      <c r="W1192" s="188"/>
      <c r="X1192" s="695"/>
      <c r="Y1192" s="695"/>
    </row>
    <row r="1193" spans="1:25">
      <c r="A1193" s="187"/>
      <c r="B1193" s="187"/>
      <c r="C1193" s="187"/>
      <c r="D1193" s="187"/>
      <c r="E1193" s="187"/>
      <c r="F1193" s="187"/>
      <c r="G1193" s="187"/>
      <c r="H1193" s="187"/>
      <c r="I1193" s="187"/>
      <c r="J1193" s="187"/>
      <c r="K1193" s="187"/>
      <c r="L1193" s="187"/>
      <c r="M1193" s="187"/>
      <c r="N1193" s="187"/>
      <c r="O1193" s="187"/>
      <c r="P1193" s="187"/>
      <c r="Q1193" s="187"/>
      <c r="R1193" s="187"/>
      <c r="S1193" s="187"/>
      <c r="T1193" s="187"/>
      <c r="U1193" s="187"/>
      <c r="V1193" s="187"/>
      <c r="W1193" s="188"/>
      <c r="X1193" s="695"/>
      <c r="Y1193" s="695"/>
    </row>
    <row r="1194" spans="1:25">
      <c r="A1194" s="187"/>
      <c r="B1194" s="187"/>
      <c r="C1194" s="187"/>
      <c r="D1194" s="187"/>
      <c r="E1194" s="187"/>
      <c r="F1194" s="187"/>
      <c r="G1194" s="187"/>
      <c r="H1194" s="187"/>
      <c r="I1194" s="187"/>
      <c r="J1194" s="187"/>
      <c r="K1194" s="187"/>
      <c r="L1194" s="187"/>
      <c r="M1194" s="187"/>
      <c r="N1194" s="187"/>
      <c r="O1194" s="187"/>
      <c r="P1194" s="187"/>
      <c r="Q1194" s="187"/>
      <c r="R1194" s="187"/>
      <c r="S1194" s="187"/>
      <c r="T1194" s="187"/>
      <c r="U1194" s="187"/>
      <c r="V1194" s="187"/>
      <c r="W1194" s="188"/>
      <c r="X1194" s="695"/>
      <c r="Y1194" s="695"/>
    </row>
    <row r="1195" spans="1:25">
      <c r="A1195" s="187"/>
      <c r="B1195" s="187"/>
      <c r="C1195" s="187"/>
      <c r="D1195" s="187"/>
      <c r="E1195" s="187"/>
      <c r="F1195" s="187"/>
      <c r="G1195" s="187"/>
      <c r="H1195" s="187"/>
      <c r="I1195" s="187"/>
      <c r="J1195" s="187"/>
      <c r="K1195" s="187"/>
      <c r="L1195" s="187"/>
      <c r="M1195" s="187"/>
      <c r="N1195" s="187"/>
      <c r="O1195" s="187"/>
      <c r="P1195" s="187"/>
      <c r="Q1195" s="187"/>
      <c r="R1195" s="187"/>
      <c r="S1195" s="187"/>
      <c r="T1195" s="187"/>
      <c r="U1195" s="187"/>
      <c r="V1195" s="187"/>
      <c r="W1195" s="188"/>
      <c r="X1195" s="695"/>
      <c r="Y1195" s="695"/>
    </row>
    <row r="1196" spans="1:25">
      <c r="A1196" s="187"/>
      <c r="B1196" s="187"/>
      <c r="C1196" s="187"/>
      <c r="D1196" s="187"/>
      <c r="E1196" s="187"/>
      <c r="F1196" s="187"/>
      <c r="G1196" s="187"/>
      <c r="H1196" s="187"/>
      <c r="I1196" s="187"/>
      <c r="J1196" s="187"/>
      <c r="K1196" s="187"/>
      <c r="L1196" s="187"/>
      <c r="M1196" s="187"/>
      <c r="N1196" s="187"/>
      <c r="O1196" s="187"/>
      <c r="P1196" s="187"/>
      <c r="Q1196" s="187"/>
      <c r="R1196" s="187"/>
      <c r="S1196" s="187"/>
      <c r="T1196" s="187"/>
      <c r="U1196" s="187"/>
      <c r="V1196" s="187"/>
      <c r="W1196" s="188"/>
      <c r="X1196" s="695"/>
      <c r="Y1196" s="695"/>
    </row>
    <row r="1197" spans="1:25">
      <c r="A1197" s="187"/>
      <c r="B1197" s="187"/>
      <c r="C1197" s="187"/>
      <c r="D1197" s="187"/>
      <c r="E1197" s="187"/>
      <c r="F1197" s="187"/>
      <c r="G1197" s="187"/>
      <c r="H1197" s="187"/>
      <c r="I1197" s="187"/>
      <c r="J1197" s="187"/>
      <c r="K1197" s="187"/>
      <c r="L1197" s="187"/>
      <c r="M1197" s="187"/>
      <c r="N1197" s="187"/>
      <c r="O1197" s="187"/>
      <c r="P1197" s="187"/>
      <c r="Q1197" s="187"/>
      <c r="R1197" s="187"/>
      <c r="S1197" s="187"/>
      <c r="T1197" s="187"/>
      <c r="U1197" s="187"/>
      <c r="V1197" s="187"/>
      <c r="W1197" s="188"/>
      <c r="X1197" s="695"/>
      <c r="Y1197" s="695"/>
    </row>
    <row r="1198" spans="1:25">
      <c r="A1198" s="187"/>
      <c r="B1198" s="187"/>
      <c r="C1198" s="187"/>
      <c r="D1198" s="187"/>
      <c r="E1198" s="187"/>
      <c r="F1198" s="187"/>
      <c r="G1198" s="187"/>
      <c r="H1198" s="187"/>
      <c r="I1198" s="187"/>
      <c r="J1198" s="187"/>
      <c r="K1198" s="187"/>
      <c r="L1198" s="187"/>
      <c r="M1198" s="187"/>
      <c r="N1198" s="187"/>
      <c r="O1198" s="187"/>
      <c r="P1198" s="187"/>
      <c r="Q1198" s="187"/>
      <c r="R1198" s="187"/>
      <c r="S1198" s="187"/>
      <c r="T1198" s="187"/>
      <c r="U1198" s="187"/>
      <c r="V1198" s="187"/>
      <c r="W1198" s="188"/>
      <c r="X1198" s="695"/>
      <c r="Y1198" s="695"/>
    </row>
    <row r="1199" spans="1:25">
      <c r="A1199" s="187"/>
      <c r="B1199" s="187"/>
      <c r="C1199" s="187"/>
      <c r="D1199" s="187"/>
      <c r="E1199" s="187"/>
      <c r="F1199" s="187"/>
      <c r="G1199" s="187"/>
      <c r="H1199" s="187"/>
      <c r="I1199" s="187"/>
      <c r="J1199" s="187"/>
      <c r="K1199" s="187"/>
      <c r="L1199" s="187"/>
      <c r="M1199" s="187"/>
      <c r="N1199" s="187"/>
      <c r="O1199" s="187"/>
      <c r="P1199" s="187"/>
      <c r="Q1199" s="187"/>
      <c r="R1199" s="187"/>
      <c r="S1199" s="187"/>
      <c r="T1199" s="187"/>
      <c r="U1199" s="187"/>
      <c r="V1199" s="187"/>
      <c r="W1199" s="188"/>
      <c r="X1199" s="695"/>
      <c r="Y1199" s="695"/>
    </row>
    <row r="1200" spans="1:25">
      <c r="A1200" s="187"/>
      <c r="B1200" s="187"/>
      <c r="C1200" s="187"/>
      <c r="D1200" s="187"/>
      <c r="E1200" s="187"/>
      <c r="F1200" s="187"/>
      <c r="G1200" s="187"/>
      <c r="H1200" s="187"/>
      <c r="I1200" s="187"/>
      <c r="J1200" s="187"/>
      <c r="K1200" s="187"/>
      <c r="L1200" s="187"/>
      <c r="M1200" s="187"/>
      <c r="N1200" s="187"/>
      <c r="O1200" s="187"/>
      <c r="P1200" s="187"/>
      <c r="Q1200" s="187"/>
      <c r="R1200" s="187"/>
      <c r="S1200" s="187"/>
      <c r="T1200" s="187"/>
      <c r="U1200" s="187"/>
      <c r="V1200" s="187"/>
      <c r="W1200" s="188"/>
      <c r="X1200" s="695"/>
      <c r="Y1200" s="695"/>
    </row>
    <row r="1201" spans="1:25">
      <c r="A1201" s="187"/>
      <c r="B1201" s="187"/>
      <c r="C1201" s="187"/>
      <c r="D1201" s="187"/>
      <c r="E1201" s="187"/>
      <c r="F1201" s="187"/>
      <c r="G1201" s="187"/>
      <c r="H1201" s="187"/>
      <c r="I1201" s="187"/>
      <c r="J1201" s="187"/>
      <c r="K1201" s="187"/>
      <c r="L1201" s="187"/>
      <c r="M1201" s="187"/>
      <c r="N1201" s="187"/>
      <c r="O1201" s="187"/>
      <c r="P1201" s="187"/>
      <c r="Q1201" s="187"/>
      <c r="R1201" s="187"/>
      <c r="S1201" s="187"/>
      <c r="T1201" s="187"/>
      <c r="U1201" s="187"/>
      <c r="V1201" s="187"/>
      <c r="W1201" s="188"/>
      <c r="X1201" s="695"/>
      <c r="Y1201" s="695"/>
    </row>
    <row r="1202" spans="1:25">
      <c r="A1202" s="187"/>
      <c r="B1202" s="187"/>
      <c r="C1202" s="187"/>
      <c r="D1202" s="187"/>
      <c r="E1202" s="187"/>
      <c r="F1202" s="187"/>
      <c r="G1202" s="187"/>
      <c r="H1202" s="187"/>
      <c r="I1202" s="187"/>
      <c r="J1202" s="187"/>
      <c r="K1202" s="187"/>
      <c r="L1202" s="187"/>
      <c r="M1202" s="187"/>
      <c r="N1202" s="187"/>
      <c r="O1202" s="187"/>
      <c r="P1202" s="187"/>
      <c r="Q1202" s="187"/>
      <c r="R1202" s="187"/>
      <c r="S1202" s="187"/>
      <c r="T1202" s="187"/>
      <c r="U1202" s="187"/>
      <c r="V1202" s="187"/>
      <c r="W1202" s="188"/>
      <c r="X1202" s="695"/>
      <c r="Y1202" s="695"/>
    </row>
    <row r="1203" spans="1:25">
      <c r="A1203" s="187"/>
      <c r="B1203" s="187"/>
      <c r="C1203" s="187"/>
      <c r="D1203" s="187"/>
      <c r="E1203" s="187"/>
      <c r="F1203" s="187"/>
      <c r="G1203" s="187"/>
      <c r="H1203" s="187"/>
      <c r="I1203" s="187"/>
      <c r="J1203" s="187"/>
      <c r="K1203" s="187"/>
      <c r="L1203" s="187"/>
      <c r="M1203" s="187"/>
      <c r="N1203" s="187"/>
      <c r="O1203" s="187"/>
      <c r="P1203" s="187"/>
      <c r="Q1203" s="187"/>
      <c r="R1203" s="187"/>
      <c r="S1203" s="187"/>
      <c r="T1203" s="187"/>
      <c r="U1203" s="187"/>
      <c r="V1203" s="187"/>
      <c r="W1203" s="188"/>
      <c r="X1203" s="695"/>
      <c r="Y1203" s="695"/>
    </row>
    <row r="1204" spans="1:25">
      <c r="A1204" s="187"/>
      <c r="B1204" s="187"/>
      <c r="C1204" s="187"/>
      <c r="D1204" s="187"/>
      <c r="E1204" s="187"/>
      <c r="F1204" s="187"/>
      <c r="G1204" s="187"/>
      <c r="H1204" s="187"/>
      <c r="I1204" s="187"/>
      <c r="J1204" s="187"/>
      <c r="K1204" s="187"/>
      <c r="L1204" s="187"/>
      <c r="M1204" s="187"/>
      <c r="N1204" s="187"/>
      <c r="O1204" s="187"/>
      <c r="P1204" s="187"/>
      <c r="Q1204" s="187"/>
      <c r="R1204" s="187"/>
      <c r="S1204" s="187"/>
      <c r="T1204" s="187"/>
      <c r="U1204" s="187"/>
      <c r="V1204" s="187"/>
      <c r="W1204" s="188"/>
      <c r="X1204" s="695"/>
      <c r="Y1204" s="695"/>
    </row>
    <row r="1205" spans="1:25">
      <c r="A1205" s="187"/>
      <c r="B1205" s="187"/>
      <c r="C1205" s="187"/>
      <c r="D1205" s="187"/>
      <c r="E1205" s="187"/>
      <c r="F1205" s="187"/>
      <c r="G1205" s="187"/>
      <c r="H1205" s="187"/>
      <c r="I1205" s="187"/>
      <c r="J1205" s="187"/>
      <c r="K1205" s="187"/>
      <c r="L1205" s="187"/>
      <c r="M1205" s="187"/>
      <c r="N1205" s="187"/>
      <c r="O1205" s="187"/>
      <c r="P1205" s="187"/>
      <c r="Q1205" s="187"/>
      <c r="R1205" s="187"/>
      <c r="S1205" s="187"/>
      <c r="T1205" s="187"/>
      <c r="U1205" s="187"/>
      <c r="V1205" s="187"/>
      <c r="W1205" s="188"/>
      <c r="X1205" s="695"/>
      <c r="Y1205" s="695"/>
    </row>
    <row r="1206" spans="1:25">
      <c r="A1206" s="187"/>
      <c r="B1206" s="187"/>
      <c r="C1206" s="187"/>
      <c r="D1206" s="187"/>
      <c r="E1206" s="187"/>
      <c r="F1206" s="187"/>
      <c r="G1206" s="187"/>
      <c r="H1206" s="187"/>
      <c r="I1206" s="187"/>
      <c r="J1206" s="187"/>
      <c r="K1206" s="187"/>
      <c r="L1206" s="187"/>
      <c r="M1206" s="187"/>
      <c r="N1206" s="187"/>
      <c r="O1206" s="187"/>
      <c r="P1206" s="187"/>
      <c r="Q1206" s="187"/>
      <c r="R1206" s="187"/>
      <c r="S1206" s="187"/>
      <c r="T1206" s="187"/>
      <c r="U1206" s="187"/>
      <c r="V1206" s="187"/>
      <c r="W1206" s="188"/>
      <c r="X1206" s="695"/>
      <c r="Y1206" s="695"/>
    </row>
    <row r="1207" spans="1:25">
      <c r="A1207" s="187"/>
      <c r="B1207" s="187"/>
      <c r="C1207" s="187"/>
      <c r="D1207" s="187"/>
      <c r="E1207" s="187"/>
      <c r="F1207" s="187"/>
      <c r="G1207" s="187"/>
      <c r="H1207" s="187"/>
      <c r="I1207" s="187"/>
      <c r="J1207" s="187"/>
      <c r="K1207" s="187"/>
      <c r="L1207" s="187"/>
      <c r="M1207" s="187"/>
      <c r="N1207" s="187"/>
      <c r="O1207" s="187"/>
      <c r="P1207" s="187"/>
      <c r="Q1207" s="187"/>
      <c r="R1207" s="187"/>
      <c r="S1207" s="187"/>
      <c r="T1207" s="187"/>
      <c r="U1207" s="187"/>
      <c r="V1207" s="187"/>
      <c r="W1207" s="188"/>
      <c r="X1207" s="695"/>
      <c r="Y1207" s="695"/>
    </row>
    <row r="1208" spans="1:25">
      <c r="A1208" s="187"/>
      <c r="B1208" s="187"/>
      <c r="C1208" s="187"/>
      <c r="D1208" s="187"/>
      <c r="E1208" s="187"/>
      <c r="F1208" s="187"/>
      <c r="G1208" s="187"/>
      <c r="H1208" s="187"/>
      <c r="I1208" s="187"/>
      <c r="J1208" s="187"/>
      <c r="K1208" s="187"/>
      <c r="L1208" s="187"/>
      <c r="M1208" s="187"/>
      <c r="N1208" s="187"/>
      <c r="O1208" s="187"/>
      <c r="P1208" s="187"/>
      <c r="Q1208" s="187"/>
      <c r="R1208" s="187"/>
      <c r="S1208" s="187"/>
      <c r="T1208" s="187"/>
      <c r="U1208" s="187"/>
      <c r="V1208" s="187"/>
      <c r="W1208" s="188"/>
      <c r="X1208" s="695"/>
      <c r="Y1208" s="695"/>
    </row>
    <row r="1209" spans="1:25">
      <c r="A1209" s="187"/>
      <c r="B1209" s="187"/>
      <c r="C1209" s="187"/>
      <c r="D1209" s="187"/>
      <c r="E1209" s="187"/>
      <c r="F1209" s="187"/>
      <c r="G1209" s="187"/>
      <c r="H1209" s="187"/>
      <c r="I1209" s="187"/>
      <c r="J1209" s="187"/>
      <c r="K1209" s="187"/>
      <c r="L1209" s="187"/>
      <c r="M1209" s="187"/>
      <c r="N1209" s="187"/>
      <c r="O1209" s="187"/>
      <c r="P1209" s="187"/>
      <c r="Q1209" s="187"/>
      <c r="R1209" s="187"/>
      <c r="S1209" s="187"/>
      <c r="T1209" s="187"/>
      <c r="U1209" s="187"/>
      <c r="V1209" s="187"/>
      <c r="W1209" s="188"/>
      <c r="X1209" s="695"/>
      <c r="Y1209" s="695"/>
    </row>
    <row r="1210" spans="1:25">
      <c r="A1210" s="187"/>
      <c r="B1210" s="187"/>
      <c r="C1210" s="187"/>
      <c r="D1210" s="187"/>
      <c r="E1210" s="187"/>
      <c r="F1210" s="187"/>
      <c r="G1210" s="187"/>
      <c r="H1210" s="187"/>
      <c r="I1210" s="187"/>
      <c r="J1210" s="187"/>
      <c r="K1210" s="187"/>
      <c r="L1210" s="187"/>
      <c r="M1210" s="187"/>
      <c r="N1210" s="187"/>
      <c r="O1210" s="187"/>
      <c r="P1210" s="187"/>
      <c r="Q1210" s="187"/>
      <c r="R1210" s="187"/>
      <c r="S1210" s="187"/>
      <c r="T1210" s="187"/>
      <c r="U1210" s="187"/>
      <c r="V1210" s="187"/>
      <c r="W1210" s="188"/>
      <c r="X1210" s="695"/>
      <c r="Y1210" s="695"/>
    </row>
    <row r="1211" spans="1:25">
      <c r="A1211" s="187"/>
      <c r="B1211" s="187"/>
      <c r="C1211" s="187"/>
      <c r="D1211" s="187"/>
      <c r="E1211" s="187"/>
      <c r="F1211" s="187"/>
      <c r="G1211" s="187"/>
      <c r="H1211" s="187"/>
      <c r="I1211" s="187"/>
      <c r="J1211" s="187"/>
      <c r="K1211" s="187"/>
      <c r="L1211" s="187"/>
      <c r="M1211" s="187"/>
      <c r="N1211" s="187"/>
      <c r="O1211" s="187"/>
      <c r="P1211" s="187"/>
      <c r="Q1211" s="187"/>
      <c r="R1211" s="187"/>
      <c r="S1211" s="187"/>
      <c r="T1211" s="187"/>
      <c r="U1211" s="187"/>
      <c r="V1211" s="187"/>
      <c r="W1211" s="188"/>
      <c r="X1211" s="695"/>
      <c r="Y1211" s="695"/>
    </row>
    <row r="1212" spans="1:25">
      <c r="A1212" s="187"/>
      <c r="B1212" s="187"/>
      <c r="C1212" s="187"/>
      <c r="D1212" s="187"/>
      <c r="E1212" s="187"/>
      <c r="F1212" s="187"/>
      <c r="G1212" s="187"/>
      <c r="H1212" s="187"/>
      <c r="I1212" s="187"/>
      <c r="J1212" s="187"/>
      <c r="K1212" s="187"/>
      <c r="L1212" s="187"/>
      <c r="M1212" s="187"/>
      <c r="N1212" s="187"/>
      <c r="O1212" s="187"/>
      <c r="P1212" s="187"/>
      <c r="Q1212" s="187"/>
      <c r="R1212" s="187"/>
      <c r="S1212" s="187"/>
      <c r="T1212" s="187"/>
      <c r="U1212" s="187"/>
      <c r="V1212" s="187"/>
      <c r="W1212" s="188"/>
      <c r="X1212" s="695"/>
      <c r="Y1212" s="695"/>
    </row>
    <row r="1213" spans="1:25">
      <c r="A1213" s="187"/>
      <c r="B1213" s="187"/>
      <c r="C1213" s="187"/>
      <c r="D1213" s="187"/>
      <c r="E1213" s="187"/>
      <c r="F1213" s="187"/>
      <c r="G1213" s="187"/>
      <c r="H1213" s="187"/>
      <c r="I1213" s="187"/>
      <c r="J1213" s="187"/>
      <c r="K1213" s="187"/>
      <c r="L1213" s="187"/>
      <c r="M1213" s="187"/>
      <c r="N1213" s="187"/>
      <c r="O1213" s="187"/>
      <c r="P1213" s="187"/>
      <c r="Q1213" s="187"/>
      <c r="R1213" s="187"/>
      <c r="S1213" s="187"/>
      <c r="T1213" s="187"/>
      <c r="U1213" s="187"/>
      <c r="V1213" s="187"/>
      <c r="W1213" s="188"/>
      <c r="X1213" s="695"/>
      <c r="Y1213" s="695"/>
    </row>
    <row r="1214" spans="1:25">
      <c r="A1214" s="187"/>
      <c r="B1214" s="187"/>
      <c r="C1214" s="187"/>
      <c r="D1214" s="187"/>
      <c r="E1214" s="187"/>
      <c r="F1214" s="187"/>
      <c r="G1214" s="187"/>
      <c r="H1214" s="187"/>
      <c r="I1214" s="187"/>
      <c r="J1214" s="187"/>
      <c r="K1214" s="187"/>
      <c r="L1214" s="187"/>
      <c r="M1214" s="187"/>
      <c r="N1214" s="187"/>
      <c r="O1214" s="187"/>
      <c r="P1214" s="187"/>
      <c r="Q1214" s="187"/>
      <c r="R1214" s="187"/>
      <c r="S1214" s="187"/>
      <c r="T1214" s="187"/>
      <c r="U1214" s="187"/>
      <c r="V1214" s="187"/>
      <c r="W1214" s="188"/>
      <c r="X1214" s="695"/>
      <c r="Y1214" s="695"/>
    </row>
    <row r="1215" spans="1:25">
      <c r="A1215" s="187"/>
      <c r="B1215" s="187"/>
      <c r="C1215" s="187"/>
      <c r="D1215" s="187"/>
      <c r="E1215" s="187"/>
      <c r="F1215" s="187"/>
      <c r="G1215" s="187"/>
      <c r="H1215" s="187"/>
      <c r="I1215" s="187"/>
      <c r="J1215" s="187"/>
      <c r="K1215" s="187"/>
      <c r="L1215" s="187"/>
      <c r="M1215" s="187"/>
      <c r="N1215" s="187"/>
      <c r="O1215" s="187"/>
      <c r="P1215" s="187"/>
      <c r="Q1215" s="187"/>
      <c r="R1215" s="187"/>
      <c r="S1215" s="187"/>
      <c r="T1215" s="187"/>
      <c r="U1215" s="187"/>
      <c r="V1215" s="187"/>
      <c r="W1215" s="188"/>
      <c r="X1215" s="695"/>
      <c r="Y1215" s="695"/>
    </row>
    <row r="1216" spans="1:25">
      <c r="A1216" s="187"/>
      <c r="B1216" s="187"/>
      <c r="C1216" s="187"/>
      <c r="D1216" s="187"/>
      <c r="E1216" s="187"/>
      <c r="F1216" s="187"/>
      <c r="G1216" s="187"/>
      <c r="H1216" s="187"/>
      <c r="I1216" s="187"/>
      <c r="J1216" s="187"/>
      <c r="K1216" s="187"/>
      <c r="L1216" s="187"/>
      <c r="M1216" s="187"/>
      <c r="N1216" s="187"/>
      <c r="O1216" s="187"/>
      <c r="P1216" s="187"/>
      <c r="Q1216" s="187"/>
      <c r="R1216" s="187"/>
      <c r="S1216" s="187"/>
      <c r="T1216" s="187"/>
      <c r="U1216" s="187"/>
      <c r="V1216" s="187"/>
      <c r="W1216" s="188"/>
      <c r="X1216" s="695"/>
      <c r="Y1216" s="695"/>
    </row>
    <row r="1217" spans="1:25">
      <c r="A1217" s="187"/>
      <c r="B1217" s="187"/>
      <c r="C1217" s="187"/>
      <c r="D1217" s="187"/>
      <c r="E1217" s="187"/>
      <c r="F1217" s="187"/>
      <c r="G1217" s="187"/>
      <c r="H1217" s="187"/>
      <c r="I1217" s="187"/>
      <c r="J1217" s="187"/>
      <c r="K1217" s="187"/>
      <c r="L1217" s="187"/>
      <c r="M1217" s="187"/>
      <c r="N1217" s="187"/>
      <c r="O1217" s="187"/>
      <c r="P1217" s="187"/>
      <c r="Q1217" s="187"/>
      <c r="R1217" s="187"/>
      <c r="S1217" s="187"/>
      <c r="T1217" s="187"/>
      <c r="U1217" s="187"/>
      <c r="V1217" s="187"/>
      <c r="W1217" s="188"/>
      <c r="X1217" s="695"/>
      <c r="Y1217" s="695"/>
    </row>
    <row r="1218" spans="1:25">
      <c r="A1218" s="187"/>
      <c r="B1218" s="187"/>
      <c r="C1218" s="187"/>
      <c r="D1218" s="187"/>
      <c r="E1218" s="187"/>
      <c r="F1218" s="187"/>
      <c r="G1218" s="187"/>
      <c r="H1218" s="187"/>
      <c r="I1218" s="187"/>
      <c r="J1218" s="187"/>
      <c r="K1218" s="187"/>
      <c r="L1218" s="187"/>
      <c r="M1218" s="187"/>
      <c r="N1218" s="187"/>
      <c r="O1218" s="187"/>
      <c r="P1218" s="187"/>
      <c r="Q1218" s="187"/>
      <c r="R1218" s="187"/>
      <c r="S1218" s="187"/>
      <c r="T1218" s="187"/>
      <c r="U1218" s="187"/>
      <c r="V1218" s="187"/>
      <c r="W1218" s="188"/>
      <c r="X1218" s="695"/>
      <c r="Y1218" s="695"/>
    </row>
    <row r="1219" spans="1:25">
      <c r="A1219" s="187"/>
      <c r="B1219" s="187"/>
      <c r="C1219" s="187"/>
      <c r="D1219" s="187"/>
      <c r="E1219" s="187"/>
      <c r="F1219" s="187"/>
      <c r="G1219" s="187"/>
      <c r="H1219" s="187"/>
      <c r="I1219" s="187"/>
      <c r="J1219" s="187"/>
      <c r="K1219" s="187"/>
      <c r="L1219" s="187"/>
      <c r="M1219" s="187"/>
      <c r="N1219" s="187"/>
      <c r="O1219" s="187"/>
      <c r="P1219" s="187"/>
      <c r="Q1219" s="187"/>
      <c r="R1219" s="187"/>
      <c r="S1219" s="187"/>
      <c r="T1219" s="187"/>
      <c r="U1219" s="187"/>
      <c r="V1219" s="187"/>
      <c r="W1219" s="188"/>
      <c r="X1219" s="695"/>
      <c r="Y1219" s="695"/>
    </row>
    <row r="1220" spans="1:25">
      <c r="A1220" s="187"/>
      <c r="B1220" s="187"/>
      <c r="C1220" s="187"/>
      <c r="D1220" s="187"/>
      <c r="E1220" s="187"/>
      <c r="F1220" s="187"/>
      <c r="G1220" s="187"/>
      <c r="H1220" s="187"/>
      <c r="I1220" s="187"/>
      <c r="J1220" s="187"/>
      <c r="K1220" s="187"/>
      <c r="L1220" s="187"/>
      <c r="M1220" s="187"/>
      <c r="N1220" s="187"/>
      <c r="O1220" s="187"/>
      <c r="P1220" s="187"/>
      <c r="Q1220" s="187"/>
      <c r="R1220" s="187"/>
      <c r="S1220" s="187"/>
      <c r="T1220" s="187"/>
      <c r="U1220" s="187"/>
      <c r="V1220" s="187"/>
      <c r="W1220" s="188"/>
      <c r="X1220" s="695"/>
      <c r="Y1220" s="695"/>
    </row>
    <row r="1221" spans="1:25">
      <c r="A1221" s="187"/>
      <c r="B1221" s="187"/>
      <c r="C1221" s="187"/>
      <c r="D1221" s="187"/>
      <c r="E1221" s="187"/>
      <c r="F1221" s="187"/>
      <c r="G1221" s="187"/>
      <c r="H1221" s="187"/>
      <c r="I1221" s="187"/>
      <c r="J1221" s="187"/>
      <c r="K1221" s="187"/>
      <c r="L1221" s="187"/>
      <c r="M1221" s="187"/>
      <c r="N1221" s="187"/>
      <c r="O1221" s="187"/>
      <c r="P1221" s="187"/>
      <c r="Q1221" s="187"/>
      <c r="R1221" s="187"/>
      <c r="S1221" s="187"/>
      <c r="T1221" s="187"/>
      <c r="U1221" s="187"/>
      <c r="V1221" s="187"/>
      <c r="W1221" s="188"/>
      <c r="X1221" s="695"/>
      <c r="Y1221" s="695"/>
    </row>
    <row r="1222" spans="1:25">
      <c r="A1222" s="187"/>
      <c r="B1222" s="187"/>
      <c r="C1222" s="187"/>
      <c r="D1222" s="187"/>
      <c r="E1222" s="187"/>
      <c r="F1222" s="187"/>
      <c r="G1222" s="187"/>
      <c r="H1222" s="187"/>
      <c r="I1222" s="187"/>
      <c r="J1222" s="187"/>
      <c r="K1222" s="187"/>
      <c r="L1222" s="187"/>
      <c r="M1222" s="187"/>
      <c r="N1222" s="187"/>
      <c r="O1222" s="187"/>
      <c r="P1222" s="187"/>
      <c r="Q1222" s="187"/>
      <c r="R1222" s="187"/>
      <c r="S1222" s="187"/>
      <c r="T1222" s="187"/>
      <c r="U1222" s="187"/>
      <c r="V1222" s="187"/>
      <c r="W1222" s="188"/>
      <c r="X1222" s="695"/>
      <c r="Y1222" s="695"/>
    </row>
    <row r="1223" spans="1:25">
      <c r="A1223" s="187"/>
      <c r="B1223" s="187"/>
      <c r="C1223" s="187"/>
      <c r="D1223" s="187"/>
      <c r="E1223" s="187"/>
      <c r="F1223" s="187"/>
      <c r="G1223" s="187"/>
      <c r="H1223" s="187"/>
      <c r="I1223" s="187"/>
      <c r="J1223" s="187"/>
      <c r="K1223" s="187"/>
      <c r="L1223" s="187"/>
      <c r="M1223" s="187"/>
      <c r="N1223" s="187"/>
      <c r="O1223" s="187"/>
      <c r="P1223" s="187"/>
      <c r="Q1223" s="187"/>
      <c r="R1223" s="187"/>
      <c r="S1223" s="187"/>
      <c r="T1223" s="187"/>
      <c r="U1223" s="187"/>
      <c r="V1223" s="187"/>
      <c r="W1223" s="188"/>
      <c r="X1223" s="695"/>
      <c r="Y1223" s="695"/>
    </row>
    <row r="1224" spans="1:25">
      <c r="A1224" s="187"/>
      <c r="B1224" s="187"/>
      <c r="C1224" s="187"/>
      <c r="D1224" s="187"/>
      <c r="E1224" s="187"/>
      <c r="F1224" s="187"/>
      <c r="G1224" s="187"/>
      <c r="H1224" s="187"/>
      <c r="I1224" s="187"/>
      <c r="J1224" s="187"/>
      <c r="K1224" s="187"/>
      <c r="L1224" s="187"/>
      <c r="M1224" s="187"/>
      <c r="N1224" s="187"/>
      <c r="O1224" s="187"/>
      <c r="P1224" s="187"/>
      <c r="Q1224" s="187"/>
      <c r="R1224" s="187"/>
      <c r="S1224" s="187"/>
      <c r="T1224" s="187"/>
      <c r="U1224" s="187"/>
      <c r="V1224" s="187"/>
      <c r="W1224" s="188"/>
      <c r="X1224" s="695"/>
      <c r="Y1224" s="695"/>
    </row>
    <row r="1225" spans="1:25">
      <c r="A1225" s="187"/>
      <c r="B1225" s="187"/>
      <c r="C1225" s="187"/>
      <c r="D1225" s="187"/>
      <c r="E1225" s="187"/>
      <c r="F1225" s="187"/>
      <c r="G1225" s="187"/>
      <c r="H1225" s="187"/>
      <c r="I1225" s="187"/>
      <c r="J1225" s="187"/>
      <c r="K1225" s="187"/>
      <c r="L1225" s="187"/>
      <c r="M1225" s="187"/>
      <c r="N1225" s="187"/>
      <c r="O1225" s="187"/>
      <c r="P1225" s="187"/>
      <c r="Q1225" s="187"/>
      <c r="R1225" s="187"/>
      <c r="S1225" s="187"/>
      <c r="T1225" s="187"/>
      <c r="U1225" s="187"/>
      <c r="V1225" s="187"/>
      <c r="W1225" s="188"/>
      <c r="X1225" s="695"/>
      <c r="Y1225" s="695"/>
    </row>
    <row r="1226" spans="1:25">
      <c r="A1226" s="187"/>
      <c r="B1226" s="187"/>
      <c r="C1226" s="187"/>
      <c r="D1226" s="187"/>
      <c r="E1226" s="187"/>
      <c r="F1226" s="187"/>
      <c r="G1226" s="187"/>
      <c r="H1226" s="187"/>
      <c r="I1226" s="187"/>
      <c r="J1226" s="187"/>
      <c r="K1226" s="187"/>
      <c r="L1226" s="187"/>
      <c r="M1226" s="187"/>
      <c r="N1226" s="187"/>
      <c r="O1226" s="187"/>
      <c r="P1226" s="187"/>
      <c r="Q1226" s="187"/>
      <c r="R1226" s="187"/>
      <c r="S1226" s="187"/>
      <c r="T1226" s="187"/>
      <c r="U1226" s="187"/>
      <c r="V1226" s="187"/>
      <c r="W1226" s="188"/>
      <c r="X1226" s="695"/>
      <c r="Y1226" s="695"/>
    </row>
    <row r="1227" spans="1:25">
      <c r="A1227" s="187"/>
      <c r="B1227" s="187"/>
      <c r="C1227" s="187"/>
      <c r="D1227" s="187"/>
      <c r="E1227" s="187"/>
      <c r="F1227" s="187"/>
      <c r="G1227" s="187"/>
      <c r="H1227" s="187"/>
      <c r="I1227" s="187"/>
      <c r="J1227" s="187"/>
      <c r="K1227" s="187"/>
      <c r="L1227" s="187"/>
      <c r="M1227" s="187"/>
      <c r="N1227" s="187"/>
      <c r="O1227" s="187"/>
      <c r="P1227" s="187"/>
      <c r="Q1227" s="187"/>
      <c r="R1227" s="187"/>
      <c r="S1227" s="187"/>
      <c r="T1227" s="187"/>
      <c r="U1227" s="187"/>
      <c r="V1227" s="187"/>
      <c r="W1227" s="188"/>
      <c r="X1227" s="695"/>
      <c r="Y1227" s="695"/>
    </row>
    <row r="1228" spans="1:25">
      <c r="A1228" s="187"/>
      <c r="B1228" s="187"/>
      <c r="C1228" s="187"/>
      <c r="D1228" s="187"/>
      <c r="E1228" s="187"/>
      <c r="F1228" s="187"/>
      <c r="G1228" s="187"/>
      <c r="H1228" s="187"/>
      <c r="I1228" s="187"/>
      <c r="J1228" s="187"/>
      <c r="K1228" s="187"/>
      <c r="L1228" s="187"/>
      <c r="M1228" s="187"/>
      <c r="N1228" s="187"/>
      <c r="O1228" s="187"/>
      <c r="P1228" s="187"/>
      <c r="Q1228" s="187"/>
      <c r="R1228" s="187"/>
      <c r="S1228" s="187"/>
      <c r="T1228" s="187"/>
      <c r="U1228" s="187"/>
      <c r="V1228" s="187"/>
      <c r="W1228" s="188"/>
      <c r="X1228" s="695"/>
      <c r="Y1228" s="695"/>
    </row>
    <row r="1229" spans="1:25">
      <c r="A1229" s="187"/>
      <c r="B1229" s="187"/>
      <c r="C1229" s="187"/>
      <c r="D1229" s="187"/>
      <c r="E1229" s="187"/>
      <c r="F1229" s="187"/>
      <c r="G1229" s="187"/>
      <c r="H1229" s="187"/>
      <c r="I1229" s="187"/>
      <c r="J1229" s="187"/>
      <c r="K1229" s="187"/>
      <c r="L1229" s="187"/>
      <c r="M1229" s="187"/>
      <c r="N1229" s="187"/>
      <c r="O1229" s="187"/>
      <c r="P1229" s="187"/>
      <c r="Q1229" s="187"/>
      <c r="R1229" s="187"/>
      <c r="S1229" s="187"/>
      <c r="T1229" s="187"/>
      <c r="U1229" s="187"/>
      <c r="V1229" s="187"/>
      <c r="W1229" s="188"/>
      <c r="X1229" s="695"/>
      <c r="Y1229" s="695"/>
    </row>
    <row r="1230" spans="1:25">
      <c r="A1230" s="187"/>
      <c r="B1230" s="187"/>
      <c r="C1230" s="187"/>
      <c r="D1230" s="187"/>
      <c r="E1230" s="187"/>
      <c r="F1230" s="187"/>
      <c r="G1230" s="187"/>
      <c r="H1230" s="187"/>
      <c r="I1230" s="187"/>
      <c r="J1230" s="187"/>
      <c r="K1230" s="187"/>
      <c r="L1230" s="187"/>
      <c r="M1230" s="187"/>
      <c r="N1230" s="187"/>
      <c r="O1230" s="187"/>
      <c r="P1230" s="187"/>
      <c r="Q1230" s="187"/>
      <c r="R1230" s="187"/>
      <c r="S1230" s="187"/>
      <c r="T1230" s="187"/>
      <c r="U1230" s="187"/>
      <c r="V1230" s="187"/>
      <c r="W1230" s="188"/>
      <c r="X1230" s="695"/>
      <c r="Y1230" s="695"/>
    </row>
    <row r="1231" spans="1:25">
      <c r="A1231" s="187"/>
      <c r="B1231" s="187"/>
      <c r="C1231" s="187"/>
      <c r="D1231" s="187"/>
      <c r="E1231" s="187"/>
      <c r="F1231" s="187"/>
      <c r="G1231" s="187"/>
      <c r="H1231" s="187"/>
      <c r="I1231" s="187"/>
      <c r="J1231" s="187"/>
      <c r="K1231" s="187"/>
      <c r="L1231" s="187"/>
      <c r="M1231" s="187"/>
      <c r="N1231" s="187"/>
      <c r="O1231" s="187"/>
      <c r="P1231" s="187"/>
      <c r="Q1231" s="187"/>
      <c r="R1231" s="187"/>
      <c r="S1231" s="187"/>
      <c r="T1231" s="187"/>
      <c r="U1231" s="187"/>
      <c r="V1231" s="187"/>
      <c r="W1231" s="188"/>
      <c r="X1231" s="695"/>
      <c r="Y1231" s="695"/>
    </row>
    <row r="1232" spans="1:25">
      <c r="A1232" s="187"/>
      <c r="B1232" s="187"/>
      <c r="C1232" s="187"/>
      <c r="D1232" s="187"/>
      <c r="E1232" s="187"/>
      <c r="F1232" s="187"/>
      <c r="G1232" s="187"/>
      <c r="H1232" s="187"/>
      <c r="I1232" s="187"/>
      <c r="J1232" s="187"/>
      <c r="K1232" s="187"/>
      <c r="L1232" s="187"/>
      <c r="M1232" s="187"/>
      <c r="N1232" s="187"/>
      <c r="O1232" s="187"/>
      <c r="P1232" s="187"/>
      <c r="Q1232" s="187"/>
      <c r="R1232" s="187"/>
      <c r="S1232" s="187"/>
      <c r="T1232" s="187"/>
      <c r="U1232" s="187"/>
      <c r="V1232" s="187"/>
      <c r="W1232" s="188"/>
      <c r="X1232" s="695"/>
      <c r="Y1232" s="695"/>
    </row>
    <row r="1233" spans="1:25">
      <c r="A1233" s="187"/>
      <c r="B1233" s="187"/>
      <c r="C1233" s="187"/>
      <c r="D1233" s="187"/>
      <c r="E1233" s="187"/>
      <c r="F1233" s="187"/>
      <c r="G1233" s="187"/>
      <c r="H1233" s="187"/>
      <c r="I1233" s="187"/>
      <c r="J1233" s="187"/>
      <c r="K1233" s="187"/>
      <c r="L1233" s="187"/>
      <c r="M1233" s="187"/>
      <c r="N1233" s="187"/>
      <c r="O1233" s="187"/>
      <c r="P1233" s="187"/>
      <c r="Q1233" s="187"/>
      <c r="R1233" s="187"/>
      <c r="S1233" s="187"/>
      <c r="T1233" s="187"/>
      <c r="U1233" s="187"/>
      <c r="V1233" s="187"/>
      <c r="W1233" s="188"/>
      <c r="X1233" s="695"/>
      <c r="Y1233" s="695"/>
    </row>
    <row r="1234" spans="1:25">
      <c r="A1234" s="187"/>
      <c r="B1234" s="187"/>
      <c r="C1234" s="187"/>
      <c r="D1234" s="187"/>
      <c r="E1234" s="187"/>
      <c r="F1234" s="187"/>
      <c r="G1234" s="187"/>
      <c r="H1234" s="187"/>
      <c r="I1234" s="187"/>
      <c r="J1234" s="187"/>
      <c r="K1234" s="187"/>
      <c r="L1234" s="187"/>
      <c r="M1234" s="187"/>
      <c r="N1234" s="187"/>
      <c r="O1234" s="187"/>
      <c r="P1234" s="187"/>
      <c r="Q1234" s="187"/>
      <c r="R1234" s="187"/>
      <c r="S1234" s="187"/>
      <c r="T1234" s="187"/>
      <c r="U1234" s="187"/>
      <c r="V1234" s="187"/>
      <c r="W1234" s="188"/>
      <c r="X1234" s="695"/>
      <c r="Y1234" s="695"/>
    </row>
    <row r="1235" spans="1:25">
      <c r="A1235" s="187"/>
      <c r="B1235" s="187"/>
      <c r="C1235" s="187"/>
      <c r="D1235" s="187"/>
      <c r="E1235" s="187"/>
      <c r="F1235" s="187"/>
      <c r="G1235" s="187"/>
      <c r="H1235" s="187"/>
      <c r="I1235" s="187"/>
      <c r="J1235" s="187"/>
      <c r="K1235" s="187"/>
      <c r="L1235" s="187"/>
      <c r="M1235" s="187"/>
      <c r="N1235" s="187"/>
      <c r="O1235" s="187"/>
      <c r="P1235" s="187"/>
      <c r="Q1235" s="187"/>
      <c r="R1235" s="187"/>
      <c r="S1235" s="187"/>
      <c r="T1235" s="187"/>
      <c r="U1235" s="187"/>
      <c r="V1235" s="187"/>
      <c r="W1235" s="188"/>
      <c r="X1235" s="695"/>
      <c r="Y1235" s="695"/>
    </row>
    <row r="1236" spans="1:25">
      <c r="A1236" s="187"/>
      <c r="B1236" s="187"/>
      <c r="C1236" s="187"/>
      <c r="D1236" s="187"/>
      <c r="E1236" s="187"/>
      <c r="F1236" s="187"/>
      <c r="G1236" s="187"/>
      <c r="H1236" s="187"/>
      <c r="I1236" s="187"/>
      <c r="J1236" s="187"/>
      <c r="K1236" s="187"/>
      <c r="L1236" s="187"/>
      <c r="M1236" s="187"/>
      <c r="N1236" s="187"/>
      <c r="O1236" s="187"/>
      <c r="P1236" s="187"/>
      <c r="Q1236" s="187"/>
      <c r="R1236" s="187"/>
      <c r="S1236" s="187"/>
      <c r="T1236" s="187"/>
      <c r="U1236" s="187"/>
      <c r="V1236" s="187"/>
      <c r="W1236" s="188"/>
      <c r="X1236" s="695"/>
      <c r="Y1236" s="695"/>
    </row>
    <row r="1237" spans="1:25">
      <c r="A1237" s="187"/>
      <c r="B1237" s="187"/>
      <c r="C1237" s="187"/>
      <c r="D1237" s="187"/>
      <c r="E1237" s="187"/>
      <c r="F1237" s="187"/>
      <c r="G1237" s="187"/>
      <c r="H1237" s="187"/>
      <c r="I1237" s="187"/>
      <c r="J1237" s="187"/>
      <c r="K1237" s="187"/>
      <c r="L1237" s="187"/>
      <c r="M1237" s="187"/>
      <c r="N1237" s="187"/>
      <c r="O1237" s="187"/>
      <c r="P1237" s="187"/>
      <c r="Q1237" s="187"/>
      <c r="R1237" s="187"/>
      <c r="S1237" s="187"/>
      <c r="T1237" s="187"/>
      <c r="U1237" s="187"/>
      <c r="V1237" s="187"/>
      <c r="W1237" s="188"/>
      <c r="X1237" s="695"/>
      <c r="Y1237" s="695"/>
    </row>
    <row r="1238" spans="1:25">
      <c r="A1238" s="187"/>
      <c r="B1238" s="187"/>
      <c r="C1238" s="187"/>
      <c r="D1238" s="187"/>
      <c r="E1238" s="187"/>
      <c r="F1238" s="187"/>
      <c r="G1238" s="187"/>
      <c r="H1238" s="187"/>
      <c r="I1238" s="187"/>
      <c r="J1238" s="187"/>
      <c r="K1238" s="187"/>
      <c r="L1238" s="187"/>
      <c r="M1238" s="187"/>
      <c r="N1238" s="187"/>
      <c r="O1238" s="187"/>
      <c r="P1238" s="187"/>
      <c r="Q1238" s="187"/>
      <c r="R1238" s="187"/>
      <c r="S1238" s="187"/>
      <c r="T1238" s="187"/>
      <c r="U1238" s="187"/>
      <c r="V1238" s="187"/>
      <c r="W1238" s="188"/>
      <c r="X1238" s="695"/>
      <c r="Y1238" s="695"/>
    </row>
    <row r="1239" spans="1:25">
      <c r="A1239" s="187"/>
      <c r="B1239" s="187"/>
      <c r="C1239" s="187"/>
      <c r="D1239" s="187"/>
      <c r="E1239" s="187"/>
      <c r="F1239" s="187"/>
      <c r="G1239" s="187"/>
      <c r="H1239" s="187"/>
      <c r="I1239" s="187"/>
      <c r="J1239" s="187"/>
      <c r="K1239" s="187"/>
      <c r="L1239" s="187"/>
      <c r="M1239" s="187"/>
      <c r="N1239" s="187"/>
      <c r="O1239" s="187"/>
      <c r="P1239" s="187"/>
      <c r="Q1239" s="187"/>
      <c r="R1239" s="187"/>
      <c r="S1239" s="187"/>
      <c r="T1239" s="187"/>
      <c r="U1239" s="187"/>
      <c r="V1239" s="187"/>
      <c r="W1239" s="188"/>
      <c r="X1239" s="695"/>
      <c r="Y1239" s="695"/>
    </row>
    <row r="1240" spans="1:25">
      <c r="A1240" s="187"/>
      <c r="B1240" s="187"/>
      <c r="C1240" s="187"/>
      <c r="D1240" s="187"/>
      <c r="E1240" s="187"/>
      <c r="F1240" s="187"/>
      <c r="G1240" s="187"/>
      <c r="H1240" s="187"/>
      <c r="I1240" s="187"/>
      <c r="J1240" s="187"/>
      <c r="K1240" s="187"/>
      <c r="L1240" s="187"/>
      <c r="M1240" s="187"/>
      <c r="N1240" s="187"/>
      <c r="O1240" s="187"/>
      <c r="P1240" s="187"/>
      <c r="Q1240" s="187"/>
      <c r="R1240" s="187"/>
      <c r="S1240" s="187"/>
      <c r="T1240" s="187"/>
      <c r="U1240" s="187"/>
      <c r="V1240" s="187"/>
      <c r="W1240" s="188"/>
      <c r="X1240" s="695"/>
      <c r="Y1240" s="695"/>
    </row>
    <row r="1241" spans="1:25">
      <c r="A1241" s="187"/>
      <c r="B1241" s="187"/>
      <c r="C1241" s="187"/>
      <c r="D1241" s="187"/>
      <c r="E1241" s="187"/>
      <c r="F1241" s="187"/>
      <c r="G1241" s="187"/>
      <c r="H1241" s="187"/>
      <c r="I1241" s="187"/>
      <c r="J1241" s="187"/>
      <c r="K1241" s="187"/>
      <c r="L1241" s="187"/>
      <c r="M1241" s="187"/>
      <c r="N1241" s="187"/>
      <c r="O1241" s="187"/>
      <c r="P1241" s="187"/>
      <c r="Q1241" s="187"/>
      <c r="R1241" s="187"/>
      <c r="S1241" s="187"/>
      <c r="T1241" s="187"/>
      <c r="U1241" s="187"/>
      <c r="V1241" s="187"/>
      <c r="W1241" s="188"/>
      <c r="X1241" s="695"/>
      <c r="Y1241" s="695"/>
    </row>
    <row r="1242" spans="1:25">
      <c r="A1242" s="187"/>
      <c r="B1242" s="187"/>
      <c r="C1242" s="187"/>
      <c r="D1242" s="187"/>
      <c r="E1242" s="187"/>
      <c r="F1242" s="187"/>
      <c r="G1242" s="187"/>
      <c r="H1242" s="187"/>
      <c r="I1242" s="187"/>
      <c r="J1242" s="187"/>
      <c r="K1242" s="187"/>
      <c r="L1242" s="187"/>
      <c r="M1242" s="187"/>
      <c r="N1242" s="187"/>
      <c r="O1242" s="187"/>
      <c r="P1242" s="187"/>
      <c r="Q1242" s="187"/>
      <c r="R1242" s="187"/>
      <c r="S1242" s="187"/>
      <c r="T1242" s="187"/>
      <c r="U1242" s="187"/>
      <c r="V1242" s="187"/>
      <c r="W1242" s="188"/>
      <c r="X1242" s="695"/>
      <c r="Y1242" s="695"/>
    </row>
    <row r="1243" spans="1:25">
      <c r="A1243" s="187"/>
      <c r="B1243" s="187"/>
      <c r="C1243" s="187"/>
      <c r="D1243" s="187"/>
      <c r="E1243" s="187"/>
      <c r="F1243" s="187"/>
      <c r="G1243" s="187"/>
      <c r="H1243" s="187"/>
      <c r="I1243" s="187"/>
      <c r="J1243" s="187"/>
      <c r="K1243" s="187"/>
      <c r="L1243" s="187"/>
      <c r="M1243" s="187"/>
      <c r="N1243" s="187"/>
      <c r="O1243" s="187"/>
      <c r="P1243" s="187"/>
      <c r="Q1243" s="187"/>
      <c r="R1243" s="187"/>
      <c r="S1243" s="187"/>
      <c r="T1243" s="187"/>
      <c r="U1243" s="187"/>
      <c r="V1243" s="187"/>
      <c r="W1243" s="188"/>
      <c r="X1243" s="695"/>
      <c r="Y1243" s="695"/>
    </row>
    <row r="1244" spans="1:25">
      <c r="A1244" s="187"/>
      <c r="B1244" s="187"/>
      <c r="C1244" s="187"/>
      <c r="D1244" s="187"/>
      <c r="E1244" s="187"/>
      <c r="F1244" s="187"/>
      <c r="G1244" s="187"/>
      <c r="H1244" s="187"/>
      <c r="I1244" s="187"/>
      <c r="J1244" s="187"/>
      <c r="K1244" s="187"/>
      <c r="L1244" s="187"/>
      <c r="M1244" s="187"/>
      <c r="N1244" s="187"/>
      <c r="O1244" s="187"/>
      <c r="P1244" s="187"/>
      <c r="Q1244" s="187"/>
      <c r="R1244" s="187"/>
      <c r="S1244" s="187"/>
      <c r="T1244" s="187"/>
      <c r="U1244" s="187"/>
      <c r="V1244" s="187"/>
      <c r="W1244" s="188"/>
      <c r="X1244" s="695"/>
      <c r="Y1244" s="695"/>
    </row>
    <row r="1245" spans="1:25">
      <c r="A1245" s="187"/>
      <c r="B1245" s="187"/>
      <c r="C1245" s="187"/>
      <c r="D1245" s="187"/>
      <c r="E1245" s="187"/>
      <c r="F1245" s="187"/>
      <c r="G1245" s="187"/>
      <c r="H1245" s="187"/>
      <c r="I1245" s="187"/>
      <c r="J1245" s="187"/>
      <c r="K1245" s="187"/>
      <c r="L1245" s="187"/>
      <c r="M1245" s="187"/>
      <c r="N1245" s="187"/>
      <c r="O1245" s="187"/>
      <c r="P1245" s="187"/>
      <c r="Q1245" s="187"/>
      <c r="R1245" s="187"/>
      <c r="S1245" s="187"/>
      <c r="T1245" s="187"/>
      <c r="U1245" s="187"/>
      <c r="V1245" s="187"/>
      <c r="W1245" s="188"/>
      <c r="X1245" s="695"/>
      <c r="Y1245" s="695"/>
    </row>
    <row r="1246" spans="1:25">
      <c r="A1246" s="187"/>
      <c r="B1246" s="187"/>
      <c r="C1246" s="187"/>
      <c r="D1246" s="187"/>
      <c r="E1246" s="187"/>
      <c r="F1246" s="187"/>
      <c r="G1246" s="187"/>
      <c r="H1246" s="187"/>
      <c r="I1246" s="187"/>
      <c r="J1246" s="187"/>
      <c r="K1246" s="187"/>
      <c r="L1246" s="187"/>
      <c r="M1246" s="187"/>
      <c r="N1246" s="187"/>
      <c r="O1246" s="187"/>
      <c r="P1246" s="187"/>
      <c r="Q1246" s="187"/>
      <c r="R1246" s="187"/>
      <c r="S1246" s="187"/>
      <c r="T1246" s="187"/>
      <c r="U1246" s="187"/>
      <c r="V1246" s="187"/>
      <c r="W1246" s="188"/>
      <c r="X1246" s="695"/>
      <c r="Y1246" s="695"/>
    </row>
    <row r="1247" spans="1:25">
      <c r="A1247" s="187"/>
      <c r="B1247" s="187"/>
      <c r="C1247" s="187"/>
      <c r="D1247" s="187"/>
      <c r="E1247" s="187"/>
      <c r="F1247" s="187"/>
      <c r="G1247" s="187"/>
      <c r="H1247" s="187"/>
      <c r="I1247" s="187"/>
      <c r="J1247" s="187"/>
      <c r="K1247" s="187"/>
      <c r="L1247" s="187"/>
      <c r="M1247" s="187"/>
      <c r="N1247" s="187"/>
      <c r="O1247" s="187"/>
      <c r="P1247" s="187"/>
      <c r="Q1247" s="187"/>
      <c r="R1247" s="187"/>
      <c r="S1247" s="187"/>
      <c r="T1247" s="187"/>
      <c r="U1247" s="187"/>
      <c r="V1247" s="187"/>
      <c r="W1247" s="188"/>
      <c r="X1247" s="695"/>
      <c r="Y1247" s="695"/>
    </row>
    <row r="1248" spans="1:25">
      <c r="A1248" s="187"/>
      <c r="B1248" s="187"/>
      <c r="C1248" s="187"/>
      <c r="D1248" s="187"/>
      <c r="E1248" s="187"/>
      <c r="F1248" s="187"/>
      <c r="G1248" s="187"/>
      <c r="H1248" s="187"/>
      <c r="I1248" s="187"/>
      <c r="J1248" s="187"/>
      <c r="K1248" s="187"/>
      <c r="L1248" s="187"/>
      <c r="M1248" s="187"/>
      <c r="N1248" s="187"/>
      <c r="O1248" s="187"/>
      <c r="P1248" s="187"/>
      <c r="Q1248" s="187"/>
      <c r="R1248" s="187"/>
      <c r="S1248" s="187"/>
      <c r="T1248" s="187"/>
      <c r="U1248" s="187"/>
      <c r="V1248" s="187"/>
      <c r="W1248" s="188"/>
      <c r="X1248" s="695"/>
      <c r="Y1248" s="695"/>
    </row>
    <row r="1249" spans="1:25">
      <c r="A1249" s="187"/>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8"/>
      <c r="X1249" s="695"/>
      <c r="Y1249" s="695"/>
    </row>
    <row r="1250" spans="1:25">
      <c r="A1250" s="187"/>
      <c r="B1250" s="187"/>
      <c r="C1250" s="187"/>
      <c r="D1250" s="187"/>
      <c r="E1250" s="187"/>
      <c r="F1250" s="187"/>
      <c r="G1250" s="187"/>
      <c r="H1250" s="187"/>
      <c r="I1250" s="187"/>
      <c r="J1250" s="187"/>
      <c r="K1250" s="187"/>
      <c r="L1250" s="187"/>
      <c r="M1250" s="187"/>
      <c r="N1250" s="187"/>
      <c r="O1250" s="187"/>
      <c r="P1250" s="187"/>
      <c r="Q1250" s="187"/>
      <c r="R1250" s="187"/>
      <c r="S1250" s="187"/>
      <c r="T1250" s="187"/>
      <c r="U1250" s="187"/>
      <c r="V1250" s="187"/>
      <c r="W1250" s="188"/>
      <c r="X1250" s="695"/>
      <c r="Y1250" s="695"/>
    </row>
    <row r="1251" spans="1:25">
      <c r="A1251" s="187"/>
      <c r="B1251" s="187"/>
      <c r="C1251" s="187"/>
      <c r="D1251" s="187"/>
      <c r="E1251" s="187"/>
      <c r="F1251" s="187"/>
      <c r="G1251" s="187"/>
      <c r="H1251" s="187"/>
      <c r="I1251" s="187"/>
      <c r="J1251" s="187"/>
      <c r="K1251" s="187"/>
      <c r="L1251" s="187"/>
      <c r="M1251" s="187"/>
      <c r="N1251" s="187"/>
      <c r="O1251" s="187"/>
      <c r="P1251" s="187"/>
      <c r="Q1251" s="187"/>
      <c r="R1251" s="187"/>
      <c r="S1251" s="187"/>
      <c r="T1251" s="187"/>
      <c r="U1251" s="187"/>
      <c r="V1251" s="187"/>
      <c r="W1251" s="188"/>
      <c r="X1251" s="695"/>
      <c r="Y1251" s="695"/>
    </row>
    <row r="1252" spans="1:25">
      <c r="A1252" s="187"/>
      <c r="B1252" s="187"/>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8"/>
      <c r="X1252" s="695"/>
      <c r="Y1252" s="695"/>
    </row>
    <row r="1253" spans="1:25">
      <c r="A1253" s="187"/>
      <c r="B1253" s="187"/>
      <c r="C1253" s="187"/>
      <c r="D1253" s="187"/>
      <c r="E1253" s="187"/>
      <c r="F1253" s="187"/>
      <c r="G1253" s="187"/>
      <c r="H1253" s="187"/>
      <c r="I1253" s="187"/>
      <c r="J1253" s="187"/>
      <c r="K1253" s="187"/>
      <c r="L1253" s="187"/>
      <c r="M1253" s="187"/>
      <c r="N1253" s="187"/>
      <c r="O1253" s="187"/>
      <c r="P1253" s="187"/>
      <c r="Q1253" s="187"/>
      <c r="R1253" s="187"/>
      <c r="S1253" s="187"/>
      <c r="T1253" s="187"/>
      <c r="U1253" s="187"/>
      <c r="V1253" s="187"/>
      <c r="W1253" s="188"/>
      <c r="X1253" s="695"/>
      <c r="Y1253" s="695"/>
    </row>
    <row r="1254" spans="1:25">
      <c r="A1254" s="187"/>
      <c r="B1254" s="187"/>
      <c r="C1254" s="187"/>
      <c r="D1254" s="187"/>
      <c r="E1254" s="187"/>
      <c r="F1254" s="187"/>
      <c r="G1254" s="187"/>
      <c r="H1254" s="187"/>
      <c r="I1254" s="187"/>
      <c r="J1254" s="187"/>
      <c r="K1254" s="187"/>
      <c r="L1254" s="187"/>
      <c r="M1254" s="187"/>
      <c r="N1254" s="187"/>
      <c r="O1254" s="187"/>
      <c r="P1254" s="187"/>
      <c r="Q1254" s="187"/>
      <c r="R1254" s="187"/>
      <c r="S1254" s="187"/>
      <c r="T1254" s="187"/>
      <c r="U1254" s="187"/>
      <c r="V1254" s="187"/>
      <c r="W1254" s="188"/>
      <c r="X1254" s="695"/>
      <c r="Y1254" s="695"/>
    </row>
    <row r="1255" spans="1:25">
      <c r="A1255" s="187"/>
      <c r="B1255" s="187"/>
      <c r="C1255" s="187"/>
      <c r="D1255" s="187"/>
      <c r="E1255" s="187"/>
      <c r="F1255" s="187"/>
      <c r="G1255" s="187"/>
      <c r="H1255" s="187"/>
      <c r="I1255" s="187"/>
      <c r="J1255" s="187"/>
      <c r="K1255" s="187"/>
      <c r="L1255" s="187"/>
      <c r="M1255" s="187"/>
      <c r="N1255" s="187"/>
      <c r="O1255" s="187"/>
      <c r="P1255" s="187"/>
      <c r="Q1255" s="187"/>
      <c r="R1255" s="187"/>
      <c r="S1255" s="187"/>
      <c r="T1255" s="187"/>
      <c r="U1255" s="187"/>
      <c r="V1255" s="187"/>
      <c r="W1255" s="188"/>
      <c r="X1255" s="695"/>
      <c r="Y1255" s="695"/>
    </row>
    <row r="1256" spans="1:25">
      <c r="A1256" s="187"/>
      <c r="B1256" s="187"/>
      <c r="C1256" s="187"/>
      <c r="D1256" s="187"/>
      <c r="E1256" s="187"/>
      <c r="F1256" s="187"/>
      <c r="G1256" s="187"/>
      <c r="H1256" s="187"/>
      <c r="I1256" s="187"/>
      <c r="J1256" s="187"/>
      <c r="K1256" s="187"/>
      <c r="L1256" s="187"/>
      <c r="M1256" s="187"/>
      <c r="N1256" s="187"/>
      <c r="O1256" s="187"/>
      <c r="P1256" s="187"/>
      <c r="Q1256" s="187"/>
      <c r="R1256" s="187"/>
      <c r="S1256" s="187"/>
      <c r="T1256" s="187"/>
      <c r="U1256" s="187"/>
      <c r="V1256" s="187"/>
      <c r="W1256" s="188"/>
      <c r="X1256" s="695"/>
      <c r="Y1256" s="695"/>
    </row>
    <row r="1257" spans="1:25">
      <c r="A1257" s="187"/>
      <c r="B1257" s="187"/>
      <c r="C1257" s="187"/>
      <c r="D1257" s="187"/>
      <c r="E1257" s="187"/>
      <c r="F1257" s="187"/>
      <c r="G1257" s="187"/>
      <c r="H1257" s="187"/>
      <c r="I1257" s="187"/>
      <c r="J1257" s="187"/>
      <c r="K1257" s="187"/>
      <c r="L1257" s="187"/>
      <c r="M1257" s="187"/>
      <c r="N1257" s="187"/>
      <c r="O1257" s="187"/>
      <c r="P1257" s="187"/>
      <c r="Q1257" s="187"/>
      <c r="R1257" s="187"/>
      <c r="S1257" s="187"/>
      <c r="T1257" s="187"/>
      <c r="U1257" s="187"/>
      <c r="V1257" s="187"/>
      <c r="W1257" s="188"/>
      <c r="X1257" s="695"/>
      <c r="Y1257" s="695"/>
    </row>
    <row r="1258" spans="1:25">
      <c r="A1258" s="187"/>
      <c r="B1258" s="187"/>
      <c r="C1258" s="187"/>
      <c r="D1258" s="187"/>
      <c r="E1258" s="187"/>
      <c r="F1258" s="187"/>
      <c r="G1258" s="187"/>
      <c r="H1258" s="187"/>
      <c r="I1258" s="187"/>
      <c r="J1258" s="187"/>
      <c r="K1258" s="187"/>
      <c r="L1258" s="187"/>
      <c r="M1258" s="187"/>
      <c r="N1258" s="187"/>
      <c r="O1258" s="187"/>
      <c r="P1258" s="187"/>
      <c r="Q1258" s="187"/>
      <c r="R1258" s="187"/>
      <c r="S1258" s="187"/>
      <c r="T1258" s="187"/>
      <c r="U1258" s="187"/>
      <c r="V1258" s="187"/>
      <c r="W1258" s="188"/>
      <c r="X1258" s="695"/>
      <c r="Y1258" s="695"/>
    </row>
    <row r="1259" spans="1:25">
      <c r="A1259" s="187"/>
      <c r="B1259" s="187"/>
      <c r="C1259" s="187"/>
      <c r="D1259" s="187"/>
      <c r="E1259" s="187"/>
      <c r="F1259" s="187"/>
      <c r="G1259" s="187"/>
      <c r="H1259" s="187"/>
      <c r="I1259" s="187"/>
      <c r="J1259" s="187"/>
      <c r="K1259" s="187"/>
      <c r="L1259" s="187"/>
      <c r="M1259" s="187"/>
      <c r="N1259" s="187"/>
      <c r="O1259" s="187"/>
      <c r="P1259" s="187"/>
      <c r="Q1259" s="187"/>
      <c r="R1259" s="187"/>
      <c r="S1259" s="187"/>
      <c r="T1259" s="187"/>
      <c r="U1259" s="187"/>
      <c r="V1259" s="187"/>
      <c r="W1259" s="188"/>
      <c r="X1259" s="695"/>
      <c r="Y1259" s="695"/>
    </row>
    <row r="1260" spans="1:25">
      <c r="A1260" s="187"/>
      <c r="B1260" s="187"/>
      <c r="C1260" s="187"/>
      <c r="D1260" s="187"/>
      <c r="E1260" s="187"/>
      <c r="F1260" s="187"/>
      <c r="G1260" s="187"/>
      <c r="H1260" s="187"/>
      <c r="I1260" s="187"/>
      <c r="J1260" s="187"/>
      <c r="K1260" s="187"/>
      <c r="L1260" s="187"/>
      <c r="M1260" s="187"/>
      <c r="N1260" s="187"/>
      <c r="O1260" s="187"/>
      <c r="P1260" s="187"/>
      <c r="Q1260" s="187"/>
      <c r="R1260" s="187"/>
      <c r="S1260" s="187"/>
      <c r="T1260" s="187"/>
      <c r="U1260" s="187"/>
      <c r="V1260" s="187"/>
      <c r="W1260" s="188"/>
      <c r="X1260" s="695"/>
      <c r="Y1260" s="695"/>
    </row>
    <row r="1261" spans="1:25">
      <c r="A1261" s="187"/>
      <c r="B1261" s="187"/>
      <c r="C1261" s="187"/>
      <c r="D1261" s="187"/>
      <c r="E1261" s="187"/>
      <c r="F1261" s="187"/>
      <c r="G1261" s="187"/>
      <c r="H1261" s="187"/>
      <c r="I1261" s="187"/>
      <c r="J1261" s="187"/>
      <c r="K1261" s="187"/>
      <c r="L1261" s="187"/>
      <c r="M1261" s="187"/>
      <c r="N1261" s="187"/>
      <c r="O1261" s="187"/>
      <c r="P1261" s="187"/>
      <c r="Q1261" s="187"/>
      <c r="R1261" s="187"/>
      <c r="S1261" s="187"/>
      <c r="T1261" s="187"/>
      <c r="U1261" s="187"/>
      <c r="V1261" s="187"/>
      <c r="W1261" s="188"/>
      <c r="X1261" s="695"/>
      <c r="Y1261" s="695"/>
    </row>
    <row r="1262" spans="1:25">
      <c r="A1262" s="187"/>
      <c r="B1262" s="187"/>
      <c r="C1262" s="187"/>
      <c r="D1262" s="187"/>
      <c r="E1262" s="187"/>
      <c r="F1262" s="187"/>
      <c r="G1262" s="187"/>
      <c r="H1262" s="187"/>
      <c r="I1262" s="187"/>
      <c r="J1262" s="187"/>
      <c r="K1262" s="187"/>
      <c r="L1262" s="187"/>
      <c r="M1262" s="187"/>
      <c r="N1262" s="187"/>
      <c r="O1262" s="187"/>
      <c r="P1262" s="187"/>
      <c r="Q1262" s="187"/>
      <c r="R1262" s="187"/>
      <c r="S1262" s="187"/>
      <c r="T1262" s="187"/>
      <c r="U1262" s="187"/>
      <c r="V1262" s="187"/>
      <c r="W1262" s="188"/>
      <c r="X1262" s="695"/>
      <c r="Y1262" s="695"/>
    </row>
    <row r="1263" spans="1:25">
      <c r="A1263" s="187"/>
      <c r="B1263" s="187"/>
      <c r="C1263" s="187"/>
      <c r="D1263" s="187"/>
      <c r="E1263" s="187"/>
      <c r="F1263" s="187"/>
      <c r="G1263" s="187"/>
      <c r="H1263" s="187"/>
      <c r="I1263" s="187"/>
      <c r="J1263" s="187"/>
      <c r="K1263" s="187"/>
      <c r="L1263" s="187"/>
      <c r="M1263" s="187"/>
      <c r="N1263" s="187"/>
      <c r="O1263" s="187"/>
      <c r="P1263" s="187"/>
      <c r="Q1263" s="187"/>
      <c r="R1263" s="187"/>
      <c r="S1263" s="187"/>
      <c r="T1263" s="187"/>
      <c r="U1263" s="187"/>
      <c r="V1263" s="187"/>
      <c r="W1263" s="188"/>
      <c r="X1263" s="695"/>
      <c r="Y1263" s="695"/>
    </row>
    <row r="1264" spans="1:25">
      <c r="A1264" s="187"/>
      <c r="B1264" s="187"/>
      <c r="C1264" s="187"/>
      <c r="D1264" s="187"/>
      <c r="E1264" s="187"/>
      <c r="F1264" s="187"/>
      <c r="G1264" s="187"/>
      <c r="H1264" s="187"/>
      <c r="I1264" s="187"/>
      <c r="J1264" s="187"/>
      <c r="K1264" s="187"/>
      <c r="L1264" s="187"/>
      <c r="M1264" s="187"/>
      <c r="N1264" s="187"/>
      <c r="O1264" s="187"/>
      <c r="P1264" s="187"/>
      <c r="Q1264" s="187"/>
      <c r="R1264" s="187"/>
      <c r="S1264" s="187"/>
      <c r="T1264" s="187"/>
      <c r="U1264" s="187"/>
      <c r="V1264" s="187"/>
      <c r="W1264" s="188"/>
      <c r="X1264" s="695"/>
      <c r="Y1264" s="695"/>
    </row>
    <row r="1265" spans="1:25">
      <c r="A1265" s="187"/>
      <c r="B1265" s="187"/>
      <c r="C1265" s="187"/>
      <c r="D1265" s="187"/>
      <c r="E1265" s="187"/>
      <c r="F1265" s="187"/>
      <c r="G1265" s="187"/>
      <c r="H1265" s="187"/>
      <c r="I1265" s="187"/>
      <c r="J1265" s="187"/>
      <c r="K1265" s="187"/>
      <c r="L1265" s="187"/>
      <c r="M1265" s="187"/>
      <c r="N1265" s="187"/>
      <c r="O1265" s="187"/>
      <c r="P1265" s="187"/>
      <c r="Q1265" s="187"/>
      <c r="R1265" s="187"/>
      <c r="S1265" s="187"/>
      <c r="T1265" s="187"/>
      <c r="U1265" s="187"/>
      <c r="V1265" s="187"/>
      <c r="W1265" s="188"/>
      <c r="X1265" s="695"/>
      <c r="Y1265" s="695"/>
    </row>
    <row r="1266" spans="1:25">
      <c r="A1266" s="187"/>
      <c r="B1266" s="187"/>
      <c r="C1266" s="187"/>
      <c r="D1266" s="187"/>
      <c r="E1266" s="187"/>
      <c r="F1266" s="187"/>
      <c r="G1266" s="187"/>
      <c r="H1266" s="187"/>
      <c r="I1266" s="187"/>
      <c r="J1266" s="187"/>
      <c r="K1266" s="187"/>
      <c r="L1266" s="187"/>
      <c r="M1266" s="187"/>
      <c r="N1266" s="187"/>
      <c r="O1266" s="187"/>
      <c r="P1266" s="187"/>
      <c r="Q1266" s="187"/>
      <c r="R1266" s="187"/>
      <c r="S1266" s="187"/>
      <c r="T1266" s="187"/>
      <c r="U1266" s="187"/>
      <c r="V1266" s="187"/>
      <c r="W1266" s="188"/>
      <c r="X1266" s="695"/>
      <c r="Y1266" s="695"/>
    </row>
    <row r="1267" spans="1:25">
      <c r="A1267" s="187"/>
      <c r="B1267" s="187"/>
      <c r="C1267" s="187"/>
      <c r="D1267" s="187"/>
      <c r="E1267" s="187"/>
      <c r="F1267" s="187"/>
      <c r="G1267" s="187"/>
      <c r="H1267" s="187"/>
      <c r="I1267" s="187"/>
      <c r="J1267" s="187"/>
      <c r="K1267" s="187"/>
      <c r="L1267" s="187"/>
      <c r="M1267" s="187"/>
      <c r="N1267" s="187"/>
      <c r="O1267" s="187"/>
      <c r="P1267" s="187"/>
      <c r="Q1267" s="187"/>
      <c r="R1267" s="187"/>
      <c r="S1267" s="187"/>
      <c r="T1267" s="187"/>
      <c r="U1267" s="187"/>
      <c r="V1267" s="187"/>
      <c r="W1267" s="188"/>
      <c r="X1267" s="695"/>
      <c r="Y1267" s="695"/>
    </row>
    <row r="1268" spans="1:25">
      <c r="A1268" s="187"/>
      <c r="B1268" s="187"/>
      <c r="C1268" s="187"/>
      <c r="D1268" s="187"/>
      <c r="E1268" s="187"/>
      <c r="F1268" s="187"/>
      <c r="G1268" s="187"/>
      <c r="H1268" s="187"/>
      <c r="I1268" s="187"/>
      <c r="J1268" s="187"/>
      <c r="K1268" s="187"/>
      <c r="L1268" s="187"/>
      <c r="M1268" s="187"/>
      <c r="N1268" s="187"/>
      <c r="O1268" s="187"/>
      <c r="P1268" s="187"/>
      <c r="Q1268" s="187"/>
      <c r="R1268" s="187"/>
      <c r="S1268" s="187"/>
      <c r="T1268" s="187"/>
      <c r="U1268" s="187"/>
      <c r="V1268" s="187"/>
      <c r="W1268" s="188"/>
      <c r="X1268" s="695"/>
      <c r="Y1268" s="695"/>
    </row>
    <row r="1269" spans="1:25">
      <c r="A1269" s="187"/>
      <c r="B1269" s="187"/>
      <c r="C1269" s="187"/>
      <c r="D1269" s="187"/>
      <c r="E1269" s="187"/>
      <c r="F1269" s="187"/>
      <c r="G1269" s="187"/>
      <c r="H1269" s="187"/>
      <c r="I1269" s="187"/>
      <c r="J1269" s="187"/>
      <c r="K1269" s="187"/>
      <c r="L1269" s="187"/>
      <c r="M1269" s="187"/>
      <c r="N1269" s="187"/>
      <c r="O1269" s="187"/>
      <c r="P1269" s="187"/>
      <c r="Q1269" s="187"/>
      <c r="R1269" s="187"/>
      <c r="S1269" s="187"/>
      <c r="T1269" s="187"/>
      <c r="U1269" s="187"/>
      <c r="V1269" s="187"/>
      <c r="W1269" s="188"/>
      <c r="X1269" s="695"/>
      <c r="Y1269" s="695"/>
    </row>
    <row r="1270" spans="1:25">
      <c r="A1270" s="187"/>
      <c r="B1270" s="187"/>
      <c r="C1270" s="187"/>
      <c r="D1270" s="187"/>
      <c r="E1270" s="187"/>
      <c r="F1270" s="187"/>
      <c r="G1270" s="187"/>
      <c r="H1270" s="187"/>
      <c r="I1270" s="187"/>
      <c r="J1270" s="187"/>
      <c r="K1270" s="187"/>
      <c r="L1270" s="187"/>
      <c r="M1270" s="187"/>
      <c r="N1270" s="187"/>
      <c r="O1270" s="187"/>
      <c r="P1270" s="187"/>
      <c r="Q1270" s="187"/>
      <c r="R1270" s="187"/>
      <c r="S1270" s="187"/>
      <c r="T1270" s="187"/>
      <c r="U1270" s="187"/>
      <c r="V1270" s="187"/>
      <c r="W1270" s="188"/>
      <c r="X1270" s="695"/>
      <c r="Y1270" s="695"/>
    </row>
    <row r="1271" spans="1:25">
      <c r="A1271" s="187"/>
      <c r="B1271" s="187"/>
      <c r="C1271" s="187"/>
      <c r="D1271" s="187"/>
      <c r="E1271" s="187"/>
      <c r="F1271" s="187"/>
      <c r="G1271" s="187"/>
      <c r="H1271" s="187"/>
      <c r="I1271" s="187"/>
      <c r="J1271" s="187"/>
      <c r="K1271" s="187"/>
      <c r="L1271" s="187"/>
      <c r="M1271" s="187"/>
      <c r="N1271" s="187"/>
      <c r="O1271" s="187"/>
      <c r="P1271" s="187"/>
      <c r="Q1271" s="187"/>
      <c r="R1271" s="187"/>
      <c r="S1271" s="187"/>
      <c r="T1271" s="187"/>
      <c r="U1271" s="187"/>
      <c r="V1271" s="187"/>
      <c r="W1271" s="188"/>
      <c r="X1271" s="695"/>
      <c r="Y1271" s="695"/>
    </row>
    <row r="1272" spans="1:25">
      <c r="A1272" s="187"/>
      <c r="B1272" s="187"/>
      <c r="C1272" s="187"/>
      <c r="D1272" s="187"/>
      <c r="E1272" s="187"/>
      <c r="F1272" s="187"/>
      <c r="G1272" s="187"/>
      <c r="H1272" s="187"/>
      <c r="I1272" s="187"/>
      <c r="J1272" s="187"/>
      <c r="K1272" s="187"/>
      <c r="L1272" s="187"/>
      <c r="M1272" s="187"/>
      <c r="N1272" s="187"/>
      <c r="O1272" s="187"/>
      <c r="P1272" s="187"/>
      <c r="Q1272" s="187"/>
      <c r="R1272" s="187"/>
      <c r="S1272" s="187"/>
      <c r="T1272" s="187"/>
      <c r="U1272" s="187"/>
      <c r="V1272" s="187"/>
      <c r="W1272" s="188"/>
      <c r="X1272" s="695"/>
      <c r="Y1272" s="695"/>
    </row>
    <row r="1273" spans="1:25">
      <c r="A1273" s="187"/>
      <c r="B1273" s="187"/>
      <c r="C1273" s="187"/>
      <c r="D1273" s="187"/>
      <c r="E1273" s="187"/>
      <c r="F1273" s="187"/>
      <c r="G1273" s="187"/>
      <c r="H1273" s="187"/>
      <c r="I1273" s="187"/>
      <c r="J1273" s="187"/>
      <c r="K1273" s="187"/>
      <c r="L1273" s="187"/>
      <c r="M1273" s="187"/>
      <c r="N1273" s="187"/>
      <c r="O1273" s="187"/>
      <c r="P1273" s="187"/>
      <c r="Q1273" s="187"/>
      <c r="R1273" s="187"/>
      <c r="S1273" s="187"/>
      <c r="T1273" s="187"/>
      <c r="U1273" s="187"/>
      <c r="V1273" s="187"/>
      <c r="W1273" s="188"/>
      <c r="X1273" s="695"/>
      <c r="Y1273" s="695"/>
    </row>
    <row r="1274" spans="1:25">
      <c r="A1274" s="187"/>
      <c r="B1274" s="187"/>
      <c r="C1274" s="187"/>
      <c r="D1274" s="187"/>
      <c r="E1274" s="187"/>
      <c r="F1274" s="187"/>
      <c r="G1274" s="187"/>
      <c r="H1274" s="187"/>
      <c r="I1274" s="187"/>
      <c r="J1274" s="187"/>
      <c r="K1274" s="187"/>
      <c r="L1274" s="187"/>
      <c r="M1274" s="187"/>
      <c r="N1274" s="187"/>
      <c r="O1274" s="187"/>
      <c r="P1274" s="187"/>
      <c r="Q1274" s="187"/>
      <c r="R1274" s="187"/>
      <c r="S1274" s="187"/>
      <c r="T1274" s="187"/>
      <c r="U1274" s="187"/>
      <c r="V1274" s="187"/>
      <c r="W1274" s="188"/>
      <c r="X1274" s="695"/>
      <c r="Y1274" s="695"/>
    </row>
    <row r="1275" spans="1:25">
      <c r="A1275" s="187"/>
      <c r="B1275" s="187"/>
      <c r="C1275" s="187"/>
      <c r="D1275" s="187"/>
      <c r="E1275" s="187"/>
      <c r="F1275" s="187"/>
      <c r="G1275" s="187"/>
      <c r="H1275" s="187"/>
      <c r="I1275" s="187"/>
      <c r="J1275" s="187"/>
      <c r="K1275" s="187"/>
      <c r="L1275" s="187"/>
      <c r="M1275" s="187"/>
      <c r="N1275" s="187"/>
      <c r="O1275" s="187"/>
      <c r="P1275" s="187"/>
      <c r="Q1275" s="187"/>
      <c r="R1275" s="187"/>
      <c r="S1275" s="187"/>
      <c r="T1275" s="187"/>
      <c r="U1275" s="187"/>
      <c r="V1275" s="187"/>
      <c r="W1275" s="188"/>
      <c r="X1275" s="695"/>
      <c r="Y1275" s="695"/>
    </row>
    <row r="1276" spans="1:25">
      <c r="A1276" s="187"/>
      <c r="B1276" s="187"/>
      <c r="C1276" s="187"/>
      <c r="D1276" s="187"/>
      <c r="E1276" s="187"/>
      <c r="F1276" s="187"/>
      <c r="G1276" s="187"/>
      <c r="H1276" s="187"/>
      <c r="I1276" s="187"/>
      <c r="J1276" s="187"/>
      <c r="K1276" s="187"/>
      <c r="L1276" s="187"/>
      <c r="M1276" s="187"/>
      <c r="N1276" s="187"/>
      <c r="O1276" s="187"/>
      <c r="P1276" s="187"/>
      <c r="Q1276" s="187"/>
      <c r="R1276" s="187"/>
      <c r="S1276" s="187"/>
      <c r="T1276" s="187"/>
      <c r="U1276" s="187"/>
      <c r="V1276" s="187"/>
      <c r="W1276" s="188"/>
      <c r="X1276" s="695"/>
      <c r="Y1276" s="695"/>
    </row>
    <row r="1277" spans="1:25">
      <c r="A1277" s="187"/>
      <c r="B1277" s="187"/>
      <c r="C1277" s="187"/>
      <c r="D1277" s="187"/>
      <c r="E1277" s="187"/>
      <c r="F1277" s="187"/>
      <c r="G1277" s="187"/>
      <c r="H1277" s="187"/>
      <c r="I1277" s="187"/>
      <c r="J1277" s="187"/>
      <c r="K1277" s="187"/>
      <c r="L1277" s="187"/>
      <c r="M1277" s="187"/>
      <c r="N1277" s="187"/>
      <c r="O1277" s="187"/>
      <c r="P1277" s="187"/>
      <c r="Q1277" s="187"/>
      <c r="R1277" s="187"/>
      <c r="S1277" s="187"/>
      <c r="T1277" s="187"/>
      <c r="U1277" s="187"/>
      <c r="V1277" s="187"/>
      <c r="W1277" s="188"/>
      <c r="X1277" s="695"/>
      <c r="Y1277" s="695"/>
    </row>
    <row r="1278" spans="1:25">
      <c r="A1278" s="187"/>
      <c r="B1278" s="187"/>
      <c r="C1278" s="187"/>
      <c r="D1278" s="187"/>
      <c r="E1278" s="187"/>
      <c r="F1278" s="187"/>
      <c r="G1278" s="187"/>
      <c r="H1278" s="187"/>
      <c r="I1278" s="187"/>
      <c r="J1278" s="187"/>
      <c r="K1278" s="187"/>
      <c r="L1278" s="187"/>
      <c r="M1278" s="187"/>
      <c r="N1278" s="187"/>
      <c r="O1278" s="187"/>
      <c r="P1278" s="187"/>
      <c r="Q1278" s="187"/>
      <c r="R1278" s="187"/>
      <c r="S1278" s="187"/>
      <c r="T1278" s="187"/>
      <c r="U1278" s="187"/>
      <c r="V1278" s="187"/>
      <c r="W1278" s="188"/>
      <c r="X1278" s="695"/>
      <c r="Y1278" s="695"/>
    </row>
    <row r="1279" spans="1:25">
      <c r="A1279" s="187"/>
      <c r="B1279" s="187"/>
      <c r="C1279" s="187"/>
      <c r="D1279" s="187"/>
      <c r="E1279" s="187"/>
      <c r="F1279" s="187"/>
      <c r="G1279" s="187"/>
      <c r="H1279" s="187"/>
      <c r="I1279" s="187"/>
      <c r="J1279" s="187"/>
      <c r="K1279" s="187"/>
      <c r="L1279" s="187"/>
      <c r="M1279" s="187"/>
      <c r="N1279" s="187"/>
      <c r="O1279" s="187"/>
      <c r="P1279" s="187"/>
      <c r="Q1279" s="187"/>
      <c r="R1279" s="187"/>
      <c r="S1279" s="187"/>
      <c r="T1279" s="187"/>
      <c r="U1279" s="187"/>
      <c r="V1279" s="187"/>
      <c r="W1279" s="188"/>
      <c r="X1279" s="695"/>
      <c r="Y1279" s="695"/>
    </row>
    <row r="1280" spans="1:25">
      <c r="A1280" s="187"/>
      <c r="B1280" s="187"/>
      <c r="C1280" s="187"/>
      <c r="D1280" s="187"/>
      <c r="E1280" s="187"/>
      <c r="F1280" s="187"/>
      <c r="G1280" s="187"/>
      <c r="H1280" s="187"/>
      <c r="I1280" s="187"/>
      <c r="J1280" s="187"/>
      <c r="K1280" s="187"/>
      <c r="L1280" s="187"/>
      <c r="M1280" s="187"/>
      <c r="N1280" s="187"/>
      <c r="O1280" s="187"/>
      <c r="P1280" s="187"/>
      <c r="Q1280" s="187"/>
      <c r="R1280" s="187"/>
      <c r="S1280" s="187"/>
      <c r="T1280" s="187"/>
      <c r="U1280" s="187"/>
      <c r="V1280" s="187"/>
      <c r="W1280" s="188"/>
      <c r="X1280" s="695"/>
      <c r="Y1280" s="695"/>
    </row>
    <row r="1281" spans="1:25">
      <c r="A1281" s="187"/>
      <c r="B1281" s="187"/>
      <c r="C1281" s="187"/>
      <c r="D1281" s="187"/>
      <c r="E1281" s="187"/>
      <c r="F1281" s="187"/>
      <c r="G1281" s="187"/>
      <c r="H1281" s="187"/>
      <c r="I1281" s="187"/>
      <c r="J1281" s="187"/>
      <c r="K1281" s="187"/>
      <c r="L1281" s="187"/>
      <c r="M1281" s="187"/>
      <c r="N1281" s="187"/>
      <c r="O1281" s="187"/>
      <c r="P1281" s="187"/>
      <c r="Q1281" s="187"/>
      <c r="R1281" s="187"/>
      <c r="S1281" s="187"/>
      <c r="T1281" s="187"/>
      <c r="U1281" s="187"/>
      <c r="V1281" s="187"/>
      <c r="W1281" s="188"/>
      <c r="X1281" s="695"/>
      <c r="Y1281" s="695"/>
    </row>
    <row r="1282" spans="1:25">
      <c r="A1282" s="187"/>
      <c r="B1282" s="187"/>
      <c r="C1282" s="187"/>
      <c r="D1282" s="187"/>
      <c r="E1282" s="187"/>
      <c r="F1282" s="187"/>
      <c r="G1282" s="187"/>
      <c r="H1282" s="187"/>
      <c r="I1282" s="187"/>
      <c r="J1282" s="187"/>
      <c r="K1282" s="187"/>
      <c r="L1282" s="187"/>
      <c r="M1282" s="187"/>
      <c r="N1282" s="187"/>
      <c r="O1282" s="187"/>
      <c r="P1282" s="187"/>
      <c r="Q1282" s="187"/>
      <c r="R1282" s="187"/>
      <c r="S1282" s="187"/>
      <c r="T1282" s="187"/>
      <c r="U1282" s="187"/>
      <c r="V1282" s="187"/>
      <c r="W1282" s="188"/>
      <c r="X1282" s="695"/>
      <c r="Y1282" s="695"/>
    </row>
    <row r="1283" spans="1:25">
      <c r="A1283" s="187"/>
      <c r="B1283" s="187"/>
      <c r="C1283" s="187"/>
      <c r="D1283" s="187"/>
      <c r="E1283" s="187"/>
      <c r="F1283" s="187"/>
      <c r="G1283" s="187"/>
      <c r="H1283" s="187"/>
      <c r="I1283" s="187"/>
      <c r="J1283" s="187"/>
      <c r="K1283" s="187"/>
      <c r="L1283" s="187"/>
      <c r="M1283" s="187"/>
      <c r="N1283" s="187"/>
      <c r="O1283" s="187"/>
      <c r="P1283" s="187"/>
      <c r="Q1283" s="187"/>
      <c r="R1283" s="187"/>
      <c r="S1283" s="187"/>
      <c r="T1283" s="187"/>
      <c r="U1283" s="187"/>
      <c r="V1283" s="187"/>
      <c r="W1283" s="188"/>
      <c r="X1283" s="695"/>
      <c r="Y1283" s="695"/>
    </row>
    <row r="1284" spans="1:25">
      <c r="A1284" s="187"/>
      <c r="B1284" s="187"/>
      <c r="C1284" s="187"/>
      <c r="D1284" s="187"/>
      <c r="E1284" s="187"/>
      <c r="F1284" s="187"/>
      <c r="G1284" s="187"/>
      <c r="H1284" s="187"/>
      <c r="I1284" s="187"/>
      <c r="J1284" s="187"/>
      <c r="K1284" s="187"/>
      <c r="L1284" s="187"/>
      <c r="M1284" s="187"/>
      <c r="N1284" s="187"/>
      <c r="O1284" s="187"/>
      <c r="P1284" s="187"/>
      <c r="Q1284" s="187"/>
      <c r="R1284" s="187"/>
      <c r="S1284" s="187"/>
      <c r="T1284" s="187"/>
      <c r="U1284" s="187"/>
      <c r="V1284" s="187"/>
      <c r="W1284" s="188"/>
      <c r="X1284" s="695"/>
      <c r="Y1284" s="695"/>
    </row>
    <row r="1285" spans="1:25">
      <c r="A1285" s="187"/>
      <c r="B1285" s="187"/>
      <c r="C1285" s="187"/>
      <c r="D1285" s="187"/>
      <c r="E1285" s="187"/>
      <c r="F1285" s="187"/>
      <c r="G1285" s="187"/>
      <c r="H1285" s="187"/>
      <c r="I1285" s="187"/>
      <c r="J1285" s="187"/>
      <c r="K1285" s="187"/>
      <c r="L1285" s="187"/>
      <c r="M1285" s="187"/>
      <c r="N1285" s="187"/>
      <c r="O1285" s="187"/>
      <c r="P1285" s="187"/>
      <c r="Q1285" s="187"/>
      <c r="R1285" s="187"/>
      <c r="S1285" s="187"/>
      <c r="T1285" s="187"/>
      <c r="U1285" s="187"/>
      <c r="V1285" s="187"/>
      <c r="W1285" s="188"/>
      <c r="X1285" s="695"/>
      <c r="Y1285" s="695"/>
    </row>
    <row r="1286" spans="1:25">
      <c r="A1286" s="187"/>
      <c r="B1286" s="187"/>
      <c r="C1286" s="187"/>
      <c r="D1286" s="187"/>
      <c r="E1286" s="187"/>
      <c r="F1286" s="187"/>
      <c r="G1286" s="187"/>
      <c r="H1286" s="187"/>
      <c r="I1286" s="187"/>
      <c r="J1286" s="187"/>
      <c r="K1286" s="187"/>
      <c r="L1286" s="187"/>
      <c r="M1286" s="187"/>
      <c r="N1286" s="187"/>
      <c r="O1286" s="187"/>
      <c r="P1286" s="187"/>
      <c r="Q1286" s="187"/>
      <c r="R1286" s="187"/>
      <c r="S1286" s="187"/>
      <c r="T1286" s="187"/>
      <c r="U1286" s="187"/>
      <c r="V1286" s="187"/>
      <c r="W1286" s="188"/>
      <c r="X1286" s="695"/>
      <c r="Y1286" s="695"/>
    </row>
    <row r="1287" spans="1:25">
      <c r="A1287" s="187"/>
      <c r="B1287" s="187"/>
      <c r="C1287" s="187"/>
      <c r="D1287" s="187"/>
      <c r="E1287" s="187"/>
      <c r="F1287" s="187"/>
      <c r="G1287" s="187"/>
      <c r="H1287" s="187"/>
      <c r="I1287" s="187"/>
      <c r="J1287" s="187"/>
      <c r="K1287" s="187"/>
      <c r="L1287" s="187"/>
      <c r="M1287" s="187"/>
      <c r="N1287" s="187"/>
      <c r="O1287" s="187"/>
      <c r="P1287" s="187"/>
      <c r="Q1287" s="187"/>
      <c r="R1287" s="187"/>
      <c r="S1287" s="187"/>
      <c r="T1287" s="187"/>
      <c r="U1287" s="187"/>
      <c r="V1287" s="187"/>
      <c r="W1287" s="188"/>
      <c r="X1287" s="695"/>
      <c r="Y1287" s="695"/>
    </row>
    <row r="1288" spans="1:25">
      <c r="A1288" s="187"/>
      <c r="B1288" s="187"/>
      <c r="C1288" s="187"/>
      <c r="D1288" s="187"/>
      <c r="E1288" s="187"/>
      <c r="F1288" s="187"/>
      <c r="G1288" s="187"/>
      <c r="H1288" s="187"/>
      <c r="I1288" s="187"/>
      <c r="J1288" s="187"/>
      <c r="K1288" s="187"/>
      <c r="L1288" s="187"/>
      <c r="M1288" s="187"/>
      <c r="N1288" s="187"/>
      <c r="O1288" s="187"/>
      <c r="P1288" s="187"/>
      <c r="Q1288" s="187"/>
      <c r="R1288" s="187"/>
      <c r="S1288" s="187"/>
      <c r="T1288" s="187"/>
      <c r="U1288" s="187"/>
      <c r="V1288" s="187"/>
      <c r="W1288" s="188"/>
      <c r="X1288" s="695"/>
      <c r="Y1288" s="695"/>
    </row>
    <row r="1289" spans="1:25">
      <c r="A1289" s="187"/>
      <c r="B1289" s="187"/>
      <c r="C1289" s="187"/>
      <c r="D1289" s="187"/>
      <c r="E1289" s="187"/>
      <c r="F1289" s="187"/>
      <c r="G1289" s="187"/>
      <c r="H1289" s="187"/>
      <c r="I1289" s="187"/>
      <c r="J1289" s="187"/>
      <c r="K1289" s="187"/>
      <c r="L1289" s="187"/>
      <c r="M1289" s="187"/>
      <c r="N1289" s="187"/>
      <c r="O1289" s="187"/>
      <c r="P1289" s="187"/>
      <c r="Q1289" s="187"/>
      <c r="R1289" s="187"/>
      <c r="S1289" s="187"/>
      <c r="T1289" s="187"/>
      <c r="U1289" s="187"/>
      <c r="V1289" s="187"/>
      <c r="W1289" s="188"/>
      <c r="X1289" s="695"/>
      <c r="Y1289" s="695"/>
    </row>
    <row r="1290" spans="1:25">
      <c r="A1290" s="187"/>
      <c r="B1290" s="187"/>
      <c r="C1290" s="187"/>
      <c r="D1290" s="187"/>
      <c r="E1290" s="187"/>
      <c r="F1290" s="187"/>
      <c r="G1290" s="187"/>
      <c r="H1290" s="187"/>
      <c r="I1290" s="187"/>
      <c r="J1290" s="187"/>
      <c r="K1290" s="187"/>
      <c r="L1290" s="187"/>
      <c r="M1290" s="187"/>
      <c r="N1290" s="187"/>
      <c r="O1290" s="187"/>
      <c r="P1290" s="187"/>
      <c r="Q1290" s="187"/>
      <c r="R1290" s="187"/>
      <c r="S1290" s="187"/>
      <c r="T1290" s="187"/>
      <c r="U1290" s="187"/>
      <c r="V1290" s="187"/>
      <c r="W1290" s="188"/>
      <c r="X1290" s="695"/>
      <c r="Y1290" s="695"/>
    </row>
    <row r="1291" spans="1:25">
      <c r="A1291" s="187"/>
      <c r="B1291" s="187"/>
      <c r="C1291" s="187"/>
      <c r="D1291" s="187"/>
      <c r="E1291" s="187"/>
      <c r="F1291" s="187"/>
      <c r="G1291" s="187"/>
      <c r="H1291" s="187"/>
      <c r="I1291" s="187"/>
      <c r="J1291" s="187"/>
      <c r="K1291" s="187"/>
      <c r="L1291" s="187"/>
      <c r="M1291" s="187"/>
      <c r="N1291" s="187"/>
      <c r="O1291" s="187"/>
      <c r="P1291" s="187"/>
      <c r="Q1291" s="187"/>
      <c r="R1291" s="187"/>
      <c r="S1291" s="187"/>
      <c r="T1291" s="187"/>
      <c r="U1291" s="187"/>
      <c r="V1291" s="187"/>
      <c r="W1291" s="188"/>
      <c r="X1291" s="695"/>
      <c r="Y1291" s="695"/>
    </row>
    <row r="1292" spans="1:25">
      <c r="A1292" s="187"/>
      <c r="B1292" s="187"/>
      <c r="C1292" s="187"/>
      <c r="D1292" s="187"/>
      <c r="E1292" s="187"/>
      <c r="F1292" s="187"/>
      <c r="G1292" s="187"/>
      <c r="H1292" s="187"/>
      <c r="I1292" s="187"/>
      <c r="J1292" s="187"/>
      <c r="K1292" s="187"/>
      <c r="L1292" s="187"/>
      <c r="M1292" s="187"/>
      <c r="N1292" s="187"/>
      <c r="O1292" s="187"/>
      <c r="P1292" s="187"/>
      <c r="Q1292" s="187"/>
      <c r="R1292" s="187"/>
      <c r="S1292" s="187"/>
      <c r="T1292" s="187"/>
      <c r="U1292" s="187"/>
      <c r="V1292" s="187"/>
      <c r="W1292" s="188"/>
      <c r="X1292" s="695"/>
      <c r="Y1292" s="695"/>
    </row>
    <row r="1293" spans="1:25">
      <c r="A1293" s="187"/>
      <c r="B1293" s="187"/>
      <c r="C1293" s="187"/>
      <c r="D1293" s="187"/>
      <c r="E1293" s="187"/>
      <c r="F1293" s="187"/>
      <c r="G1293" s="187"/>
      <c r="H1293" s="187"/>
      <c r="I1293" s="187"/>
      <c r="J1293" s="187"/>
      <c r="K1293" s="187"/>
      <c r="L1293" s="187"/>
      <c r="M1293" s="187"/>
      <c r="N1293" s="187"/>
      <c r="O1293" s="187"/>
      <c r="P1293" s="187"/>
      <c r="Q1293" s="187"/>
      <c r="R1293" s="187"/>
      <c r="S1293" s="187"/>
      <c r="T1293" s="187"/>
      <c r="U1293" s="187"/>
      <c r="V1293" s="187"/>
      <c r="W1293" s="188"/>
      <c r="X1293" s="695"/>
      <c r="Y1293" s="695"/>
    </row>
    <row r="1294" spans="1:25">
      <c r="A1294" s="187"/>
      <c r="B1294" s="187"/>
      <c r="C1294" s="187"/>
      <c r="D1294" s="187"/>
      <c r="E1294" s="187"/>
      <c r="F1294" s="187"/>
      <c r="G1294" s="187"/>
      <c r="H1294" s="187"/>
      <c r="I1294" s="187"/>
      <c r="J1294" s="187"/>
      <c r="K1294" s="187"/>
      <c r="L1294" s="187"/>
      <c r="M1294" s="187"/>
      <c r="N1294" s="187"/>
      <c r="O1294" s="187"/>
      <c r="P1294" s="187"/>
      <c r="Q1294" s="187"/>
      <c r="R1294" s="187"/>
      <c r="S1294" s="187"/>
      <c r="T1294" s="187"/>
      <c r="U1294" s="187"/>
      <c r="V1294" s="187"/>
      <c r="W1294" s="188"/>
      <c r="X1294" s="695"/>
      <c r="Y1294" s="695"/>
    </row>
    <row r="1295" spans="1:25">
      <c r="A1295" s="187"/>
      <c r="B1295" s="187"/>
      <c r="C1295" s="187"/>
      <c r="D1295" s="187"/>
      <c r="E1295" s="187"/>
      <c r="F1295" s="187"/>
      <c r="G1295" s="187"/>
      <c r="H1295" s="187"/>
      <c r="I1295" s="187"/>
      <c r="J1295" s="187"/>
      <c r="K1295" s="187"/>
      <c r="L1295" s="187"/>
      <c r="M1295" s="187"/>
      <c r="N1295" s="187"/>
      <c r="O1295" s="187"/>
      <c r="P1295" s="187"/>
      <c r="Q1295" s="187"/>
      <c r="R1295" s="187"/>
      <c r="S1295" s="187"/>
      <c r="T1295" s="187"/>
      <c r="U1295" s="187"/>
      <c r="V1295" s="187"/>
      <c r="W1295" s="188"/>
      <c r="X1295" s="695"/>
      <c r="Y1295" s="695"/>
    </row>
    <row r="1296" spans="1:25">
      <c r="A1296" s="187"/>
      <c r="B1296" s="187"/>
      <c r="C1296" s="187"/>
      <c r="D1296" s="187"/>
      <c r="E1296" s="187"/>
      <c r="F1296" s="187"/>
      <c r="G1296" s="187"/>
      <c r="H1296" s="187"/>
      <c r="I1296" s="187"/>
      <c r="J1296" s="187"/>
      <c r="K1296" s="187"/>
      <c r="L1296" s="187"/>
      <c r="M1296" s="187"/>
      <c r="N1296" s="187"/>
      <c r="O1296" s="187"/>
      <c r="P1296" s="187"/>
      <c r="Q1296" s="187"/>
      <c r="R1296" s="187"/>
      <c r="S1296" s="187"/>
      <c r="T1296" s="187"/>
      <c r="U1296" s="187"/>
      <c r="V1296" s="187"/>
      <c r="W1296" s="188"/>
      <c r="X1296" s="695"/>
      <c r="Y1296" s="695"/>
    </row>
    <row r="1297" spans="1:25">
      <c r="A1297" s="187"/>
      <c r="B1297" s="187"/>
      <c r="C1297" s="187"/>
      <c r="D1297" s="187"/>
      <c r="E1297" s="187"/>
      <c r="F1297" s="187"/>
      <c r="G1297" s="187"/>
      <c r="H1297" s="187"/>
      <c r="I1297" s="187"/>
      <c r="J1297" s="187"/>
      <c r="K1297" s="187"/>
      <c r="L1297" s="187"/>
      <c r="M1297" s="187"/>
      <c r="N1297" s="187"/>
      <c r="O1297" s="187"/>
      <c r="P1297" s="187"/>
      <c r="Q1297" s="187"/>
      <c r="R1297" s="187"/>
      <c r="S1297" s="187"/>
      <c r="T1297" s="187"/>
      <c r="U1297" s="187"/>
      <c r="V1297" s="187"/>
      <c r="W1297" s="188"/>
      <c r="X1297" s="695"/>
      <c r="Y1297" s="695"/>
    </row>
    <row r="1298" spans="1:25">
      <c r="A1298" s="187"/>
      <c r="B1298" s="187"/>
      <c r="C1298" s="187"/>
      <c r="D1298" s="187"/>
      <c r="E1298" s="187"/>
      <c r="F1298" s="187"/>
      <c r="G1298" s="187"/>
      <c r="H1298" s="187"/>
      <c r="I1298" s="187"/>
      <c r="J1298" s="187"/>
      <c r="K1298" s="187"/>
      <c r="L1298" s="187"/>
      <c r="M1298" s="187"/>
      <c r="N1298" s="187"/>
      <c r="O1298" s="187"/>
      <c r="P1298" s="187"/>
      <c r="Q1298" s="187"/>
      <c r="R1298" s="187"/>
      <c r="S1298" s="187"/>
      <c r="T1298" s="187"/>
      <c r="U1298" s="187"/>
      <c r="V1298" s="187"/>
      <c r="W1298" s="188"/>
      <c r="X1298" s="695"/>
      <c r="Y1298" s="695"/>
    </row>
    <row r="1299" spans="1:25">
      <c r="A1299" s="187"/>
      <c r="B1299" s="187"/>
      <c r="C1299" s="187"/>
      <c r="D1299" s="187"/>
      <c r="E1299" s="187"/>
      <c r="F1299" s="187"/>
      <c r="G1299" s="187"/>
      <c r="H1299" s="187"/>
      <c r="I1299" s="187"/>
      <c r="J1299" s="187"/>
      <c r="K1299" s="187"/>
      <c r="L1299" s="187"/>
      <c r="M1299" s="187"/>
      <c r="N1299" s="187"/>
      <c r="O1299" s="187"/>
      <c r="P1299" s="187"/>
      <c r="Q1299" s="187"/>
      <c r="R1299" s="187"/>
      <c r="S1299" s="187"/>
      <c r="T1299" s="187"/>
      <c r="U1299" s="187"/>
      <c r="V1299" s="187"/>
      <c r="W1299" s="188"/>
      <c r="X1299" s="695"/>
      <c r="Y1299" s="695"/>
    </row>
    <row r="1300" spans="1:25">
      <c r="A1300" s="187"/>
      <c r="B1300" s="187"/>
      <c r="C1300" s="187"/>
      <c r="D1300" s="187"/>
      <c r="E1300" s="187"/>
      <c r="F1300" s="187"/>
      <c r="G1300" s="187"/>
      <c r="H1300" s="187"/>
      <c r="I1300" s="187"/>
      <c r="J1300" s="187"/>
      <c r="K1300" s="187"/>
      <c r="L1300" s="187"/>
      <c r="M1300" s="187"/>
      <c r="N1300" s="187"/>
      <c r="O1300" s="187"/>
      <c r="P1300" s="187"/>
      <c r="Q1300" s="187"/>
      <c r="R1300" s="187"/>
      <c r="S1300" s="187"/>
      <c r="T1300" s="187"/>
      <c r="U1300" s="187"/>
      <c r="V1300" s="187"/>
      <c r="W1300" s="188"/>
      <c r="X1300" s="695"/>
      <c r="Y1300" s="695"/>
    </row>
    <row r="1301" spans="1:25">
      <c r="A1301" s="187"/>
      <c r="B1301" s="187"/>
      <c r="C1301" s="187"/>
      <c r="D1301" s="187"/>
      <c r="E1301" s="187"/>
      <c r="F1301" s="187"/>
      <c r="G1301" s="187"/>
      <c r="H1301" s="187"/>
      <c r="I1301" s="187"/>
      <c r="J1301" s="187"/>
      <c r="K1301" s="187"/>
      <c r="L1301" s="187"/>
      <c r="M1301" s="187"/>
      <c r="N1301" s="187"/>
      <c r="O1301" s="187"/>
      <c r="P1301" s="187"/>
      <c r="Q1301" s="187"/>
      <c r="R1301" s="187"/>
      <c r="S1301" s="187"/>
      <c r="T1301" s="187"/>
      <c r="U1301" s="187"/>
      <c r="V1301" s="187"/>
      <c r="W1301" s="188"/>
      <c r="X1301" s="695"/>
      <c r="Y1301" s="695"/>
    </row>
    <row r="1302" spans="1:25">
      <c r="A1302" s="187"/>
      <c r="B1302" s="187"/>
      <c r="C1302" s="187"/>
      <c r="D1302" s="187"/>
      <c r="E1302" s="187"/>
      <c r="F1302" s="187"/>
      <c r="G1302" s="187"/>
      <c r="H1302" s="187"/>
      <c r="I1302" s="187"/>
      <c r="J1302" s="187"/>
      <c r="K1302" s="187"/>
      <c r="L1302" s="187"/>
      <c r="M1302" s="187"/>
      <c r="N1302" s="187"/>
      <c r="O1302" s="187"/>
      <c r="P1302" s="187"/>
      <c r="Q1302" s="187"/>
      <c r="R1302" s="187"/>
      <c r="S1302" s="187"/>
      <c r="T1302" s="187"/>
      <c r="U1302" s="187"/>
      <c r="V1302" s="187"/>
      <c r="W1302" s="188"/>
      <c r="X1302" s="695"/>
      <c r="Y1302" s="695"/>
    </row>
    <row r="1303" spans="1:25">
      <c r="A1303" s="187"/>
      <c r="B1303" s="187"/>
      <c r="C1303" s="187"/>
      <c r="D1303" s="187"/>
      <c r="E1303" s="187"/>
      <c r="F1303" s="187"/>
      <c r="G1303" s="187"/>
      <c r="H1303" s="187"/>
      <c r="I1303" s="187"/>
      <c r="J1303" s="187"/>
      <c r="K1303" s="187"/>
      <c r="L1303" s="187"/>
      <c r="M1303" s="187"/>
      <c r="N1303" s="187"/>
      <c r="O1303" s="187"/>
      <c r="P1303" s="187"/>
      <c r="Q1303" s="187"/>
      <c r="R1303" s="187"/>
      <c r="S1303" s="187"/>
      <c r="T1303" s="187"/>
      <c r="U1303" s="187"/>
      <c r="V1303" s="187"/>
      <c r="W1303" s="188"/>
      <c r="X1303" s="695"/>
      <c r="Y1303" s="695"/>
    </row>
    <row r="1304" spans="1:25">
      <c r="A1304" s="187"/>
      <c r="B1304" s="187"/>
      <c r="C1304" s="187"/>
      <c r="D1304" s="187"/>
      <c r="E1304" s="187"/>
      <c r="F1304" s="187"/>
      <c r="G1304" s="187"/>
      <c r="H1304" s="187"/>
      <c r="I1304" s="187"/>
      <c r="J1304" s="187"/>
      <c r="K1304" s="187"/>
      <c r="L1304" s="187"/>
      <c r="M1304" s="187"/>
      <c r="N1304" s="187"/>
      <c r="O1304" s="187"/>
      <c r="P1304" s="187"/>
      <c r="Q1304" s="187"/>
      <c r="R1304" s="187"/>
      <c r="S1304" s="187"/>
      <c r="T1304" s="187"/>
      <c r="U1304" s="187"/>
      <c r="V1304" s="187"/>
      <c r="W1304" s="188"/>
      <c r="X1304" s="695"/>
      <c r="Y1304" s="695"/>
    </row>
    <row r="1305" spans="1:25">
      <c r="A1305" s="187"/>
      <c r="B1305" s="187"/>
      <c r="C1305" s="187"/>
      <c r="D1305" s="187"/>
      <c r="E1305" s="187"/>
      <c r="F1305" s="187"/>
      <c r="G1305" s="187"/>
      <c r="H1305" s="187"/>
      <c r="I1305" s="187"/>
      <c r="J1305" s="187"/>
      <c r="K1305" s="187"/>
      <c r="L1305" s="187"/>
      <c r="M1305" s="187"/>
      <c r="N1305" s="187"/>
      <c r="O1305" s="187"/>
      <c r="P1305" s="187"/>
      <c r="Q1305" s="187"/>
      <c r="R1305" s="187"/>
      <c r="S1305" s="187"/>
      <c r="T1305" s="187"/>
      <c r="U1305" s="187"/>
      <c r="V1305" s="187"/>
      <c r="W1305" s="188"/>
      <c r="X1305" s="695"/>
      <c r="Y1305" s="695"/>
    </row>
    <row r="1306" spans="1:25">
      <c r="A1306" s="187"/>
      <c r="B1306" s="187"/>
      <c r="C1306" s="187"/>
      <c r="D1306" s="187"/>
      <c r="E1306" s="187"/>
      <c r="F1306" s="187"/>
      <c r="G1306" s="187"/>
      <c r="H1306" s="187"/>
      <c r="I1306" s="187"/>
      <c r="J1306" s="187"/>
      <c r="K1306" s="187"/>
      <c r="L1306" s="187"/>
      <c r="M1306" s="187"/>
      <c r="N1306" s="187"/>
      <c r="O1306" s="187"/>
      <c r="P1306" s="187"/>
      <c r="Q1306" s="187"/>
      <c r="R1306" s="187"/>
      <c r="S1306" s="187"/>
      <c r="T1306" s="187"/>
      <c r="U1306" s="187"/>
      <c r="V1306" s="187"/>
      <c r="W1306" s="188"/>
      <c r="X1306" s="695"/>
      <c r="Y1306" s="695"/>
    </row>
    <row r="1307" spans="1:25">
      <c r="A1307" s="187"/>
      <c r="B1307" s="187"/>
      <c r="C1307" s="187"/>
      <c r="D1307" s="187"/>
      <c r="E1307" s="187"/>
      <c r="F1307" s="187"/>
      <c r="G1307" s="187"/>
      <c r="H1307" s="187"/>
      <c r="I1307" s="187"/>
      <c r="J1307" s="187"/>
      <c r="K1307" s="187"/>
      <c r="L1307" s="187"/>
      <c r="M1307" s="187"/>
      <c r="N1307" s="187"/>
      <c r="O1307" s="187"/>
      <c r="P1307" s="187"/>
      <c r="Q1307" s="187"/>
      <c r="R1307" s="187"/>
      <c r="S1307" s="187"/>
      <c r="T1307" s="187"/>
      <c r="U1307" s="187"/>
      <c r="V1307" s="187"/>
      <c r="W1307" s="188"/>
      <c r="X1307" s="695"/>
      <c r="Y1307" s="695"/>
    </row>
    <row r="1308" spans="1:25">
      <c r="A1308" s="187"/>
      <c r="B1308" s="187"/>
      <c r="C1308" s="187"/>
      <c r="D1308" s="187"/>
      <c r="E1308" s="187"/>
      <c r="F1308" s="187"/>
      <c r="G1308" s="187"/>
      <c r="H1308" s="187"/>
      <c r="I1308" s="187"/>
      <c r="J1308" s="187"/>
      <c r="K1308" s="187"/>
      <c r="L1308" s="187"/>
      <c r="M1308" s="187"/>
      <c r="N1308" s="187"/>
      <c r="O1308" s="187"/>
      <c r="P1308" s="187"/>
      <c r="Q1308" s="187"/>
      <c r="R1308" s="187"/>
      <c r="S1308" s="187"/>
      <c r="T1308" s="187"/>
      <c r="U1308" s="187"/>
      <c r="V1308" s="187"/>
      <c r="W1308" s="188"/>
      <c r="X1308" s="695"/>
      <c r="Y1308" s="695"/>
    </row>
    <row r="1309" spans="1:25">
      <c r="A1309" s="187"/>
      <c r="B1309" s="187"/>
      <c r="C1309" s="187"/>
      <c r="D1309" s="187"/>
      <c r="E1309" s="187"/>
      <c r="F1309" s="187"/>
      <c r="G1309" s="187"/>
      <c r="H1309" s="187"/>
      <c r="I1309" s="187"/>
      <c r="J1309" s="187"/>
      <c r="K1309" s="187"/>
      <c r="L1309" s="187"/>
      <c r="M1309" s="187"/>
      <c r="N1309" s="187"/>
      <c r="O1309" s="187"/>
      <c r="P1309" s="187"/>
      <c r="Q1309" s="187"/>
      <c r="R1309" s="187"/>
      <c r="S1309" s="187"/>
      <c r="T1309" s="187"/>
      <c r="U1309" s="187"/>
      <c r="V1309" s="187"/>
      <c r="W1309" s="188"/>
      <c r="X1309" s="695"/>
      <c r="Y1309" s="695"/>
    </row>
    <row r="1310" spans="1:25">
      <c r="A1310" s="187"/>
      <c r="B1310" s="187"/>
      <c r="C1310" s="187"/>
      <c r="D1310" s="187"/>
      <c r="E1310" s="187"/>
      <c r="F1310" s="187"/>
      <c r="G1310" s="187"/>
      <c r="H1310" s="187"/>
      <c r="I1310" s="187"/>
      <c r="J1310" s="187"/>
      <c r="K1310" s="187"/>
      <c r="L1310" s="187"/>
      <c r="M1310" s="187"/>
      <c r="N1310" s="187"/>
      <c r="O1310" s="187"/>
      <c r="P1310" s="187"/>
      <c r="Q1310" s="187"/>
      <c r="R1310" s="187"/>
      <c r="S1310" s="187"/>
      <c r="T1310" s="187"/>
      <c r="U1310" s="187"/>
      <c r="V1310" s="187"/>
      <c r="W1310" s="188"/>
      <c r="X1310" s="695"/>
      <c r="Y1310" s="695"/>
    </row>
    <row r="1311" spans="1:25">
      <c r="A1311" s="187"/>
      <c r="B1311" s="187"/>
      <c r="C1311" s="187"/>
      <c r="D1311" s="187"/>
      <c r="E1311" s="187"/>
      <c r="F1311" s="187"/>
      <c r="G1311" s="187"/>
      <c r="H1311" s="187"/>
      <c r="I1311" s="187"/>
      <c r="J1311" s="187"/>
      <c r="K1311" s="187"/>
      <c r="L1311" s="187"/>
      <c r="M1311" s="187"/>
      <c r="N1311" s="187"/>
      <c r="O1311" s="187"/>
      <c r="P1311" s="187"/>
      <c r="Q1311" s="187"/>
      <c r="R1311" s="187"/>
      <c r="S1311" s="187"/>
      <c r="T1311" s="187"/>
      <c r="U1311" s="187"/>
      <c r="V1311" s="187"/>
      <c r="W1311" s="188"/>
      <c r="X1311" s="695"/>
      <c r="Y1311" s="695"/>
    </row>
    <row r="1312" spans="1:25">
      <c r="A1312" s="187"/>
      <c r="B1312" s="187"/>
      <c r="C1312" s="187"/>
      <c r="D1312" s="187"/>
      <c r="E1312" s="187"/>
      <c r="F1312" s="187"/>
      <c r="G1312" s="187"/>
      <c r="H1312" s="187"/>
      <c r="I1312" s="187"/>
      <c r="J1312" s="187"/>
      <c r="K1312" s="187"/>
      <c r="L1312" s="187"/>
      <c r="M1312" s="187"/>
      <c r="N1312" s="187"/>
      <c r="O1312" s="187"/>
      <c r="P1312" s="187"/>
      <c r="Q1312" s="187"/>
      <c r="R1312" s="187"/>
      <c r="S1312" s="187"/>
      <c r="T1312" s="187"/>
      <c r="U1312" s="187"/>
      <c r="V1312" s="187"/>
      <c r="W1312" s="188"/>
      <c r="X1312" s="695"/>
      <c r="Y1312" s="695"/>
    </row>
    <row r="1313" spans="1:25">
      <c r="A1313" s="187"/>
      <c r="B1313" s="187"/>
      <c r="C1313" s="187"/>
      <c r="D1313" s="187"/>
      <c r="E1313" s="187"/>
      <c r="F1313" s="187"/>
      <c r="G1313" s="187"/>
      <c r="H1313" s="187"/>
      <c r="I1313" s="187"/>
      <c r="J1313" s="187"/>
      <c r="K1313" s="187"/>
      <c r="L1313" s="187"/>
      <c r="M1313" s="187"/>
      <c r="N1313" s="187"/>
      <c r="O1313" s="187"/>
      <c r="P1313" s="187"/>
      <c r="Q1313" s="187"/>
      <c r="R1313" s="187"/>
      <c r="S1313" s="187"/>
      <c r="T1313" s="187"/>
      <c r="U1313" s="187"/>
      <c r="V1313" s="187"/>
      <c r="W1313" s="188"/>
      <c r="X1313" s="695"/>
      <c r="Y1313" s="695"/>
    </row>
    <row r="1314" spans="1:25">
      <c r="A1314" s="187"/>
      <c r="B1314" s="187"/>
      <c r="C1314" s="187"/>
      <c r="D1314" s="187"/>
      <c r="E1314" s="187"/>
      <c r="F1314" s="187"/>
      <c r="G1314" s="187"/>
      <c r="H1314" s="187"/>
      <c r="I1314" s="187"/>
      <c r="J1314" s="187"/>
      <c r="K1314" s="187"/>
      <c r="L1314" s="187"/>
      <c r="M1314" s="187"/>
      <c r="N1314" s="187"/>
      <c r="O1314" s="187"/>
      <c r="P1314" s="187"/>
      <c r="Q1314" s="187"/>
      <c r="R1314" s="187"/>
      <c r="S1314" s="187"/>
      <c r="T1314" s="187"/>
      <c r="U1314" s="187"/>
      <c r="V1314" s="187"/>
      <c r="W1314" s="188"/>
      <c r="X1314" s="695"/>
      <c r="Y1314" s="695"/>
    </row>
    <row r="1315" spans="1:25">
      <c r="A1315" s="187"/>
      <c r="B1315" s="187"/>
      <c r="C1315" s="187"/>
      <c r="D1315" s="187"/>
      <c r="E1315" s="187"/>
      <c r="F1315" s="187"/>
      <c r="G1315" s="187"/>
      <c r="H1315" s="187"/>
      <c r="I1315" s="187"/>
      <c r="J1315" s="187"/>
      <c r="K1315" s="187"/>
      <c r="L1315" s="187"/>
      <c r="M1315" s="187"/>
      <c r="N1315" s="187"/>
      <c r="O1315" s="187"/>
      <c r="P1315" s="187"/>
      <c r="Q1315" s="187"/>
      <c r="R1315" s="187"/>
      <c r="S1315" s="187"/>
      <c r="T1315" s="187"/>
      <c r="U1315" s="187"/>
      <c r="V1315" s="187"/>
      <c r="W1315" s="188"/>
      <c r="X1315" s="695"/>
      <c r="Y1315" s="695"/>
    </row>
    <row r="1316" spans="1:25">
      <c r="A1316" s="187"/>
      <c r="B1316" s="187"/>
      <c r="C1316" s="187"/>
      <c r="D1316" s="187"/>
      <c r="E1316" s="187"/>
      <c r="F1316" s="187"/>
      <c r="G1316" s="187"/>
      <c r="H1316" s="187"/>
      <c r="I1316" s="187"/>
      <c r="J1316" s="187"/>
      <c r="K1316" s="187"/>
      <c r="L1316" s="187"/>
      <c r="M1316" s="187"/>
      <c r="N1316" s="187"/>
      <c r="O1316" s="187"/>
      <c r="P1316" s="187"/>
      <c r="Q1316" s="187"/>
      <c r="R1316" s="187"/>
      <c r="S1316" s="187"/>
      <c r="T1316" s="187"/>
      <c r="U1316" s="187"/>
      <c r="V1316" s="187"/>
      <c r="W1316" s="188"/>
      <c r="X1316" s="695"/>
      <c r="Y1316" s="695"/>
    </row>
    <row r="1317" spans="1:25">
      <c r="A1317" s="187"/>
      <c r="B1317" s="187"/>
      <c r="C1317" s="187"/>
      <c r="D1317" s="187"/>
      <c r="E1317" s="187"/>
      <c r="F1317" s="187"/>
      <c r="G1317" s="187"/>
      <c r="H1317" s="187"/>
      <c r="I1317" s="187"/>
      <c r="J1317" s="187"/>
      <c r="K1317" s="187"/>
      <c r="L1317" s="187"/>
      <c r="M1317" s="187"/>
      <c r="N1317" s="187"/>
      <c r="O1317" s="187"/>
      <c r="P1317" s="187"/>
      <c r="Q1317" s="187"/>
      <c r="R1317" s="187"/>
      <c r="S1317" s="187"/>
      <c r="T1317" s="187"/>
      <c r="U1317" s="187"/>
      <c r="V1317" s="187"/>
      <c r="W1317" s="188"/>
      <c r="X1317" s="695"/>
      <c r="Y1317" s="695"/>
    </row>
    <row r="1318" spans="1:25">
      <c r="A1318" s="187"/>
      <c r="B1318" s="187"/>
      <c r="C1318" s="187"/>
      <c r="D1318" s="187"/>
      <c r="E1318" s="187"/>
      <c r="F1318" s="187"/>
      <c r="G1318" s="187"/>
      <c r="H1318" s="187"/>
      <c r="I1318" s="187"/>
      <c r="J1318" s="187"/>
      <c r="K1318" s="187"/>
      <c r="L1318" s="187"/>
      <c r="M1318" s="187"/>
      <c r="N1318" s="187"/>
      <c r="O1318" s="187"/>
      <c r="P1318" s="187"/>
      <c r="Q1318" s="187"/>
      <c r="R1318" s="187"/>
      <c r="S1318" s="187"/>
      <c r="T1318" s="187"/>
      <c r="U1318" s="187"/>
      <c r="V1318" s="187"/>
      <c r="W1318" s="188"/>
      <c r="X1318" s="695"/>
      <c r="Y1318" s="695"/>
    </row>
    <row r="1319" spans="1:25">
      <c r="A1319" s="187"/>
      <c r="B1319" s="187"/>
      <c r="C1319" s="187"/>
      <c r="D1319" s="187"/>
      <c r="E1319" s="187"/>
      <c r="F1319" s="187"/>
      <c r="G1319" s="187"/>
      <c r="H1319" s="187"/>
      <c r="I1319" s="187"/>
      <c r="J1319" s="187"/>
      <c r="K1319" s="187"/>
      <c r="L1319" s="187"/>
      <c r="M1319" s="187"/>
      <c r="N1319" s="187"/>
      <c r="O1319" s="187"/>
      <c r="P1319" s="187"/>
      <c r="Q1319" s="187"/>
      <c r="R1319" s="187"/>
      <c r="S1319" s="187"/>
      <c r="T1319" s="187"/>
      <c r="U1319" s="187"/>
      <c r="V1319" s="187"/>
      <c r="W1319" s="188"/>
      <c r="X1319" s="695"/>
      <c r="Y1319" s="695"/>
    </row>
    <row r="1320" spans="1:25">
      <c r="A1320" s="187"/>
      <c r="B1320" s="187"/>
      <c r="C1320" s="187"/>
      <c r="D1320" s="187"/>
      <c r="E1320" s="187"/>
      <c r="F1320" s="187"/>
      <c r="G1320" s="187"/>
      <c r="H1320" s="187"/>
      <c r="I1320" s="187"/>
      <c r="J1320" s="187"/>
      <c r="K1320" s="187"/>
      <c r="L1320" s="187"/>
      <c r="M1320" s="187"/>
      <c r="N1320" s="187"/>
      <c r="O1320" s="187"/>
      <c r="P1320" s="187"/>
      <c r="Q1320" s="187"/>
      <c r="R1320" s="187"/>
      <c r="S1320" s="187"/>
      <c r="T1320" s="187"/>
      <c r="U1320" s="187"/>
      <c r="V1320" s="187"/>
      <c r="W1320" s="188"/>
      <c r="X1320" s="695"/>
      <c r="Y1320" s="695"/>
    </row>
    <row r="1321" spans="1:25">
      <c r="A1321" s="187"/>
      <c r="B1321" s="187"/>
      <c r="C1321" s="187"/>
      <c r="D1321" s="187"/>
      <c r="E1321" s="187"/>
      <c r="F1321" s="187"/>
      <c r="G1321" s="187"/>
      <c r="H1321" s="187"/>
      <c r="I1321" s="187"/>
      <c r="J1321" s="187"/>
      <c r="K1321" s="187"/>
      <c r="L1321" s="187"/>
      <c r="M1321" s="187"/>
      <c r="N1321" s="187"/>
      <c r="O1321" s="187"/>
      <c r="P1321" s="187"/>
      <c r="Q1321" s="187"/>
      <c r="R1321" s="187"/>
      <c r="S1321" s="187"/>
      <c r="T1321" s="187"/>
      <c r="U1321" s="187"/>
      <c r="V1321" s="187"/>
      <c r="W1321" s="188"/>
      <c r="X1321" s="695"/>
      <c r="Y1321" s="695"/>
    </row>
    <row r="1322" spans="1:25">
      <c r="A1322" s="187"/>
      <c r="B1322" s="187"/>
      <c r="C1322" s="187"/>
      <c r="D1322" s="187"/>
      <c r="E1322" s="187"/>
      <c r="F1322" s="187"/>
      <c r="G1322" s="187"/>
      <c r="H1322" s="187"/>
      <c r="I1322" s="187"/>
      <c r="J1322" s="187"/>
      <c r="K1322" s="187"/>
      <c r="L1322" s="187"/>
      <c r="M1322" s="187"/>
      <c r="N1322" s="187"/>
      <c r="O1322" s="187"/>
      <c r="P1322" s="187"/>
      <c r="Q1322" s="187"/>
      <c r="R1322" s="187"/>
      <c r="S1322" s="187"/>
      <c r="T1322" s="187"/>
      <c r="U1322" s="187"/>
      <c r="V1322" s="187"/>
      <c r="W1322" s="188"/>
      <c r="X1322" s="695"/>
      <c r="Y1322" s="695"/>
    </row>
    <row r="1323" spans="1:25">
      <c r="A1323" s="187"/>
      <c r="B1323" s="187"/>
      <c r="C1323" s="187"/>
      <c r="D1323" s="187"/>
      <c r="E1323" s="187"/>
      <c r="F1323" s="187"/>
      <c r="G1323" s="187"/>
      <c r="H1323" s="187"/>
      <c r="I1323" s="187"/>
      <c r="J1323" s="187"/>
      <c r="K1323" s="187"/>
      <c r="L1323" s="187"/>
      <c r="M1323" s="187"/>
      <c r="N1323" s="187"/>
      <c r="O1323" s="187"/>
      <c r="P1323" s="187"/>
      <c r="Q1323" s="187"/>
      <c r="R1323" s="187"/>
      <c r="S1323" s="187"/>
      <c r="T1323" s="187"/>
      <c r="U1323" s="187"/>
      <c r="V1323" s="187"/>
      <c r="W1323" s="188"/>
      <c r="X1323" s="695"/>
      <c r="Y1323" s="695"/>
    </row>
    <row r="1324" spans="1:25">
      <c r="A1324" s="187"/>
      <c r="B1324" s="187"/>
      <c r="C1324" s="187"/>
      <c r="D1324" s="187"/>
      <c r="E1324" s="187"/>
      <c r="F1324" s="187"/>
      <c r="G1324" s="187"/>
      <c r="H1324" s="187"/>
      <c r="I1324" s="187"/>
      <c r="J1324" s="187"/>
      <c r="K1324" s="187"/>
      <c r="L1324" s="187"/>
      <c r="M1324" s="187"/>
      <c r="N1324" s="187"/>
      <c r="O1324" s="187"/>
      <c r="P1324" s="187"/>
      <c r="Q1324" s="187"/>
      <c r="R1324" s="187"/>
      <c r="S1324" s="187"/>
      <c r="T1324" s="187"/>
      <c r="U1324" s="187"/>
      <c r="V1324" s="187"/>
      <c r="W1324" s="188"/>
      <c r="X1324" s="695"/>
      <c r="Y1324" s="695"/>
    </row>
    <row r="1325" spans="1:25">
      <c r="A1325" s="187"/>
      <c r="B1325" s="187"/>
      <c r="C1325" s="187"/>
      <c r="D1325" s="187"/>
      <c r="E1325" s="187"/>
      <c r="F1325" s="187"/>
      <c r="G1325" s="187"/>
      <c r="H1325" s="187"/>
      <c r="I1325" s="187"/>
      <c r="J1325" s="187"/>
      <c r="K1325" s="187"/>
      <c r="L1325" s="187"/>
      <c r="M1325" s="187"/>
      <c r="N1325" s="187"/>
      <c r="O1325" s="187"/>
      <c r="P1325" s="187"/>
      <c r="Q1325" s="187"/>
      <c r="R1325" s="187"/>
      <c r="S1325" s="187"/>
      <c r="T1325" s="187"/>
      <c r="U1325" s="187"/>
      <c r="V1325" s="187"/>
      <c r="W1325" s="188"/>
      <c r="X1325" s="695"/>
      <c r="Y1325" s="695"/>
    </row>
    <row r="1326" spans="1:25">
      <c r="A1326" s="187"/>
      <c r="B1326" s="187"/>
      <c r="C1326" s="187"/>
      <c r="D1326" s="187"/>
      <c r="E1326" s="187"/>
      <c r="F1326" s="187"/>
      <c r="G1326" s="187"/>
      <c r="H1326" s="187"/>
      <c r="I1326" s="187"/>
      <c r="J1326" s="187"/>
      <c r="K1326" s="187"/>
      <c r="L1326" s="187"/>
      <c r="M1326" s="187"/>
      <c r="N1326" s="187"/>
      <c r="O1326" s="187"/>
      <c r="P1326" s="187"/>
      <c r="Q1326" s="187"/>
      <c r="R1326" s="187"/>
      <c r="S1326" s="187"/>
      <c r="T1326" s="187"/>
      <c r="U1326" s="187"/>
      <c r="V1326" s="187"/>
      <c r="W1326" s="188"/>
      <c r="X1326" s="695"/>
      <c r="Y1326" s="695"/>
    </row>
    <row r="1327" spans="1:25">
      <c r="A1327" s="187"/>
      <c r="B1327" s="187"/>
      <c r="C1327" s="187"/>
      <c r="D1327" s="187"/>
      <c r="E1327" s="187"/>
      <c r="F1327" s="187"/>
      <c r="G1327" s="187"/>
      <c r="H1327" s="187"/>
      <c r="I1327" s="187"/>
      <c r="J1327" s="187"/>
      <c r="K1327" s="187"/>
      <c r="L1327" s="187"/>
      <c r="M1327" s="187"/>
      <c r="N1327" s="187"/>
      <c r="O1327" s="187"/>
      <c r="P1327" s="187"/>
      <c r="Q1327" s="187"/>
      <c r="R1327" s="187"/>
      <c r="S1327" s="187"/>
      <c r="T1327" s="187"/>
      <c r="U1327" s="187"/>
      <c r="V1327" s="187"/>
      <c r="W1327" s="188"/>
      <c r="X1327" s="695"/>
      <c r="Y1327" s="695"/>
    </row>
    <row r="1328" spans="1:25">
      <c r="A1328" s="187"/>
      <c r="B1328" s="187"/>
      <c r="C1328" s="187"/>
      <c r="D1328" s="187"/>
      <c r="E1328" s="187"/>
      <c r="F1328" s="187"/>
      <c r="G1328" s="187"/>
      <c r="H1328" s="187"/>
      <c r="I1328" s="187"/>
      <c r="J1328" s="187"/>
      <c r="K1328" s="187"/>
      <c r="L1328" s="187"/>
      <c r="M1328" s="187"/>
      <c r="N1328" s="187"/>
      <c r="O1328" s="187"/>
      <c r="P1328" s="187"/>
      <c r="Q1328" s="187"/>
      <c r="R1328" s="187"/>
      <c r="S1328" s="187"/>
      <c r="T1328" s="187"/>
      <c r="U1328" s="187"/>
      <c r="V1328" s="187"/>
      <c r="W1328" s="188"/>
      <c r="X1328" s="695"/>
      <c r="Y1328" s="695"/>
    </row>
    <row r="1329" spans="1:25">
      <c r="A1329" s="187"/>
      <c r="B1329" s="187"/>
      <c r="C1329" s="187"/>
      <c r="D1329" s="187"/>
      <c r="E1329" s="187"/>
      <c r="F1329" s="187"/>
      <c r="G1329" s="187"/>
      <c r="H1329" s="187"/>
      <c r="I1329" s="187"/>
      <c r="J1329" s="187"/>
      <c r="K1329" s="187"/>
      <c r="L1329" s="187"/>
      <c r="M1329" s="187"/>
      <c r="N1329" s="187"/>
      <c r="O1329" s="187"/>
      <c r="P1329" s="187"/>
      <c r="Q1329" s="187"/>
      <c r="R1329" s="187"/>
      <c r="S1329" s="187"/>
      <c r="T1329" s="187"/>
      <c r="U1329" s="187"/>
      <c r="V1329" s="187"/>
      <c r="W1329" s="188"/>
      <c r="X1329" s="695"/>
      <c r="Y1329" s="695"/>
    </row>
    <row r="1330" spans="1:25">
      <c r="A1330" s="187"/>
      <c r="B1330" s="187"/>
      <c r="C1330" s="187"/>
      <c r="D1330" s="187"/>
      <c r="E1330" s="187"/>
      <c r="F1330" s="187"/>
      <c r="G1330" s="187"/>
      <c r="H1330" s="187"/>
      <c r="I1330" s="187"/>
      <c r="J1330" s="187"/>
      <c r="K1330" s="187"/>
      <c r="L1330" s="187"/>
      <c r="M1330" s="187"/>
      <c r="N1330" s="187"/>
      <c r="O1330" s="187"/>
      <c r="P1330" s="187"/>
      <c r="Q1330" s="187"/>
      <c r="R1330" s="187"/>
      <c r="S1330" s="187"/>
      <c r="T1330" s="187"/>
      <c r="U1330" s="187"/>
      <c r="V1330" s="187"/>
      <c r="W1330" s="188"/>
      <c r="X1330" s="695"/>
      <c r="Y1330" s="695"/>
    </row>
    <row r="1331" spans="1:25">
      <c r="A1331" s="187"/>
      <c r="B1331" s="187"/>
      <c r="C1331" s="187"/>
      <c r="D1331" s="187"/>
      <c r="E1331" s="187"/>
      <c r="F1331" s="187"/>
      <c r="G1331" s="187"/>
      <c r="H1331" s="187"/>
      <c r="I1331" s="187"/>
      <c r="J1331" s="187"/>
      <c r="K1331" s="187"/>
      <c r="L1331" s="187"/>
      <c r="M1331" s="187"/>
      <c r="N1331" s="187"/>
      <c r="O1331" s="187"/>
      <c r="P1331" s="187"/>
      <c r="Q1331" s="187"/>
      <c r="R1331" s="187"/>
      <c r="S1331" s="187"/>
      <c r="T1331" s="187"/>
      <c r="U1331" s="187"/>
      <c r="V1331" s="187"/>
      <c r="W1331" s="188"/>
      <c r="X1331" s="695"/>
      <c r="Y1331" s="695"/>
    </row>
    <row r="1332" spans="1:25">
      <c r="A1332" s="187"/>
      <c r="B1332" s="187"/>
      <c r="C1332" s="187"/>
      <c r="D1332" s="187"/>
      <c r="E1332" s="187"/>
      <c r="F1332" s="187"/>
      <c r="G1332" s="187"/>
      <c r="H1332" s="187"/>
      <c r="I1332" s="187"/>
      <c r="J1332" s="187"/>
      <c r="K1332" s="187"/>
      <c r="L1332" s="187"/>
      <c r="M1332" s="187"/>
      <c r="N1332" s="187"/>
      <c r="O1332" s="187"/>
      <c r="P1332" s="187"/>
      <c r="Q1332" s="187"/>
      <c r="R1332" s="187"/>
      <c r="S1332" s="187"/>
      <c r="T1332" s="187"/>
      <c r="U1332" s="187"/>
      <c r="V1332" s="187"/>
      <c r="W1332" s="188"/>
      <c r="X1332" s="695"/>
      <c r="Y1332" s="695"/>
    </row>
    <row r="1333" spans="1:25">
      <c r="A1333" s="187"/>
      <c r="B1333" s="187"/>
      <c r="C1333" s="187"/>
      <c r="D1333" s="187"/>
      <c r="E1333" s="187"/>
      <c r="F1333" s="187"/>
      <c r="G1333" s="187"/>
      <c r="H1333" s="187"/>
      <c r="I1333" s="187"/>
      <c r="J1333" s="187"/>
      <c r="K1333" s="187"/>
      <c r="L1333" s="187"/>
      <c r="M1333" s="187"/>
      <c r="N1333" s="187"/>
      <c r="O1333" s="187"/>
      <c r="P1333" s="187"/>
      <c r="Q1333" s="187"/>
      <c r="R1333" s="187"/>
      <c r="S1333" s="187"/>
      <c r="T1333" s="187"/>
      <c r="U1333" s="187"/>
      <c r="V1333" s="187"/>
      <c r="W1333" s="188"/>
      <c r="X1333" s="695"/>
      <c r="Y1333" s="695"/>
    </row>
    <row r="1334" spans="1:25">
      <c r="A1334" s="187"/>
      <c r="B1334" s="187"/>
      <c r="C1334" s="187"/>
      <c r="D1334" s="187"/>
      <c r="E1334" s="187"/>
      <c r="F1334" s="187"/>
      <c r="G1334" s="187"/>
      <c r="H1334" s="187"/>
      <c r="I1334" s="187"/>
      <c r="J1334" s="187"/>
      <c r="K1334" s="187"/>
      <c r="L1334" s="187"/>
      <c r="M1334" s="187"/>
      <c r="N1334" s="187"/>
      <c r="O1334" s="187"/>
      <c r="P1334" s="187"/>
      <c r="Q1334" s="187"/>
      <c r="R1334" s="187"/>
      <c r="S1334" s="187"/>
      <c r="T1334" s="187"/>
      <c r="U1334" s="187"/>
      <c r="V1334" s="187"/>
      <c r="W1334" s="188"/>
      <c r="X1334" s="695"/>
      <c r="Y1334" s="695"/>
    </row>
    <row r="1335" spans="1:25">
      <c r="A1335" s="187"/>
      <c r="B1335" s="187"/>
      <c r="C1335" s="187"/>
      <c r="D1335" s="187"/>
      <c r="E1335" s="187"/>
      <c r="F1335" s="187"/>
      <c r="G1335" s="187"/>
      <c r="H1335" s="187"/>
      <c r="I1335" s="187"/>
      <c r="J1335" s="187"/>
      <c r="K1335" s="187"/>
      <c r="L1335" s="187"/>
      <c r="M1335" s="187"/>
      <c r="N1335" s="187"/>
      <c r="O1335" s="187"/>
      <c r="P1335" s="187"/>
      <c r="Q1335" s="187"/>
      <c r="R1335" s="187"/>
      <c r="S1335" s="187"/>
      <c r="T1335" s="187"/>
      <c r="U1335" s="187"/>
      <c r="V1335" s="187"/>
      <c r="W1335" s="188"/>
      <c r="X1335" s="695"/>
      <c r="Y1335" s="695"/>
    </row>
    <row r="1336" spans="1:25">
      <c r="A1336" s="187"/>
      <c r="B1336" s="187"/>
      <c r="C1336" s="187"/>
      <c r="D1336" s="187"/>
      <c r="E1336" s="187"/>
      <c r="F1336" s="187"/>
      <c r="G1336" s="187"/>
      <c r="H1336" s="187"/>
      <c r="I1336" s="187"/>
      <c r="J1336" s="187"/>
      <c r="K1336" s="187"/>
      <c r="L1336" s="187"/>
      <c r="M1336" s="187"/>
      <c r="N1336" s="187"/>
      <c r="O1336" s="187"/>
      <c r="P1336" s="187"/>
      <c r="Q1336" s="187"/>
      <c r="R1336" s="187"/>
      <c r="S1336" s="187"/>
      <c r="T1336" s="187"/>
      <c r="U1336" s="187"/>
      <c r="V1336" s="187"/>
      <c r="W1336" s="188"/>
      <c r="X1336" s="695"/>
      <c r="Y1336" s="695"/>
    </row>
    <row r="1337" spans="1:25">
      <c r="A1337" s="187"/>
      <c r="B1337" s="187"/>
      <c r="C1337" s="187"/>
      <c r="D1337" s="187"/>
      <c r="E1337" s="187"/>
      <c r="F1337" s="187"/>
      <c r="G1337" s="187"/>
      <c r="H1337" s="187"/>
      <c r="I1337" s="187"/>
      <c r="J1337" s="187"/>
      <c r="K1337" s="187"/>
      <c r="L1337" s="187"/>
      <c r="M1337" s="187"/>
      <c r="N1337" s="187"/>
      <c r="O1337" s="187"/>
      <c r="P1337" s="187"/>
      <c r="Q1337" s="187"/>
      <c r="R1337" s="187"/>
      <c r="S1337" s="187"/>
      <c r="T1337" s="187"/>
      <c r="U1337" s="187"/>
      <c r="V1337" s="187"/>
      <c r="W1337" s="188"/>
      <c r="X1337" s="695"/>
      <c r="Y1337" s="695"/>
    </row>
    <row r="1338" spans="1:25">
      <c r="A1338" s="187"/>
      <c r="B1338" s="187"/>
      <c r="C1338" s="187"/>
      <c r="D1338" s="187"/>
      <c r="E1338" s="187"/>
      <c r="F1338" s="187"/>
      <c r="G1338" s="187"/>
      <c r="H1338" s="187"/>
      <c r="I1338" s="187"/>
      <c r="J1338" s="187"/>
      <c r="K1338" s="187"/>
      <c r="L1338" s="187"/>
      <c r="M1338" s="187"/>
      <c r="N1338" s="187"/>
      <c r="O1338" s="187"/>
      <c r="P1338" s="187"/>
      <c r="Q1338" s="187"/>
      <c r="R1338" s="187"/>
      <c r="S1338" s="187"/>
      <c r="T1338" s="187"/>
      <c r="U1338" s="187"/>
      <c r="V1338" s="187"/>
      <c r="W1338" s="188"/>
      <c r="X1338" s="695"/>
      <c r="Y1338" s="695"/>
    </row>
    <row r="1339" spans="1:25">
      <c r="A1339" s="187"/>
      <c r="B1339" s="187"/>
      <c r="C1339" s="187"/>
      <c r="D1339" s="187"/>
      <c r="E1339" s="187"/>
      <c r="F1339" s="187"/>
      <c r="G1339" s="187"/>
      <c r="H1339" s="187"/>
      <c r="I1339" s="187"/>
      <c r="J1339" s="187"/>
      <c r="K1339" s="187"/>
      <c r="L1339" s="187"/>
      <c r="M1339" s="187"/>
      <c r="N1339" s="187"/>
      <c r="O1339" s="187"/>
      <c r="P1339" s="187"/>
      <c r="Q1339" s="187"/>
      <c r="R1339" s="187"/>
      <c r="S1339" s="187"/>
      <c r="T1339" s="187"/>
      <c r="U1339" s="187"/>
      <c r="V1339" s="187"/>
      <c r="W1339" s="188"/>
      <c r="X1339" s="695"/>
      <c r="Y1339" s="695"/>
    </row>
    <row r="1340" spans="1:25">
      <c r="A1340" s="187"/>
      <c r="B1340" s="187"/>
      <c r="C1340" s="187"/>
      <c r="D1340" s="187"/>
      <c r="E1340" s="187"/>
      <c r="F1340" s="187"/>
      <c r="G1340" s="187"/>
      <c r="H1340" s="187"/>
      <c r="I1340" s="187"/>
      <c r="J1340" s="187"/>
      <c r="K1340" s="187"/>
      <c r="L1340" s="187"/>
      <c r="M1340" s="187"/>
      <c r="N1340" s="187"/>
      <c r="O1340" s="187"/>
      <c r="P1340" s="187"/>
      <c r="Q1340" s="187"/>
      <c r="R1340" s="187"/>
      <c r="S1340" s="187"/>
      <c r="T1340" s="187"/>
      <c r="U1340" s="187"/>
      <c r="V1340" s="187"/>
      <c r="W1340" s="188"/>
      <c r="X1340" s="695"/>
      <c r="Y1340" s="695"/>
    </row>
    <row r="1341" spans="1:25">
      <c r="A1341" s="187"/>
      <c r="B1341" s="187"/>
      <c r="C1341" s="187"/>
      <c r="D1341" s="187"/>
      <c r="E1341" s="187"/>
      <c r="F1341" s="187"/>
      <c r="G1341" s="187"/>
      <c r="H1341" s="187"/>
      <c r="I1341" s="187"/>
      <c r="J1341" s="187"/>
      <c r="K1341" s="187"/>
      <c r="L1341" s="187"/>
      <c r="M1341" s="187"/>
      <c r="N1341" s="187"/>
      <c r="O1341" s="187"/>
      <c r="P1341" s="187"/>
      <c r="Q1341" s="187"/>
      <c r="R1341" s="187"/>
      <c r="S1341" s="187"/>
      <c r="T1341" s="187"/>
      <c r="U1341" s="187"/>
      <c r="V1341" s="187"/>
      <c r="W1341" s="188"/>
      <c r="X1341" s="695"/>
      <c r="Y1341" s="695"/>
    </row>
    <row r="1342" spans="1:25">
      <c r="A1342" s="187"/>
      <c r="B1342" s="187"/>
      <c r="C1342" s="187"/>
      <c r="D1342" s="187"/>
      <c r="E1342" s="187"/>
      <c r="F1342" s="187"/>
      <c r="G1342" s="187"/>
      <c r="H1342" s="187"/>
      <c r="I1342" s="187"/>
      <c r="J1342" s="187"/>
      <c r="K1342" s="187"/>
      <c r="L1342" s="187"/>
      <c r="M1342" s="187"/>
      <c r="N1342" s="187"/>
      <c r="O1342" s="187"/>
      <c r="P1342" s="187"/>
      <c r="Q1342" s="187"/>
      <c r="R1342" s="187"/>
      <c r="S1342" s="187"/>
      <c r="T1342" s="187"/>
      <c r="U1342" s="187"/>
      <c r="V1342" s="187"/>
      <c r="W1342" s="188"/>
      <c r="X1342" s="695"/>
      <c r="Y1342" s="695"/>
    </row>
    <row r="1343" spans="1:25">
      <c r="A1343" s="187"/>
      <c r="B1343" s="187"/>
      <c r="C1343" s="187"/>
      <c r="D1343" s="187"/>
      <c r="E1343" s="187"/>
      <c r="F1343" s="187"/>
      <c r="G1343" s="187"/>
      <c r="H1343" s="187"/>
      <c r="I1343" s="187"/>
      <c r="J1343" s="187"/>
      <c r="K1343" s="187"/>
      <c r="L1343" s="187"/>
      <c r="M1343" s="187"/>
      <c r="N1343" s="187"/>
      <c r="O1343" s="187"/>
      <c r="P1343" s="187"/>
      <c r="Q1343" s="187"/>
      <c r="R1343" s="187"/>
      <c r="S1343" s="187"/>
      <c r="T1343" s="187"/>
      <c r="U1343" s="187"/>
      <c r="V1343" s="187"/>
      <c r="W1343" s="188"/>
      <c r="X1343" s="695"/>
      <c r="Y1343" s="695"/>
    </row>
    <row r="1344" spans="1:25">
      <c r="A1344" s="187"/>
      <c r="B1344" s="187"/>
      <c r="C1344" s="187"/>
      <c r="D1344" s="187"/>
      <c r="E1344" s="187"/>
      <c r="F1344" s="187"/>
      <c r="G1344" s="187"/>
      <c r="H1344" s="187"/>
      <c r="I1344" s="187"/>
      <c r="J1344" s="187"/>
      <c r="K1344" s="187"/>
      <c r="L1344" s="187"/>
      <c r="M1344" s="187"/>
      <c r="N1344" s="187"/>
      <c r="O1344" s="187"/>
      <c r="P1344" s="187"/>
      <c r="Q1344" s="187"/>
      <c r="R1344" s="187"/>
      <c r="S1344" s="187"/>
      <c r="T1344" s="187"/>
      <c r="U1344" s="187"/>
      <c r="V1344" s="187"/>
      <c r="W1344" s="188"/>
      <c r="X1344" s="695"/>
      <c r="Y1344" s="695"/>
    </row>
    <row r="1345" spans="1:25">
      <c r="A1345" s="187"/>
      <c r="B1345" s="187"/>
      <c r="C1345" s="187"/>
      <c r="D1345" s="187"/>
      <c r="E1345" s="187"/>
      <c r="F1345" s="187"/>
      <c r="G1345" s="187"/>
      <c r="H1345" s="187"/>
      <c r="I1345" s="187"/>
      <c r="J1345" s="187"/>
      <c r="K1345" s="187"/>
      <c r="L1345" s="187"/>
      <c r="M1345" s="187"/>
      <c r="N1345" s="187"/>
      <c r="O1345" s="187"/>
      <c r="P1345" s="187"/>
      <c r="Q1345" s="187"/>
      <c r="R1345" s="187"/>
      <c r="S1345" s="187"/>
      <c r="T1345" s="187"/>
      <c r="U1345" s="187"/>
      <c r="V1345" s="187"/>
      <c r="W1345" s="188"/>
      <c r="X1345" s="695"/>
      <c r="Y1345" s="695"/>
    </row>
    <row r="1346" spans="1:25">
      <c r="A1346" s="187"/>
      <c r="B1346" s="187"/>
      <c r="C1346" s="187"/>
      <c r="D1346" s="187"/>
      <c r="E1346" s="187"/>
      <c r="F1346" s="187"/>
      <c r="G1346" s="187"/>
      <c r="H1346" s="187"/>
      <c r="I1346" s="187"/>
      <c r="J1346" s="187"/>
      <c r="K1346" s="187"/>
      <c r="L1346" s="187"/>
      <c r="M1346" s="187"/>
      <c r="N1346" s="187"/>
      <c r="O1346" s="187"/>
      <c r="P1346" s="187"/>
      <c r="Q1346" s="187"/>
      <c r="R1346" s="187"/>
      <c r="S1346" s="187"/>
      <c r="T1346" s="187"/>
      <c r="U1346" s="187"/>
      <c r="V1346" s="187"/>
      <c r="W1346" s="188"/>
      <c r="X1346" s="695"/>
      <c r="Y1346" s="695"/>
    </row>
    <row r="1347" spans="1:25">
      <c r="A1347" s="187"/>
      <c r="B1347" s="187"/>
      <c r="C1347" s="187"/>
      <c r="D1347" s="187"/>
      <c r="E1347" s="187"/>
      <c r="F1347" s="187"/>
      <c r="G1347" s="187"/>
      <c r="H1347" s="187"/>
      <c r="I1347" s="187"/>
      <c r="J1347" s="187"/>
      <c r="K1347" s="187"/>
      <c r="L1347" s="187"/>
      <c r="M1347" s="187"/>
      <c r="N1347" s="187"/>
      <c r="O1347" s="187"/>
      <c r="P1347" s="187"/>
      <c r="Q1347" s="187"/>
      <c r="R1347" s="187"/>
      <c r="S1347" s="187"/>
      <c r="T1347" s="187"/>
      <c r="U1347" s="187"/>
      <c r="V1347" s="187"/>
      <c r="W1347" s="188"/>
      <c r="X1347" s="695"/>
      <c r="Y1347" s="695"/>
    </row>
    <row r="1348" spans="1:25">
      <c r="A1348" s="187"/>
      <c r="B1348" s="187"/>
      <c r="C1348" s="187"/>
      <c r="D1348" s="187"/>
      <c r="E1348" s="187"/>
      <c r="F1348" s="187"/>
      <c r="G1348" s="187"/>
      <c r="H1348" s="187"/>
      <c r="I1348" s="187"/>
      <c r="J1348" s="187"/>
      <c r="K1348" s="187"/>
      <c r="L1348" s="187"/>
      <c r="M1348" s="187"/>
      <c r="N1348" s="187"/>
      <c r="O1348" s="187"/>
      <c r="P1348" s="187"/>
      <c r="Q1348" s="187"/>
      <c r="R1348" s="187"/>
      <c r="S1348" s="187"/>
      <c r="T1348" s="187"/>
      <c r="U1348" s="187"/>
      <c r="V1348" s="187"/>
      <c r="W1348" s="188"/>
      <c r="X1348" s="695"/>
      <c r="Y1348" s="695"/>
    </row>
    <row r="1349" spans="1:25">
      <c r="A1349" s="187"/>
      <c r="B1349" s="187"/>
      <c r="C1349" s="187"/>
      <c r="D1349" s="187"/>
      <c r="E1349" s="187"/>
      <c r="F1349" s="187"/>
      <c r="G1349" s="187"/>
      <c r="H1349" s="187"/>
      <c r="I1349" s="187"/>
      <c r="J1349" s="187"/>
      <c r="K1349" s="187"/>
      <c r="L1349" s="187"/>
      <c r="M1349" s="187"/>
      <c r="N1349" s="187"/>
      <c r="O1349" s="187"/>
      <c r="P1349" s="187"/>
      <c r="Q1349" s="187"/>
      <c r="R1349" s="187"/>
      <c r="S1349" s="187"/>
      <c r="T1349" s="187"/>
      <c r="U1349" s="187"/>
      <c r="V1349" s="187"/>
      <c r="W1349" s="188"/>
      <c r="X1349" s="695"/>
      <c r="Y1349" s="695"/>
    </row>
    <row r="1350" spans="1:25">
      <c r="A1350" s="187"/>
      <c r="B1350" s="187"/>
      <c r="C1350" s="187"/>
      <c r="D1350" s="187"/>
      <c r="E1350" s="187"/>
      <c r="F1350" s="187"/>
      <c r="G1350" s="187"/>
      <c r="H1350" s="187"/>
      <c r="I1350" s="187"/>
      <c r="J1350" s="187"/>
      <c r="K1350" s="187"/>
      <c r="L1350" s="187"/>
      <c r="M1350" s="187"/>
      <c r="N1350" s="187"/>
      <c r="O1350" s="187"/>
      <c r="P1350" s="187"/>
      <c r="Q1350" s="187"/>
      <c r="R1350" s="187"/>
      <c r="S1350" s="187"/>
      <c r="T1350" s="187"/>
      <c r="U1350" s="187"/>
      <c r="V1350" s="187"/>
      <c r="W1350" s="188"/>
      <c r="X1350" s="695"/>
      <c r="Y1350" s="695"/>
    </row>
    <row r="1351" spans="1:25">
      <c r="A1351" s="187"/>
      <c r="B1351" s="187"/>
      <c r="C1351" s="187"/>
      <c r="D1351" s="187"/>
      <c r="E1351" s="187"/>
      <c r="F1351" s="187"/>
      <c r="G1351" s="187"/>
      <c r="H1351" s="187"/>
      <c r="I1351" s="187"/>
      <c r="J1351" s="187"/>
      <c r="K1351" s="187"/>
      <c r="L1351" s="187"/>
      <c r="M1351" s="187"/>
      <c r="N1351" s="187"/>
      <c r="O1351" s="187"/>
      <c r="P1351" s="187"/>
      <c r="Q1351" s="187"/>
      <c r="R1351" s="187"/>
      <c r="S1351" s="187"/>
      <c r="T1351" s="187"/>
      <c r="U1351" s="187"/>
      <c r="V1351" s="187"/>
      <c r="W1351" s="188"/>
      <c r="X1351" s="695"/>
      <c r="Y1351" s="695"/>
    </row>
    <row r="1352" spans="1:25">
      <c r="A1352" s="187"/>
      <c r="B1352" s="187"/>
      <c r="C1352" s="187"/>
      <c r="D1352" s="187"/>
      <c r="E1352" s="187"/>
      <c r="F1352" s="187"/>
      <c r="G1352" s="187"/>
      <c r="H1352" s="187"/>
      <c r="I1352" s="187"/>
      <c r="J1352" s="187"/>
      <c r="K1352" s="187"/>
      <c r="L1352" s="187"/>
      <c r="M1352" s="187"/>
      <c r="N1352" s="187"/>
      <c r="O1352" s="187"/>
      <c r="P1352" s="187"/>
      <c r="Q1352" s="187"/>
      <c r="R1352" s="187"/>
      <c r="S1352" s="187"/>
      <c r="T1352" s="187"/>
      <c r="U1352" s="187"/>
      <c r="V1352" s="187"/>
      <c r="W1352" s="188"/>
      <c r="X1352" s="695"/>
      <c r="Y1352" s="695"/>
    </row>
    <row r="1353" spans="1:25">
      <c r="A1353" s="187"/>
      <c r="B1353" s="187"/>
      <c r="C1353" s="187"/>
      <c r="D1353" s="187"/>
      <c r="E1353" s="187"/>
      <c r="F1353" s="187"/>
      <c r="G1353" s="187"/>
      <c r="H1353" s="187"/>
      <c r="I1353" s="187"/>
      <c r="J1353" s="187"/>
      <c r="K1353" s="187"/>
      <c r="L1353" s="187"/>
      <c r="M1353" s="187"/>
      <c r="N1353" s="187"/>
      <c r="O1353" s="187"/>
      <c r="P1353" s="187"/>
      <c r="Q1353" s="187"/>
      <c r="R1353" s="187"/>
      <c r="S1353" s="187"/>
      <c r="T1353" s="187"/>
      <c r="U1353" s="187"/>
      <c r="V1353" s="187"/>
      <c r="W1353" s="188"/>
      <c r="X1353" s="695"/>
      <c r="Y1353" s="695"/>
    </row>
    <row r="1354" spans="1:25">
      <c r="A1354" s="187"/>
      <c r="B1354" s="187"/>
      <c r="C1354" s="187"/>
      <c r="D1354" s="187"/>
      <c r="E1354" s="187"/>
      <c r="F1354" s="187"/>
      <c r="G1354" s="187"/>
      <c r="H1354" s="187"/>
      <c r="I1354" s="187"/>
      <c r="J1354" s="187"/>
      <c r="K1354" s="187"/>
      <c r="L1354" s="187"/>
      <c r="M1354" s="187"/>
      <c r="N1354" s="187"/>
      <c r="O1354" s="187"/>
      <c r="P1354" s="187"/>
      <c r="Q1354" s="187"/>
      <c r="R1354" s="187"/>
      <c r="S1354" s="187"/>
      <c r="T1354" s="187"/>
      <c r="U1354" s="187"/>
      <c r="V1354" s="187"/>
      <c r="W1354" s="188"/>
      <c r="X1354" s="695"/>
      <c r="Y1354" s="695"/>
    </row>
    <row r="1355" spans="1:25">
      <c r="A1355" s="187"/>
      <c r="B1355" s="187"/>
      <c r="C1355" s="187"/>
      <c r="D1355" s="187"/>
      <c r="E1355" s="187"/>
      <c r="F1355" s="187"/>
      <c r="G1355" s="187"/>
      <c r="H1355" s="187"/>
      <c r="I1355" s="187"/>
      <c r="J1355" s="187"/>
      <c r="K1355" s="187"/>
      <c r="L1355" s="187"/>
      <c r="M1355" s="187"/>
      <c r="N1355" s="187"/>
      <c r="O1355" s="187"/>
      <c r="P1355" s="187"/>
      <c r="Q1355" s="187"/>
      <c r="R1355" s="187"/>
      <c r="S1355" s="187"/>
      <c r="T1355" s="187"/>
      <c r="U1355" s="187"/>
      <c r="V1355" s="187"/>
      <c r="W1355" s="188"/>
      <c r="X1355" s="695"/>
      <c r="Y1355" s="695"/>
    </row>
    <row r="1356" spans="1:25">
      <c r="A1356" s="187"/>
      <c r="B1356" s="187"/>
      <c r="C1356" s="187"/>
      <c r="D1356" s="187"/>
      <c r="E1356" s="187"/>
      <c r="F1356" s="187"/>
      <c r="G1356" s="187"/>
      <c r="H1356" s="187"/>
      <c r="I1356" s="187"/>
      <c r="J1356" s="187"/>
      <c r="K1356" s="187"/>
      <c r="L1356" s="187"/>
      <c r="M1356" s="187"/>
      <c r="N1356" s="187"/>
      <c r="O1356" s="187"/>
      <c r="P1356" s="187"/>
      <c r="Q1356" s="187"/>
      <c r="R1356" s="187"/>
      <c r="S1356" s="187"/>
      <c r="T1356" s="187"/>
      <c r="U1356" s="187"/>
      <c r="V1356" s="187"/>
      <c r="W1356" s="188"/>
      <c r="X1356" s="695"/>
      <c r="Y1356" s="695"/>
    </row>
    <row r="1357" spans="1:25">
      <c r="A1357" s="187"/>
      <c r="B1357" s="187"/>
      <c r="C1357" s="187"/>
      <c r="D1357" s="187"/>
      <c r="E1357" s="187"/>
      <c r="F1357" s="187"/>
      <c r="G1357" s="187"/>
      <c r="H1357" s="187"/>
      <c r="I1357" s="187"/>
      <c r="J1357" s="187"/>
      <c r="K1357" s="187"/>
      <c r="L1357" s="187"/>
      <c r="M1357" s="187"/>
      <c r="N1357" s="187"/>
      <c r="O1357" s="187"/>
      <c r="P1357" s="187"/>
      <c r="Q1357" s="187"/>
      <c r="R1357" s="187"/>
      <c r="S1357" s="187"/>
      <c r="T1357" s="187"/>
      <c r="U1357" s="187"/>
      <c r="V1357" s="187"/>
      <c r="W1357" s="188"/>
      <c r="X1357" s="695"/>
      <c r="Y1357" s="695"/>
    </row>
    <row r="1358" spans="1:25">
      <c r="A1358" s="187"/>
      <c r="B1358" s="187"/>
      <c r="C1358" s="187"/>
      <c r="D1358" s="187"/>
      <c r="E1358" s="187"/>
      <c r="F1358" s="187"/>
      <c r="G1358" s="187"/>
      <c r="H1358" s="187"/>
      <c r="I1358" s="187"/>
      <c r="J1358" s="187"/>
      <c r="K1358" s="187"/>
      <c r="L1358" s="187"/>
      <c r="M1358" s="187"/>
      <c r="N1358" s="187"/>
      <c r="O1358" s="187"/>
      <c r="P1358" s="187"/>
      <c r="Q1358" s="187"/>
      <c r="R1358" s="187"/>
      <c r="S1358" s="187"/>
      <c r="T1358" s="187"/>
      <c r="U1358" s="187"/>
      <c r="V1358" s="187"/>
      <c r="W1358" s="188"/>
      <c r="X1358" s="695"/>
      <c r="Y1358" s="695"/>
    </row>
    <row r="1359" spans="1:25">
      <c r="A1359" s="187"/>
      <c r="B1359" s="187"/>
      <c r="C1359" s="187"/>
      <c r="D1359" s="187"/>
      <c r="E1359" s="187"/>
      <c r="F1359" s="187"/>
      <c r="G1359" s="187"/>
      <c r="H1359" s="187"/>
      <c r="I1359" s="187"/>
      <c r="J1359" s="187"/>
      <c r="K1359" s="187"/>
      <c r="L1359" s="187"/>
      <c r="M1359" s="187"/>
      <c r="N1359" s="187"/>
      <c r="O1359" s="187"/>
      <c r="P1359" s="187"/>
      <c r="Q1359" s="187"/>
      <c r="R1359" s="187"/>
      <c r="S1359" s="187"/>
      <c r="T1359" s="187"/>
      <c r="U1359" s="187"/>
      <c r="V1359" s="187"/>
      <c r="W1359" s="188"/>
      <c r="X1359" s="695"/>
      <c r="Y1359" s="695"/>
    </row>
    <row r="1360" spans="1:25">
      <c r="A1360" s="187"/>
      <c r="B1360" s="187"/>
      <c r="C1360" s="187"/>
      <c r="D1360" s="187"/>
      <c r="E1360" s="187"/>
      <c r="F1360" s="187"/>
      <c r="G1360" s="187"/>
      <c r="H1360" s="187"/>
      <c r="I1360" s="187"/>
      <c r="J1360" s="187"/>
      <c r="K1360" s="187"/>
      <c r="L1360" s="187"/>
      <c r="M1360" s="187"/>
      <c r="N1360" s="187"/>
      <c r="O1360" s="187"/>
      <c r="P1360" s="187"/>
      <c r="Q1360" s="187"/>
      <c r="R1360" s="187"/>
      <c r="S1360" s="187"/>
      <c r="T1360" s="187"/>
      <c r="U1360" s="187"/>
      <c r="V1360" s="187"/>
      <c r="W1360" s="188"/>
      <c r="X1360" s="695"/>
      <c r="Y1360" s="695"/>
    </row>
    <row r="1361" spans="1:25">
      <c r="A1361" s="187"/>
      <c r="B1361" s="187"/>
      <c r="C1361" s="187"/>
      <c r="D1361" s="187"/>
      <c r="E1361" s="187"/>
      <c r="F1361" s="187"/>
      <c r="G1361" s="187"/>
      <c r="H1361" s="187"/>
      <c r="I1361" s="187"/>
      <c r="J1361" s="187"/>
      <c r="K1361" s="187"/>
      <c r="L1361" s="187"/>
      <c r="M1361" s="187"/>
      <c r="N1361" s="187"/>
      <c r="O1361" s="187"/>
      <c r="P1361" s="187"/>
      <c r="Q1361" s="187"/>
      <c r="R1361" s="187"/>
      <c r="S1361" s="187"/>
      <c r="T1361" s="187"/>
      <c r="U1361" s="187"/>
      <c r="V1361" s="187"/>
      <c r="W1361" s="188"/>
      <c r="X1361" s="695"/>
      <c r="Y1361" s="695"/>
    </row>
    <row r="1362" spans="1:25">
      <c r="A1362" s="187"/>
      <c r="B1362" s="187"/>
      <c r="C1362" s="187"/>
      <c r="D1362" s="187"/>
      <c r="E1362" s="187"/>
      <c r="F1362" s="187"/>
      <c r="G1362" s="187"/>
      <c r="H1362" s="187"/>
      <c r="I1362" s="187"/>
      <c r="J1362" s="187"/>
      <c r="K1362" s="187"/>
      <c r="L1362" s="187"/>
      <c r="M1362" s="187"/>
      <c r="N1362" s="187"/>
      <c r="O1362" s="187"/>
      <c r="P1362" s="187"/>
      <c r="Q1362" s="187"/>
      <c r="R1362" s="187"/>
      <c r="S1362" s="187"/>
      <c r="T1362" s="187"/>
      <c r="U1362" s="187"/>
      <c r="V1362" s="187"/>
      <c r="W1362" s="188"/>
      <c r="X1362" s="695"/>
      <c r="Y1362" s="695"/>
    </row>
    <row r="1363" spans="1:25">
      <c r="A1363" s="187"/>
      <c r="B1363" s="187"/>
      <c r="C1363" s="187"/>
      <c r="D1363" s="187"/>
      <c r="E1363" s="187"/>
      <c r="F1363" s="187"/>
      <c r="G1363" s="187"/>
      <c r="H1363" s="187"/>
      <c r="I1363" s="187"/>
      <c r="J1363" s="187"/>
      <c r="K1363" s="187"/>
      <c r="L1363" s="187"/>
      <c r="M1363" s="187"/>
      <c r="N1363" s="187"/>
      <c r="O1363" s="187"/>
      <c r="P1363" s="187"/>
      <c r="Q1363" s="187"/>
      <c r="R1363" s="187"/>
      <c r="S1363" s="187"/>
      <c r="T1363" s="187"/>
      <c r="U1363" s="187"/>
      <c r="V1363" s="187"/>
      <c r="W1363" s="188"/>
      <c r="X1363" s="695"/>
      <c r="Y1363" s="695"/>
    </row>
    <row r="1364" spans="1:25">
      <c r="A1364" s="187"/>
      <c r="B1364" s="187"/>
      <c r="C1364" s="187"/>
      <c r="D1364" s="187"/>
      <c r="E1364" s="187"/>
      <c r="F1364" s="187"/>
      <c r="G1364" s="187"/>
      <c r="H1364" s="187"/>
      <c r="I1364" s="187"/>
      <c r="J1364" s="187"/>
      <c r="K1364" s="187"/>
      <c r="L1364" s="187"/>
      <c r="M1364" s="187"/>
      <c r="N1364" s="187"/>
      <c r="O1364" s="187"/>
      <c r="P1364" s="187"/>
      <c r="Q1364" s="187"/>
      <c r="R1364" s="187"/>
      <c r="S1364" s="187"/>
      <c r="T1364" s="187"/>
      <c r="U1364" s="187"/>
      <c r="V1364" s="187"/>
      <c r="W1364" s="188"/>
      <c r="X1364" s="695"/>
      <c r="Y1364" s="695"/>
    </row>
    <row r="1365" spans="1:25">
      <c r="A1365" s="187"/>
      <c r="B1365" s="187"/>
      <c r="C1365" s="187"/>
      <c r="D1365" s="187"/>
      <c r="E1365" s="187"/>
      <c r="F1365" s="187"/>
      <c r="G1365" s="187"/>
      <c r="H1365" s="187"/>
      <c r="I1365" s="187"/>
      <c r="J1365" s="187"/>
      <c r="K1365" s="187"/>
      <c r="L1365" s="187"/>
      <c r="M1365" s="187"/>
      <c r="N1365" s="187"/>
      <c r="O1365" s="187"/>
      <c r="P1365" s="187"/>
      <c r="Q1365" s="187"/>
      <c r="R1365" s="187"/>
      <c r="S1365" s="187"/>
      <c r="T1365" s="187"/>
      <c r="U1365" s="187"/>
      <c r="V1365" s="187"/>
      <c r="W1365" s="188"/>
      <c r="X1365" s="695"/>
      <c r="Y1365" s="695"/>
    </row>
    <row r="1366" spans="1:25">
      <c r="A1366" s="187"/>
      <c r="B1366" s="187"/>
      <c r="C1366" s="187"/>
      <c r="D1366" s="187"/>
      <c r="E1366" s="187"/>
      <c r="F1366" s="187"/>
      <c r="G1366" s="187"/>
      <c r="H1366" s="187"/>
      <c r="I1366" s="187"/>
      <c r="J1366" s="187"/>
      <c r="K1366" s="187"/>
      <c r="L1366" s="187"/>
      <c r="M1366" s="187"/>
      <c r="N1366" s="187"/>
      <c r="O1366" s="187"/>
      <c r="P1366" s="187"/>
      <c r="Q1366" s="187"/>
      <c r="R1366" s="187"/>
      <c r="S1366" s="187"/>
      <c r="T1366" s="187"/>
      <c r="U1366" s="187"/>
      <c r="V1366" s="187"/>
      <c r="W1366" s="188"/>
      <c r="X1366" s="695"/>
      <c r="Y1366" s="695"/>
    </row>
    <row r="1367" spans="1:25">
      <c r="A1367" s="187"/>
      <c r="B1367" s="187"/>
      <c r="C1367" s="187"/>
      <c r="D1367" s="187"/>
      <c r="E1367" s="187"/>
      <c r="F1367" s="187"/>
      <c r="G1367" s="187"/>
      <c r="H1367" s="187"/>
      <c r="I1367" s="187"/>
      <c r="J1367" s="187"/>
      <c r="K1367" s="187"/>
      <c r="L1367" s="187"/>
      <c r="M1367" s="187"/>
      <c r="N1367" s="187"/>
      <c r="O1367" s="187"/>
      <c r="P1367" s="187"/>
      <c r="Q1367" s="187"/>
      <c r="R1367" s="187"/>
      <c r="S1367" s="187"/>
      <c r="T1367" s="187"/>
      <c r="U1367" s="187"/>
      <c r="V1367" s="187"/>
      <c r="W1367" s="188"/>
      <c r="X1367" s="695"/>
      <c r="Y1367" s="695"/>
    </row>
    <row r="1368" spans="1:25">
      <c r="A1368" s="187"/>
      <c r="B1368" s="187"/>
      <c r="C1368" s="187"/>
      <c r="D1368" s="187"/>
      <c r="E1368" s="187"/>
      <c r="F1368" s="187"/>
      <c r="G1368" s="187"/>
      <c r="H1368" s="187"/>
      <c r="I1368" s="187"/>
      <c r="J1368" s="187"/>
      <c r="K1368" s="187"/>
      <c r="L1368" s="187"/>
      <c r="M1368" s="187"/>
      <c r="N1368" s="187"/>
      <c r="O1368" s="187"/>
      <c r="P1368" s="187"/>
      <c r="Q1368" s="187"/>
      <c r="R1368" s="187"/>
      <c r="S1368" s="187"/>
      <c r="T1368" s="187"/>
      <c r="U1368" s="187"/>
      <c r="V1368" s="187"/>
      <c r="W1368" s="188"/>
      <c r="X1368" s="695"/>
      <c r="Y1368" s="695"/>
    </row>
    <row r="1369" spans="1:25">
      <c r="A1369" s="187"/>
      <c r="B1369" s="187"/>
      <c r="C1369" s="187"/>
      <c r="D1369" s="187"/>
      <c r="E1369" s="187"/>
      <c r="F1369" s="187"/>
      <c r="G1369" s="187"/>
      <c r="H1369" s="187"/>
      <c r="I1369" s="187"/>
      <c r="J1369" s="187"/>
      <c r="K1369" s="187"/>
      <c r="L1369" s="187"/>
      <c r="M1369" s="187"/>
      <c r="N1369" s="187"/>
      <c r="O1369" s="187"/>
      <c r="P1369" s="187"/>
      <c r="Q1369" s="187"/>
      <c r="R1369" s="187"/>
      <c r="S1369" s="187"/>
      <c r="T1369" s="187"/>
      <c r="U1369" s="187"/>
      <c r="V1369" s="187"/>
      <c r="W1369" s="188"/>
      <c r="X1369" s="695"/>
      <c r="Y1369" s="695"/>
    </row>
    <row r="1370" spans="1:25">
      <c r="A1370" s="187"/>
      <c r="B1370" s="187"/>
      <c r="C1370" s="187"/>
      <c r="D1370" s="187"/>
      <c r="E1370" s="187"/>
      <c r="F1370" s="187"/>
      <c r="G1370" s="187"/>
      <c r="H1370" s="187"/>
      <c r="I1370" s="187"/>
      <c r="J1370" s="187"/>
      <c r="K1370" s="187"/>
      <c r="L1370" s="187"/>
      <c r="M1370" s="187"/>
      <c r="N1370" s="187"/>
      <c r="O1370" s="187"/>
      <c r="P1370" s="187"/>
      <c r="Q1370" s="187"/>
      <c r="R1370" s="187"/>
      <c r="S1370" s="187"/>
      <c r="T1370" s="187"/>
      <c r="U1370" s="187"/>
      <c r="V1370" s="187"/>
      <c r="W1370" s="188"/>
      <c r="X1370" s="695"/>
      <c r="Y1370" s="695"/>
    </row>
    <row r="1371" spans="1:25">
      <c r="A1371" s="187"/>
      <c r="B1371" s="187"/>
      <c r="C1371" s="187"/>
      <c r="D1371" s="187"/>
      <c r="E1371" s="187"/>
      <c r="F1371" s="187"/>
      <c r="G1371" s="187"/>
      <c r="H1371" s="187"/>
      <c r="I1371" s="187"/>
      <c r="J1371" s="187"/>
      <c r="K1371" s="187"/>
      <c r="L1371" s="187"/>
      <c r="M1371" s="187"/>
      <c r="N1371" s="187"/>
      <c r="O1371" s="187"/>
      <c r="P1371" s="187"/>
      <c r="Q1371" s="187"/>
      <c r="R1371" s="187"/>
      <c r="S1371" s="187"/>
      <c r="T1371" s="187"/>
      <c r="U1371" s="187"/>
      <c r="V1371" s="187"/>
      <c r="W1371" s="188"/>
      <c r="X1371" s="695"/>
      <c r="Y1371" s="695"/>
    </row>
    <row r="1372" spans="1:25">
      <c r="A1372" s="187"/>
      <c r="B1372" s="187"/>
      <c r="C1372" s="187"/>
      <c r="D1372" s="187"/>
      <c r="E1372" s="187"/>
      <c r="F1372" s="187"/>
      <c r="G1372" s="187"/>
      <c r="H1372" s="187"/>
      <c r="I1372" s="187"/>
      <c r="J1372" s="187"/>
      <c r="K1372" s="187"/>
      <c r="L1372" s="187"/>
      <c r="M1372" s="187"/>
      <c r="N1372" s="187"/>
      <c r="O1372" s="187"/>
      <c r="P1372" s="187"/>
      <c r="Q1372" s="187"/>
      <c r="R1372" s="187"/>
      <c r="S1372" s="187"/>
      <c r="T1372" s="187"/>
      <c r="U1372" s="187"/>
      <c r="V1372" s="187"/>
      <c r="W1372" s="188"/>
      <c r="X1372" s="695"/>
      <c r="Y1372" s="695"/>
    </row>
    <row r="1373" spans="1:25">
      <c r="A1373" s="187"/>
      <c r="B1373" s="187"/>
      <c r="C1373" s="187"/>
      <c r="D1373" s="187"/>
      <c r="E1373" s="187"/>
      <c r="F1373" s="187"/>
      <c r="G1373" s="187"/>
      <c r="H1373" s="187"/>
      <c r="I1373" s="187"/>
      <c r="J1373" s="187"/>
      <c r="K1373" s="187"/>
      <c r="L1373" s="187"/>
      <c r="M1373" s="187"/>
      <c r="N1373" s="187"/>
      <c r="O1373" s="187"/>
      <c r="P1373" s="187"/>
      <c r="Q1373" s="187"/>
      <c r="R1373" s="187"/>
      <c r="S1373" s="187"/>
      <c r="T1373" s="187"/>
      <c r="U1373" s="187"/>
      <c r="V1373" s="187"/>
      <c r="W1373" s="188"/>
      <c r="X1373" s="695"/>
      <c r="Y1373" s="695"/>
    </row>
    <row r="1374" spans="1:25">
      <c r="A1374" s="187"/>
      <c r="B1374" s="187"/>
      <c r="C1374" s="187"/>
      <c r="D1374" s="187"/>
      <c r="E1374" s="187"/>
      <c r="F1374" s="187"/>
      <c r="G1374" s="187"/>
      <c r="H1374" s="187"/>
      <c r="I1374" s="187"/>
      <c r="J1374" s="187"/>
      <c r="K1374" s="187"/>
      <c r="L1374" s="187"/>
      <c r="M1374" s="187"/>
      <c r="N1374" s="187"/>
      <c r="O1374" s="187"/>
      <c r="P1374" s="187"/>
      <c r="Q1374" s="187"/>
      <c r="R1374" s="187"/>
      <c r="S1374" s="187"/>
      <c r="T1374" s="187"/>
      <c r="U1374" s="187"/>
      <c r="V1374" s="187"/>
      <c r="W1374" s="188"/>
      <c r="X1374" s="695"/>
      <c r="Y1374" s="695"/>
    </row>
    <row r="1375" spans="1:25">
      <c r="A1375" s="187"/>
      <c r="B1375" s="187"/>
      <c r="C1375" s="187"/>
      <c r="D1375" s="187"/>
      <c r="E1375" s="187"/>
      <c r="F1375" s="187"/>
      <c r="G1375" s="187"/>
      <c r="H1375" s="187"/>
      <c r="I1375" s="187"/>
      <c r="J1375" s="187"/>
      <c r="K1375" s="187"/>
      <c r="L1375" s="187"/>
      <c r="M1375" s="187"/>
      <c r="N1375" s="187"/>
      <c r="O1375" s="187"/>
      <c r="P1375" s="187"/>
      <c r="Q1375" s="187"/>
      <c r="R1375" s="187"/>
      <c r="S1375" s="187"/>
      <c r="T1375" s="187"/>
      <c r="U1375" s="187"/>
      <c r="V1375" s="187"/>
      <c r="W1375" s="188"/>
      <c r="X1375" s="695"/>
      <c r="Y1375" s="695"/>
    </row>
    <row r="1376" spans="1:25">
      <c r="A1376" s="187"/>
      <c r="B1376" s="187"/>
      <c r="C1376" s="187"/>
      <c r="D1376" s="187"/>
      <c r="E1376" s="187"/>
      <c r="F1376" s="187"/>
      <c r="G1376" s="187"/>
      <c r="H1376" s="187"/>
      <c r="I1376" s="187"/>
      <c r="J1376" s="187"/>
      <c r="K1376" s="187"/>
      <c r="L1376" s="187"/>
      <c r="M1376" s="187"/>
      <c r="N1376" s="187"/>
      <c r="O1376" s="187"/>
      <c r="P1376" s="187"/>
      <c r="Q1376" s="187"/>
      <c r="R1376" s="187"/>
      <c r="S1376" s="187"/>
      <c r="T1376" s="187"/>
      <c r="U1376" s="187"/>
      <c r="V1376" s="187"/>
      <c r="W1376" s="188"/>
      <c r="X1376" s="695"/>
      <c r="Y1376" s="695"/>
    </row>
    <row r="1377" spans="1:25">
      <c r="A1377" s="187"/>
      <c r="B1377" s="187"/>
      <c r="C1377" s="187"/>
      <c r="D1377" s="187"/>
      <c r="E1377" s="187"/>
      <c r="F1377" s="187"/>
      <c r="G1377" s="187"/>
      <c r="H1377" s="187"/>
      <c r="I1377" s="187"/>
      <c r="J1377" s="187"/>
      <c r="K1377" s="187"/>
      <c r="L1377" s="187"/>
      <c r="M1377" s="187"/>
      <c r="N1377" s="187"/>
      <c r="O1377" s="187"/>
      <c r="P1377" s="187"/>
      <c r="Q1377" s="187"/>
      <c r="R1377" s="187"/>
      <c r="S1377" s="187"/>
      <c r="T1377" s="187"/>
      <c r="U1377" s="187"/>
      <c r="V1377" s="187"/>
      <c r="W1377" s="188"/>
      <c r="X1377" s="695"/>
      <c r="Y1377" s="695"/>
    </row>
    <row r="1378" spans="1:25">
      <c r="A1378" s="187"/>
      <c r="B1378" s="187"/>
      <c r="C1378" s="187"/>
      <c r="D1378" s="187"/>
      <c r="E1378" s="187"/>
      <c r="F1378" s="187"/>
      <c r="G1378" s="187"/>
      <c r="H1378" s="187"/>
      <c r="I1378" s="187"/>
      <c r="J1378" s="187"/>
      <c r="K1378" s="187"/>
      <c r="L1378" s="187"/>
      <c r="M1378" s="187"/>
      <c r="N1378" s="187"/>
      <c r="O1378" s="187"/>
      <c r="P1378" s="187"/>
      <c r="Q1378" s="187"/>
      <c r="R1378" s="187"/>
      <c r="S1378" s="187"/>
      <c r="T1378" s="187"/>
      <c r="U1378" s="187"/>
      <c r="V1378" s="187"/>
      <c r="W1378" s="188"/>
      <c r="X1378" s="695"/>
      <c r="Y1378" s="695"/>
    </row>
    <row r="1379" spans="1:25">
      <c r="A1379" s="187"/>
      <c r="B1379" s="187"/>
      <c r="C1379" s="187"/>
      <c r="D1379" s="187"/>
      <c r="E1379" s="187"/>
      <c r="F1379" s="187"/>
      <c r="G1379" s="187"/>
      <c r="H1379" s="187"/>
      <c r="I1379" s="187"/>
      <c r="J1379" s="187"/>
      <c r="K1379" s="187"/>
      <c r="L1379" s="187"/>
      <c r="M1379" s="187"/>
      <c r="N1379" s="187"/>
      <c r="O1379" s="187"/>
      <c r="P1379" s="187"/>
      <c r="Q1379" s="187"/>
      <c r="R1379" s="187"/>
      <c r="S1379" s="187"/>
      <c r="T1379" s="187"/>
      <c r="U1379" s="187"/>
      <c r="V1379" s="187"/>
      <c r="W1379" s="188"/>
      <c r="X1379" s="695"/>
      <c r="Y1379" s="695"/>
    </row>
    <row r="1380" spans="1:25">
      <c r="A1380" s="187"/>
      <c r="B1380" s="187"/>
      <c r="C1380" s="187"/>
      <c r="D1380" s="187"/>
      <c r="E1380" s="187"/>
      <c r="F1380" s="187"/>
      <c r="G1380" s="187"/>
      <c r="H1380" s="187"/>
      <c r="I1380" s="187"/>
      <c r="J1380" s="187"/>
      <c r="K1380" s="187"/>
      <c r="L1380" s="187"/>
      <c r="M1380" s="187"/>
      <c r="N1380" s="187"/>
      <c r="O1380" s="187"/>
      <c r="P1380" s="187"/>
      <c r="Q1380" s="187"/>
      <c r="R1380" s="187"/>
      <c r="S1380" s="187"/>
      <c r="T1380" s="187"/>
      <c r="U1380" s="187"/>
      <c r="V1380" s="187"/>
      <c r="W1380" s="188"/>
      <c r="X1380" s="695"/>
      <c r="Y1380" s="695"/>
    </row>
    <row r="1381" spans="1:25">
      <c r="A1381" s="187"/>
      <c r="B1381" s="187"/>
      <c r="C1381" s="187"/>
      <c r="D1381" s="187"/>
      <c r="E1381" s="187"/>
      <c r="F1381" s="187"/>
      <c r="G1381" s="187"/>
      <c r="H1381" s="187"/>
      <c r="I1381" s="187"/>
      <c r="J1381" s="187"/>
      <c r="K1381" s="187"/>
      <c r="L1381" s="187"/>
      <c r="M1381" s="187"/>
      <c r="N1381" s="187"/>
      <c r="O1381" s="187"/>
      <c r="P1381" s="187"/>
      <c r="Q1381" s="187"/>
      <c r="R1381" s="187"/>
      <c r="S1381" s="187"/>
      <c r="T1381" s="187"/>
      <c r="U1381" s="187"/>
      <c r="V1381" s="187"/>
      <c r="W1381" s="188"/>
      <c r="X1381" s="695"/>
      <c r="Y1381" s="695"/>
    </row>
    <row r="1382" spans="1:25">
      <c r="A1382" s="187"/>
      <c r="B1382" s="187"/>
      <c r="C1382" s="187"/>
      <c r="D1382" s="187"/>
      <c r="E1382" s="187"/>
      <c r="F1382" s="187"/>
      <c r="G1382" s="187"/>
      <c r="H1382" s="187"/>
      <c r="I1382" s="187"/>
      <c r="J1382" s="187"/>
      <c r="K1382" s="187"/>
      <c r="L1382" s="187"/>
      <c r="M1382" s="187"/>
      <c r="N1382" s="187"/>
      <c r="O1382" s="187"/>
      <c r="P1382" s="187"/>
      <c r="Q1382" s="187"/>
      <c r="R1382" s="187"/>
      <c r="S1382" s="187"/>
      <c r="T1382" s="187"/>
      <c r="U1382" s="187"/>
      <c r="V1382" s="187"/>
      <c r="W1382" s="188"/>
      <c r="X1382" s="695"/>
      <c r="Y1382" s="695"/>
    </row>
    <row r="1383" spans="1:25">
      <c r="A1383" s="187"/>
      <c r="B1383" s="187"/>
      <c r="C1383" s="187"/>
      <c r="D1383" s="187"/>
      <c r="E1383" s="187"/>
      <c r="F1383" s="187"/>
      <c r="G1383" s="187"/>
      <c r="H1383" s="187"/>
      <c r="I1383" s="187"/>
      <c r="J1383" s="187"/>
      <c r="K1383" s="187"/>
      <c r="L1383" s="187"/>
      <c r="M1383" s="187"/>
      <c r="N1383" s="187"/>
      <c r="O1383" s="187"/>
      <c r="P1383" s="187"/>
      <c r="Q1383" s="187"/>
      <c r="R1383" s="187"/>
      <c r="S1383" s="187"/>
      <c r="T1383" s="187"/>
      <c r="U1383" s="187"/>
      <c r="V1383" s="187"/>
      <c r="W1383" s="188"/>
      <c r="X1383" s="695"/>
      <c r="Y1383" s="695"/>
    </row>
    <row r="1384" spans="1:25">
      <c r="A1384" s="187"/>
      <c r="B1384" s="187"/>
      <c r="C1384" s="187"/>
      <c r="D1384" s="187"/>
      <c r="E1384" s="187"/>
      <c r="F1384" s="187"/>
      <c r="G1384" s="187"/>
      <c r="H1384" s="187"/>
      <c r="I1384" s="187"/>
      <c r="J1384" s="187"/>
      <c r="K1384" s="187"/>
      <c r="L1384" s="187"/>
      <c r="M1384" s="187"/>
      <c r="N1384" s="187"/>
      <c r="O1384" s="187"/>
      <c r="P1384" s="187"/>
      <c r="Q1384" s="187"/>
      <c r="R1384" s="187"/>
      <c r="S1384" s="187"/>
      <c r="T1384" s="187"/>
      <c r="U1384" s="187"/>
      <c r="V1384" s="187"/>
      <c r="W1384" s="188"/>
      <c r="X1384" s="695"/>
      <c r="Y1384" s="695"/>
    </row>
    <row r="1385" spans="1:25">
      <c r="A1385" s="187"/>
      <c r="B1385" s="187"/>
      <c r="C1385" s="187"/>
      <c r="D1385" s="187"/>
      <c r="E1385" s="187"/>
      <c r="F1385" s="187"/>
      <c r="G1385" s="187"/>
      <c r="H1385" s="187"/>
      <c r="I1385" s="187"/>
      <c r="J1385" s="187"/>
      <c r="K1385" s="187"/>
      <c r="L1385" s="187"/>
      <c r="M1385" s="187"/>
      <c r="N1385" s="187"/>
      <c r="O1385" s="187"/>
      <c r="P1385" s="187"/>
      <c r="Q1385" s="187"/>
      <c r="R1385" s="187"/>
      <c r="S1385" s="187"/>
      <c r="T1385" s="187"/>
      <c r="U1385" s="187"/>
      <c r="V1385" s="187"/>
      <c r="W1385" s="188"/>
      <c r="X1385" s="695"/>
      <c r="Y1385" s="695"/>
    </row>
    <row r="1386" spans="1:25">
      <c r="A1386" s="187"/>
      <c r="B1386" s="187"/>
      <c r="C1386" s="187"/>
      <c r="D1386" s="187"/>
      <c r="E1386" s="187"/>
      <c r="F1386" s="187"/>
      <c r="G1386" s="187"/>
      <c r="H1386" s="187"/>
      <c r="I1386" s="187"/>
      <c r="J1386" s="187"/>
      <c r="K1386" s="187"/>
      <c r="L1386" s="187"/>
      <c r="M1386" s="187"/>
      <c r="N1386" s="187"/>
      <c r="O1386" s="187"/>
      <c r="P1386" s="187"/>
      <c r="Q1386" s="187"/>
      <c r="R1386" s="187"/>
      <c r="S1386" s="187"/>
      <c r="T1386" s="187"/>
      <c r="U1386" s="187"/>
      <c r="V1386" s="187"/>
      <c r="W1386" s="188"/>
      <c r="X1386" s="695"/>
      <c r="Y1386" s="695"/>
    </row>
    <row r="1387" spans="1:25">
      <c r="A1387" s="187"/>
      <c r="B1387" s="187"/>
      <c r="C1387" s="187"/>
      <c r="D1387" s="187"/>
      <c r="E1387" s="187"/>
      <c r="F1387" s="187"/>
      <c r="G1387" s="187"/>
      <c r="H1387" s="187"/>
      <c r="I1387" s="187"/>
      <c r="J1387" s="187"/>
      <c r="K1387" s="187"/>
      <c r="L1387" s="187"/>
      <c r="M1387" s="187"/>
      <c r="N1387" s="187"/>
      <c r="O1387" s="187"/>
      <c r="P1387" s="187"/>
      <c r="Q1387" s="187"/>
      <c r="R1387" s="187"/>
      <c r="S1387" s="187"/>
      <c r="T1387" s="187"/>
      <c r="U1387" s="187"/>
      <c r="V1387" s="187"/>
      <c r="W1387" s="188"/>
      <c r="X1387" s="695"/>
      <c r="Y1387" s="695"/>
    </row>
    <row r="1388" spans="1:25">
      <c r="A1388" s="187"/>
      <c r="B1388" s="187"/>
      <c r="C1388" s="187"/>
      <c r="D1388" s="187"/>
      <c r="E1388" s="187"/>
      <c r="F1388" s="187"/>
      <c r="G1388" s="187"/>
      <c r="H1388" s="187"/>
      <c r="I1388" s="187"/>
      <c r="J1388" s="187"/>
      <c r="K1388" s="187"/>
      <c r="L1388" s="187"/>
      <c r="M1388" s="187"/>
      <c r="N1388" s="187"/>
      <c r="O1388" s="187"/>
      <c r="P1388" s="187"/>
      <c r="Q1388" s="187"/>
      <c r="R1388" s="187"/>
      <c r="S1388" s="187"/>
      <c r="T1388" s="187"/>
      <c r="U1388" s="187"/>
      <c r="V1388" s="187"/>
      <c r="W1388" s="188"/>
      <c r="X1388" s="695"/>
      <c r="Y1388" s="695"/>
    </row>
    <row r="1389" spans="1:25">
      <c r="A1389" s="187"/>
      <c r="B1389" s="187"/>
      <c r="C1389" s="187"/>
      <c r="D1389" s="187"/>
      <c r="E1389" s="187"/>
      <c r="F1389" s="187"/>
      <c r="G1389" s="187"/>
      <c r="H1389" s="187"/>
      <c r="I1389" s="187"/>
      <c r="J1389" s="187"/>
      <c r="K1389" s="187"/>
      <c r="L1389" s="187"/>
      <c r="M1389" s="187"/>
      <c r="N1389" s="187"/>
      <c r="O1389" s="187"/>
      <c r="P1389" s="187"/>
      <c r="Q1389" s="187"/>
      <c r="R1389" s="187"/>
      <c r="S1389" s="187"/>
      <c r="T1389" s="187"/>
      <c r="U1389" s="187"/>
      <c r="V1389" s="187"/>
      <c r="W1389" s="188"/>
      <c r="X1389" s="695"/>
      <c r="Y1389" s="695"/>
    </row>
    <row r="1390" spans="1:25">
      <c r="A1390" s="187"/>
      <c r="B1390" s="187"/>
      <c r="C1390" s="187"/>
      <c r="D1390" s="187"/>
      <c r="E1390" s="187"/>
      <c r="F1390" s="187"/>
      <c r="G1390" s="187"/>
      <c r="H1390" s="187"/>
      <c r="I1390" s="187"/>
      <c r="J1390" s="187"/>
      <c r="K1390" s="187"/>
      <c r="L1390" s="187"/>
      <c r="M1390" s="187"/>
      <c r="N1390" s="187"/>
      <c r="O1390" s="187"/>
      <c r="P1390" s="187"/>
      <c r="Q1390" s="187"/>
      <c r="R1390" s="187"/>
      <c r="S1390" s="187"/>
      <c r="T1390" s="187"/>
      <c r="U1390" s="187"/>
      <c r="V1390" s="187"/>
      <c r="W1390" s="188"/>
      <c r="X1390" s="695"/>
      <c r="Y1390" s="695"/>
    </row>
    <row r="1391" spans="1:25">
      <c r="A1391" s="187"/>
      <c r="B1391" s="187"/>
      <c r="C1391" s="187"/>
      <c r="D1391" s="187"/>
      <c r="E1391" s="187"/>
      <c r="F1391" s="187"/>
      <c r="G1391" s="187"/>
      <c r="H1391" s="187"/>
      <c r="I1391" s="187"/>
      <c r="J1391" s="187"/>
      <c r="K1391" s="187"/>
      <c r="L1391" s="187"/>
      <c r="M1391" s="187"/>
      <c r="N1391" s="187"/>
      <c r="O1391" s="187"/>
      <c r="P1391" s="187"/>
      <c r="Q1391" s="187"/>
      <c r="R1391" s="187"/>
      <c r="S1391" s="187"/>
      <c r="T1391" s="187"/>
      <c r="U1391" s="187"/>
      <c r="V1391" s="187"/>
      <c r="W1391" s="188"/>
      <c r="X1391" s="695"/>
      <c r="Y1391" s="695"/>
    </row>
    <row r="1392" spans="1:25">
      <c r="A1392" s="187"/>
      <c r="B1392" s="187"/>
      <c r="C1392" s="187"/>
      <c r="D1392" s="187"/>
      <c r="E1392" s="187"/>
      <c r="F1392" s="187"/>
      <c r="G1392" s="187"/>
      <c r="H1392" s="187"/>
      <c r="I1392" s="187"/>
      <c r="J1392" s="187"/>
      <c r="K1392" s="187"/>
      <c r="L1392" s="187"/>
      <c r="M1392" s="187"/>
      <c r="N1392" s="187"/>
      <c r="O1392" s="187"/>
      <c r="P1392" s="187"/>
      <c r="Q1392" s="187"/>
      <c r="R1392" s="187"/>
      <c r="S1392" s="187"/>
      <c r="T1392" s="187"/>
      <c r="U1392" s="187"/>
      <c r="V1392" s="187"/>
      <c r="W1392" s="188"/>
      <c r="X1392" s="695"/>
      <c r="Y1392" s="695"/>
    </row>
    <row r="1393" spans="1:25">
      <c r="A1393" s="187"/>
      <c r="B1393" s="187"/>
      <c r="C1393" s="187"/>
      <c r="D1393" s="187"/>
      <c r="E1393" s="187"/>
      <c r="F1393" s="187"/>
      <c r="G1393" s="187"/>
      <c r="H1393" s="187"/>
      <c r="I1393" s="187"/>
      <c r="J1393" s="187"/>
      <c r="K1393" s="187"/>
      <c r="L1393" s="187"/>
      <c r="M1393" s="187"/>
      <c r="N1393" s="187"/>
      <c r="O1393" s="187"/>
      <c r="P1393" s="187"/>
      <c r="Q1393" s="187"/>
      <c r="R1393" s="187"/>
      <c r="S1393" s="187"/>
      <c r="T1393" s="187"/>
      <c r="U1393" s="187"/>
      <c r="V1393" s="187"/>
      <c r="W1393" s="188"/>
      <c r="X1393" s="695"/>
      <c r="Y1393" s="695"/>
    </row>
    <row r="1394" spans="1:25">
      <c r="A1394" s="187"/>
      <c r="B1394" s="187"/>
      <c r="C1394" s="187"/>
      <c r="D1394" s="187"/>
      <c r="E1394" s="187"/>
      <c r="F1394" s="187"/>
      <c r="G1394" s="187"/>
      <c r="H1394" s="187"/>
      <c r="I1394" s="187"/>
      <c r="J1394" s="187"/>
      <c r="K1394" s="187"/>
      <c r="L1394" s="187"/>
      <c r="M1394" s="187"/>
      <c r="N1394" s="187"/>
      <c r="O1394" s="187"/>
      <c r="P1394" s="187"/>
      <c r="Q1394" s="187"/>
      <c r="R1394" s="187"/>
      <c r="S1394" s="187"/>
      <c r="T1394" s="187"/>
      <c r="U1394" s="187"/>
      <c r="V1394" s="187"/>
      <c r="W1394" s="188"/>
      <c r="X1394" s="695"/>
      <c r="Y1394" s="695"/>
    </row>
    <row r="1395" spans="1:25">
      <c r="A1395" s="187"/>
      <c r="B1395" s="187"/>
      <c r="C1395" s="187"/>
      <c r="D1395" s="187"/>
      <c r="E1395" s="187"/>
      <c r="F1395" s="187"/>
      <c r="G1395" s="187"/>
      <c r="H1395" s="187"/>
      <c r="I1395" s="187"/>
      <c r="J1395" s="187"/>
      <c r="K1395" s="187"/>
      <c r="L1395" s="187"/>
      <c r="M1395" s="187"/>
      <c r="N1395" s="187"/>
      <c r="O1395" s="187"/>
      <c r="P1395" s="187"/>
      <c r="Q1395" s="187"/>
      <c r="R1395" s="187"/>
      <c r="S1395" s="187"/>
      <c r="T1395" s="187"/>
      <c r="U1395" s="187"/>
      <c r="V1395" s="187"/>
      <c r="W1395" s="188"/>
      <c r="X1395" s="695"/>
      <c r="Y1395" s="695"/>
    </row>
    <row r="1396" spans="1:25">
      <c r="A1396" s="187"/>
      <c r="B1396" s="187"/>
      <c r="C1396" s="187"/>
      <c r="D1396" s="187"/>
      <c r="E1396" s="187"/>
      <c r="F1396" s="187"/>
      <c r="G1396" s="187"/>
      <c r="H1396" s="187"/>
      <c r="I1396" s="187"/>
      <c r="J1396" s="187"/>
      <c r="K1396" s="187"/>
      <c r="L1396" s="187"/>
      <c r="M1396" s="187"/>
      <c r="N1396" s="187"/>
      <c r="O1396" s="187"/>
      <c r="P1396" s="187"/>
      <c r="Q1396" s="187"/>
      <c r="R1396" s="187"/>
      <c r="S1396" s="187"/>
      <c r="T1396" s="187"/>
      <c r="U1396" s="187"/>
      <c r="V1396" s="187"/>
      <c r="W1396" s="188"/>
      <c r="X1396" s="695"/>
      <c r="Y1396" s="695"/>
    </row>
    <row r="1397" spans="1:25">
      <c r="A1397" s="187"/>
      <c r="B1397" s="187"/>
      <c r="C1397" s="187"/>
      <c r="D1397" s="187"/>
      <c r="E1397" s="187"/>
      <c r="F1397" s="187"/>
      <c r="G1397" s="187"/>
      <c r="H1397" s="187"/>
      <c r="I1397" s="187"/>
      <c r="J1397" s="187"/>
      <c r="K1397" s="187"/>
      <c r="L1397" s="187"/>
      <c r="M1397" s="187"/>
      <c r="N1397" s="187"/>
      <c r="O1397" s="187"/>
      <c r="P1397" s="187"/>
      <c r="Q1397" s="187"/>
      <c r="R1397" s="187"/>
      <c r="S1397" s="187"/>
      <c r="T1397" s="187"/>
      <c r="U1397" s="187"/>
      <c r="V1397" s="187"/>
      <c r="W1397" s="188"/>
      <c r="X1397" s="695"/>
      <c r="Y1397" s="695"/>
    </row>
    <row r="1398" spans="1:25">
      <c r="A1398" s="187"/>
      <c r="B1398" s="187"/>
      <c r="C1398" s="187"/>
      <c r="D1398" s="187"/>
      <c r="E1398" s="187"/>
      <c r="F1398" s="187"/>
      <c r="G1398" s="187"/>
      <c r="H1398" s="187"/>
      <c r="I1398" s="187"/>
      <c r="J1398" s="187"/>
      <c r="K1398" s="187"/>
      <c r="L1398" s="187"/>
      <c r="M1398" s="187"/>
      <c r="N1398" s="187"/>
      <c r="O1398" s="187"/>
      <c r="P1398" s="187"/>
      <c r="Q1398" s="187"/>
      <c r="R1398" s="187"/>
      <c r="S1398" s="187"/>
      <c r="T1398" s="187"/>
      <c r="U1398" s="187"/>
      <c r="V1398" s="187"/>
      <c r="W1398" s="188"/>
      <c r="X1398" s="695"/>
      <c r="Y1398" s="695"/>
    </row>
    <row r="1399" spans="1:25">
      <c r="A1399" s="187"/>
      <c r="B1399" s="187"/>
      <c r="C1399" s="187"/>
      <c r="D1399" s="187"/>
      <c r="E1399" s="187"/>
      <c r="F1399" s="187"/>
      <c r="G1399" s="187"/>
      <c r="H1399" s="187"/>
      <c r="I1399" s="187"/>
      <c r="J1399" s="187"/>
      <c r="K1399" s="187"/>
      <c r="L1399" s="187"/>
      <c r="M1399" s="187"/>
      <c r="N1399" s="187"/>
      <c r="O1399" s="187"/>
      <c r="P1399" s="187"/>
      <c r="Q1399" s="187"/>
      <c r="R1399" s="187"/>
      <c r="S1399" s="187"/>
      <c r="T1399" s="187"/>
      <c r="U1399" s="187"/>
      <c r="V1399" s="187"/>
      <c r="W1399" s="188"/>
      <c r="X1399" s="695"/>
      <c r="Y1399" s="695"/>
    </row>
    <row r="1400" spans="1:25">
      <c r="A1400" s="187"/>
      <c r="B1400" s="187"/>
      <c r="C1400" s="187"/>
      <c r="D1400" s="187"/>
      <c r="E1400" s="187"/>
      <c r="F1400" s="187"/>
      <c r="G1400" s="187"/>
      <c r="H1400" s="187"/>
      <c r="I1400" s="187"/>
      <c r="J1400" s="187"/>
      <c r="K1400" s="187"/>
      <c r="L1400" s="187"/>
      <c r="M1400" s="187"/>
      <c r="N1400" s="187"/>
      <c r="O1400" s="187"/>
      <c r="P1400" s="187"/>
      <c r="Q1400" s="187"/>
      <c r="R1400" s="187"/>
      <c r="S1400" s="187"/>
      <c r="T1400" s="187"/>
      <c r="U1400" s="187"/>
      <c r="V1400" s="187"/>
      <c r="W1400" s="188"/>
      <c r="X1400" s="695"/>
      <c r="Y1400" s="695"/>
    </row>
    <row r="1401" spans="1:25">
      <c r="A1401" s="187"/>
      <c r="B1401" s="187"/>
      <c r="C1401" s="187"/>
      <c r="D1401" s="187"/>
      <c r="E1401" s="187"/>
      <c r="F1401" s="187"/>
      <c r="G1401" s="187"/>
      <c r="H1401" s="187"/>
      <c r="I1401" s="187"/>
      <c r="J1401" s="187"/>
      <c r="K1401" s="187"/>
      <c r="L1401" s="187"/>
      <c r="M1401" s="187"/>
      <c r="N1401" s="187"/>
      <c r="O1401" s="187"/>
      <c r="P1401" s="187"/>
      <c r="Q1401" s="187"/>
      <c r="R1401" s="187"/>
      <c r="S1401" s="187"/>
      <c r="T1401" s="187"/>
      <c r="U1401" s="187"/>
      <c r="V1401" s="187"/>
      <c r="W1401" s="188"/>
      <c r="X1401" s="695"/>
      <c r="Y1401" s="695"/>
    </row>
    <row r="1402" spans="1:25">
      <c r="A1402" s="187"/>
      <c r="B1402" s="187"/>
      <c r="C1402" s="187"/>
      <c r="D1402" s="187"/>
      <c r="E1402" s="187"/>
      <c r="F1402" s="187"/>
      <c r="G1402" s="187"/>
      <c r="H1402" s="187"/>
      <c r="I1402" s="187"/>
      <c r="J1402" s="187"/>
      <c r="K1402" s="187"/>
      <c r="L1402" s="187"/>
      <c r="M1402" s="187"/>
      <c r="N1402" s="187"/>
      <c r="O1402" s="187"/>
      <c r="P1402" s="187"/>
      <c r="Q1402" s="187"/>
      <c r="R1402" s="187"/>
      <c r="S1402" s="187"/>
      <c r="T1402" s="187"/>
      <c r="U1402" s="187"/>
      <c r="V1402" s="187"/>
      <c r="W1402" s="188"/>
      <c r="X1402" s="695"/>
      <c r="Y1402" s="695"/>
    </row>
    <row r="1403" spans="1:25">
      <c r="A1403" s="187"/>
      <c r="B1403" s="187"/>
      <c r="C1403" s="187"/>
      <c r="D1403" s="187"/>
      <c r="E1403" s="187"/>
      <c r="F1403" s="187"/>
      <c r="G1403" s="187"/>
      <c r="H1403" s="187"/>
      <c r="I1403" s="187"/>
      <c r="J1403" s="187"/>
      <c r="K1403" s="187"/>
      <c r="L1403" s="187"/>
      <c r="M1403" s="187"/>
      <c r="N1403" s="187"/>
      <c r="O1403" s="187"/>
      <c r="P1403" s="187"/>
      <c r="Q1403" s="187"/>
      <c r="R1403" s="187"/>
      <c r="S1403" s="187"/>
      <c r="T1403" s="187"/>
      <c r="U1403" s="187"/>
      <c r="V1403" s="187"/>
      <c r="W1403" s="188"/>
      <c r="X1403" s="695"/>
      <c r="Y1403" s="695"/>
    </row>
    <row r="1404" spans="1:25">
      <c r="A1404" s="187"/>
      <c r="B1404" s="187"/>
      <c r="C1404" s="187"/>
      <c r="D1404" s="187"/>
      <c r="E1404" s="187"/>
      <c r="F1404" s="187"/>
      <c r="G1404" s="187"/>
      <c r="H1404" s="187"/>
      <c r="I1404" s="187"/>
      <c r="J1404" s="187"/>
      <c r="K1404" s="187"/>
      <c r="L1404" s="187"/>
      <c r="M1404" s="187"/>
      <c r="N1404" s="187"/>
      <c r="O1404" s="187"/>
      <c r="P1404" s="187"/>
      <c r="Q1404" s="187"/>
      <c r="R1404" s="187"/>
      <c r="S1404" s="187"/>
      <c r="T1404" s="187"/>
      <c r="U1404" s="187"/>
      <c r="V1404" s="187"/>
      <c r="W1404" s="188"/>
      <c r="X1404" s="695"/>
      <c r="Y1404" s="695"/>
    </row>
    <row r="1405" spans="1:25">
      <c r="A1405" s="187"/>
      <c r="B1405" s="187"/>
      <c r="C1405" s="187"/>
      <c r="D1405" s="187"/>
      <c r="E1405" s="187"/>
      <c r="F1405" s="187"/>
      <c r="G1405" s="187"/>
      <c r="H1405" s="187"/>
      <c r="I1405" s="187"/>
      <c r="J1405" s="187"/>
      <c r="K1405" s="187"/>
      <c r="L1405" s="187"/>
      <c r="M1405" s="187"/>
      <c r="N1405" s="187"/>
      <c r="O1405" s="187"/>
      <c r="P1405" s="187"/>
      <c r="Q1405" s="187"/>
      <c r="R1405" s="187"/>
      <c r="S1405" s="187"/>
      <c r="T1405" s="187"/>
      <c r="U1405" s="187"/>
      <c r="V1405" s="187"/>
      <c r="W1405" s="188"/>
      <c r="X1405" s="695"/>
      <c r="Y1405" s="695"/>
    </row>
    <row r="1406" spans="1:25">
      <c r="A1406" s="187"/>
      <c r="B1406" s="187"/>
      <c r="C1406" s="187"/>
      <c r="D1406" s="187"/>
      <c r="E1406" s="187"/>
      <c r="F1406" s="187"/>
      <c r="G1406" s="187"/>
      <c r="H1406" s="187"/>
      <c r="I1406" s="187"/>
      <c r="J1406" s="187"/>
      <c r="K1406" s="187"/>
      <c r="L1406" s="187"/>
      <c r="M1406" s="187"/>
      <c r="N1406" s="187"/>
      <c r="O1406" s="187"/>
      <c r="P1406" s="187"/>
      <c r="Q1406" s="187"/>
      <c r="R1406" s="187"/>
      <c r="S1406" s="187"/>
      <c r="T1406" s="187"/>
      <c r="U1406" s="187"/>
      <c r="V1406" s="187"/>
      <c r="W1406" s="188"/>
      <c r="X1406" s="695"/>
      <c r="Y1406" s="695"/>
    </row>
    <row r="1407" spans="1:25">
      <c r="A1407" s="187"/>
      <c r="B1407" s="187"/>
      <c r="C1407" s="187"/>
      <c r="D1407" s="187"/>
      <c r="E1407" s="187"/>
      <c r="F1407" s="187"/>
      <c r="G1407" s="187"/>
      <c r="H1407" s="187"/>
      <c r="I1407" s="187"/>
      <c r="J1407" s="187"/>
      <c r="K1407" s="187"/>
      <c r="L1407" s="187"/>
      <c r="M1407" s="187"/>
      <c r="N1407" s="187"/>
      <c r="O1407" s="187"/>
      <c r="P1407" s="187"/>
      <c r="Q1407" s="187"/>
      <c r="R1407" s="187"/>
      <c r="S1407" s="187"/>
      <c r="T1407" s="187"/>
      <c r="U1407" s="187"/>
      <c r="V1407" s="187"/>
      <c r="W1407" s="188"/>
      <c r="X1407" s="695"/>
      <c r="Y1407" s="695"/>
    </row>
    <row r="1408" spans="1:25">
      <c r="A1408" s="187"/>
      <c r="B1408" s="187"/>
      <c r="C1408" s="187"/>
      <c r="D1408" s="187"/>
      <c r="E1408" s="187"/>
      <c r="F1408" s="187"/>
      <c r="G1408" s="187"/>
      <c r="H1408" s="187"/>
      <c r="I1408" s="187"/>
      <c r="J1408" s="187"/>
      <c r="K1408" s="187"/>
      <c r="L1408" s="187"/>
      <c r="M1408" s="187"/>
      <c r="N1408" s="187"/>
      <c r="O1408" s="187"/>
      <c r="P1408" s="187"/>
      <c r="Q1408" s="187"/>
      <c r="R1408" s="187"/>
      <c r="S1408" s="187"/>
      <c r="T1408" s="187"/>
      <c r="U1408" s="187"/>
      <c r="V1408" s="187"/>
      <c r="W1408" s="188"/>
      <c r="X1408" s="695"/>
      <c r="Y1408" s="695"/>
    </row>
    <row r="1409" spans="1:25">
      <c r="A1409" s="187"/>
      <c r="B1409" s="187"/>
      <c r="C1409" s="187"/>
      <c r="D1409" s="187"/>
      <c r="E1409" s="187"/>
      <c r="F1409" s="187"/>
      <c r="G1409" s="187"/>
      <c r="H1409" s="187"/>
      <c r="I1409" s="187"/>
      <c r="J1409" s="187"/>
      <c r="K1409" s="187"/>
      <c r="L1409" s="187"/>
      <c r="M1409" s="187"/>
      <c r="N1409" s="187"/>
      <c r="O1409" s="187"/>
      <c r="P1409" s="187"/>
      <c r="Q1409" s="187"/>
      <c r="R1409" s="187"/>
      <c r="S1409" s="187"/>
      <c r="T1409" s="187"/>
      <c r="U1409" s="187"/>
      <c r="V1409" s="187"/>
      <c r="W1409" s="188"/>
      <c r="X1409" s="695"/>
      <c r="Y1409" s="695"/>
    </row>
    <row r="1410" spans="1:25">
      <c r="A1410" s="187"/>
      <c r="B1410" s="187"/>
      <c r="C1410" s="187"/>
      <c r="D1410" s="187"/>
      <c r="E1410" s="187"/>
      <c r="F1410" s="187"/>
      <c r="G1410" s="187"/>
      <c r="H1410" s="187"/>
      <c r="I1410" s="187"/>
      <c r="J1410" s="187"/>
      <c r="K1410" s="187"/>
      <c r="L1410" s="187"/>
      <c r="M1410" s="187"/>
      <c r="N1410" s="187"/>
      <c r="O1410" s="187"/>
      <c r="P1410" s="187"/>
      <c r="Q1410" s="187"/>
      <c r="R1410" s="187"/>
      <c r="S1410" s="187"/>
      <c r="T1410" s="187"/>
      <c r="U1410" s="187"/>
      <c r="V1410" s="187"/>
      <c r="W1410" s="188"/>
      <c r="X1410" s="695"/>
      <c r="Y1410" s="695"/>
    </row>
    <row r="1411" spans="1:25">
      <c r="A1411" s="187"/>
      <c r="B1411" s="187"/>
      <c r="C1411" s="187"/>
      <c r="D1411" s="187"/>
      <c r="E1411" s="187"/>
      <c r="F1411" s="187"/>
      <c r="G1411" s="187"/>
      <c r="H1411" s="187"/>
      <c r="I1411" s="187"/>
      <c r="J1411" s="187"/>
      <c r="K1411" s="187"/>
      <c r="L1411" s="187"/>
      <c r="M1411" s="187"/>
      <c r="N1411" s="187"/>
      <c r="O1411" s="187"/>
      <c r="P1411" s="187"/>
      <c r="Q1411" s="187"/>
      <c r="R1411" s="187"/>
      <c r="S1411" s="187"/>
      <c r="T1411" s="187"/>
      <c r="U1411" s="187"/>
      <c r="V1411" s="187"/>
      <c r="W1411" s="188"/>
      <c r="X1411" s="695"/>
      <c r="Y1411" s="695"/>
    </row>
    <row r="1412" spans="1:25">
      <c r="A1412" s="187"/>
      <c r="B1412" s="187"/>
      <c r="C1412" s="187"/>
      <c r="D1412" s="187"/>
      <c r="E1412" s="187"/>
      <c r="F1412" s="187"/>
      <c r="G1412" s="187"/>
      <c r="H1412" s="187"/>
      <c r="I1412" s="187"/>
      <c r="J1412" s="187"/>
      <c r="K1412" s="187"/>
      <c r="L1412" s="187"/>
      <c r="M1412" s="187"/>
      <c r="N1412" s="187"/>
      <c r="O1412" s="187"/>
      <c r="P1412" s="187"/>
      <c r="Q1412" s="187"/>
      <c r="R1412" s="187"/>
      <c r="S1412" s="187"/>
      <c r="T1412" s="187"/>
      <c r="U1412" s="187"/>
      <c r="V1412" s="187"/>
      <c r="W1412" s="188"/>
      <c r="X1412" s="695"/>
      <c r="Y1412" s="695"/>
    </row>
    <row r="1413" spans="1:25">
      <c r="A1413" s="187"/>
      <c r="B1413" s="187"/>
      <c r="C1413" s="187"/>
      <c r="D1413" s="187"/>
      <c r="E1413" s="187"/>
      <c r="F1413" s="187"/>
      <c r="G1413" s="187"/>
      <c r="H1413" s="187"/>
      <c r="I1413" s="187"/>
      <c r="J1413" s="187"/>
      <c r="K1413" s="187"/>
      <c r="L1413" s="187"/>
      <c r="M1413" s="187"/>
      <c r="N1413" s="187"/>
      <c r="O1413" s="187"/>
      <c r="P1413" s="187"/>
      <c r="Q1413" s="187"/>
      <c r="R1413" s="187"/>
      <c r="S1413" s="187"/>
      <c r="T1413" s="187"/>
      <c r="U1413" s="187"/>
      <c r="V1413" s="187"/>
      <c r="W1413" s="188"/>
      <c r="X1413" s="695"/>
      <c r="Y1413" s="695"/>
    </row>
    <row r="1414" spans="1:25">
      <c r="A1414" s="187"/>
      <c r="B1414" s="187"/>
      <c r="C1414" s="187"/>
      <c r="D1414" s="187"/>
      <c r="E1414" s="187"/>
      <c r="F1414" s="187"/>
      <c r="G1414" s="187"/>
      <c r="H1414" s="187"/>
      <c r="I1414" s="187"/>
      <c r="J1414" s="187"/>
      <c r="K1414" s="187"/>
      <c r="L1414" s="187"/>
      <c r="M1414" s="187"/>
      <c r="N1414" s="187"/>
      <c r="O1414" s="187"/>
      <c r="P1414" s="187"/>
      <c r="Q1414" s="187"/>
      <c r="R1414" s="187"/>
      <c r="S1414" s="187"/>
      <c r="T1414" s="187"/>
      <c r="U1414" s="187"/>
      <c r="V1414" s="187"/>
      <c r="W1414" s="188"/>
      <c r="X1414" s="695"/>
      <c r="Y1414" s="695"/>
    </row>
    <row r="1415" spans="1:25">
      <c r="A1415" s="187"/>
      <c r="B1415" s="187"/>
      <c r="C1415" s="187"/>
      <c r="D1415" s="187"/>
      <c r="E1415" s="187"/>
      <c r="F1415" s="187"/>
      <c r="G1415" s="187"/>
      <c r="H1415" s="187"/>
      <c r="I1415" s="187"/>
      <c r="J1415" s="187"/>
      <c r="K1415" s="187"/>
      <c r="L1415" s="187"/>
      <c r="M1415" s="187"/>
      <c r="N1415" s="187"/>
      <c r="O1415" s="187"/>
      <c r="P1415" s="187"/>
      <c r="Q1415" s="187"/>
      <c r="R1415" s="187"/>
      <c r="S1415" s="187"/>
      <c r="T1415" s="187"/>
      <c r="U1415" s="187"/>
      <c r="V1415" s="187"/>
      <c r="W1415" s="188"/>
      <c r="X1415" s="695"/>
      <c r="Y1415" s="695"/>
    </row>
    <row r="1416" spans="1:25">
      <c r="A1416" s="187"/>
      <c r="B1416" s="187"/>
      <c r="C1416" s="187"/>
      <c r="D1416" s="187"/>
      <c r="E1416" s="187"/>
      <c r="F1416" s="187"/>
      <c r="G1416" s="187"/>
      <c r="H1416" s="187"/>
      <c r="I1416" s="187"/>
      <c r="J1416" s="187"/>
      <c r="K1416" s="187"/>
      <c r="L1416" s="187"/>
      <c r="M1416" s="187"/>
      <c r="N1416" s="187"/>
      <c r="O1416" s="187"/>
      <c r="P1416" s="187"/>
      <c r="Q1416" s="187"/>
      <c r="R1416" s="187"/>
      <c r="S1416" s="187"/>
      <c r="T1416" s="187"/>
      <c r="U1416" s="187"/>
      <c r="V1416" s="187"/>
      <c r="W1416" s="188"/>
      <c r="X1416" s="695"/>
      <c r="Y1416" s="695"/>
    </row>
    <row r="1417" spans="1:25">
      <c r="A1417" s="187"/>
      <c r="B1417" s="187"/>
      <c r="C1417" s="187"/>
      <c r="D1417" s="187"/>
      <c r="E1417" s="187"/>
      <c r="F1417" s="187"/>
      <c r="G1417" s="187"/>
      <c r="H1417" s="187"/>
      <c r="I1417" s="187"/>
      <c r="J1417" s="187"/>
      <c r="K1417" s="187"/>
      <c r="L1417" s="187"/>
      <c r="M1417" s="187"/>
      <c r="N1417" s="187"/>
      <c r="O1417" s="187"/>
      <c r="P1417" s="187"/>
      <c r="Q1417" s="187"/>
      <c r="R1417" s="187"/>
      <c r="S1417" s="187"/>
      <c r="T1417" s="187"/>
      <c r="U1417" s="187"/>
      <c r="V1417" s="187"/>
      <c r="W1417" s="188"/>
      <c r="X1417" s="695"/>
      <c r="Y1417" s="695"/>
    </row>
    <row r="1418" spans="1:25">
      <c r="A1418" s="187"/>
      <c r="B1418" s="187"/>
      <c r="C1418" s="187"/>
      <c r="D1418" s="187"/>
      <c r="E1418" s="187"/>
      <c r="F1418" s="187"/>
      <c r="G1418" s="187"/>
      <c r="H1418" s="187"/>
      <c r="I1418" s="187"/>
      <c r="J1418" s="187"/>
      <c r="K1418" s="187"/>
      <c r="L1418" s="187"/>
      <c r="M1418" s="187"/>
      <c r="N1418" s="187"/>
      <c r="O1418" s="187"/>
      <c r="P1418" s="187"/>
      <c r="Q1418" s="187"/>
      <c r="R1418" s="187"/>
      <c r="S1418" s="187"/>
      <c r="T1418" s="187"/>
      <c r="U1418" s="187"/>
      <c r="V1418" s="187"/>
      <c r="W1418" s="188"/>
      <c r="X1418" s="695"/>
      <c r="Y1418" s="695"/>
    </row>
    <row r="1419" spans="1:25">
      <c r="A1419" s="187"/>
      <c r="B1419" s="187"/>
      <c r="C1419" s="187"/>
      <c r="D1419" s="187"/>
      <c r="E1419" s="187"/>
      <c r="F1419" s="187"/>
      <c r="G1419" s="187"/>
      <c r="H1419" s="187"/>
      <c r="I1419" s="187"/>
      <c r="J1419" s="187"/>
      <c r="K1419" s="187"/>
      <c r="L1419" s="187"/>
      <c r="M1419" s="187"/>
      <c r="N1419" s="187"/>
      <c r="O1419" s="187"/>
      <c r="P1419" s="187"/>
      <c r="Q1419" s="187"/>
      <c r="R1419" s="187"/>
      <c r="S1419" s="187"/>
      <c r="T1419" s="187"/>
      <c r="U1419" s="187"/>
      <c r="V1419" s="187"/>
      <c r="W1419" s="188"/>
      <c r="X1419" s="695"/>
      <c r="Y1419" s="695"/>
    </row>
    <row r="1420" spans="1:25">
      <c r="A1420" s="187"/>
      <c r="B1420" s="187"/>
      <c r="C1420" s="187"/>
      <c r="D1420" s="187"/>
      <c r="E1420" s="187"/>
      <c r="F1420" s="187"/>
      <c r="G1420" s="187"/>
      <c r="H1420" s="187"/>
      <c r="I1420" s="187"/>
      <c r="J1420" s="187"/>
      <c r="K1420" s="187"/>
      <c r="L1420" s="187"/>
      <c r="M1420" s="187"/>
      <c r="N1420" s="187"/>
      <c r="O1420" s="187"/>
      <c r="P1420" s="187"/>
      <c r="Q1420" s="187"/>
      <c r="R1420" s="187"/>
      <c r="S1420" s="187"/>
      <c r="T1420" s="187"/>
      <c r="U1420" s="187"/>
      <c r="V1420" s="187"/>
      <c r="W1420" s="188"/>
      <c r="X1420" s="695"/>
      <c r="Y1420" s="695"/>
    </row>
    <row r="1421" spans="1:25">
      <c r="A1421" s="187"/>
      <c r="B1421" s="187"/>
      <c r="C1421" s="187"/>
      <c r="D1421" s="187"/>
      <c r="E1421" s="187"/>
      <c r="F1421" s="187"/>
      <c r="G1421" s="187"/>
      <c r="H1421" s="187"/>
      <c r="I1421" s="187"/>
      <c r="J1421" s="187"/>
      <c r="K1421" s="187"/>
      <c r="L1421" s="187"/>
      <c r="M1421" s="187"/>
      <c r="N1421" s="187"/>
      <c r="O1421" s="187"/>
      <c r="P1421" s="187"/>
      <c r="Q1421" s="187"/>
      <c r="R1421" s="187"/>
      <c r="S1421" s="187"/>
      <c r="T1421" s="187"/>
      <c r="U1421" s="187"/>
      <c r="V1421" s="187"/>
      <c r="W1421" s="188"/>
      <c r="X1421" s="695"/>
      <c r="Y1421" s="695"/>
    </row>
    <row r="1422" spans="1:25">
      <c r="A1422" s="187"/>
      <c r="B1422" s="187"/>
      <c r="C1422" s="187"/>
      <c r="D1422" s="187"/>
      <c r="E1422" s="187"/>
      <c r="F1422" s="187"/>
      <c r="G1422" s="187"/>
      <c r="H1422" s="187"/>
      <c r="I1422" s="187"/>
      <c r="J1422" s="187"/>
      <c r="K1422" s="187"/>
      <c r="L1422" s="187"/>
      <c r="M1422" s="187"/>
      <c r="N1422" s="187"/>
      <c r="O1422" s="187"/>
      <c r="P1422" s="187"/>
      <c r="Q1422" s="187"/>
      <c r="R1422" s="187"/>
      <c r="S1422" s="187"/>
      <c r="T1422" s="187"/>
      <c r="U1422" s="187"/>
      <c r="V1422" s="187"/>
      <c r="W1422" s="188"/>
      <c r="X1422" s="695"/>
      <c r="Y1422" s="695"/>
    </row>
    <row r="1423" spans="1:25">
      <c r="A1423" s="187"/>
      <c r="B1423" s="187"/>
      <c r="C1423" s="187"/>
      <c r="D1423" s="187"/>
      <c r="E1423" s="187"/>
      <c r="F1423" s="187"/>
      <c r="G1423" s="187"/>
      <c r="H1423" s="187"/>
      <c r="I1423" s="187"/>
      <c r="J1423" s="187"/>
      <c r="K1423" s="187"/>
      <c r="L1423" s="187"/>
      <c r="M1423" s="187"/>
      <c r="N1423" s="187"/>
      <c r="O1423" s="187"/>
      <c r="P1423" s="187"/>
      <c r="Q1423" s="187"/>
      <c r="R1423" s="187"/>
      <c r="S1423" s="187"/>
      <c r="T1423" s="187"/>
      <c r="U1423" s="187"/>
      <c r="V1423" s="187"/>
      <c r="W1423" s="188"/>
      <c r="X1423" s="695"/>
      <c r="Y1423" s="695"/>
    </row>
    <row r="1424" spans="1:25">
      <c r="A1424" s="187"/>
      <c r="B1424" s="187"/>
      <c r="C1424" s="187"/>
      <c r="D1424" s="187"/>
      <c r="E1424" s="187"/>
      <c r="F1424" s="187"/>
      <c r="G1424" s="187"/>
      <c r="H1424" s="187"/>
      <c r="I1424" s="187"/>
      <c r="J1424" s="187"/>
      <c r="K1424" s="187"/>
      <c r="L1424" s="187"/>
      <c r="M1424" s="187"/>
      <c r="N1424" s="187"/>
      <c r="O1424" s="187"/>
      <c r="P1424" s="187"/>
      <c r="Q1424" s="187"/>
      <c r="R1424" s="187"/>
      <c r="S1424" s="187"/>
      <c r="T1424" s="187"/>
      <c r="U1424" s="187"/>
      <c r="V1424" s="187"/>
      <c r="W1424" s="188"/>
      <c r="X1424" s="695"/>
      <c r="Y1424" s="695"/>
    </row>
    <row r="1425" spans="1:25">
      <c r="A1425" s="187"/>
      <c r="B1425" s="187"/>
      <c r="C1425" s="187"/>
      <c r="D1425" s="187"/>
      <c r="E1425" s="187"/>
      <c r="F1425" s="187"/>
      <c r="G1425" s="187"/>
      <c r="H1425" s="187"/>
      <c r="I1425" s="187"/>
      <c r="J1425" s="187"/>
      <c r="K1425" s="187"/>
      <c r="L1425" s="187"/>
      <c r="M1425" s="187"/>
      <c r="N1425" s="187"/>
      <c r="O1425" s="187"/>
      <c r="P1425" s="187"/>
      <c r="Q1425" s="187"/>
      <c r="R1425" s="187"/>
      <c r="S1425" s="187"/>
      <c r="T1425" s="187"/>
      <c r="U1425" s="187"/>
      <c r="V1425" s="187"/>
      <c r="W1425" s="188"/>
      <c r="X1425" s="695"/>
      <c r="Y1425" s="695"/>
    </row>
    <row r="1426" spans="1:25">
      <c r="A1426" s="187"/>
      <c r="B1426" s="187"/>
      <c r="C1426" s="187"/>
      <c r="D1426" s="187"/>
      <c r="E1426" s="187"/>
      <c r="F1426" s="187"/>
      <c r="G1426" s="187"/>
      <c r="H1426" s="187"/>
      <c r="I1426" s="187"/>
      <c r="J1426" s="187"/>
      <c r="K1426" s="187"/>
      <c r="L1426" s="187"/>
      <c r="M1426" s="187"/>
      <c r="N1426" s="187"/>
      <c r="O1426" s="187"/>
      <c r="P1426" s="187"/>
      <c r="Q1426" s="187"/>
      <c r="R1426" s="187"/>
      <c r="S1426" s="187"/>
      <c r="T1426" s="187"/>
      <c r="U1426" s="187"/>
      <c r="V1426" s="187"/>
      <c r="W1426" s="188"/>
      <c r="X1426" s="695"/>
      <c r="Y1426" s="695"/>
    </row>
    <row r="1427" spans="1:25">
      <c r="A1427" s="187"/>
      <c r="B1427" s="187"/>
      <c r="C1427" s="187"/>
      <c r="D1427" s="187"/>
      <c r="E1427" s="187"/>
      <c r="F1427" s="187"/>
      <c r="G1427" s="187"/>
      <c r="H1427" s="187"/>
      <c r="I1427" s="187"/>
      <c r="J1427" s="187"/>
      <c r="K1427" s="187"/>
      <c r="L1427" s="187"/>
      <c r="M1427" s="187"/>
      <c r="N1427" s="187"/>
      <c r="O1427" s="187"/>
      <c r="P1427" s="187"/>
      <c r="Q1427" s="187"/>
      <c r="R1427" s="187"/>
      <c r="S1427" s="187"/>
      <c r="T1427" s="187"/>
      <c r="U1427" s="187"/>
      <c r="V1427" s="187"/>
      <c r="W1427" s="188"/>
      <c r="X1427" s="695"/>
      <c r="Y1427" s="695"/>
    </row>
    <row r="1428" spans="1:25">
      <c r="A1428" s="187"/>
      <c r="B1428" s="187"/>
      <c r="C1428" s="187"/>
      <c r="D1428" s="187"/>
      <c r="E1428" s="187"/>
      <c r="F1428" s="187"/>
      <c r="G1428" s="187"/>
      <c r="H1428" s="187"/>
      <c r="I1428" s="187"/>
      <c r="J1428" s="187"/>
      <c r="K1428" s="187"/>
      <c r="L1428" s="187"/>
      <c r="M1428" s="187"/>
      <c r="N1428" s="187"/>
      <c r="O1428" s="187"/>
      <c r="P1428" s="187"/>
      <c r="Q1428" s="187"/>
      <c r="R1428" s="187"/>
      <c r="S1428" s="187"/>
      <c r="T1428" s="187"/>
      <c r="U1428" s="187"/>
      <c r="V1428" s="187"/>
      <c r="W1428" s="188"/>
      <c r="X1428" s="695"/>
      <c r="Y1428" s="695"/>
    </row>
    <row r="1429" spans="1:25">
      <c r="A1429" s="187"/>
      <c r="B1429" s="187"/>
      <c r="C1429" s="187"/>
      <c r="D1429" s="187"/>
      <c r="E1429" s="187"/>
      <c r="F1429" s="187"/>
      <c r="G1429" s="187"/>
      <c r="H1429" s="187"/>
      <c r="I1429" s="187"/>
      <c r="J1429" s="187"/>
      <c r="K1429" s="187"/>
      <c r="L1429" s="187"/>
      <c r="M1429" s="187"/>
      <c r="N1429" s="187"/>
      <c r="O1429" s="187"/>
      <c r="P1429" s="187"/>
      <c r="Q1429" s="187"/>
      <c r="R1429" s="187"/>
      <c r="S1429" s="187"/>
      <c r="T1429" s="187"/>
      <c r="U1429" s="187"/>
      <c r="V1429" s="187"/>
      <c r="W1429" s="188"/>
      <c r="X1429" s="695"/>
      <c r="Y1429" s="695"/>
    </row>
    <row r="1430" spans="1:25">
      <c r="A1430" s="187"/>
      <c r="B1430" s="187"/>
      <c r="C1430" s="187"/>
      <c r="D1430" s="187"/>
      <c r="E1430" s="187"/>
      <c r="F1430" s="187"/>
      <c r="G1430" s="187"/>
      <c r="H1430" s="187"/>
      <c r="I1430" s="187"/>
      <c r="J1430" s="187"/>
      <c r="K1430" s="187"/>
      <c r="L1430" s="187"/>
      <c r="M1430" s="187"/>
      <c r="N1430" s="187"/>
      <c r="O1430" s="187"/>
      <c r="P1430" s="187"/>
      <c r="Q1430" s="187"/>
      <c r="R1430" s="187"/>
      <c r="S1430" s="187"/>
      <c r="T1430" s="187"/>
      <c r="U1430" s="187"/>
      <c r="V1430" s="187"/>
      <c r="W1430" s="188"/>
      <c r="X1430" s="695"/>
      <c r="Y1430" s="695"/>
    </row>
    <row r="1431" spans="1:25">
      <c r="A1431" s="187"/>
      <c r="B1431" s="187"/>
      <c r="C1431" s="187"/>
      <c r="D1431" s="187"/>
      <c r="E1431" s="187"/>
      <c r="F1431" s="187"/>
      <c r="G1431" s="187"/>
      <c r="H1431" s="187"/>
      <c r="I1431" s="187"/>
      <c r="J1431" s="187"/>
      <c r="K1431" s="187"/>
      <c r="L1431" s="187"/>
      <c r="M1431" s="187"/>
      <c r="N1431" s="187"/>
      <c r="O1431" s="187"/>
      <c r="P1431" s="187"/>
      <c r="Q1431" s="187"/>
      <c r="R1431" s="187"/>
      <c r="S1431" s="187"/>
      <c r="T1431" s="187"/>
      <c r="U1431" s="187"/>
      <c r="V1431" s="187"/>
      <c r="W1431" s="188"/>
      <c r="X1431" s="695"/>
      <c r="Y1431" s="695"/>
    </row>
    <row r="1432" spans="1:25">
      <c r="A1432" s="187"/>
      <c r="B1432" s="187"/>
      <c r="C1432" s="187"/>
      <c r="D1432" s="187"/>
      <c r="E1432" s="187"/>
      <c r="F1432" s="187"/>
      <c r="G1432" s="187"/>
      <c r="H1432" s="187"/>
      <c r="I1432" s="187"/>
      <c r="J1432" s="187"/>
      <c r="K1432" s="187"/>
      <c r="L1432" s="187"/>
      <c r="M1432" s="187"/>
      <c r="N1432" s="187"/>
      <c r="O1432" s="187"/>
      <c r="P1432" s="187"/>
      <c r="Q1432" s="187"/>
      <c r="R1432" s="187"/>
      <c r="S1432" s="187"/>
      <c r="T1432" s="187"/>
      <c r="U1432" s="187"/>
      <c r="V1432" s="187"/>
      <c r="W1432" s="188"/>
      <c r="X1432" s="695"/>
      <c r="Y1432" s="695"/>
    </row>
    <row r="1433" spans="1:25">
      <c r="A1433" s="187"/>
      <c r="B1433" s="187"/>
      <c r="C1433" s="187"/>
      <c r="D1433" s="187"/>
      <c r="E1433" s="187"/>
      <c r="F1433" s="187"/>
      <c r="G1433" s="187"/>
      <c r="H1433" s="187"/>
      <c r="I1433" s="187"/>
      <c r="J1433" s="187"/>
      <c r="K1433" s="187"/>
      <c r="L1433" s="187"/>
      <c r="M1433" s="187"/>
      <c r="N1433" s="187"/>
      <c r="O1433" s="187"/>
      <c r="P1433" s="187"/>
      <c r="Q1433" s="187"/>
      <c r="R1433" s="187"/>
      <c r="S1433" s="187"/>
      <c r="T1433" s="187"/>
      <c r="U1433" s="187"/>
      <c r="V1433" s="187"/>
      <c r="W1433" s="188"/>
      <c r="X1433" s="695"/>
      <c r="Y1433" s="695"/>
    </row>
    <row r="1434" spans="1:25">
      <c r="A1434" s="187"/>
      <c r="B1434" s="187"/>
      <c r="C1434" s="187"/>
      <c r="D1434" s="187"/>
      <c r="E1434" s="187"/>
      <c r="F1434" s="187"/>
      <c r="G1434" s="187"/>
      <c r="H1434" s="187"/>
      <c r="I1434" s="187"/>
      <c r="J1434" s="187"/>
      <c r="K1434" s="187"/>
      <c r="L1434" s="187"/>
      <c r="M1434" s="187"/>
      <c r="N1434" s="187"/>
      <c r="O1434" s="187"/>
      <c r="P1434" s="187"/>
      <c r="Q1434" s="187"/>
      <c r="R1434" s="187"/>
      <c r="S1434" s="187"/>
      <c r="T1434" s="187"/>
      <c r="U1434" s="187"/>
      <c r="V1434" s="187"/>
      <c r="W1434" s="188"/>
      <c r="X1434" s="695"/>
      <c r="Y1434" s="695"/>
    </row>
    <row r="1435" spans="1:25">
      <c r="A1435" s="187"/>
      <c r="B1435" s="187"/>
      <c r="C1435" s="187"/>
      <c r="D1435" s="187"/>
      <c r="E1435" s="187"/>
      <c r="F1435" s="187"/>
      <c r="G1435" s="187"/>
      <c r="H1435" s="187"/>
      <c r="I1435" s="187"/>
      <c r="J1435" s="187"/>
      <c r="K1435" s="187"/>
      <c r="L1435" s="187"/>
      <c r="M1435" s="187"/>
      <c r="N1435" s="187"/>
      <c r="O1435" s="187"/>
      <c r="P1435" s="187"/>
      <c r="Q1435" s="187"/>
      <c r="R1435" s="187"/>
      <c r="S1435" s="187"/>
      <c r="T1435" s="187"/>
      <c r="U1435" s="187"/>
      <c r="V1435" s="187"/>
      <c r="W1435" s="188"/>
      <c r="X1435" s="695"/>
      <c r="Y1435" s="695"/>
    </row>
    <row r="1436" spans="1:25">
      <c r="A1436" s="187"/>
      <c r="B1436" s="187"/>
      <c r="C1436" s="187"/>
      <c r="D1436" s="187"/>
      <c r="E1436" s="187"/>
      <c r="F1436" s="187"/>
      <c r="G1436" s="187"/>
      <c r="H1436" s="187"/>
      <c r="I1436" s="187"/>
      <c r="J1436" s="187"/>
      <c r="K1436" s="187"/>
      <c r="L1436" s="187"/>
      <c r="M1436" s="187"/>
      <c r="N1436" s="187"/>
      <c r="O1436" s="187"/>
      <c r="P1436" s="187"/>
      <c r="Q1436" s="187"/>
      <c r="R1436" s="187"/>
      <c r="S1436" s="187"/>
      <c r="T1436" s="187"/>
      <c r="U1436" s="187"/>
      <c r="V1436" s="187"/>
      <c r="W1436" s="188"/>
      <c r="X1436" s="695"/>
      <c r="Y1436" s="695"/>
    </row>
    <row r="1437" spans="1:25">
      <c r="A1437" s="187"/>
      <c r="B1437" s="187"/>
      <c r="C1437" s="187"/>
      <c r="D1437" s="187"/>
      <c r="E1437" s="187"/>
      <c r="F1437" s="187"/>
      <c r="G1437" s="187"/>
      <c r="H1437" s="187"/>
      <c r="I1437" s="187"/>
      <c r="J1437" s="187"/>
      <c r="K1437" s="187"/>
      <c r="L1437" s="187"/>
      <c r="M1437" s="187"/>
      <c r="N1437" s="187"/>
      <c r="O1437" s="187"/>
      <c r="P1437" s="187"/>
      <c r="Q1437" s="187"/>
      <c r="R1437" s="187"/>
      <c r="S1437" s="187"/>
      <c r="T1437" s="187"/>
      <c r="U1437" s="187"/>
      <c r="V1437" s="187"/>
      <c r="W1437" s="188"/>
      <c r="X1437" s="695"/>
      <c r="Y1437" s="695"/>
    </row>
    <row r="1438" spans="1:25">
      <c r="A1438" s="187"/>
      <c r="B1438" s="187"/>
      <c r="C1438" s="187"/>
      <c r="D1438" s="187"/>
      <c r="E1438" s="187"/>
      <c r="F1438" s="187"/>
      <c r="G1438" s="187"/>
      <c r="H1438" s="187"/>
      <c r="I1438" s="187"/>
      <c r="J1438" s="187"/>
      <c r="K1438" s="187"/>
      <c r="L1438" s="187"/>
      <c r="M1438" s="187"/>
      <c r="N1438" s="187"/>
      <c r="O1438" s="187"/>
      <c r="P1438" s="187"/>
      <c r="Q1438" s="187"/>
      <c r="R1438" s="187"/>
      <c r="S1438" s="187"/>
      <c r="T1438" s="187"/>
      <c r="U1438" s="187"/>
      <c r="V1438" s="187"/>
      <c r="W1438" s="188"/>
      <c r="X1438" s="695"/>
      <c r="Y1438" s="695"/>
    </row>
    <row r="1439" spans="1:25">
      <c r="A1439" s="187"/>
      <c r="B1439" s="187"/>
      <c r="C1439" s="187"/>
      <c r="D1439" s="187"/>
      <c r="E1439" s="187"/>
      <c r="F1439" s="187"/>
      <c r="G1439" s="187"/>
      <c r="H1439" s="187"/>
      <c r="I1439" s="187"/>
      <c r="J1439" s="187"/>
      <c r="K1439" s="187"/>
      <c r="L1439" s="187"/>
      <c r="M1439" s="187"/>
      <c r="N1439" s="187"/>
      <c r="O1439" s="187"/>
      <c r="P1439" s="187"/>
      <c r="Q1439" s="187"/>
      <c r="R1439" s="187"/>
      <c r="S1439" s="187"/>
      <c r="T1439" s="187"/>
      <c r="U1439" s="187"/>
      <c r="V1439" s="187"/>
      <c r="W1439" s="188"/>
      <c r="X1439" s="695"/>
      <c r="Y1439" s="695"/>
    </row>
    <row r="1440" spans="1:25">
      <c r="A1440" s="187"/>
      <c r="B1440" s="187"/>
      <c r="C1440" s="187"/>
      <c r="D1440" s="187"/>
      <c r="E1440" s="187"/>
      <c r="F1440" s="187"/>
      <c r="G1440" s="187"/>
      <c r="H1440" s="187"/>
      <c r="I1440" s="187"/>
      <c r="J1440" s="187"/>
      <c r="K1440" s="187"/>
      <c r="L1440" s="187"/>
      <c r="M1440" s="187"/>
      <c r="N1440" s="187"/>
      <c r="O1440" s="187"/>
      <c r="P1440" s="187"/>
      <c r="Q1440" s="187"/>
      <c r="R1440" s="187"/>
      <c r="S1440" s="187"/>
      <c r="T1440" s="187"/>
      <c r="U1440" s="187"/>
      <c r="V1440" s="187"/>
      <c r="W1440" s="188"/>
      <c r="X1440" s="695"/>
      <c r="Y1440" s="695"/>
    </row>
    <row r="1441" spans="1:25">
      <c r="A1441" s="187"/>
      <c r="B1441" s="187"/>
      <c r="C1441" s="187"/>
      <c r="D1441" s="187"/>
      <c r="E1441" s="187"/>
      <c r="F1441" s="187"/>
      <c r="G1441" s="187"/>
      <c r="H1441" s="187"/>
      <c r="I1441" s="187"/>
      <c r="J1441" s="187"/>
      <c r="K1441" s="187"/>
      <c r="L1441" s="187"/>
      <c r="M1441" s="187"/>
      <c r="N1441" s="187"/>
      <c r="O1441" s="187"/>
      <c r="P1441" s="187"/>
      <c r="Q1441" s="187"/>
      <c r="R1441" s="187"/>
      <c r="S1441" s="187"/>
      <c r="T1441" s="187"/>
      <c r="U1441" s="187"/>
      <c r="V1441" s="187"/>
      <c r="W1441" s="188"/>
      <c r="X1441" s="695"/>
      <c r="Y1441" s="695"/>
    </row>
    <row r="1442" spans="1:25">
      <c r="A1442" s="187"/>
      <c r="B1442" s="187"/>
      <c r="C1442" s="187"/>
      <c r="D1442" s="187"/>
      <c r="E1442" s="187"/>
      <c r="F1442" s="187"/>
      <c r="G1442" s="187"/>
      <c r="H1442" s="187"/>
      <c r="I1442" s="187"/>
      <c r="J1442" s="187"/>
      <c r="K1442" s="187"/>
      <c r="L1442" s="187"/>
      <c r="M1442" s="187"/>
      <c r="N1442" s="187"/>
      <c r="O1442" s="187"/>
      <c r="P1442" s="187"/>
      <c r="Q1442" s="187"/>
      <c r="R1442" s="187"/>
      <c r="S1442" s="187"/>
      <c r="T1442" s="187"/>
      <c r="U1442" s="187"/>
      <c r="V1442" s="187"/>
      <c r="W1442" s="188"/>
      <c r="X1442" s="695"/>
      <c r="Y1442" s="695"/>
    </row>
    <row r="1443" spans="1:25">
      <c r="A1443" s="187"/>
      <c r="B1443" s="187"/>
      <c r="C1443" s="187"/>
      <c r="D1443" s="187"/>
      <c r="E1443" s="187"/>
      <c r="F1443" s="187"/>
      <c r="G1443" s="187"/>
      <c r="H1443" s="187"/>
      <c r="I1443" s="187"/>
      <c r="J1443" s="187"/>
      <c r="K1443" s="187"/>
      <c r="L1443" s="187"/>
      <c r="M1443" s="187"/>
      <c r="N1443" s="187"/>
      <c r="O1443" s="187"/>
      <c r="P1443" s="187"/>
      <c r="Q1443" s="187"/>
      <c r="R1443" s="187"/>
      <c r="S1443" s="187"/>
      <c r="T1443" s="187"/>
      <c r="U1443" s="187"/>
      <c r="V1443" s="187"/>
      <c r="W1443" s="188"/>
      <c r="X1443" s="695"/>
      <c r="Y1443" s="695"/>
    </row>
    <row r="1444" spans="1:25">
      <c r="A1444" s="187"/>
      <c r="B1444" s="187"/>
      <c r="C1444" s="187"/>
      <c r="D1444" s="187"/>
      <c r="E1444" s="187"/>
      <c r="F1444" s="187"/>
      <c r="G1444" s="187"/>
      <c r="H1444" s="187"/>
      <c r="I1444" s="187"/>
      <c r="J1444" s="187"/>
      <c r="K1444" s="187"/>
      <c r="L1444" s="187"/>
      <c r="M1444" s="187"/>
      <c r="N1444" s="187"/>
      <c r="O1444" s="187"/>
      <c r="P1444" s="187"/>
      <c r="Q1444" s="187"/>
      <c r="R1444" s="187"/>
      <c r="S1444" s="187"/>
      <c r="T1444" s="187"/>
      <c r="U1444" s="187"/>
      <c r="V1444" s="187"/>
      <c r="W1444" s="188"/>
      <c r="X1444" s="695"/>
      <c r="Y1444" s="695"/>
    </row>
    <row r="1445" spans="1:25">
      <c r="A1445" s="187"/>
      <c r="B1445" s="187"/>
      <c r="C1445" s="187"/>
      <c r="D1445" s="187"/>
      <c r="E1445" s="187"/>
      <c r="F1445" s="187"/>
      <c r="G1445" s="187"/>
      <c r="H1445" s="187"/>
      <c r="I1445" s="187"/>
      <c r="J1445" s="187"/>
      <c r="K1445" s="187"/>
      <c r="L1445" s="187"/>
      <c r="M1445" s="187"/>
      <c r="N1445" s="187"/>
      <c r="O1445" s="187"/>
      <c r="P1445" s="187"/>
      <c r="Q1445" s="187"/>
      <c r="R1445" s="187"/>
      <c r="S1445" s="187"/>
      <c r="T1445" s="187"/>
      <c r="U1445" s="187"/>
      <c r="V1445" s="187"/>
      <c r="W1445" s="188"/>
      <c r="X1445" s="695"/>
      <c r="Y1445" s="695"/>
    </row>
    <row r="1446" spans="1:25">
      <c r="A1446" s="187"/>
      <c r="B1446" s="187"/>
      <c r="C1446" s="187"/>
      <c r="D1446" s="187"/>
      <c r="E1446" s="187"/>
      <c r="F1446" s="187"/>
      <c r="G1446" s="187"/>
      <c r="H1446" s="187"/>
      <c r="I1446" s="187"/>
      <c r="J1446" s="187"/>
      <c r="K1446" s="187"/>
      <c r="L1446" s="187"/>
      <c r="M1446" s="187"/>
      <c r="N1446" s="187"/>
      <c r="O1446" s="187"/>
      <c r="P1446" s="187"/>
      <c r="Q1446" s="187"/>
      <c r="R1446" s="187"/>
      <c r="S1446" s="187"/>
      <c r="T1446" s="187"/>
      <c r="U1446" s="187"/>
      <c r="V1446" s="187"/>
      <c r="W1446" s="188"/>
      <c r="X1446" s="695"/>
      <c r="Y1446" s="695"/>
    </row>
    <row r="1447" spans="1:25">
      <c r="A1447" s="187"/>
      <c r="B1447" s="187"/>
      <c r="C1447" s="187"/>
      <c r="D1447" s="187"/>
      <c r="E1447" s="187"/>
      <c r="F1447" s="187"/>
      <c r="G1447" s="187"/>
      <c r="H1447" s="187"/>
      <c r="I1447" s="187"/>
      <c r="J1447" s="187"/>
      <c r="K1447" s="187"/>
      <c r="L1447" s="187"/>
      <c r="M1447" s="187"/>
      <c r="N1447" s="187"/>
      <c r="O1447" s="187"/>
      <c r="P1447" s="187"/>
      <c r="Q1447" s="187"/>
      <c r="R1447" s="187"/>
      <c r="S1447" s="187"/>
      <c r="T1447" s="187"/>
      <c r="U1447" s="187"/>
      <c r="V1447" s="187"/>
      <c r="W1447" s="188"/>
      <c r="X1447" s="695"/>
      <c r="Y1447" s="695"/>
    </row>
    <row r="1448" spans="1:25">
      <c r="A1448" s="187"/>
      <c r="B1448" s="187"/>
      <c r="C1448" s="187"/>
      <c r="D1448" s="187"/>
      <c r="E1448" s="187"/>
      <c r="F1448" s="187"/>
      <c r="G1448" s="187"/>
      <c r="H1448" s="187"/>
      <c r="I1448" s="187"/>
      <c r="J1448" s="187"/>
      <c r="K1448" s="187"/>
      <c r="L1448" s="187"/>
      <c r="M1448" s="187"/>
      <c r="N1448" s="187"/>
      <c r="O1448" s="187"/>
      <c r="P1448" s="187"/>
      <c r="Q1448" s="187"/>
      <c r="R1448" s="187"/>
      <c r="S1448" s="187"/>
      <c r="T1448" s="187"/>
      <c r="U1448" s="187"/>
      <c r="V1448" s="187"/>
      <c r="W1448" s="188"/>
      <c r="X1448" s="695"/>
      <c r="Y1448" s="695"/>
    </row>
    <row r="1449" spans="1:25">
      <c r="A1449" s="187"/>
      <c r="B1449" s="187"/>
      <c r="C1449" s="187"/>
      <c r="D1449" s="187"/>
      <c r="E1449" s="187"/>
      <c r="F1449" s="187"/>
      <c r="G1449" s="187"/>
      <c r="H1449" s="187"/>
      <c r="I1449" s="187"/>
      <c r="J1449" s="187"/>
      <c r="K1449" s="187"/>
      <c r="L1449" s="187"/>
      <c r="M1449" s="187"/>
      <c r="N1449" s="187"/>
      <c r="O1449" s="187"/>
      <c r="P1449" s="187"/>
      <c r="Q1449" s="187"/>
      <c r="R1449" s="187"/>
      <c r="S1449" s="187"/>
      <c r="T1449" s="187"/>
      <c r="U1449" s="187"/>
      <c r="V1449" s="187"/>
      <c r="W1449" s="188"/>
      <c r="X1449" s="695"/>
      <c r="Y1449" s="695"/>
    </row>
    <row r="1450" spans="1:25">
      <c r="A1450" s="187"/>
      <c r="B1450" s="187"/>
      <c r="C1450" s="187"/>
      <c r="D1450" s="187"/>
      <c r="E1450" s="187"/>
      <c r="F1450" s="187"/>
      <c r="G1450" s="187"/>
      <c r="H1450" s="187"/>
      <c r="I1450" s="187"/>
      <c r="J1450" s="187"/>
      <c r="K1450" s="187"/>
      <c r="L1450" s="187"/>
      <c r="M1450" s="187"/>
      <c r="N1450" s="187"/>
      <c r="O1450" s="187"/>
      <c r="P1450" s="187"/>
      <c r="Q1450" s="187"/>
      <c r="R1450" s="187"/>
      <c r="S1450" s="187"/>
      <c r="T1450" s="187"/>
      <c r="U1450" s="187"/>
      <c r="V1450" s="187"/>
      <c r="W1450" s="188"/>
      <c r="X1450" s="695"/>
      <c r="Y1450" s="695"/>
    </row>
    <row r="1451" spans="1:25">
      <c r="A1451" s="187"/>
      <c r="B1451" s="187"/>
      <c r="C1451" s="187"/>
      <c r="D1451" s="187"/>
      <c r="E1451" s="187"/>
      <c r="F1451" s="187"/>
      <c r="G1451" s="187"/>
      <c r="H1451" s="187"/>
      <c r="I1451" s="187"/>
      <c r="J1451" s="187"/>
      <c r="K1451" s="187"/>
      <c r="L1451" s="187"/>
      <c r="M1451" s="187"/>
      <c r="N1451" s="187"/>
      <c r="O1451" s="187"/>
      <c r="P1451" s="187"/>
      <c r="Q1451" s="187"/>
      <c r="R1451" s="187"/>
      <c r="S1451" s="187"/>
      <c r="T1451" s="187"/>
      <c r="U1451" s="187"/>
      <c r="V1451" s="187"/>
      <c r="W1451" s="188"/>
      <c r="X1451" s="695"/>
      <c r="Y1451" s="695"/>
    </row>
    <row r="1452" spans="1:25">
      <c r="A1452" s="187"/>
      <c r="B1452" s="187"/>
      <c r="C1452" s="187"/>
      <c r="D1452" s="187"/>
      <c r="E1452" s="187"/>
      <c r="F1452" s="187"/>
      <c r="G1452" s="187"/>
      <c r="H1452" s="187"/>
      <c r="I1452" s="187"/>
      <c r="J1452" s="187"/>
      <c r="K1452" s="187"/>
      <c r="L1452" s="187"/>
      <c r="M1452" s="187"/>
      <c r="N1452" s="187"/>
      <c r="O1452" s="187"/>
      <c r="P1452" s="187"/>
      <c r="Q1452" s="187"/>
      <c r="R1452" s="187"/>
      <c r="S1452" s="187"/>
      <c r="T1452" s="187"/>
      <c r="U1452" s="187"/>
      <c r="V1452" s="187"/>
      <c r="W1452" s="188"/>
      <c r="X1452" s="695"/>
      <c r="Y1452" s="695"/>
    </row>
    <row r="1453" spans="1:25">
      <c r="A1453" s="187"/>
      <c r="B1453" s="187"/>
      <c r="C1453" s="187"/>
      <c r="D1453" s="187"/>
      <c r="E1453" s="187"/>
      <c r="F1453" s="187"/>
      <c r="G1453" s="187"/>
      <c r="H1453" s="187"/>
      <c r="I1453" s="187"/>
      <c r="J1453" s="187"/>
      <c r="K1453" s="187"/>
      <c r="L1453" s="187"/>
      <c r="M1453" s="187"/>
      <c r="N1453" s="187"/>
      <c r="O1453" s="187"/>
      <c r="P1453" s="187"/>
      <c r="Q1453" s="187"/>
      <c r="R1453" s="187"/>
      <c r="S1453" s="187"/>
      <c r="T1453" s="187"/>
      <c r="U1453" s="187"/>
      <c r="V1453" s="187"/>
      <c r="W1453" s="188"/>
      <c r="X1453" s="695"/>
      <c r="Y1453" s="695"/>
    </row>
    <row r="1454" spans="1:25">
      <c r="A1454" s="187"/>
      <c r="B1454" s="187"/>
      <c r="C1454" s="187"/>
      <c r="D1454" s="187"/>
      <c r="E1454" s="187"/>
      <c r="F1454" s="187"/>
      <c r="G1454" s="187"/>
      <c r="H1454" s="187"/>
      <c r="I1454" s="187"/>
      <c r="J1454" s="187"/>
      <c r="K1454" s="187"/>
      <c r="L1454" s="187"/>
      <c r="M1454" s="187"/>
      <c r="N1454" s="187"/>
      <c r="O1454" s="187"/>
      <c r="P1454" s="187"/>
      <c r="Q1454" s="187"/>
      <c r="R1454" s="187"/>
      <c r="S1454" s="187"/>
      <c r="T1454" s="187"/>
      <c r="U1454" s="187"/>
      <c r="V1454" s="187"/>
      <c r="W1454" s="188"/>
      <c r="X1454" s="695"/>
      <c r="Y1454" s="695"/>
    </row>
    <row r="1455" spans="1:25">
      <c r="A1455" s="187"/>
      <c r="B1455" s="187"/>
      <c r="C1455" s="187"/>
      <c r="D1455" s="187"/>
      <c r="E1455" s="187"/>
      <c r="F1455" s="187"/>
      <c r="G1455" s="187"/>
      <c r="H1455" s="187"/>
      <c r="I1455" s="187"/>
      <c r="J1455" s="187"/>
      <c r="K1455" s="187"/>
      <c r="L1455" s="187"/>
      <c r="M1455" s="187"/>
      <c r="N1455" s="187"/>
      <c r="O1455" s="187"/>
      <c r="P1455" s="187"/>
      <c r="Q1455" s="187"/>
      <c r="R1455" s="187"/>
      <c r="S1455" s="187"/>
      <c r="T1455" s="187"/>
      <c r="U1455" s="187"/>
      <c r="V1455" s="187"/>
      <c r="W1455" s="188"/>
      <c r="X1455" s="695"/>
      <c r="Y1455" s="695"/>
    </row>
    <row r="1456" spans="1:25">
      <c r="A1456" s="187"/>
      <c r="B1456" s="187"/>
      <c r="C1456" s="187"/>
      <c r="D1456" s="187"/>
      <c r="E1456" s="187"/>
      <c r="F1456" s="187"/>
      <c r="G1456" s="187"/>
      <c r="H1456" s="187"/>
      <c r="I1456" s="187"/>
      <c r="J1456" s="187"/>
      <c r="K1456" s="187"/>
      <c r="L1456" s="187"/>
      <c r="M1456" s="187"/>
      <c r="N1456" s="187"/>
      <c r="O1456" s="187"/>
      <c r="P1456" s="187"/>
      <c r="Q1456" s="187"/>
      <c r="R1456" s="187"/>
      <c r="S1456" s="187"/>
      <c r="T1456" s="187"/>
      <c r="U1456" s="187"/>
      <c r="V1456" s="187"/>
      <c r="W1456" s="188"/>
      <c r="X1456" s="695"/>
      <c r="Y1456" s="695"/>
    </row>
    <row r="1457" spans="1:25">
      <c r="A1457" s="187"/>
      <c r="B1457" s="187"/>
      <c r="C1457" s="187"/>
      <c r="D1457" s="187"/>
      <c r="E1457" s="187"/>
      <c r="F1457" s="187"/>
      <c r="G1457" s="187"/>
      <c r="H1457" s="187"/>
      <c r="I1457" s="187"/>
      <c r="J1457" s="187"/>
      <c r="K1457" s="187"/>
      <c r="L1457" s="187"/>
      <c r="M1457" s="187"/>
      <c r="N1457" s="187"/>
      <c r="O1457" s="187"/>
      <c r="P1457" s="187"/>
      <c r="Q1457" s="187"/>
      <c r="R1457" s="187"/>
      <c r="S1457" s="187"/>
      <c r="T1457" s="187"/>
      <c r="U1457" s="187"/>
      <c r="V1457" s="187"/>
      <c r="W1457" s="188"/>
      <c r="X1457" s="695"/>
      <c r="Y1457" s="695"/>
    </row>
    <row r="1458" spans="1:25">
      <c r="A1458" s="187"/>
      <c r="B1458" s="187"/>
      <c r="C1458" s="187"/>
      <c r="D1458" s="187"/>
      <c r="E1458" s="187"/>
      <c r="F1458" s="187"/>
      <c r="G1458" s="187"/>
      <c r="H1458" s="187"/>
      <c r="I1458" s="187"/>
      <c r="J1458" s="187"/>
      <c r="K1458" s="187"/>
      <c r="L1458" s="187"/>
      <c r="M1458" s="187"/>
      <c r="N1458" s="187"/>
      <c r="O1458" s="187"/>
      <c r="P1458" s="187"/>
      <c r="Q1458" s="187"/>
      <c r="R1458" s="187"/>
      <c r="S1458" s="187"/>
      <c r="T1458" s="187"/>
      <c r="U1458" s="187"/>
      <c r="V1458" s="187"/>
      <c r="W1458" s="188"/>
      <c r="X1458" s="695"/>
      <c r="Y1458" s="695"/>
    </row>
    <row r="1459" spans="1:25">
      <c r="A1459" s="187"/>
      <c r="B1459" s="187"/>
      <c r="C1459" s="187"/>
      <c r="D1459" s="187"/>
      <c r="E1459" s="187"/>
      <c r="F1459" s="187"/>
      <c r="G1459" s="187"/>
      <c r="H1459" s="187"/>
      <c r="I1459" s="187"/>
      <c r="J1459" s="187"/>
      <c r="K1459" s="187"/>
      <c r="L1459" s="187"/>
      <c r="M1459" s="187"/>
      <c r="N1459" s="187"/>
      <c r="O1459" s="187"/>
      <c r="P1459" s="187"/>
      <c r="Q1459" s="187"/>
      <c r="R1459" s="187"/>
      <c r="S1459" s="187"/>
      <c r="T1459" s="187"/>
      <c r="U1459" s="187"/>
      <c r="V1459" s="187"/>
      <c r="W1459" s="188"/>
      <c r="X1459" s="695"/>
      <c r="Y1459" s="695"/>
    </row>
    <row r="1460" spans="1:25">
      <c r="A1460" s="187"/>
      <c r="B1460" s="187"/>
      <c r="C1460" s="187"/>
      <c r="D1460" s="187"/>
      <c r="E1460" s="187"/>
      <c r="F1460" s="187"/>
      <c r="G1460" s="187"/>
      <c r="H1460" s="187"/>
      <c r="I1460" s="187"/>
      <c r="J1460" s="187"/>
      <c r="K1460" s="187"/>
      <c r="L1460" s="187"/>
      <c r="M1460" s="187"/>
      <c r="N1460" s="187"/>
      <c r="O1460" s="187"/>
      <c r="P1460" s="187"/>
      <c r="Q1460" s="187"/>
      <c r="R1460" s="187"/>
      <c r="S1460" s="187"/>
      <c r="T1460" s="187"/>
      <c r="U1460" s="187"/>
      <c r="V1460" s="187"/>
      <c r="W1460" s="188"/>
      <c r="X1460" s="695"/>
      <c r="Y1460" s="695"/>
    </row>
    <row r="1461" spans="1:25">
      <c r="A1461" s="187"/>
      <c r="B1461" s="187"/>
      <c r="C1461" s="187"/>
      <c r="D1461" s="187"/>
      <c r="E1461" s="187"/>
      <c r="F1461" s="187"/>
      <c r="G1461" s="187"/>
      <c r="H1461" s="187"/>
      <c r="I1461" s="187"/>
      <c r="J1461" s="187"/>
      <c r="K1461" s="187"/>
      <c r="L1461" s="187"/>
      <c r="M1461" s="187"/>
      <c r="N1461" s="187"/>
      <c r="O1461" s="187"/>
      <c r="P1461" s="187"/>
      <c r="Q1461" s="187"/>
      <c r="R1461" s="187"/>
      <c r="S1461" s="187"/>
      <c r="T1461" s="187"/>
      <c r="U1461" s="187"/>
      <c r="V1461" s="187"/>
      <c r="W1461" s="188"/>
      <c r="X1461" s="695"/>
      <c r="Y1461" s="695"/>
    </row>
    <row r="1462" spans="1:25">
      <c r="A1462" s="187"/>
      <c r="B1462" s="187"/>
      <c r="C1462" s="187"/>
      <c r="D1462" s="187"/>
      <c r="E1462" s="187"/>
      <c r="F1462" s="187"/>
      <c r="G1462" s="187"/>
      <c r="H1462" s="187"/>
      <c r="I1462" s="187"/>
      <c r="J1462" s="187"/>
      <c r="K1462" s="187"/>
      <c r="L1462" s="187"/>
      <c r="M1462" s="187"/>
      <c r="N1462" s="187"/>
      <c r="O1462" s="187"/>
      <c r="P1462" s="187"/>
      <c r="Q1462" s="187"/>
      <c r="R1462" s="187"/>
      <c r="S1462" s="187"/>
      <c r="T1462" s="187"/>
      <c r="U1462" s="187"/>
      <c r="V1462" s="187"/>
      <c r="W1462" s="188"/>
      <c r="X1462" s="695"/>
      <c r="Y1462" s="695"/>
    </row>
    <row r="1463" spans="1:25">
      <c r="A1463" s="187"/>
      <c r="B1463" s="187"/>
      <c r="C1463" s="187"/>
      <c r="D1463" s="187"/>
      <c r="E1463" s="187"/>
      <c r="F1463" s="187"/>
      <c r="G1463" s="187"/>
      <c r="H1463" s="187"/>
      <c r="I1463" s="187"/>
      <c r="J1463" s="187"/>
      <c r="K1463" s="187"/>
      <c r="L1463" s="187"/>
      <c r="M1463" s="187"/>
      <c r="N1463" s="187"/>
      <c r="O1463" s="187"/>
      <c r="P1463" s="187"/>
      <c r="Q1463" s="187"/>
      <c r="R1463" s="187"/>
      <c r="S1463" s="187"/>
      <c r="T1463" s="187"/>
      <c r="U1463" s="187"/>
      <c r="V1463" s="187"/>
      <c r="W1463" s="188"/>
      <c r="X1463" s="695"/>
      <c r="Y1463" s="695"/>
    </row>
    <row r="1464" spans="1:25">
      <c r="A1464" s="187"/>
      <c r="B1464" s="187"/>
      <c r="C1464" s="187"/>
      <c r="D1464" s="187"/>
      <c r="E1464" s="187"/>
      <c r="F1464" s="187"/>
      <c r="G1464" s="187"/>
      <c r="H1464" s="187"/>
      <c r="I1464" s="187"/>
      <c r="J1464" s="187"/>
      <c r="K1464" s="187"/>
      <c r="L1464" s="187"/>
      <c r="M1464" s="187"/>
      <c r="N1464" s="187"/>
      <c r="O1464" s="187"/>
      <c r="P1464" s="187"/>
      <c r="Q1464" s="187"/>
      <c r="R1464" s="187"/>
      <c r="S1464" s="187"/>
      <c r="T1464" s="187"/>
      <c r="U1464" s="187"/>
      <c r="V1464" s="187"/>
      <c r="W1464" s="188"/>
      <c r="X1464" s="695"/>
      <c r="Y1464" s="695"/>
    </row>
    <row r="1465" spans="1:25">
      <c r="A1465" s="187"/>
      <c r="B1465" s="187"/>
      <c r="C1465" s="187"/>
      <c r="D1465" s="187"/>
      <c r="E1465" s="187"/>
      <c r="F1465" s="187"/>
      <c r="G1465" s="187"/>
      <c r="H1465" s="187"/>
      <c r="I1465" s="187"/>
      <c r="J1465" s="187"/>
      <c r="K1465" s="187"/>
      <c r="L1465" s="187"/>
      <c r="M1465" s="187"/>
      <c r="N1465" s="187"/>
      <c r="O1465" s="187"/>
      <c r="P1465" s="187"/>
      <c r="Q1465" s="187"/>
      <c r="R1465" s="187"/>
      <c r="S1465" s="187"/>
      <c r="T1465" s="187"/>
      <c r="U1465" s="187"/>
      <c r="V1465" s="187"/>
      <c r="W1465" s="188"/>
      <c r="X1465" s="695"/>
      <c r="Y1465" s="695"/>
    </row>
    <row r="1466" spans="1:25">
      <c r="A1466" s="187"/>
      <c r="B1466" s="187"/>
      <c r="C1466" s="187"/>
      <c r="D1466" s="187"/>
      <c r="E1466" s="187"/>
      <c r="F1466" s="187"/>
      <c r="G1466" s="187"/>
      <c r="H1466" s="187"/>
      <c r="I1466" s="187"/>
      <c r="J1466" s="187"/>
      <c r="K1466" s="187"/>
      <c r="L1466" s="187"/>
      <c r="M1466" s="187"/>
      <c r="N1466" s="187"/>
      <c r="O1466" s="187"/>
      <c r="P1466" s="187"/>
      <c r="Q1466" s="187"/>
      <c r="R1466" s="187"/>
      <c r="S1466" s="187"/>
      <c r="T1466" s="187"/>
      <c r="U1466" s="187"/>
      <c r="V1466" s="187"/>
      <c r="W1466" s="188"/>
      <c r="X1466" s="695"/>
      <c r="Y1466" s="695"/>
    </row>
    <row r="1467" spans="1:25">
      <c r="A1467" s="187"/>
      <c r="B1467" s="187"/>
      <c r="C1467" s="187"/>
      <c r="D1467" s="187"/>
      <c r="E1467" s="187"/>
      <c r="F1467" s="187"/>
      <c r="G1467" s="187"/>
      <c r="H1467" s="187"/>
      <c r="I1467" s="187"/>
      <c r="J1467" s="187"/>
      <c r="K1467" s="187"/>
      <c r="L1467" s="187"/>
      <c r="M1467" s="187"/>
      <c r="N1467" s="187"/>
      <c r="O1467" s="187"/>
      <c r="P1467" s="187"/>
      <c r="Q1467" s="187"/>
      <c r="R1467" s="187"/>
      <c r="S1467" s="187"/>
      <c r="T1467" s="187"/>
      <c r="U1467" s="187"/>
      <c r="V1467" s="187"/>
      <c r="W1467" s="188"/>
      <c r="X1467" s="695"/>
      <c r="Y1467" s="695"/>
    </row>
    <row r="1468" spans="1:25">
      <c r="A1468" s="187"/>
      <c r="B1468" s="187"/>
      <c r="C1468" s="187"/>
      <c r="D1468" s="187"/>
      <c r="E1468" s="187"/>
      <c r="F1468" s="187"/>
      <c r="G1468" s="187"/>
      <c r="H1468" s="187"/>
      <c r="I1468" s="187"/>
      <c r="J1468" s="187"/>
      <c r="K1468" s="187"/>
      <c r="L1468" s="187"/>
      <c r="M1468" s="187"/>
      <c r="N1468" s="187"/>
      <c r="O1468" s="187"/>
      <c r="P1468" s="187"/>
      <c r="Q1468" s="187"/>
      <c r="R1468" s="187"/>
      <c r="S1468" s="187"/>
      <c r="T1468" s="187"/>
      <c r="U1468" s="187"/>
      <c r="V1468" s="187"/>
      <c r="W1468" s="188"/>
      <c r="X1468" s="695"/>
      <c r="Y1468" s="695"/>
    </row>
    <row r="1469" spans="1:25">
      <c r="A1469" s="187"/>
      <c r="B1469" s="187"/>
      <c r="C1469" s="187"/>
      <c r="D1469" s="187"/>
      <c r="E1469" s="187"/>
      <c r="F1469" s="187"/>
      <c r="G1469" s="187"/>
      <c r="H1469" s="187"/>
      <c r="I1469" s="187"/>
      <c r="J1469" s="187"/>
      <c r="K1469" s="187"/>
      <c r="L1469" s="187"/>
      <c r="M1469" s="187"/>
      <c r="N1469" s="187"/>
      <c r="O1469" s="187"/>
      <c r="P1469" s="187"/>
      <c r="Q1469" s="187"/>
      <c r="R1469" s="187"/>
      <c r="S1469" s="187"/>
      <c r="T1469" s="187"/>
      <c r="U1469" s="187"/>
      <c r="V1469" s="187"/>
      <c r="W1469" s="188"/>
      <c r="X1469" s="695"/>
      <c r="Y1469" s="695"/>
    </row>
    <row r="1470" spans="1:25">
      <c r="A1470" s="187"/>
      <c r="B1470" s="187"/>
      <c r="C1470" s="187"/>
      <c r="D1470" s="187"/>
      <c r="E1470" s="187"/>
      <c r="F1470" s="187"/>
      <c r="G1470" s="187"/>
      <c r="H1470" s="187"/>
      <c r="I1470" s="187"/>
      <c r="J1470" s="187"/>
      <c r="K1470" s="187"/>
      <c r="L1470" s="187"/>
      <c r="M1470" s="187"/>
      <c r="N1470" s="187"/>
      <c r="O1470" s="187"/>
      <c r="P1470" s="187"/>
      <c r="Q1470" s="187"/>
      <c r="R1470" s="187"/>
      <c r="S1470" s="187"/>
      <c r="T1470" s="187"/>
      <c r="U1470" s="187"/>
      <c r="V1470" s="187"/>
      <c r="W1470" s="188"/>
      <c r="X1470" s="695"/>
      <c r="Y1470" s="695"/>
    </row>
    <row r="1471" spans="1:25">
      <c r="A1471" s="187"/>
      <c r="B1471" s="187"/>
      <c r="C1471" s="187"/>
      <c r="D1471" s="187"/>
      <c r="E1471" s="187"/>
      <c r="F1471" s="187"/>
      <c r="G1471" s="187"/>
      <c r="H1471" s="187"/>
      <c r="I1471" s="187"/>
      <c r="J1471" s="187"/>
      <c r="K1471" s="187"/>
      <c r="L1471" s="187"/>
      <c r="M1471" s="187"/>
      <c r="N1471" s="187"/>
      <c r="O1471" s="187"/>
      <c r="P1471" s="187"/>
      <c r="Q1471" s="187"/>
      <c r="R1471" s="187"/>
      <c r="S1471" s="187"/>
      <c r="T1471" s="187"/>
      <c r="U1471" s="187"/>
      <c r="V1471" s="187"/>
      <c r="W1471" s="188"/>
      <c r="X1471" s="695"/>
      <c r="Y1471" s="695"/>
    </row>
    <row r="1472" spans="1:25">
      <c r="A1472" s="187"/>
      <c r="B1472" s="187"/>
      <c r="C1472" s="187"/>
      <c r="D1472" s="187"/>
      <c r="E1472" s="187"/>
      <c r="F1472" s="187"/>
      <c r="G1472" s="187"/>
      <c r="H1472" s="187"/>
      <c r="I1472" s="187"/>
      <c r="J1472" s="187"/>
      <c r="K1472" s="187"/>
      <c r="L1472" s="187"/>
      <c r="M1472" s="187"/>
      <c r="N1472" s="187"/>
      <c r="O1472" s="187"/>
      <c r="P1472" s="187"/>
      <c r="Q1472" s="187"/>
      <c r="R1472" s="187"/>
      <c r="S1472" s="187"/>
      <c r="T1472" s="187"/>
      <c r="U1472" s="187"/>
      <c r="V1472" s="187"/>
      <c r="W1472" s="188"/>
      <c r="X1472" s="695"/>
      <c r="Y1472" s="695"/>
    </row>
    <row r="1473" spans="1:25">
      <c r="A1473" s="187"/>
      <c r="B1473" s="187"/>
      <c r="C1473" s="187"/>
      <c r="D1473" s="187"/>
      <c r="E1473" s="187"/>
      <c r="F1473" s="187"/>
      <c r="G1473" s="187"/>
      <c r="H1473" s="187"/>
      <c r="I1473" s="187"/>
      <c r="J1473" s="187"/>
      <c r="K1473" s="187"/>
      <c r="L1473" s="187"/>
      <c r="M1473" s="187"/>
      <c r="N1473" s="187"/>
      <c r="O1473" s="187"/>
      <c r="P1473" s="187"/>
      <c r="Q1473" s="187"/>
      <c r="R1473" s="187"/>
      <c r="S1473" s="187"/>
      <c r="T1473" s="187"/>
      <c r="U1473" s="187"/>
      <c r="V1473" s="187"/>
      <c r="W1473" s="188"/>
      <c r="X1473" s="695"/>
      <c r="Y1473" s="695"/>
    </row>
    <row r="1474" spans="1:25">
      <c r="A1474" s="187"/>
      <c r="B1474" s="187"/>
      <c r="C1474" s="187"/>
      <c r="D1474" s="187"/>
      <c r="E1474" s="187"/>
      <c r="F1474" s="187"/>
      <c r="G1474" s="187"/>
      <c r="H1474" s="187"/>
      <c r="I1474" s="187"/>
      <c r="J1474" s="187"/>
      <c r="K1474" s="187"/>
      <c r="L1474" s="187"/>
      <c r="M1474" s="187"/>
      <c r="N1474" s="187"/>
      <c r="O1474" s="187"/>
      <c r="P1474" s="187"/>
      <c r="Q1474" s="187"/>
      <c r="R1474" s="187"/>
      <c r="S1474" s="187"/>
      <c r="T1474" s="187"/>
      <c r="U1474" s="187"/>
      <c r="V1474" s="187"/>
      <c r="W1474" s="188"/>
      <c r="X1474" s="695"/>
      <c r="Y1474" s="695"/>
    </row>
    <row r="1475" spans="1:25">
      <c r="A1475" s="187"/>
      <c r="B1475" s="187"/>
      <c r="C1475" s="187"/>
      <c r="D1475" s="187"/>
      <c r="E1475" s="187"/>
      <c r="F1475" s="187"/>
      <c r="G1475" s="187"/>
      <c r="H1475" s="187"/>
      <c r="I1475" s="187"/>
      <c r="J1475" s="187"/>
      <c r="K1475" s="187"/>
      <c r="L1475" s="187"/>
      <c r="M1475" s="187"/>
      <c r="N1475" s="187"/>
      <c r="O1475" s="187"/>
      <c r="P1475" s="187"/>
      <c r="Q1475" s="187"/>
      <c r="R1475" s="187"/>
      <c r="S1475" s="187"/>
      <c r="T1475" s="187"/>
      <c r="U1475" s="187"/>
      <c r="V1475" s="187"/>
      <c r="W1475" s="188"/>
      <c r="X1475" s="695"/>
      <c r="Y1475" s="695"/>
    </row>
    <row r="1476" spans="1:25">
      <c r="A1476" s="187"/>
      <c r="B1476" s="187"/>
      <c r="C1476" s="187"/>
      <c r="D1476" s="187"/>
      <c r="E1476" s="187"/>
      <c r="F1476" s="187"/>
      <c r="G1476" s="187"/>
      <c r="H1476" s="187"/>
      <c r="I1476" s="187"/>
      <c r="J1476" s="187"/>
      <c r="K1476" s="187"/>
      <c r="L1476" s="187"/>
      <c r="M1476" s="187"/>
      <c r="N1476" s="187"/>
      <c r="O1476" s="187"/>
      <c r="P1476" s="187"/>
      <c r="Q1476" s="187"/>
      <c r="R1476" s="187"/>
      <c r="S1476" s="187"/>
      <c r="T1476" s="187"/>
      <c r="U1476" s="187"/>
      <c r="V1476" s="187"/>
      <c r="W1476" s="188"/>
      <c r="X1476" s="695"/>
      <c r="Y1476" s="695"/>
    </row>
    <row r="1477" spans="1:25">
      <c r="A1477" s="187"/>
      <c r="B1477" s="187"/>
      <c r="C1477" s="187"/>
      <c r="D1477" s="187"/>
      <c r="E1477" s="187"/>
      <c r="F1477" s="187"/>
      <c r="G1477" s="187"/>
      <c r="H1477" s="187"/>
      <c r="I1477" s="187"/>
      <c r="J1477" s="187"/>
      <c r="K1477" s="187"/>
      <c r="L1477" s="187"/>
      <c r="M1477" s="187"/>
      <c r="N1477" s="187"/>
      <c r="O1477" s="187"/>
      <c r="P1477" s="187"/>
      <c r="Q1477" s="187"/>
      <c r="R1477" s="187"/>
      <c r="S1477" s="187"/>
      <c r="T1477" s="187"/>
      <c r="U1477" s="187"/>
      <c r="V1477" s="187"/>
      <c r="W1477" s="188"/>
      <c r="X1477" s="695"/>
      <c r="Y1477" s="695"/>
    </row>
    <row r="1478" spans="1:25">
      <c r="A1478" s="187"/>
      <c r="B1478" s="187"/>
      <c r="C1478" s="187"/>
      <c r="D1478" s="187"/>
      <c r="E1478" s="187"/>
      <c r="F1478" s="187"/>
      <c r="G1478" s="187"/>
      <c r="H1478" s="187"/>
      <c r="I1478" s="187"/>
      <c r="J1478" s="187"/>
      <c r="K1478" s="187"/>
      <c r="L1478" s="187"/>
      <c r="M1478" s="187"/>
      <c r="N1478" s="187"/>
      <c r="O1478" s="187"/>
      <c r="P1478" s="187"/>
      <c r="Q1478" s="187"/>
      <c r="R1478" s="187"/>
      <c r="S1478" s="187"/>
      <c r="T1478" s="187"/>
      <c r="U1478" s="187"/>
      <c r="V1478" s="187"/>
      <c r="W1478" s="188"/>
      <c r="X1478" s="695"/>
      <c r="Y1478" s="695"/>
    </row>
    <row r="1479" spans="1:25">
      <c r="A1479" s="187"/>
      <c r="B1479" s="187"/>
      <c r="C1479" s="187"/>
      <c r="D1479" s="187"/>
      <c r="E1479" s="187"/>
      <c r="F1479" s="187"/>
      <c r="G1479" s="187"/>
      <c r="H1479" s="187"/>
      <c r="I1479" s="187"/>
      <c r="J1479" s="187"/>
      <c r="K1479" s="187"/>
      <c r="L1479" s="187"/>
      <c r="M1479" s="187"/>
      <c r="N1479" s="187"/>
      <c r="O1479" s="187"/>
      <c r="P1479" s="187"/>
      <c r="Q1479" s="187"/>
      <c r="R1479" s="187"/>
      <c r="S1479" s="187"/>
      <c r="T1479" s="187"/>
      <c r="U1479" s="187"/>
      <c r="V1479" s="187"/>
      <c r="W1479" s="188"/>
      <c r="X1479" s="695"/>
      <c r="Y1479" s="695"/>
    </row>
    <row r="1480" spans="1:25">
      <c r="A1480" s="187"/>
      <c r="B1480" s="187"/>
      <c r="C1480" s="187"/>
      <c r="D1480" s="187"/>
      <c r="E1480" s="187"/>
      <c r="F1480" s="187"/>
      <c r="G1480" s="187"/>
      <c r="H1480" s="187"/>
      <c r="I1480" s="187"/>
      <c r="J1480" s="187"/>
      <c r="K1480" s="187"/>
      <c r="L1480" s="187"/>
      <c r="M1480" s="187"/>
      <c r="N1480" s="187"/>
      <c r="O1480" s="187"/>
      <c r="P1480" s="187"/>
      <c r="Q1480" s="187"/>
      <c r="R1480" s="187"/>
      <c r="S1480" s="187"/>
      <c r="T1480" s="187"/>
      <c r="U1480" s="187"/>
      <c r="V1480" s="187"/>
      <c r="W1480" s="188"/>
      <c r="X1480" s="695"/>
      <c r="Y1480" s="695"/>
    </row>
    <row r="1481" spans="1:25">
      <c r="A1481" s="187"/>
      <c r="B1481" s="187"/>
      <c r="C1481" s="187"/>
      <c r="D1481" s="187"/>
      <c r="E1481" s="187"/>
      <c r="F1481" s="187"/>
      <c r="G1481" s="187"/>
      <c r="H1481" s="187"/>
      <c r="I1481" s="187"/>
      <c r="J1481" s="187"/>
      <c r="K1481" s="187"/>
      <c r="L1481" s="187"/>
      <c r="M1481" s="187"/>
      <c r="N1481" s="187"/>
      <c r="O1481" s="187"/>
      <c r="P1481" s="187"/>
      <c r="Q1481" s="187"/>
      <c r="R1481" s="187"/>
      <c r="S1481" s="187"/>
      <c r="T1481" s="187"/>
      <c r="U1481" s="187"/>
      <c r="V1481" s="187"/>
      <c r="W1481" s="188"/>
      <c r="X1481" s="695"/>
      <c r="Y1481" s="695"/>
    </row>
    <row r="1482" spans="1:25">
      <c r="A1482" s="187"/>
      <c r="B1482" s="187"/>
      <c r="C1482" s="187"/>
      <c r="D1482" s="187"/>
      <c r="E1482" s="187"/>
      <c r="F1482" s="187"/>
      <c r="G1482" s="187"/>
      <c r="H1482" s="187"/>
      <c r="I1482" s="187"/>
      <c r="J1482" s="187"/>
      <c r="K1482" s="187"/>
      <c r="L1482" s="187"/>
      <c r="M1482" s="187"/>
      <c r="N1482" s="187"/>
      <c r="O1482" s="187"/>
      <c r="P1482" s="187"/>
      <c r="Q1482" s="187"/>
      <c r="R1482" s="187"/>
      <c r="S1482" s="187"/>
      <c r="T1482" s="187"/>
      <c r="U1482" s="187"/>
      <c r="V1482" s="187"/>
      <c r="W1482" s="188"/>
      <c r="X1482" s="695"/>
      <c r="Y1482" s="695"/>
    </row>
    <row r="1483" spans="1:25">
      <c r="A1483" s="187"/>
      <c r="B1483" s="187"/>
      <c r="C1483" s="187"/>
      <c r="D1483" s="187"/>
      <c r="E1483" s="187"/>
      <c r="F1483" s="187"/>
      <c r="G1483" s="187"/>
      <c r="H1483" s="187"/>
      <c r="I1483" s="187"/>
      <c r="J1483" s="187"/>
      <c r="K1483" s="187"/>
      <c r="L1483" s="187"/>
      <c r="M1483" s="187"/>
      <c r="N1483" s="187"/>
      <c r="O1483" s="187"/>
      <c r="P1483" s="187"/>
      <c r="Q1483" s="187"/>
      <c r="R1483" s="187"/>
      <c r="S1483" s="187"/>
      <c r="T1483" s="187"/>
      <c r="U1483" s="187"/>
      <c r="V1483" s="187"/>
      <c r="W1483" s="188"/>
      <c r="X1483" s="695"/>
      <c r="Y1483" s="695"/>
    </row>
    <row r="1484" spans="1:25">
      <c r="A1484" s="187"/>
      <c r="B1484" s="187"/>
      <c r="C1484" s="187"/>
      <c r="D1484" s="187"/>
      <c r="E1484" s="187"/>
      <c r="F1484" s="187"/>
      <c r="G1484" s="187"/>
      <c r="H1484" s="187"/>
      <c r="I1484" s="187"/>
      <c r="J1484" s="187"/>
      <c r="K1484" s="187"/>
      <c r="L1484" s="187"/>
      <c r="M1484" s="187"/>
      <c r="N1484" s="187"/>
      <c r="O1484" s="187"/>
      <c r="P1484" s="187"/>
      <c r="Q1484" s="187"/>
      <c r="R1484" s="187"/>
      <c r="S1484" s="187"/>
      <c r="T1484" s="187"/>
      <c r="U1484" s="187"/>
      <c r="V1484" s="187"/>
      <c r="W1484" s="188"/>
      <c r="X1484" s="695"/>
      <c r="Y1484" s="695"/>
    </row>
    <row r="1485" spans="1:25">
      <c r="A1485" s="187"/>
      <c r="B1485" s="187"/>
      <c r="C1485" s="187"/>
      <c r="D1485" s="187"/>
      <c r="E1485" s="187"/>
      <c r="F1485" s="187"/>
      <c r="G1485" s="187"/>
      <c r="H1485" s="187"/>
      <c r="I1485" s="187"/>
      <c r="J1485" s="187"/>
      <c r="K1485" s="187"/>
      <c r="L1485" s="187"/>
      <c r="M1485" s="187"/>
      <c r="N1485" s="187"/>
      <c r="O1485" s="187"/>
      <c r="P1485" s="187"/>
      <c r="Q1485" s="187"/>
      <c r="R1485" s="187"/>
      <c r="S1485" s="187"/>
      <c r="T1485" s="187"/>
      <c r="U1485" s="187"/>
      <c r="V1485" s="187"/>
      <c r="W1485" s="188"/>
      <c r="X1485" s="695"/>
      <c r="Y1485" s="695"/>
    </row>
    <row r="1486" spans="1:25">
      <c r="A1486" s="187"/>
      <c r="B1486" s="187"/>
      <c r="C1486" s="187"/>
      <c r="D1486" s="187"/>
      <c r="E1486" s="187"/>
      <c r="F1486" s="187"/>
      <c r="G1486" s="187"/>
      <c r="H1486" s="187"/>
      <c r="I1486" s="187"/>
      <c r="J1486" s="187"/>
      <c r="K1486" s="187"/>
      <c r="L1486" s="187"/>
      <c r="M1486" s="187"/>
      <c r="N1486" s="187"/>
      <c r="O1486" s="187"/>
      <c r="P1486" s="187"/>
      <c r="Q1486" s="187"/>
      <c r="R1486" s="187"/>
      <c r="S1486" s="187"/>
      <c r="T1486" s="187"/>
      <c r="U1486" s="187"/>
      <c r="V1486" s="187"/>
      <c r="W1486" s="188"/>
      <c r="X1486" s="695"/>
      <c r="Y1486" s="695"/>
    </row>
    <row r="1487" spans="1:25">
      <c r="A1487" s="187"/>
      <c r="B1487" s="187"/>
      <c r="C1487" s="187"/>
      <c r="D1487" s="187"/>
      <c r="E1487" s="187"/>
      <c r="F1487" s="187"/>
      <c r="G1487" s="187"/>
      <c r="H1487" s="187"/>
      <c r="I1487" s="187"/>
      <c r="J1487" s="187"/>
      <c r="K1487" s="187"/>
      <c r="L1487" s="187"/>
      <c r="M1487" s="187"/>
      <c r="N1487" s="187"/>
      <c r="O1487" s="187"/>
      <c r="P1487" s="187"/>
      <c r="Q1487" s="187"/>
      <c r="R1487" s="187"/>
      <c r="S1487" s="187"/>
      <c r="T1487" s="187"/>
      <c r="U1487" s="187"/>
      <c r="V1487" s="187"/>
      <c r="W1487" s="188"/>
      <c r="X1487" s="695"/>
      <c r="Y1487" s="695"/>
    </row>
    <row r="1488" spans="1:25">
      <c r="A1488" s="187"/>
      <c r="B1488" s="187"/>
      <c r="C1488" s="187"/>
      <c r="D1488" s="187"/>
      <c r="E1488" s="187"/>
      <c r="F1488" s="187"/>
      <c r="G1488" s="187"/>
      <c r="H1488" s="187"/>
      <c r="I1488" s="187"/>
      <c r="J1488" s="187"/>
      <c r="K1488" s="187"/>
      <c r="L1488" s="187"/>
      <c r="M1488" s="187"/>
      <c r="N1488" s="187"/>
      <c r="O1488" s="187"/>
      <c r="P1488" s="187"/>
      <c r="Q1488" s="187"/>
      <c r="R1488" s="187"/>
      <c r="S1488" s="187"/>
      <c r="T1488" s="187"/>
      <c r="U1488" s="187"/>
      <c r="V1488" s="187"/>
      <c r="W1488" s="188"/>
      <c r="X1488" s="695"/>
      <c r="Y1488" s="695"/>
    </row>
    <row r="1489" spans="1:25">
      <c r="A1489" s="187"/>
      <c r="B1489" s="187"/>
      <c r="C1489" s="187"/>
      <c r="D1489" s="187"/>
      <c r="E1489" s="187"/>
      <c r="F1489" s="187"/>
      <c r="G1489" s="187"/>
      <c r="H1489" s="187"/>
      <c r="I1489" s="187"/>
      <c r="J1489" s="187"/>
      <c r="K1489" s="187"/>
      <c r="L1489" s="187"/>
      <c r="M1489" s="187"/>
      <c r="N1489" s="187"/>
      <c r="O1489" s="187"/>
      <c r="P1489" s="187"/>
      <c r="Q1489" s="187"/>
      <c r="R1489" s="187"/>
      <c r="S1489" s="187"/>
      <c r="T1489" s="187"/>
      <c r="U1489" s="187"/>
      <c r="V1489" s="187"/>
      <c r="W1489" s="188"/>
      <c r="X1489" s="695"/>
      <c r="Y1489" s="695"/>
    </row>
    <row r="1490" spans="1:25">
      <c r="A1490" s="187"/>
      <c r="B1490" s="187"/>
      <c r="C1490" s="187"/>
      <c r="D1490" s="187"/>
      <c r="E1490" s="187"/>
      <c r="F1490" s="187"/>
      <c r="G1490" s="187"/>
      <c r="H1490" s="187"/>
      <c r="I1490" s="187"/>
      <c r="J1490" s="187"/>
      <c r="K1490" s="187"/>
      <c r="L1490" s="187"/>
      <c r="M1490" s="187"/>
      <c r="N1490" s="187"/>
      <c r="O1490" s="187"/>
      <c r="P1490" s="187"/>
      <c r="Q1490" s="187"/>
      <c r="R1490" s="187"/>
      <c r="S1490" s="187"/>
      <c r="T1490" s="187"/>
      <c r="U1490" s="187"/>
      <c r="V1490" s="187"/>
      <c r="W1490" s="188"/>
      <c r="X1490" s="695"/>
      <c r="Y1490" s="695"/>
    </row>
    <row r="1491" spans="1:25">
      <c r="A1491" s="187"/>
      <c r="B1491" s="187"/>
      <c r="C1491" s="187"/>
      <c r="D1491" s="187"/>
      <c r="E1491" s="187"/>
      <c r="F1491" s="187"/>
      <c r="G1491" s="187"/>
      <c r="H1491" s="187"/>
      <c r="I1491" s="187"/>
      <c r="J1491" s="187"/>
      <c r="K1491" s="187"/>
      <c r="L1491" s="187"/>
      <c r="M1491" s="187"/>
      <c r="N1491" s="187"/>
      <c r="O1491" s="187"/>
      <c r="P1491" s="187"/>
      <c r="Q1491" s="187"/>
      <c r="R1491" s="187"/>
      <c r="S1491" s="187"/>
      <c r="T1491" s="187"/>
      <c r="U1491" s="187"/>
      <c r="V1491" s="187"/>
      <c r="W1491" s="188"/>
      <c r="X1491" s="695"/>
      <c r="Y1491" s="695"/>
    </row>
    <row r="1492" spans="1:25">
      <c r="A1492" s="187"/>
      <c r="B1492" s="187"/>
      <c r="C1492" s="187"/>
      <c r="D1492" s="187"/>
      <c r="E1492" s="187"/>
      <c r="F1492" s="187"/>
      <c r="G1492" s="187"/>
      <c r="H1492" s="187"/>
      <c r="I1492" s="187"/>
      <c r="J1492" s="187"/>
      <c r="K1492" s="187"/>
      <c r="L1492" s="187"/>
      <c r="M1492" s="187"/>
      <c r="N1492" s="187"/>
      <c r="O1492" s="187"/>
      <c r="P1492" s="187"/>
      <c r="Q1492" s="187"/>
      <c r="R1492" s="187"/>
      <c r="S1492" s="187"/>
      <c r="T1492" s="187"/>
      <c r="U1492" s="187"/>
      <c r="V1492" s="187"/>
      <c r="W1492" s="188"/>
      <c r="X1492" s="695"/>
      <c r="Y1492" s="695"/>
    </row>
    <row r="1493" spans="1:25">
      <c r="A1493" s="187"/>
      <c r="B1493" s="187"/>
      <c r="C1493" s="187"/>
      <c r="D1493" s="187"/>
      <c r="E1493" s="187"/>
      <c r="F1493" s="187"/>
      <c r="G1493" s="187"/>
      <c r="H1493" s="187"/>
      <c r="I1493" s="187"/>
      <c r="J1493" s="187"/>
      <c r="K1493" s="187"/>
      <c r="L1493" s="187"/>
      <c r="M1493" s="187"/>
      <c r="N1493" s="187"/>
      <c r="O1493" s="187"/>
      <c r="P1493" s="187"/>
      <c r="Q1493" s="187"/>
      <c r="R1493" s="187"/>
      <c r="S1493" s="187"/>
      <c r="T1493" s="187"/>
      <c r="U1493" s="187"/>
      <c r="V1493" s="187"/>
      <c r="W1493" s="188"/>
      <c r="X1493" s="695"/>
      <c r="Y1493" s="695"/>
    </row>
    <row r="1494" spans="1:25">
      <c r="A1494" s="187"/>
      <c r="B1494" s="187"/>
      <c r="C1494" s="187"/>
      <c r="D1494" s="187"/>
      <c r="E1494" s="187"/>
      <c r="F1494" s="187"/>
      <c r="G1494" s="187"/>
      <c r="H1494" s="187"/>
      <c r="I1494" s="187"/>
      <c r="J1494" s="187"/>
      <c r="K1494" s="187"/>
      <c r="L1494" s="187"/>
      <c r="M1494" s="187"/>
      <c r="N1494" s="187"/>
      <c r="O1494" s="187"/>
      <c r="P1494" s="187"/>
      <c r="Q1494" s="187"/>
      <c r="R1494" s="187"/>
      <c r="S1494" s="187"/>
      <c r="T1494" s="187"/>
      <c r="U1494" s="187"/>
      <c r="V1494" s="187"/>
      <c r="W1494" s="188"/>
      <c r="X1494" s="695"/>
      <c r="Y1494" s="695"/>
    </row>
    <row r="1495" spans="1:25">
      <c r="A1495" s="187"/>
      <c r="B1495" s="187"/>
      <c r="C1495" s="187"/>
      <c r="D1495" s="187"/>
      <c r="E1495" s="187"/>
      <c r="F1495" s="187"/>
      <c r="G1495" s="187"/>
      <c r="H1495" s="187"/>
      <c r="I1495" s="187"/>
      <c r="J1495" s="187"/>
      <c r="K1495" s="187"/>
      <c r="L1495" s="187"/>
      <c r="M1495" s="187"/>
      <c r="N1495" s="187"/>
      <c r="O1495" s="187"/>
      <c r="P1495" s="187"/>
      <c r="Q1495" s="187"/>
      <c r="R1495" s="187"/>
      <c r="S1495" s="187"/>
      <c r="T1495" s="187"/>
      <c r="U1495" s="187"/>
      <c r="V1495" s="187"/>
      <c r="W1495" s="188"/>
      <c r="X1495" s="695"/>
      <c r="Y1495" s="695"/>
    </row>
    <row r="1496" spans="1:25">
      <c r="A1496" s="187"/>
      <c r="B1496" s="187"/>
      <c r="C1496" s="187"/>
      <c r="D1496" s="187"/>
      <c r="E1496" s="187"/>
      <c r="F1496" s="187"/>
      <c r="G1496" s="187"/>
      <c r="H1496" s="187"/>
      <c r="I1496" s="187"/>
      <c r="J1496" s="187"/>
      <c r="K1496" s="187"/>
      <c r="L1496" s="187"/>
      <c r="M1496" s="187"/>
      <c r="N1496" s="187"/>
      <c r="O1496" s="187"/>
      <c r="P1496" s="187"/>
      <c r="Q1496" s="187"/>
      <c r="R1496" s="187"/>
      <c r="S1496" s="187"/>
      <c r="T1496" s="187"/>
      <c r="U1496" s="187"/>
      <c r="V1496" s="187"/>
      <c r="W1496" s="188"/>
      <c r="X1496" s="695"/>
      <c r="Y1496" s="695"/>
    </row>
    <row r="1497" spans="1:25">
      <c r="A1497" s="187"/>
      <c r="B1497" s="187"/>
      <c r="C1497" s="187"/>
      <c r="D1497" s="187"/>
      <c r="E1497" s="187"/>
      <c r="F1497" s="187"/>
      <c r="G1497" s="187"/>
      <c r="H1497" s="187"/>
      <c r="I1497" s="187"/>
      <c r="J1497" s="187"/>
      <c r="K1497" s="187"/>
      <c r="L1497" s="187"/>
      <c r="M1497" s="187"/>
      <c r="N1497" s="187"/>
      <c r="O1497" s="187"/>
      <c r="P1497" s="187"/>
      <c r="Q1497" s="187"/>
      <c r="R1497" s="187"/>
      <c r="S1497" s="187"/>
      <c r="T1497" s="187"/>
      <c r="U1497" s="187"/>
      <c r="V1497" s="187"/>
      <c r="W1497" s="188"/>
      <c r="X1497" s="695"/>
      <c r="Y1497" s="695"/>
    </row>
    <row r="1498" spans="1:25">
      <c r="A1498" s="187"/>
      <c r="B1498" s="187"/>
      <c r="C1498" s="187"/>
      <c r="D1498" s="187"/>
      <c r="E1498" s="187"/>
      <c r="F1498" s="187"/>
      <c r="G1498" s="187"/>
      <c r="H1498" s="187"/>
      <c r="I1498" s="187"/>
      <c r="J1498" s="187"/>
      <c r="K1498" s="187"/>
      <c r="L1498" s="187"/>
      <c r="M1498" s="187"/>
      <c r="N1498" s="187"/>
      <c r="O1498" s="187"/>
      <c r="P1498" s="187"/>
      <c r="Q1498" s="187"/>
      <c r="R1498" s="187"/>
      <c r="S1498" s="187"/>
      <c r="T1498" s="187"/>
      <c r="U1498" s="187"/>
      <c r="V1498" s="187"/>
      <c r="W1498" s="188"/>
      <c r="X1498" s="695"/>
      <c r="Y1498" s="695"/>
    </row>
    <row r="1499" spans="1:25">
      <c r="A1499" s="187"/>
      <c r="B1499" s="187"/>
      <c r="C1499" s="187"/>
      <c r="D1499" s="187"/>
      <c r="E1499" s="187"/>
      <c r="F1499" s="187"/>
      <c r="G1499" s="187"/>
      <c r="H1499" s="187"/>
      <c r="I1499" s="187"/>
      <c r="J1499" s="187"/>
      <c r="K1499" s="187"/>
      <c r="L1499" s="187"/>
      <c r="M1499" s="187"/>
      <c r="N1499" s="187"/>
      <c r="O1499" s="187"/>
      <c r="P1499" s="187"/>
      <c r="Q1499" s="187"/>
      <c r="R1499" s="187"/>
      <c r="S1499" s="187"/>
      <c r="T1499" s="187"/>
      <c r="U1499" s="187"/>
      <c r="V1499" s="187"/>
      <c r="W1499" s="188"/>
      <c r="X1499" s="695"/>
      <c r="Y1499" s="695"/>
    </row>
    <row r="1500" spans="1:25">
      <c r="A1500" s="187"/>
      <c r="B1500" s="187"/>
      <c r="C1500" s="187"/>
      <c r="D1500" s="187"/>
      <c r="E1500" s="187"/>
      <c r="F1500" s="187"/>
      <c r="G1500" s="187"/>
      <c r="H1500" s="187"/>
      <c r="I1500" s="187"/>
      <c r="J1500" s="187"/>
      <c r="K1500" s="187"/>
      <c r="L1500" s="187"/>
      <c r="M1500" s="187"/>
      <c r="N1500" s="187"/>
      <c r="O1500" s="187"/>
      <c r="P1500" s="187"/>
      <c r="Q1500" s="187"/>
      <c r="R1500" s="187"/>
      <c r="S1500" s="187"/>
      <c r="T1500" s="187"/>
      <c r="U1500" s="187"/>
      <c r="V1500" s="187"/>
      <c r="W1500" s="188"/>
      <c r="X1500" s="695"/>
      <c r="Y1500" s="695"/>
    </row>
    <row r="1501" spans="1:25">
      <c r="A1501" s="187"/>
      <c r="B1501" s="187"/>
      <c r="C1501" s="187"/>
      <c r="D1501" s="187"/>
      <c r="E1501" s="187"/>
      <c r="F1501" s="187"/>
      <c r="G1501" s="187"/>
      <c r="H1501" s="187"/>
      <c r="I1501" s="187"/>
      <c r="J1501" s="187"/>
      <c r="K1501" s="187"/>
      <c r="L1501" s="187"/>
      <c r="M1501" s="187"/>
      <c r="N1501" s="187"/>
      <c r="O1501" s="187"/>
      <c r="P1501" s="187"/>
      <c r="Q1501" s="187"/>
      <c r="R1501" s="187"/>
      <c r="S1501" s="187"/>
      <c r="T1501" s="187"/>
      <c r="U1501" s="187"/>
      <c r="V1501" s="187"/>
      <c r="W1501" s="188"/>
      <c r="X1501" s="695"/>
      <c r="Y1501" s="695"/>
    </row>
    <row r="1502" spans="1:25">
      <c r="A1502" s="187"/>
      <c r="B1502" s="187"/>
      <c r="C1502" s="187"/>
      <c r="D1502" s="187"/>
      <c r="E1502" s="187"/>
      <c r="F1502" s="187"/>
      <c r="G1502" s="187"/>
      <c r="H1502" s="187"/>
      <c r="I1502" s="187"/>
      <c r="J1502" s="187"/>
      <c r="K1502" s="187"/>
      <c r="L1502" s="187"/>
      <c r="M1502" s="187"/>
      <c r="N1502" s="187"/>
      <c r="O1502" s="187"/>
      <c r="P1502" s="187"/>
      <c r="Q1502" s="187"/>
      <c r="R1502" s="187"/>
      <c r="S1502" s="187"/>
      <c r="T1502" s="187"/>
      <c r="U1502" s="187"/>
      <c r="V1502" s="187"/>
      <c r="W1502" s="188"/>
      <c r="X1502" s="695"/>
      <c r="Y1502" s="695"/>
    </row>
    <row r="1503" spans="1:25">
      <c r="A1503" s="187"/>
      <c r="B1503" s="187"/>
      <c r="C1503" s="187"/>
      <c r="D1503" s="187"/>
      <c r="E1503" s="187"/>
      <c r="F1503" s="187"/>
      <c r="G1503" s="187"/>
      <c r="H1503" s="187"/>
      <c r="I1503" s="187"/>
      <c r="J1503" s="187"/>
      <c r="K1503" s="187"/>
      <c r="L1503" s="187"/>
      <c r="M1503" s="187"/>
      <c r="N1503" s="187"/>
      <c r="O1503" s="187"/>
      <c r="P1503" s="187"/>
      <c r="Q1503" s="187"/>
      <c r="R1503" s="187"/>
      <c r="S1503" s="187"/>
      <c r="T1503" s="187"/>
      <c r="U1503" s="187"/>
      <c r="V1503" s="187"/>
      <c r="W1503" s="188"/>
      <c r="X1503" s="695"/>
      <c r="Y1503" s="695"/>
    </row>
    <row r="1504" spans="1:25">
      <c r="A1504" s="187"/>
      <c r="B1504" s="187"/>
      <c r="C1504" s="187"/>
      <c r="D1504" s="187"/>
      <c r="E1504" s="187"/>
      <c r="F1504" s="187"/>
      <c r="G1504" s="187"/>
      <c r="H1504" s="187"/>
      <c r="I1504" s="187"/>
      <c r="J1504" s="187"/>
      <c r="K1504" s="187"/>
      <c r="L1504" s="187"/>
      <c r="M1504" s="187"/>
      <c r="N1504" s="187"/>
      <c r="O1504" s="187"/>
      <c r="P1504" s="187"/>
      <c r="Q1504" s="187"/>
      <c r="R1504" s="187"/>
      <c r="S1504" s="187"/>
      <c r="T1504" s="187"/>
      <c r="U1504" s="187"/>
      <c r="V1504" s="187"/>
      <c r="W1504" s="188"/>
      <c r="X1504" s="695"/>
      <c r="Y1504" s="695"/>
    </row>
    <row r="1505" spans="1:25">
      <c r="A1505" s="187"/>
      <c r="B1505" s="187"/>
      <c r="C1505" s="187"/>
      <c r="D1505" s="187"/>
      <c r="E1505" s="187"/>
      <c r="F1505" s="187"/>
      <c r="G1505" s="187"/>
      <c r="H1505" s="187"/>
      <c r="I1505" s="187"/>
      <c r="J1505" s="187"/>
      <c r="K1505" s="187"/>
      <c r="L1505" s="187"/>
      <c r="M1505" s="187"/>
      <c r="N1505" s="187"/>
      <c r="O1505" s="187"/>
      <c r="P1505" s="187"/>
      <c r="Q1505" s="187"/>
      <c r="R1505" s="187"/>
      <c r="S1505" s="187"/>
      <c r="T1505" s="187"/>
      <c r="U1505" s="187"/>
      <c r="V1505" s="187"/>
      <c r="W1505" s="188"/>
      <c r="X1505" s="695"/>
      <c r="Y1505" s="695"/>
    </row>
    <row r="1506" spans="1:25">
      <c r="A1506" s="187"/>
      <c r="B1506" s="187"/>
      <c r="C1506" s="187"/>
      <c r="D1506" s="187"/>
      <c r="E1506" s="187"/>
      <c r="F1506" s="187"/>
      <c r="G1506" s="187"/>
      <c r="H1506" s="187"/>
      <c r="I1506" s="187"/>
      <c r="J1506" s="187"/>
      <c r="K1506" s="187"/>
      <c r="L1506" s="187"/>
      <c r="M1506" s="187"/>
      <c r="N1506" s="187"/>
      <c r="O1506" s="187"/>
      <c r="P1506" s="187"/>
      <c r="Q1506" s="187"/>
      <c r="R1506" s="187"/>
      <c r="S1506" s="187"/>
      <c r="T1506" s="187"/>
      <c r="U1506" s="187"/>
      <c r="V1506" s="187"/>
      <c r="W1506" s="188"/>
      <c r="X1506" s="695"/>
      <c r="Y1506" s="695"/>
    </row>
    <row r="1507" spans="1:25">
      <c r="A1507" s="187"/>
      <c r="B1507" s="187"/>
      <c r="C1507" s="187"/>
      <c r="D1507" s="187"/>
      <c r="E1507" s="187"/>
      <c r="F1507" s="187"/>
      <c r="G1507" s="187"/>
      <c r="H1507" s="187"/>
      <c r="I1507" s="187"/>
      <c r="J1507" s="187"/>
      <c r="K1507" s="187"/>
      <c r="L1507" s="187"/>
      <c r="M1507" s="187"/>
      <c r="N1507" s="187"/>
      <c r="O1507" s="187"/>
      <c r="P1507" s="187"/>
      <c r="Q1507" s="187"/>
      <c r="R1507" s="187"/>
      <c r="S1507" s="187"/>
      <c r="T1507" s="187"/>
      <c r="U1507" s="187"/>
      <c r="V1507" s="187"/>
      <c r="W1507" s="188"/>
      <c r="X1507" s="695"/>
      <c r="Y1507" s="695"/>
    </row>
    <row r="1508" spans="1:25">
      <c r="A1508" s="187"/>
      <c r="B1508" s="187"/>
      <c r="C1508" s="187"/>
      <c r="D1508" s="187"/>
      <c r="E1508" s="187"/>
      <c r="F1508" s="187"/>
      <c r="G1508" s="187"/>
      <c r="H1508" s="187"/>
      <c r="I1508" s="187"/>
      <c r="J1508" s="187"/>
      <c r="K1508" s="187"/>
      <c r="L1508" s="187"/>
      <c r="M1508" s="187"/>
      <c r="N1508" s="187"/>
      <c r="O1508" s="187"/>
      <c r="P1508" s="187"/>
      <c r="Q1508" s="187"/>
      <c r="R1508" s="187"/>
      <c r="S1508" s="187"/>
      <c r="T1508" s="187"/>
      <c r="U1508" s="187"/>
      <c r="V1508" s="187"/>
      <c r="W1508" s="188"/>
      <c r="X1508" s="695"/>
      <c r="Y1508" s="695"/>
    </row>
    <row r="1509" spans="1:25">
      <c r="A1509" s="187"/>
      <c r="B1509" s="187"/>
      <c r="C1509" s="187"/>
      <c r="D1509" s="187"/>
      <c r="E1509" s="187"/>
      <c r="F1509" s="187"/>
      <c r="G1509" s="187"/>
      <c r="H1509" s="187"/>
      <c r="I1509" s="187"/>
      <c r="J1509" s="187"/>
      <c r="K1509" s="187"/>
      <c r="L1509" s="187"/>
      <c r="M1509" s="187"/>
      <c r="N1509" s="187"/>
      <c r="O1509" s="187"/>
      <c r="P1509" s="187"/>
      <c r="Q1509" s="187"/>
      <c r="R1509" s="187"/>
      <c r="S1509" s="187"/>
      <c r="T1509" s="187"/>
      <c r="U1509" s="187"/>
      <c r="V1509" s="187"/>
      <c r="W1509" s="188"/>
      <c r="X1509" s="695"/>
      <c r="Y1509" s="695"/>
    </row>
    <row r="1510" spans="1:25">
      <c r="A1510" s="187"/>
      <c r="B1510" s="187"/>
      <c r="C1510" s="187"/>
      <c r="D1510" s="187"/>
      <c r="E1510" s="187"/>
      <c r="F1510" s="187"/>
      <c r="G1510" s="187"/>
      <c r="H1510" s="187"/>
      <c r="I1510" s="187"/>
      <c r="J1510" s="187"/>
      <c r="K1510" s="187"/>
      <c r="L1510" s="187"/>
      <c r="M1510" s="187"/>
      <c r="N1510" s="187"/>
      <c r="O1510" s="187"/>
      <c r="P1510" s="187"/>
      <c r="Q1510" s="187"/>
      <c r="R1510" s="187"/>
      <c r="S1510" s="187"/>
      <c r="T1510" s="187"/>
      <c r="U1510" s="187"/>
      <c r="V1510" s="187"/>
      <c r="W1510" s="188"/>
      <c r="X1510" s="695"/>
      <c r="Y1510" s="695"/>
    </row>
    <row r="1511" spans="1:25">
      <c r="A1511" s="187"/>
      <c r="B1511" s="187"/>
      <c r="C1511" s="187"/>
      <c r="D1511" s="187"/>
      <c r="E1511" s="187"/>
      <c r="F1511" s="187"/>
      <c r="G1511" s="187"/>
      <c r="H1511" s="187"/>
      <c r="I1511" s="187"/>
      <c r="J1511" s="187"/>
      <c r="K1511" s="187"/>
      <c r="L1511" s="187"/>
      <c r="M1511" s="187"/>
      <c r="N1511" s="187"/>
      <c r="O1511" s="187"/>
      <c r="P1511" s="187"/>
      <c r="Q1511" s="187"/>
      <c r="R1511" s="187"/>
      <c r="S1511" s="187"/>
      <c r="T1511" s="187"/>
      <c r="U1511" s="187"/>
      <c r="V1511" s="187"/>
      <c r="W1511" s="188"/>
      <c r="X1511" s="695"/>
      <c r="Y1511" s="695"/>
    </row>
    <row r="1512" spans="1:25">
      <c r="A1512" s="187"/>
      <c r="B1512" s="187"/>
      <c r="C1512" s="187"/>
      <c r="D1512" s="187"/>
      <c r="E1512" s="187"/>
      <c r="F1512" s="187"/>
      <c r="G1512" s="187"/>
      <c r="H1512" s="187"/>
      <c r="I1512" s="187"/>
      <c r="J1512" s="187"/>
      <c r="K1512" s="187"/>
      <c r="L1512" s="187"/>
      <c r="M1512" s="187"/>
      <c r="N1512" s="187"/>
      <c r="O1512" s="187"/>
      <c r="P1512" s="187"/>
      <c r="Q1512" s="187"/>
      <c r="R1512" s="187"/>
      <c r="S1512" s="187"/>
      <c r="T1512" s="187"/>
      <c r="U1512" s="187"/>
      <c r="V1512" s="187"/>
      <c r="W1512" s="188"/>
      <c r="X1512" s="695"/>
      <c r="Y1512" s="695"/>
    </row>
    <row r="1513" spans="1:25">
      <c r="A1513" s="187"/>
      <c r="B1513" s="187"/>
      <c r="C1513" s="187"/>
      <c r="D1513" s="187"/>
      <c r="E1513" s="187"/>
      <c r="F1513" s="187"/>
      <c r="G1513" s="187"/>
      <c r="H1513" s="187"/>
      <c r="I1513" s="187"/>
      <c r="J1513" s="187"/>
      <c r="K1513" s="187"/>
      <c r="L1513" s="187"/>
      <c r="M1513" s="187"/>
      <c r="N1513" s="187"/>
      <c r="O1513" s="187"/>
      <c r="P1513" s="187"/>
      <c r="Q1513" s="187"/>
      <c r="R1513" s="187"/>
      <c r="S1513" s="187"/>
      <c r="T1513" s="187"/>
      <c r="U1513" s="187"/>
      <c r="V1513" s="187"/>
      <c r="W1513" s="188"/>
      <c r="X1513" s="695"/>
      <c r="Y1513" s="695"/>
    </row>
    <row r="1514" spans="1:25">
      <c r="A1514" s="187"/>
      <c r="B1514" s="187"/>
      <c r="C1514" s="187"/>
      <c r="D1514" s="187"/>
      <c r="E1514" s="187"/>
      <c r="F1514" s="187"/>
      <c r="G1514" s="187"/>
      <c r="H1514" s="187"/>
      <c r="I1514" s="187"/>
      <c r="J1514" s="187"/>
      <c r="K1514" s="187"/>
      <c r="L1514" s="187"/>
      <c r="M1514" s="187"/>
      <c r="N1514" s="187"/>
      <c r="O1514" s="187"/>
      <c r="P1514" s="187"/>
      <c r="Q1514" s="187"/>
      <c r="R1514" s="187"/>
      <c r="S1514" s="187"/>
      <c r="T1514" s="187"/>
      <c r="U1514" s="187"/>
      <c r="V1514" s="187"/>
      <c r="W1514" s="188"/>
      <c r="X1514" s="695"/>
      <c r="Y1514" s="695"/>
    </row>
    <row r="1515" spans="1:25">
      <c r="A1515" s="187"/>
      <c r="B1515" s="187"/>
      <c r="C1515" s="187"/>
      <c r="D1515" s="187"/>
      <c r="E1515" s="187"/>
      <c r="F1515" s="187"/>
      <c r="G1515" s="187"/>
      <c r="H1515" s="187"/>
      <c r="I1515" s="187"/>
      <c r="J1515" s="187"/>
      <c r="K1515" s="187"/>
      <c r="L1515" s="187"/>
      <c r="M1515" s="187"/>
      <c r="N1515" s="187"/>
      <c r="O1515" s="187"/>
      <c r="P1515" s="187"/>
      <c r="Q1515" s="187"/>
      <c r="R1515" s="187"/>
      <c r="S1515" s="187"/>
      <c r="T1515" s="187"/>
      <c r="U1515" s="187"/>
      <c r="V1515" s="187"/>
      <c r="W1515" s="188"/>
      <c r="X1515" s="695"/>
      <c r="Y1515" s="695"/>
    </row>
    <row r="1516" spans="1:25">
      <c r="A1516" s="187"/>
      <c r="B1516" s="187"/>
      <c r="C1516" s="187"/>
      <c r="D1516" s="187"/>
      <c r="E1516" s="187"/>
      <c r="F1516" s="187"/>
      <c r="G1516" s="187"/>
      <c r="H1516" s="187"/>
      <c r="I1516" s="187"/>
      <c r="J1516" s="187"/>
      <c r="K1516" s="187"/>
      <c r="L1516" s="187"/>
      <c r="M1516" s="187"/>
      <c r="N1516" s="187"/>
      <c r="O1516" s="187"/>
      <c r="P1516" s="187"/>
      <c r="Q1516" s="187"/>
      <c r="R1516" s="187"/>
      <c r="S1516" s="187"/>
      <c r="T1516" s="187"/>
      <c r="U1516" s="187"/>
      <c r="V1516" s="187"/>
      <c r="W1516" s="188"/>
      <c r="X1516" s="695"/>
      <c r="Y1516" s="695"/>
    </row>
    <row r="1517" spans="1:25">
      <c r="A1517" s="187"/>
      <c r="B1517" s="187"/>
      <c r="C1517" s="187"/>
      <c r="D1517" s="187"/>
      <c r="E1517" s="187"/>
      <c r="F1517" s="187"/>
      <c r="G1517" s="187"/>
      <c r="H1517" s="187"/>
      <c r="I1517" s="187"/>
      <c r="J1517" s="187"/>
      <c r="K1517" s="187"/>
      <c r="L1517" s="187"/>
      <c r="M1517" s="187"/>
      <c r="N1517" s="187"/>
      <c r="O1517" s="187"/>
      <c r="P1517" s="187"/>
      <c r="Q1517" s="187"/>
      <c r="R1517" s="187"/>
      <c r="S1517" s="187"/>
      <c r="T1517" s="187"/>
      <c r="U1517" s="187"/>
      <c r="V1517" s="187"/>
      <c r="W1517" s="188"/>
      <c r="X1517" s="695"/>
      <c r="Y1517" s="695"/>
    </row>
    <row r="1518" spans="1:25">
      <c r="A1518" s="187"/>
      <c r="B1518" s="187"/>
      <c r="C1518" s="187"/>
      <c r="D1518" s="187"/>
      <c r="E1518" s="187"/>
      <c r="F1518" s="187"/>
      <c r="G1518" s="187"/>
      <c r="H1518" s="187"/>
      <c r="I1518" s="187"/>
      <c r="J1518" s="187"/>
      <c r="K1518" s="187"/>
      <c r="L1518" s="187"/>
      <c r="M1518" s="187"/>
      <c r="N1518" s="187"/>
      <c r="O1518" s="187"/>
      <c r="P1518" s="187"/>
      <c r="Q1518" s="187"/>
      <c r="R1518" s="187"/>
      <c r="S1518" s="187"/>
      <c r="T1518" s="187"/>
      <c r="U1518" s="187"/>
      <c r="V1518" s="187"/>
      <c r="W1518" s="188"/>
      <c r="X1518" s="695"/>
      <c r="Y1518" s="695"/>
    </row>
    <row r="1519" spans="1:25">
      <c r="A1519" s="187"/>
      <c r="B1519" s="187"/>
      <c r="C1519" s="187"/>
      <c r="D1519" s="187"/>
      <c r="E1519" s="187"/>
      <c r="F1519" s="187"/>
      <c r="G1519" s="187"/>
      <c r="H1519" s="187"/>
      <c r="I1519" s="187"/>
      <c r="J1519" s="187"/>
      <c r="K1519" s="187"/>
      <c r="L1519" s="187"/>
      <c r="M1519" s="187"/>
      <c r="N1519" s="187"/>
      <c r="O1519" s="187"/>
      <c r="P1519" s="187"/>
      <c r="Q1519" s="187"/>
      <c r="R1519" s="187"/>
      <c r="S1519" s="187"/>
      <c r="T1519" s="187"/>
      <c r="U1519" s="187"/>
      <c r="V1519" s="187"/>
      <c r="W1519" s="188"/>
      <c r="X1519" s="695"/>
      <c r="Y1519" s="695"/>
    </row>
    <row r="1520" spans="1:25">
      <c r="A1520" s="187"/>
      <c r="B1520" s="187"/>
      <c r="C1520" s="187"/>
      <c r="D1520" s="187"/>
      <c r="E1520" s="187"/>
      <c r="F1520" s="187"/>
      <c r="G1520" s="187"/>
      <c r="H1520" s="187"/>
      <c r="I1520" s="187"/>
      <c r="J1520" s="187"/>
      <c r="K1520" s="187"/>
      <c r="L1520" s="187"/>
      <c r="M1520" s="187"/>
      <c r="N1520" s="187"/>
      <c r="O1520" s="187"/>
      <c r="P1520" s="187"/>
      <c r="Q1520" s="187"/>
      <c r="R1520" s="187"/>
      <c r="S1520" s="187"/>
      <c r="T1520" s="187"/>
      <c r="U1520" s="187"/>
      <c r="V1520" s="187"/>
      <c r="W1520" s="188"/>
      <c r="X1520" s="695"/>
      <c r="Y1520" s="695"/>
    </row>
    <row r="1521" spans="1:25">
      <c r="A1521" s="187"/>
      <c r="B1521" s="187"/>
      <c r="C1521" s="187"/>
      <c r="D1521" s="187"/>
      <c r="E1521" s="187"/>
      <c r="F1521" s="187"/>
      <c r="G1521" s="187"/>
      <c r="H1521" s="187"/>
      <c r="I1521" s="187"/>
      <c r="J1521" s="187"/>
      <c r="K1521" s="187"/>
      <c r="L1521" s="187"/>
      <c r="M1521" s="187"/>
      <c r="N1521" s="187"/>
      <c r="O1521" s="187"/>
      <c r="P1521" s="187"/>
      <c r="Q1521" s="187"/>
      <c r="R1521" s="187"/>
      <c r="S1521" s="187"/>
      <c r="T1521" s="187"/>
      <c r="U1521" s="187"/>
      <c r="V1521" s="187"/>
      <c r="W1521" s="188"/>
      <c r="X1521" s="695"/>
      <c r="Y1521" s="695"/>
    </row>
    <row r="1522" spans="1:25">
      <c r="A1522" s="187"/>
      <c r="B1522" s="187"/>
      <c r="C1522" s="187"/>
      <c r="D1522" s="187"/>
      <c r="E1522" s="187"/>
      <c r="F1522" s="187"/>
      <c r="G1522" s="187"/>
      <c r="H1522" s="187"/>
      <c r="I1522" s="187"/>
      <c r="J1522" s="187"/>
      <c r="K1522" s="187"/>
      <c r="L1522" s="187"/>
      <c r="M1522" s="187"/>
      <c r="N1522" s="187"/>
      <c r="O1522" s="187"/>
      <c r="P1522" s="187"/>
      <c r="Q1522" s="187"/>
      <c r="R1522" s="187"/>
      <c r="S1522" s="187"/>
      <c r="T1522" s="187"/>
      <c r="U1522" s="187"/>
      <c r="V1522" s="187"/>
      <c r="W1522" s="188"/>
      <c r="X1522" s="695"/>
      <c r="Y1522" s="695"/>
    </row>
    <row r="1523" spans="1:25">
      <c r="A1523" s="187"/>
      <c r="B1523" s="187"/>
      <c r="C1523" s="187"/>
      <c r="D1523" s="187"/>
      <c r="E1523" s="187"/>
      <c r="F1523" s="187"/>
      <c r="G1523" s="187"/>
      <c r="H1523" s="187"/>
      <c r="I1523" s="187"/>
      <c r="J1523" s="187"/>
      <c r="K1523" s="187"/>
      <c r="L1523" s="187"/>
      <c r="M1523" s="187"/>
      <c r="N1523" s="187"/>
      <c r="O1523" s="187"/>
      <c r="P1523" s="187"/>
      <c r="Q1523" s="187"/>
      <c r="R1523" s="187"/>
      <c r="S1523" s="187"/>
      <c r="T1523" s="187"/>
      <c r="U1523" s="187"/>
      <c r="V1523" s="187"/>
      <c r="W1523" s="188"/>
      <c r="X1523" s="695"/>
      <c r="Y1523" s="695"/>
    </row>
    <row r="1524" spans="1:25">
      <c r="A1524" s="187"/>
      <c r="B1524" s="187"/>
      <c r="C1524" s="187"/>
      <c r="D1524" s="187"/>
      <c r="E1524" s="187"/>
      <c r="F1524" s="187"/>
      <c r="G1524" s="187"/>
      <c r="H1524" s="187"/>
      <c r="I1524" s="187"/>
      <c r="J1524" s="187"/>
      <c r="K1524" s="187"/>
      <c r="L1524" s="187"/>
      <c r="M1524" s="187"/>
      <c r="N1524" s="187"/>
      <c r="O1524" s="187"/>
      <c r="P1524" s="187"/>
      <c r="Q1524" s="187"/>
      <c r="R1524" s="187"/>
      <c r="S1524" s="187"/>
      <c r="T1524" s="187"/>
      <c r="U1524" s="187"/>
      <c r="V1524" s="187"/>
      <c r="W1524" s="188"/>
      <c r="X1524" s="695"/>
      <c r="Y1524" s="695"/>
    </row>
    <row r="1525" spans="1:25">
      <c r="A1525" s="187"/>
      <c r="B1525" s="187"/>
      <c r="C1525" s="187"/>
      <c r="D1525" s="187"/>
      <c r="E1525" s="187"/>
      <c r="F1525" s="187"/>
      <c r="G1525" s="187"/>
      <c r="H1525" s="187"/>
      <c r="I1525" s="187"/>
      <c r="J1525" s="187"/>
      <c r="K1525" s="187"/>
      <c r="L1525" s="187"/>
      <c r="M1525" s="187"/>
      <c r="N1525" s="187"/>
      <c r="O1525" s="187"/>
      <c r="P1525" s="187"/>
      <c r="Q1525" s="187"/>
      <c r="R1525" s="187"/>
      <c r="S1525" s="187"/>
      <c r="T1525" s="187"/>
      <c r="U1525" s="187"/>
      <c r="V1525" s="187"/>
      <c r="W1525" s="188"/>
      <c r="X1525" s="695"/>
      <c r="Y1525" s="695"/>
    </row>
    <row r="1526" spans="1:25">
      <c r="A1526" s="187"/>
      <c r="B1526" s="187"/>
      <c r="C1526" s="187"/>
      <c r="D1526" s="187"/>
      <c r="E1526" s="187"/>
      <c r="F1526" s="187"/>
      <c r="G1526" s="187"/>
      <c r="H1526" s="187"/>
      <c r="I1526" s="187"/>
      <c r="J1526" s="187"/>
      <c r="K1526" s="187"/>
      <c r="L1526" s="187"/>
      <c r="M1526" s="187"/>
      <c r="N1526" s="187"/>
      <c r="O1526" s="187"/>
      <c r="P1526" s="187"/>
      <c r="Q1526" s="187"/>
      <c r="R1526" s="187"/>
      <c r="S1526" s="187"/>
      <c r="T1526" s="187"/>
      <c r="U1526" s="187"/>
      <c r="V1526" s="187"/>
      <c r="W1526" s="188"/>
      <c r="X1526" s="695"/>
      <c r="Y1526" s="695"/>
    </row>
    <row r="1527" spans="1:25">
      <c r="A1527" s="187"/>
      <c r="B1527" s="187"/>
      <c r="C1527" s="187"/>
      <c r="D1527" s="187"/>
      <c r="E1527" s="187"/>
      <c r="F1527" s="187"/>
      <c r="G1527" s="187"/>
      <c r="H1527" s="187"/>
      <c r="I1527" s="187"/>
      <c r="J1527" s="187"/>
      <c r="K1527" s="187"/>
      <c r="L1527" s="187"/>
      <c r="M1527" s="187"/>
      <c r="N1527" s="187"/>
      <c r="O1527" s="187"/>
      <c r="P1527" s="187"/>
      <c r="Q1527" s="187"/>
      <c r="R1527" s="187"/>
      <c r="S1527" s="187"/>
      <c r="T1527" s="187"/>
      <c r="U1527" s="187"/>
      <c r="V1527" s="187"/>
      <c r="W1527" s="188"/>
      <c r="X1527" s="695"/>
      <c r="Y1527" s="695"/>
    </row>
  </sheetData>
  <mergeCells count="2">
    <mergeCell ref="AB20:AJ20"/>
    <mergeCell ref="AK20:AR20"/>
  </mergeCells>
  <conditionalFormatting sqref="AV23:BG478">
    <cfRule type="cellIs" dxfId="15" priority="3" operator="equal">
      <formula>"Yes"</formula>
    </cfRule>
    <cfRule type="cellIs" dxfId="14" priority="4" operator="equal">
      <formula>"No"</formula>
    </cfRule>
  </conditionalFormatting>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sheetPr codeName="Sheet20"/>
  <dimension ref="A1:BB279"/>
  <sheetViews>
    <sheetView topLeftCell="T1" zoomScale="90" zoomScaleNormal="90" workbookViewId="0">
      <selection activeCell="B3" sqref="B3"/>
    </sheetView>
  </sheetViews>
  <sheetFormatPr defaultColWidth="8.85546875" defaultRowHeight="12.75"/>
  <cols>
    <col min="1" max="1" width="19" style="9" customWidth="1"/>
    <col min="2" max="2" width="17.28515625" style="9" customWidth="1"/>
    <col min="3" max="3" width="13.85546875" style="9" bestFit="1" customWidth="1"/>
    <col min="4" max="4" width="16.140625" style="9" bestFit="1" customWidth="1"/>
    <col min="5" max="5" width="16.140625" style="9" customWidth="1"/>
    <col min="6" max="6" width="16.42578125" style="9" bestFit="1" customWidth="1"/>
    <col min="7" max="7" width="8.42578125" style="9" bestFit="1" customWidth="1"/>
    <col min="8" max="8" width="15.5703125" style="9" bestFit="1" customWidth="1"/>
    <col min="9" max="9" width="19.42578125" style="9" customWidth="1"/>
    <col min="10" max="10" width="13.85546875" style="9" bestFit="1" customWidth="1"/>
    <col min="11" max="11" width="16.140625" style="9" bestFit="1" customWidth="1"/>
    <col min="12" max="12" width="13.28515625" style="9" customWidth="1"/>
    <col min="13" max="13" width="13.7109375" style="9" customWidth="1"/>
    <col min="14" max="14" width="10.140625" style="9" customWidth="1"/>
    <col min="15" max="15" width="15" style="9" customWidth="1"/>
    <col min="16" max="16" width="16.42578125" style="9" customWidth="1"/>
    <col min="17" max="17" width="13.85546875" style="9" customWidth="1"/>
    <col min="18" max="18" width="15.28515625" style="9" bestFit="1" customWidth="1"/>
    <col min="19" max="19" width="51.42578125" style="9" bestFit="1" customWidth="1"/>
    <col min="20" max="22" width="13.85546875" style="9" customWidth="1"/>
    <col min="23" max="23" width="13.28515625" style="9" customWidth="1"/>
    <col min="24" max="25" width="14.42578125" style="9" customWidth="1"/>
    <col min="26" max="26" width="13.140625" style="9" customWidth="1"/>
    <col min="27" max="28" width="13.85546875" style="9" customWidth="1"/>
    <col min="29" max="29" width="12.5703125" style="9" customWidth="1"/>
    <col min="30" max="30" width="12.140625" style="9" customWidth="1"/>
    <col min="31" max="31" width="13.28515625" style="9" customWidth="1"/>
    <col min="32" max="32" width="17.140625" style="9" customWidth="1"/>
    <col min="33" max="33" width="18.140625" style="9" customWidth="1"/>
    <col min="34" max="36" width="19.85546875" style="9" customWidth="1"/>
    <col min="37" max="37" width="17.7109375" style="9" bestFit="1" customWidth="1"/>
    <col min="38" max="38" width="15.140625" style="9" bestFit="1" customWidth="1"/>
    <col min="39" max="39" width="16.5703125" style="9" customWidth="1"/>
    <col min="40" max="40" width="16.140625" style="9" customWidth="1"/>
    <col min="41" max="41" width="11.7109375" style="9" customWidth="1"/>
    <col min="42" max="42" width="12.140625" style="9" customWidth="1"/>
    <col min="43" max="16384" width="8.85546875" style="9"/>
  </cols>
  <sheetData>
    <row r="1" spans="1:40" s="204" customFormat="1" ht="75.75" thickBot="1">
      <c r="A1" s="204" t="s">
        <v>1362</v>
      </c>
      <c r="B1" s="204">
        <v>1.107352410306802</v>
      </c>
      <c r="C1" s="202"/>
      <c r="D1" s="203"/>
      <c r="E1" s="203"/>
      <c r="G1" s="203"/>
      <c r="H1" s="205"/>
      <c r="J1" s="202"/>
      <c r="K1" s="203"/>
      <c r="M1" s="203"/>
      <c r="N1" s="621"/>
      <c r="O1" s="139"/>
      <c r="P1" s="203"/>
      <c r="Q1" s="621" t="s">
        <v>1267</v>
      </c>
      <c r="R1" s="124"/>
      <c r="S1" s="84"/>
      <c r="T1" s="623" t="str">
        <f>SFAssumptions!A66</f>
        <v>All Retail Models Meeting Fed Standard - Top-Load</v>
      </c>
      <c r="U1" s="624" t="str">
        <f>SFAssumptions!A67</f>
        <v>All Retail Models Meeting Fed Standard - Front-Load</v>
      </c>
      <c r="V1" s="624" t="str">
        <f>'SavingsData&amp;Analysis'!AX1</f>
        <v>All Models Meeting Fed Standard (Top- or Front-Load)</v>
      </c>
      <c r="W1" s="625" t="str">
        <f>SFAssumptions!A57</f>
        <v>All Models Below ENERGY STAR - Top-Load</v>
      </c>
      <c r="X1" s="625" t="str">
        <f>SFAssumptions!A58</f>
        <v>All Models Below ENERGY STAR - Front-Load</v>
      </c>
      <c r="Y1" s="625" t="str">
        <f>'SavingsData&amp;Analysis'!BA1</f>
        <v>All Models Below ENERGY STAR (Top- or Front-Load)</v>
      </c>
      <c r="Z1" s="696" t="str">
        <f>SFAssumptions!A59</f>
        <v>ENERGY STAR - Top-Load</v>
      </c>
      <c r="AA1" s="696" t="str">
        <f>SFAssumptions!A60</f>
        <v>ENERGY STAR - Front-Load</v>
      </c>
      <c r="AB1" s="627" t="str">
        <f>'SavingsData&amp;Analysis'!BD1</f>
        <v>Any ENERGY STAR (Top- or Front-Load)</v>
      </c>
      <c r="AC1" s="628" t="str">
        <f>SFAssumptions!A61</f>
        <v>CEE Tier 1</v>
      </c>
      <c r="AD1" s="628" t="str">
        <f>SFAssumptions!A62</f>
        <v>CEE Tier 2</v>
      </c>
      <c r="AE1" s="629" t="str">
        <f>SFAssumptions!A63</f>
        <v>CEE Tier 3</v>
      </c>
      <c r="AF1" s="630" t="str">
        <f>'SavingsData&amp;Analysis'!BH1</f>
        <v>Current Practice Baseline Using 31% ENERGY STAR Penetration</v>
      </c>
      <c r="AG1" s="630" t="str">
        <f>'SavingsData&amp;Analysis'!BI1</f>
        <v>Current Practice Baseline Using 54% ENERGY STAR Penetration</v>
      </c>
      <c r="AH1" s="206"/>
      <c r="AI1" s="206"/>
      <c r="AJ1" s="203"/>
      <c r="AK1" s="203"/>
      <c r="AL1" s="203"/>
      <c r="AM1" s="203"/>
      <c r="AN1" s="207"/>
    </row>
    <row r="2" spans="1:40" s="204" customFormat="1" ht="15">
      <c r="C2" s="202"/>
      <c r="D2" s="203"/>
      <c r="E2" s="203"/>
      <c r="G2" s="203"/>
      <c r="H2" s="205"/>
      <c r="J2" s="202"/>
      <c r="K2" s="203"/>
      <c r="M2" s="203"/>
      <c r="N2" s="142"/>
      <c r="O2" s="142"/>
      <c r="P2" s="203"/>
      <c r="Q2" s="142" t="s">
        <v>336</v>
      </c>
      <c r="R2" s="142" t="s">
        <v>337</v>
      </c>
      <c r="S2" s="100" t="s">
        <v>345</v>
      </c>
      <c r="T2" s="208" t="s">
        <v>346</v>
      </c>
      <c r="U2" s="697" t="s">
        <v>346</v>
      </c>
      <c r="V2" s="697" t="s">
        <v>346</v>
      </c>
      <c r="W2" s="697" t="s">
        <v>346</v>
      </c>
      <c r="X2" s="697" t="s">
        <v>346</v>
      </c>
      <c r="Y2" s="697" t="s">
        <v>346</v>
      </c>
      <c r="Z2" s="209" t="s">
        <v>346</v>
      </c>
      <c r="AA2" s="209" t="s">
        <v>346</v>
      </c>
      <c r="AB2" s="209" t="s">
        <v>346</v>
      </c>
      <c r="AC2" s="209" t="s">
        <v>346</v>
      </c>
      <c r="AD2" s="209" t="s">
        <v>346</v>
      </c>
      <c r="AE2" s="698" t="s">
        <v>346</v>
      </c>
      <c r="AF2" s="699"/>
      <c r="AG2" s="699"/>
      <c r="AH2" s="206"/>
      <c r="AI2" s="206"/>
      <c r="AJ2" s="203"/>
      <c r="AK2" s="203"/>
      <c r="AL2" s="203"/>
      <c r="AM2" s="203"/>
      <c r="AN2" s="207"/>
    </row>
    <row r="3" spans="1:40" s="204" customFormat="1" ht="15">
      <c r="C3" s="202"/>
      <c r="D3" s="203"/>
      <c r="E3" s="203"/>
      <c r="G3" s="203"/>
      <c r="H3" s="205"/>
      <c r="J3" s="202"/>
      <c r="K3" s="203"/>
      <c r="M3" s="203"/>
      <c r="N3" s="203"/>
      <c r="O3" s="203"/>
      <c r="P3" s="203"/>
      <c r="Q3" s="196"/>
      <c r="R3" s="196"/>
      <c r="S3" s="100" t="s">
        <v>348</v>
      </c>
      <c r="T3" s="210" t="str">
        <f>VLOOKUP(COLUMN(),SFAssumptions!$A$83:$B$186,2,FALSE)</f>
        <v>T</v>
      </c>
      <c r="U3" s="700" t="str">
        <f>VLOOKUP(COLUMN(),SFAssumptions!$A$83:$B$186,2,FALSE)</f>
        <v>U</v>
      </c>
      <c r="V3" s="700" t="str">
        <f>VLOOKUP(COLUMN(),SFAssumptions!$A$83:$B$186,2,FALSE)</f>
        <v>V</v>
      </c>
      <c r="W3" s="700" t="str">
        <f>VLOOKUP(COLUMN(),SFAssumptions!$A$83:$B$186,2,FALSE)</f>
        <v>W</v>
      </c>
      <c r="X3" s="700" t="str">
        <f>VLOOKUP(COLUMN(),SFAssumptions!$A$83:$B$186,2,FALSE)</f>
        <v>X</v>
      </c>
      <c r="Y3" s="700" t="str">
        <f>VLOOKUP(COLUMN(),SFAssumptions!$A$83:$B$186,2,FALSE)</f>
        <v>Y</v>
      </c>
      <c r="Z3" s="211" t="str">
        <f>VLOOKUP(COLUMN(),SFAssumptions!$A$83:$B$186,2,FALSE)</f>
        <v>Z</v>
      </c>
      <c r="AA3" s="211" t="str">
        <f>VLOOKUP(COLUMN(),SFAssumptions!$A$83:$B$186,2,FALSE)</f>
        <v>AA</v>
      </c>
      <c r="AB3" s="211" t="str">
        <f>VLOOKUP(COLUMN(),SFAssumptions!$A$83:$B$186,2,FALSE)</f>
        <v>AB</v>
      </c>
      <c r="AC3" s="211" t="str">
        <f>VLOOKUP(COLUMN(),SFAssumptions!$A$83:$B$186,2,FALSE)</f>
        <v>AC</v>
      </c>
      <c r="AD3" s="211" t="str">
        <f>VLOOKUP(COLUMN(),SFAssumptions!$A$83:$B$186,2,FALSE)</f>
        <v>AD</v>
      </c>
      <c r="AE3" s="701" t="str">
        <f>VLOOKUP(COLUMN(),SFAssumptions!$A$83:$B$186,2,FALSE)</f>
        <v>AE</v>
      </c>
      <c r="AF3" s="702"/>
      <c r="AG3" s="702"/>
      <c r="AH3" s="206" t="s">
        <v>200</v>
      </c>
      <c r="AI3" s="206"/>
      <c r="AJ3" s="203"/>
      <c r="AK3" s="203"/>
      <c r="AL3" s="203"/>
      <c r="AM3" s="203"/>
      <c r="AN3" s="207"/>
    </row>
    <row r="4" spans="1:40" s="204" customFormat="1" ht="15.75" thickBot="1">
      <c r="C4" s="202"/>
      <c r="D4" s="203"/>
      <c r="E4" s="203"/>
      <c r="G4" s="203"/>
      <c r="H4" s="205"/>
      <c r="J4" s="202"/>
      <c r="K4" s="203"/>
      <c r="M4" s="203"/>
      <c r="N4" s="203"/>
      <c r="O4" s="203"/>
      <c r="P4" s="203"/>
      <c r="Q4" s="124"/>
      <c r="R4" s="124"/>
      <c r="S4" s="110" t="s">
        <v>350</v>
      </c>
      <c r="T4" s="212" t="str">
        <f t="shared" ref="T4:AE4" ca="1" si="0">T3&amp;$B$26&amp;":"&amp;T3&amp;$B$27</f>
        <v>T30:T278</v>
      </c>
      <c r="U4" s="703" t="str">
        <f t="shared" ca="1" si="0"/>
        <v>U30:U278</v>
      </c>
      <c r="V4" s="703" t="str">
        <f t="shared" ca="1" si="0"/>
        <v>V30:V278</v>
      </c>
      <c r="W4" s="703" t="str">
        <f t="shared" ca="1" si="0"/>
        <v>W30:W278</v>
      </c>
      <c r="X4" s="703" t="str">
        <f t="shared" ca="1" si="0"/>
        <v>X30:X278</v>
      </c>
      <c r="Y4" s="703" t="str">
        <f t="shared" ca="1" si="0"/>
        <v>Y30:Y278</v>
      </c>
      <c r="Z4" s="199" t="str">
        <f t="shared" ca="1" si="0"/>
        <v>Z30:Z278</v>
      </c>
      <c r="AA4" s="199" t="str">
        <f t="shared" ca="1" si="0"/>
        <v>AA30:AA278</v>
      </c>
      <c r="AB4" s="199" t="str">
        <f t="shared" ca="1" si="0"/>
        <v>AB30:AB278</v>
      </c>
      <c r="AC4" s="704" t="str">
        <f t="shared" ca="1" si="0"/>
        <v>AC30:AC278</v>
      </c>
      <c r="AD4" s="704" t="str">
        <f t="shared" ca="1" si="0"/>
        <v>AD30:AD278</v>
      </c>
      <c r="AE4" s="705" t="str">
        <f t="shared" ca="1" si="0"/>
        <v>AE30:AE278</v>
      </c>
      <c r="AF4" s="706"/>
      <c r="AG4" s="706"/>
      <c r="AH4" s="206"/>
      <c r="AI4" s="206"/>
      <c r="AJ4" s="203"/>
      <c r="AK4" s="203"/>
      <c r="AL4" s="203"/>
      <c r="AM4" s="203"/>
      <c r="AN4" s="207"/>
    </row>
    <row r="5" spans="1:40" s="204" customFormat="1" ht="15.75" thickBot="1">
      <c r="C5" s="202"/>
      <c r="D5" s="203"/>
      <c r="E5" s="203"/>
      <c r="G5" s="203"/>
      <c r="H5" s="205"/>
      <c r="J5" s="202"/>
      <c r="K5" s="203"/>
      <c r="M5" s="203"/>
      <c r="N5" s="203"/>
      <c r="O5" s="203"/>
      <c r="P5" s="203"/>
      <c r="Q5" s="124"/>
      <c r="R5" s="124"/>
      <c r="S5" s="143" t="s">
        <v>338</v>
      </c>
      <c r="T5" s="213">
        <f t="shared" ref="T5:AE5" ca="1" si="1">COUNTIF(INDIRECT(T4),T2)</f>
        <v>98</v>
      </c>
      <c r="U5" s="707">
        <f t="shared" ca="1" si="1"/>
        <v>124</v>
      </c>
      <c r="V5" s="707">
        <f t="shared" ca="1" si="1"/>
        <v>222</v>
      </c>
      <c r="W5" s="707">
        <f t="shared" ca="1" si="1"/>
        <v>72</v>
      </c>
      <c r="X5" s="707">
        <f t="shared" ca="1" si="1"/>
        <v>35</v>
      </c>
      <c r="Y5" s="707">
        <f t="shared" ca="1" si="1"/>
        <v>107</v>
      </c>
      <c r="Z5" s="214">
        <f t="shared" ca="1" si="1"/>
        <v>26</v>
      </c>
      <c r="AA5" s="214">
        <f t="shared" ca="1" si="1"/>
        <v>89</v>
      </c>
      <c r="AB5" s="214">
        <f t="shared" ca="1" si="1"/>
        <v>115</v>
      </c>
      <c r="AC5" s="214">
        <f t="shared" ca="1" si="1"/>
        <v>55</v>
      </c>
      <c r="AD5" s="214">
        <f t="shared" ca="1" si="1"/>
        <v>23</v>
      </c>
      <c r="AE5" s="708">
        <f t="shared" ca="1" si="1"/>
        <v>11</v>
      </c>
      <c r="AF5" s="709"/>
      <c r="AG5" s="709"/>
      <c r="AH5" s="206"/>
      <c r="AI5" s="206"/>
      <c r="AJ5" s="203"/>
      <c r="AK5" s="203"/>
      <c r="AL5" s="203"/>
      <c r="AM5" s="203"/>
      <c r="AN5" s="207"/>
    </row>
    <row r="6" spans="1:40" s="204" customFormat="1" ht="15">
      <c r="C6" s="202"/>
      <c r="D6" s="203"/>
      <c r="E6" s="203"/>
      <c r="G6" s="203"/>
      <c r="H6" s="205"/>
      <c r="J6" s="202"/>
      <c r="K6" s="203"/>
      <c r="M6" s="203"/>
      <c r="N6" s="203"/>
      <c r="O6" s="203"/>
      <c r="P6" s="203"/>
      <c r="Q6" s="124"/>
      <c r="R6" s="124"/>
      <c r="S6" s="144" t="s">
        <v>1273</v>
      </c>
      <c r="T6" s="145">
        <f>VLOOKUP(T1,SFAssumptions!$A$55:$C$67,2,FALSE)</f>
        <v>1.29</v>
      </c>
      <c r="U6" s="710">
        <f>VLOOKUP(U1,SFAssumptions!$A$55:$C$67,2,FALSE)</f>
        <v>1.84</v>
      </c>
      <c r="V6" s="711" t="s">
        <v>1274</v>
      </c>
      <c r="W6" s="710">
        <f>VLOOKUP(W1,SFAssumptions!$A$55:$C$67,2,FALSE)</f>
        <v>1.29</v>
      </c>
      <c r="X6" s="710">
        <f>VLOOKUP(X1,SFAssumptions!$A$55:$C$67,2,FALSE)</f>
        <v>1.84</v>
      </c>
      <c r="Y6" s="711" t="s">
        <v>1274</v>
      </c>
      <c r="Z6" s="146">
        <f>VLOOKUP(Z1,SFAssumptions!$A$55:$C$67,2,FALSE)</f>
        <v>2.06</v>
      </c>
      <c r="AA6" s="146">
        <f>VLOOKUP(AA1,SFAssumptions!$A$55:$C$67,2,FALSE)</f>
        <v>2.38</v>
      </c>
      <c r="AB6" s="711" t="s">
        <v>1274</v>
      </c>
      <c r="AC6" s="146">
        <f>VLOOKUP(AC1,SFAssumptions!$A$55:$C$67,2,FALSE)</f>
        <v>2.38</v>
      </c>
      <c r="AD6" s="146">
        <f>VLOOKUP(AD1,SFAssumptions!$A$55:$C$67,2,FALSE)</f>
        <v>2.76</v>
      </c>
      <c r="AE6" s="712">
        <f>VLOOKUP(AE1,SFAssumptions!$A$55:$C$67,2,FALSE)</f>
        <v>2.92</v>
      </c>
      <c r="AF6" s="713"/>
      <c r="AG6" s="713"/>
      <c r="AH6" s="206"/>
      <c r="AI6" s="206"/>
      <c r="AJ6" s="203"/>
      <c r="AK6" s="203"/>
      <c r="AL6" s="203"/>
      <c r="AM6" s="203"/>
      <c r="AN6" s="207"/>
    </row>
    <row r="7" spans="1:40" s="204" customFormat="1" ht="15.75" thickBot="1">
      <c r="C7" s="202"/>
      <c r="D7" s="203"/>
      <c r="E7" s="203"/>
      <c r="G7" s="203"/>
      <c r="H7" s="205"/>
      <c r="J7" s="202"/>
      <c r="K7" s="203"/>
      <c r="M7" s="203"/>
      <c r="N7" s="203"/>
      <c r="O7" s="203"/>
      <c r="P7" s="203"/>
      <c r="Q7" s="124"/>
      <c r="R7" s="124"/>
      <c r="S7" s="147" t="s">
        <v>1275</v>
      </c>
      <c r="T7" s="148">
        <f>VLOOKUP(T1,SFAssumptions!$A$55:$C$67,3,FALSE)</f>
        <v>3.1575999999999995</v>
      </c>
      <c r="U7" s="714">
        <f>VLOOKUP(U1,SFAssumptions!$A$55:$C$67,3,FALSE)</f>
        <v>3.3749599999999997</v>
      </c>
      <c r="V7" s="715" t="s">
        <v>1274</v>
      </c>
      <c r="W7" s="714">
        <f>VLOOKUP(W1,SFAssumptions!$A$55:$C$67,3,FALSE)</f>
        <v>2.0500000000000003</v>
      </c>
      <c r="X7" s="714">
        <f>VLOOKUP(X1,SFAssumptions!$A$55:$C$67,3,FALSE)</f>
        <v>2.37</v>
      </c>
      <c r="Y7" s="715" t="s">
        <v>1274</v>
      </c>
      <c r="Z7" s="149">
        <f>VLOOKUP(Z1,SFAssumptions!$A$55:$C$67,3,FALSE)</f>
        <v>3.1575999999999995</v>
      </c>
      <c r="AA7" s="149">
        <f>VLOOKUP(AA1,SFAssumptions!$A$55:$C$67,3,FALSE)</f>
        <v>3.3749599999999997</v>
      </c>
      <c r="AB7" s="715" t="s">
        <v>1274</v>
      </c>
      <c r="AC7" s="149">
        <f>VLOOKUP(AC1,SFAssumptions!$A$55:$C$67,3,FALSE)</f>
        <v>2.75</v>
      </c>
      <c r="AD7" s="149">
        <f>VLOOKUP(AD1,SFAssumptions!$A$55:$C$67,3,FALSE)</f>
        <v>2.91</v>
      </c>
      <c r="AE7" s="716">
        <f>VLOOKUP(AE1,SFAssumptions!$A$55:$C$67,3,FALSE)</f>
        <v>3.3749599999999997</v>
      </c>
      <c r="AF7" s="717"/>
      <c r="AG7" s="717"/>
      <c r="AH7" s="206"/>
      <c r="AI7" s="206"/>
      <c r="AJ7" s="203"/>
      <c r="AK7" s="203"/>
      <c r="AL7" s="203"/>
      <c r="AM7" s="203"/>
      <c r="AN7" s="207"/>
    </row>
    <row r="8" spans="1:40" s="204" customFormat="1" ht="15">
      <c r="C8" s="202"/>
      <c r="D8" s="203"/>
      <c r="E8" s="203"/>
      <c r="G8" s="203"/>
      <c r="H8" s="205"/>
      <c r="J8" s="202"/>
      <c r="K8" s="203"/>
      <c r="M8" s="203"/>
      <c r="N8" s="203"/>
      <c r="O8" s="203"/>
      <c r="P8" s="203"/>
      <c r="Q8" s="124"/>
      <c r="R8" s="124"/>
      <c r="S8" s="150" t="s">
        <v>1276</v>
      </c>
      <c r="T8" s="151">
        <f>VLOOKUP(T1,SFAssumptions!$A$55:$F$67,5,FALSE)</f>
        <v>3.6925800000000004</v>
      </c>
      <c r="U8" s="718">
        <f>VLOOKUP(U1,SFAssumptions!$A$55:$F$67,5,FALSE)</f>
        <v>2.48</v>
      </c>
      <c r="V8" s="719" t="s">
        <v>1274</v>
      </c>
      <c r="W8" s="718">
        <f>VLOOKUP(W1,SFAssumptions!$A$55:$F$67,5,FALSE)</f>
        <v>4.3099999999999996</v>
      </c>
      <c r="X8" s="718">
        <f>VLOOKUP(X1,SFAssumptions!$A$55:$F$67,5,FALSE)</f>
        <v>3.71</v>
      </c>
      <c r="Y8" s="719" t="s">
        <v>1274</v>
      </c>
      <c r="Z8" s="152">
        <f>VLOOKUP(Z1,SFAssumptions!$A$55:$F$67,5,FALSE)</f>
        <v>3.6925800000000004</v>
      </c>
      <c r="AA8" s="152">
        <f>VLOOKUP(AA1,SFAssumptions!$A$55:$F$67,5,FALSE)</f>
        <v>2.6777000000000002</v>
      </c>
      <c r="AB8" s="719" t="s">
        <v>1274</v>
      </c>
      <c r="AC8" s="152">
        <f>VLOOKUP(AC1,SFAssumptions!$A$55:$F$67,5,FALSE)</f>
        <v>3.51</v>
      </c>
      <c r="AD8" s="152">
        <f>VLOOKUP(AD1,SFAssumptions!$A$55:$F$67,5,FALSE)</f>
        <v>3.21</v>
      </c>
      <c r="AE8" s="720">
        <f>VLOOKUP(AE1,SFAssumptions!$A$55:$F$67,5,FALSE)</f>
        <v>2.6777000000000002</v>
      </c>
      <c r="AF8" s="721"/>
      <c r="AG8" s="721"/>
      <c r="AH8" s="206"/>
      <c r="AI8" s="206"/>
      <c r="AJ8" s="203"/>
      <c r="AK8" s="203"/>
      <c r="AL8" s="203"/>
      <c r="AM8" s="203"/>
      <c r="AN8" s="207"/>
    </row>
    <row r="9" spans="1:40" s="204" customFormat="1" ht="15.75" thickBot="1">
      <c r="C9" s="202"/>
      <c r="D9" s="203"/>
      <c r="E9" s="203"/>
      <c r="G9" s="203"/>
      <c r="H9" s="205"/>
      <c r="J9" s="202"/>
      <c r="K9" s="203"/>
      <c r="M9" s="203"/>
      <c r="N9" s="203"/>
      <c r="O9" s="203"/>
      <c r="P9" s="203"/>
      <c r="Q9" s="124"/>
      <c r="R9" s="124"/>
      <c r="S9" s="153" t="s">
        <v>1256</v>
      </c>
      <c r="T9" s="154">
        <f>VLOOKUP(T1,SFAssumptions!$A$55:$F$67,6,FALSE)</f>
        <v>8.4</v>
      </c>
      <c r="U9" s="722">
        <f>VLOOKUP(U1,SFAssumptions!$A$55:$F$67,6,FALSE)</f>
        <v>4.7</v>
      </c>
      <c r="V9" s="723" t="s">
        <v>1274</v>
      </c>
      <c r="W9" s="722">
        <f>VLOOKUP(W1,SFAssumptions!$A$55:$F$67,6,FALSE)</f>
        <v>8.4</v>
      </c>
      <c r="X9" s="722">
        <f>VLOOKUP(X1,SFAssumptions!$A$55:$F$67,6,FALSE)</f>
        <v>4.7</v>
      </c>
      <c r="Y9" s="723" t="s">
        <v>1274</v>
      </c>
      <c r="Z9" s="155">
        <f>VLOOKUP(Z1,SFAssumptions!$A$55:$F$67,6,FALSE)</f>
        <v>4.3</v>
      </c>
      <c r="AA9" s="155">
        <f>VLOOKUP(AA1,SFAssumptions!$A$55:$F$67,6,FALSE)</f>
        <v>3.7</v>
      </c>
      <c r="AB9" s="723" t="s">
        <v>1274</v>
      </c>
      <c r="AC9" s="155">
        <f>VLOOKUP(AC1,SFAssumptions!$A$55:$F$67,6,FALSE)</f>
        <v>3.7</v>
      </c>
      <c r="AD9" s="155">
        <f>VLOOKUP(AD1,SFAssumptions!$A$55:$F$67,6,FALSE)</f>
        <v>3.5</v>
      </c>
      <c r="AE9" s="724">
        <f>VLOOKUP(AE1,SFAssumptions!$A$55:$F$67,6,FALSE)</f>
        <v>3.2</v>
      </c>
      <c r="AF9" s="725"/>
      <c r="AG9" s="725"/>
      <c r="AH9" s="206"/>
      <c r="AI9" s="206"/>
      <c r="AJ9" s="203"/>
      <c r="AK9" s="203"/>
      <c r="AL9" s="203"/>
      <c r="AM9" s="203"/>
      <c r="AN9" s="207"/>
    </row>
    <row r="10" spans="1:40" s="204" customFormat="1" ht="15">
      <c r="C10" s="202"/>
      <c r="D10" s="203"/>
      <c r="E10" s="203"/>
      <c r="G10" s="203"/>
      <c r="H10" s="205"/>
      <c r="J10" s="202"/>
      <c r="K10" s="203"/>
      <c r="M10" s="203"/>
      <c r="N10" s="88"/>
      <c r="O10" s="84"/>
      <c r="P10" s="203"/>
      <c r="Q10" s="88" t="str">
        <f>VLOOKUP(COLUMN(L30),SFAssumptions!$A$83:$B$186,2,FALSE)</f>
        <v>L</v>
      </c>
      <c r="R10" s="84" t="str">
        <f t="shared" ref="R10:R16" ca="1" si="2">Q10&amp;$B$26&amp;":"&amp;Q10&amp;$B$27</f>
        <v>L30:L278</v>
      </c>
      <c r="S10" s="156" t="s">
        <v>1277</v>
      </c>
      <c r="T10" s="157">
        <f ca="1">AVERAGEIF(INDIRECT(T$4),T$2,INDIRECT($R10))</f>
        <v>1.9848641836734697</v>
      </c>
      <c r="U10" s="666">
        <f t="shared" ref="U10:AB10" ca="1" si="3">AVERAGEIF(INDIRECT(U$4),U$2,INDIRECT($R10))</f>
        <v>2.5496606250000005</v>
      </c>
      <c r="V10" s="666">
        <f t="shared" ca="1" si="3"/>
        <v>2.3003360698198185</v>
      </c>
      <c r="W10" s="666">
        <f t="shared" ca="1" si="3"/>
        <v>1.8931637500000003</v>
      </c>
      <c r="X10" s="666">
        <f t="shared" ca="1" si="3"/>
        <v>2.1157457571428564</v>
      </c>
      <c r="Y10" s="666">
        <f t="shared" ca="1" si="3"/>
        <v>1.9659709485981305</v>
      </c>
      <c r="Z10" s="158">
        <f t="shared" ca="1" si="3"/>
        <v>2.238803846153846</v>
      </c>
      <c r="AA10" s="158">
        <f t="shared" ca="1" si="3"/>
        <v>2.7203013033707877</v>
      </c>
      <c r="AB10" s="158">
        <f t="shared" ca="1" si="3"/>
        <v>2.6114410086956523</v>
      </c>
      <c r="AC10" s="158">
        <f ca="1">AVERAGEIF(INDIRECT(AC$4),AC$2,INDIRECT($R10))</f>
        <v>2.6074118363636365</v>
      </c>
      <c r="AD10" s="158">
        <f ca="1">AVERAGEIF(INDIRECT(AD$4),AD$2,INDIRECT($R10))</f>
        <v>2.8703945652173921</v>
      </c>
      <c r="AE10" s="667">
        <f ca="1">AVERAGEIF(INDIRECT(AE$4),AE$2,INDIRECT($R10))</f>
        <v>2.9709172727272728</v>
      </c>
      <c r="AF10" s="726"/>
      <c r="AG10" s="726"/>
      <c r="AH10" s="206"/>
      <c r="AI10" s="206"/>
      <c r="AJ10" s="203"/>
      <c r="AK10" s="203"/>
      <c r="AL10" s="203"/>
      <c r="AM10" s="203"/>
      <c r="AN10" s="207"/>
    </row>
    <row r="11" spans="1:40" s="204" customFormat="1" ht="15">
      <c r="C11" s="202"/>
      <c r="D11" s="203"/>
      <c r="E11" s="203"/>
      <c r="G11" s="203"/>
      <c r="H11" s="205"/>
      <c r="J11" s="202"/>
      <c r="K11" s="203"/>
      <c r="M11" s="203"/>
      <c r="N11" s="203"/>
      <c r="O11" s="203"/>
      <c r="P11" s="203"/>
      <c r="Q11" s="88" t="str">
        <f>VLOOKUP(COLUMN(F37),SFAssumptions!$A$83:$B$186,2,FALSE)</f>
        <v>F</v>
      </c>
      <c r="R11" s="84" t="str">
        <f t="shared" ca="1" si="2"/>
        <v>F30:F278</v>
      </c>
      <c r="S11" s="159" t="s">
        <v>339</v>
      </c>
      <c r="T11" s="215"/>
      <c r="U11" s="727"/>
      <c r="V11" s="727"/>
      <c r="W11" s="727"/>
      <c r="X11" s="727"/>
      <c r="Y11" s="727"/>
      <c r="Z11" s="216"/>
      <c r="AA11" s="216"/>
      <c r="AB11" s="216"/>
      <c r="AC11" s="216"/>
      <c r="AD11" s="216"/>
      <c r="AE11" s="728"/>
      <c r="AF11" s="729"/>
      <c r="AG11" s="729"/>
      <c r="AH11" s="206"/>
      <c r="AI11" s="206"/>
      <c r="AJ11" s="203"/>
      <c r="AK11" s="203"/>
      <c r="AL11" s="203"/>
      <c r="AM11" s="203"/>
      <c r="AN11" s="207"/>
    </row>
    <row r="12" spans="1:40" s="204" customFormat="1" ht="15">
      <c r="C12" s="202"/>
      <c r="D12" s="203"/>
      <c r="E12" s="203"/>
      <c r="G12" s="203"/>
      <c r="H12" s="205"/>
      <c r="J12" s="202"/>
      <c r="K12" s="203"/>
      <c r="M12" s="203"/>
      <c r="N12" s="88"/>
      <c r="O12" s="84"/>
      <c r="P12" s="203"/>
      <c r="Q12" s="88" t="str">
        <f>VLOOKUP(COLUMN(M30),SFAssumptions!$A$83:$B$186,2,FALSE)</f>
        <v>M</v>
      </c>
      <c r="R12" s="84" t="str">
        <f t="shared" ca="1" si="2"/>
        <v>M30:M278</v>
      </c>
      <c r="S12" s="159" t="s">
        <v>1278</v>
      </c>
      <c r="T12" s="162">
        <f ca="1">AVERAGEIF(INDIRECT(T$4),T$2,INDIRECT($R12))</f>
        <v>4.6730138051020402</v>
      </c>
      <c r="U12" s="673">
        <f t="shared" ref="U12:AE14" ca="1" si="4">AVERAGEIF(INDIRECT(U$4),U$2,INDIRECT($R12))</f>
        <v>3.2803260645161294</v>
      </c>
      <c r="V12" s="673">
        <f t="shared" ca="1" si="4"/>
        <v>3.8951161481981957</v>
      </c>
      <c r="W12" s="673">
        <f t="shared" ca="1" si="4"/>
        <v>4.8502934708333321</v>
      </c>
      <c r="X12" s="673">
        <f t="shared" ca="1" si="4"/>
        <v>3.806602502857142</v>
      </c>
      <c r="Y12" s="673">
        <f t="shared" ca="1" si="4"/>
        <v>4.5088992289719636</v>
      </c>
      <c r="Z12" s="163">
        <f t="shared" ca="1" si="4"/>
        <v>4.1820854999999986</v>
      </c>
      <c r="AA12" s="163">
        <f t="shared" ca="1" si="4"/>
        <v>3.0733634202247191</v>
      </c>
      <c r="AB12" s="163">
        <f t="shared" ca="1" si="4"/>
        <v>3.3240310208695636</v>
      </c>
      <c r="AC12" s="163">
        <f t="shared" ca="1" si="4"/>
        <v>3.1159086254545456</v>
      </c>
      <c r="AD12" s="163">
        <f t="shared" ca="1" si="4"/>
        <v>2.9960926086956521</v>
      </c>
      <c r="AE12" s="674">
        <f t="shared" ca="1" si="4"/>
        <v>3.0222036363636366</v>
      </c>
      <c r="AF12" s="730"/>
      <c r="AG12" s="730"/>
      <c r="AH12" s="206"/>
      <c r="AI12" s="206"/>
      <c r="AJ12" s="203"/>
      <c r="AK12" s="203"/>
      <c r="AL12" s="203"/>
      <c r="AM12" s="203"/>
      <c r="AN12" s="207"/>
    </row>
    <row r="13" spans="1:40" s="204" customFormat="1" ht="15">
      <c r="C13" s="202"/>
      <c r="D13" s="203"/>
      <c r="E13" s="203"/>
      <c r="G13" s="203"/>
      <c r="H13" s="205"/>
      <c r="J13" s="202"/>
      <c r="K13" s="203"/>
      <c r="M13" s="203"/>
      <c r="N13" s="203"/>
      <c r="O13" s="203"/>
      <c r="P13" s="203"/>
      <c r="Q13" s="88" t="str">
        <f>VLOOKUP(COLUMN(I39),SFAssumptions!$A$83:$B$186,2,FALSE)</f>
        <v>I</v>
      </c>
      <c r="R13" s="84" t="str">
        <f t="shared" ca="1" si="2"/>
        <v>I30:I278</v>
      </c>
      <c r="S13" s="159" t="s">
        <v>340</v>
      </c>
      <c r="T13" s="164"/>
      <c r="U13" s="676"/>
      <c r="V13" s="676"/>
      <c r="W13" s="676"/>
      <c r="X13" s="676"/>
      <c r="Y13" s="676"/>
      <c r="Z13" s="165"/>
      <c r="AA13" s="165"/>
      <c r="AB13" s="165"/>
      <c r="AC13" s="165"/>
      <c r="AD13" s="165"/>
      <c r="AE13" s="677"/>
      <c r="AF13" s="731"/>
      <c r="AG13" s="731"/>
      <c r="AH13" s="206"/>
      <c r="AI13" s="206"/>
      <c r="AJ13" s="203"/>
      <c r="AK13" s="203"/>
      <c r="AL13" s="203"/>
      <c r="AM13" s="203"/>
      <c r="AN13" s="207"/>
    </row>
    <row r="14" spans="1:40" s="204" customFormat="1" ht="15">
      <c r="C14" s="202"/>
      <c r="D14" s="203"/>
      <c r="E14" s="203"/>
      <c r="G14" s="203"/>
      <c r="H14" s="205"/>
      <c r="J14" s="202"/>
      <c r="K14" s="203"/>
      <c r="M14" s="203"/>
      <c r="N14" s="88"/>
      <c r="O14" s="84"/>
      <c r="P14" s="203"/>
      <c r="Q14" s="88" t="str">
        <f>VLOOKUP(COLUMN(D40),SFAssumptions!$A$83:$B$186,2,FALSE)</f>
        <v>D</v>
      </c>
      <c r="R14" s="84" t="str">
        <f t="shared" ca="1" si="2"/>
        <v>D30:D278</v>
      </c>
      <c r="S14" s="159" t="s">
        <v>341</v>
      </c>
      <c r="T14" s="166">
        <f ca="1">AVERAGEIF(INDIRECT(T$4),T$2,INDIRECT($R14))</f>
        <v>4.0663265306122458</v>
      </c>
      <c r="U14" s="678">
        <f t="shared" ca="1" si="4"/>
        <v>3.9651612903225812</v>
      </c>
      <c r="V14" s="678">
        <f t="shared" ca="1" si="4"/>
        <v>4.0098198198198221</v>
      </c>
      <c r="W14" s="678">
        <f t="shared" ca="1" si="4"/>
        <v>3.8791666666666669</v>
      </c>
      <c r="X14" s="678">
        <f t="shared" ca="1" si="4"/>
        <v>3.6262857142857143</v>
      </c>
      <c r="Y14" s="678">
        <f t="shared" ca="1" si="4"/>
        <v>3.796448598130842</v>
      </c>
      <c r="Z14" s="167">
        <f t="shared" ca="1" si="4"/>
        <v>4.5846153846153834</v>
      </c>
      <c r="AA14" s="167">
        <f t="shared" ca="1" si="4"/>
        <v>4.0984269662921369</v>
      </c>
      <c r="AB14" s="167">
        <f t="shared" ca="1" si="4"/>
        <v>4.2083478260869587</v>
      </c>
      <c r="AC14" s="167">
        <f t="shared" ca="1" si="4"/>
        <v>3.9992727272727286</v>
      </c>
      <c r="AD14" s="167">
        <f t="shared" ca="1" si="4"/>
        <v>4.1826086956521742</v>
      </c>
      <c r="AE14" s="679">
        <f t="shared" ca="1" si="4"/>
        <v>4.418181818181818</v>
      </c>
      <c r="AF14" s="726"/>
      <c r="AG14" s="726"/>
      <c r="AH14" s="206"/>
      <c r="AI14" s="206"/>
      <c r="AJ14" s="203"/>
      <c r="AK14" s="203"/>
      <c r="AL14" s="203"/>
      <c r="AM14" s="203"/>
      <c r="AN14" s="207"/>
    </row>
    <row r="15" spans="1:40" s="204" customFormat="1" ht="15">
      <c r="C15" s="202"/>
      <c r="D15" s="203"/>
      <c r="E15" s="203"/>
      <c r="G15" s="203"/>
      <c r="H15" s="205"/>
      <c r="J15" s="202"/>
      <c r="K15" s="203"/>
      <c r="M15" s="203"/>
      <c r="N15" s="203"/>
      <c r="O15" s="203"/>
      <c r="P15" s="203"/>
      <c r="Q15" s="88" t="s">
        <v>826</v>
      </c>
      <c r="R15" s="84" t="str">
        <f t="shared" ca="1" si="2"/>
        <v>xxx30:xxx278</v>
      </c>
      <c r="S15" s="159" t="s">
        <v>342</v>
      </c>
      <c r="T15" s="160"/>
      <c r="U15" s="670"/>
      <c r="V15" s="670"/>
      <c r="W15" s="670"/>
      <c r="X15" s="670"/>
      <c r="Y15" s="670"/>
      <c r="Z15" s="161"/>
      <c r="AA15" s="161"/>
      <c r="AB15" s="161"/>
      <c r="AC15" s="161"/>
      <c r="AD15" s="161"/>
      <c r="AE15" s="671"/>
      <c r="AF15" s="729"/>
      <c r="AG15" s="729"/>
      <c r="AH15" s="206"/>
      <c r="AI15" s="206"/>
      <c r="AJ15" s="203"/>
      <c r="AK15" s="203"/>
      <c r="AL15" s="203"/>
      <c r="AM15" s="203"/>
      <c r="AN15" s="207"/>
    </row>
    <row r="16" spans="1:40" s="204" customFormat="1" ht="15.75" thickBot="1">
      <c r="C16" s="202"/>
      <c r="D16" s="203"/>
      <c r="E16" s="203"/>
      <c r="G16" s="203"/>
      <c r="H16" s="205"/>
      <c r="J16" s="202"/>
      <c r="K16" s="203"/>
      <c r="M16" s="203"/>
      <c r="N16" s="203"/>
      <c r="O16" s="203"/>
      <c r="P16" s="203"/>
      <c r="Q16" s="88" t="s">
        <v>826</v>
      </c>
      <c r="R16" s="84" t="str">
        <f t="shared" ca="1" si="2"/>
        <v>xxx30:xxx278</v>
      </c>
      <c r="S16" s="168" t="s">
        <v>343</v>
      </c>
      <c r="T16" s="217"/>
      <c r="U16" s="732"/>
      <c r="V16" s="732"/>
      <c r="W16" s="732"/>
      <c r="X16" s="732"/>
      <c r="Y16" s="732"/>
      <c r="Z16" s="218"/>
      <c r="AA16" s="218"/>
      <c r="AB16" s="218"/>
      <c r="AC16" s="218"/>
      <c r="AD16" s="218"/>
      <c r="AE16" s="733"/>
      <c r="AF16" s="734"/>
      <c r="AG16" s="734"/>
      <c r="AH16" s="206"/>
      <c r="AI16" s="206"/>
      <c r="AJ16" s="203"/>
      <c r="AK16" s="203"/>
      <c r="AL16" s="203"/>
      <c r="AM16" s="203"/>
      <c r="AN16" s="207"/>
    </row>
    <row r="17" spans="1:54" s="204" customFormat="1" ht="13.5" thickBot="1">
      <c r="C17" s="202"/>
      <c r="D17" s="203"/>
      <c r="E17" s="203"/>
      <c r="G17" s="203"/>
      <c r="H17" s="205"/>
      <c r="J17" s="202"/>
      <c r="K17" s="203"/>
      <c r="M17" s="203"/>
      <c r="N17" s="203"/>
      <c r="O17" s="203"/>
      <c r="P17" s="203"/>
      <c r="Q17" s="219"/>
      <c r="R17" s="219"/>
      <c r="S17" s="203"/>
      <c r="T17" s="206"/>
      <c r="U17" s="206"/>
      <c r="V17" s="206"/>
      <c r="W17" s="206"/>
      <c r="X17" s="206"/>
      <c r="Y17" s="206"/>
      <c r="Z17" s="206"/>
      <c r="AA17" s="206"/>
      <c r="AB17" s="206"/>
      <c r="AC17" s="206"/>
      <c r="AD17" s="206"/>
      <c r="AE17" s="206"/>
      <c r="AF17" s="735"/>
      <c r="AG17" s="735"/>
      <c r="AH17" s="206"/>
      <c r="AI17" s="206"/>
      <c r="AJ17" s="203"/>
      <c r="AK17" s="203"/>
      <c r="AL17" s="203"/>
      <c r="AM17" s="203"/>
      <c r="AN17" s="207"/>
    </row>
    <row r="18" spans="1:54" s="204" customFormat="1" ht="15">
      <c r="C18" s="202"/>
      <c r="D18" s="203"/>
      <c r="E18" s="203"/>
      <c r="G18" s="203"/>
      <c r="H18" s="205"/>
      <c r="J18" s="202"/>
      <c r="K18" s="203"/>
      <c r="M18" s="203"/>
      <c r="N18" s="203"/>
      <c r="O18" s="203"/>
      <c r="P18" s="203"/>
      <c r="Q18" s="88" t="str">
        <f>VLOOKUP(COLUMN(O44),SFAssumptions!$A$83:$B$186,2,FALSE)</f>
        <v>O</v>
      </c>
      <c r="R18" s="84" t="str">
        <f ca="1">Q18&amp;$B$26&amp;":"&amp;Q18&amp;$B$27</f>
        <v>O30:O278</v>
      </c>
      <c r="S18" s="220" t="s">
        <v>827</v>
      </c>
      <c r="T18" s="221">
        <f ca="1">AVERAGEIF(INDIRECT(T$4),T$2,INDIRECT($R18))</f>
        <v>705.29950065709318</v>
      </c>
      <c r="U18" s="221">
        <f ca="1">AVERAGEIF(INDIRECT(U$4),U$2,INDIRECT($R18))</f>
        <v>948.81660531863633</v>
      </c>
      <c r="V18" s="221">
        <f ca="1">AVERAGEIF(INDIRECT(V$4),V$2,INDIRECT($R18))</f>
        <v>841.31806362119858</v>
      </c>
      <c r="W18" s="221">
        <f t="shared" ref="W18:AE18" ca="1" si="5">AVERAGEIF(INDIRECT(W$4),W$2,INDIRECT($R18))</f>
        <v>660.69326347072797</v>
      </c>
      <c r="X18" s="221">
        <f t="shared" ca="1" si="5"/>
        <v>820.43103645981648</v>
      </c>
      <c r="Y18" s="221">
        <f t="shared" ca="1" si="5"/>
        <v>712.94393687837407</v>
      </c>
      <c r="Z18" s="222">
        <f t="shared" ca="1" si="5"/>
        <v>828.82446517318192</v>
      </c>
      <c r="AA18" s="222">
        <f t="shared" ca="1" si="5"/>
        <v>999.30531217322812</v>
      </c>
      <c r="AB18" s="222">
        <f t="shared" ca="1" si="5"/>
        <v>960.76181632973964</v>
      </c>
      <c r="AC18" s="222">
        <f t="shared" ca="1" si="5"/>
        <v>971.88933710978404</v>
      </c>
      <c r="AD18" s="222">
        <f t="shared" ca="1" si="5"/>
        <v>1038.2916693071045</v>
      </c>
      <c r="AE18" s="736">
        <f t="shared" ca="1" si="5"/>
        <v>1054.8682589377968</v>
      </c>
      <c r="AF18" s="737"/>
      <c r="AG18" s="737"/>
      <c r="AH18" s="206"/>
      <c r="AI18" s="206"/>
      <c r="AJ18" s="203"/>
      <c r="AK18" s="203"/>
      <c r="AL18" s="203"/>
      <c r="AM18" s="203"/>
      <c r="AN18" s="207"/>
    </row>
    <row r="19" spans="1:54" s="204" customFormat="1" ht="15.75" thickBot="1">
      <c r="C19" s="202"/>
      <c r="D19" s="203"/>
      <c r="E19" s="203"/>
      <c r="G19" s="203"/>
      <c r="H19" s="205"/>
      <c r="J19" s="202"/>
      <c r="K19" s="203"/>
      <c r="M19" s="203"/>
      <c r="N19" s="203"/>
      <c r="O19" s="203"/>
      <c r="P19" s="203"/>
      <c r="Q19" s="88" t="str">
        <f>VLOOKUP(COLUMN(P45),SFAssumptions!$A$83:$B$186,2,FALSE)</f>
        <v>P</v>
      </c>
      <c r="R19" s="84" t="str">
        <f ca="1">Q19&amp;$B$26&amp;":"&amp;Q19&amp;$B$27</f>
        <v>P30:P278</v>
      </c>
      <c r="S19" s="738" t="s">
        <v>1351</v>
      </c>
      <c r="T19" s="223">
        <f ca="1">T18 + (SFAssumptions!$C$8-T14)*$AO$35</f>
        <v>678.7578973090624</v>
      </c>
      <c r="U19" s="223">
        <f ca="1">U18 + (SFAssumptions!$C$8-U14)*$AO$35</f>
        <v>931.55571126849827</v>
      </c>
      <c r="V19" s="223">
        <f ca="1">V18 + (SFAssumptions!$C$8-V14)*$AO$35</f>
        <v>819.96027988099968</v>
      </c>
      <c r="W19" s="223">
        <f ca="1">W18 + (SFAssumptions!$C$8-W14)*$AO$35</f>
        <v>651.32135481762032</v>
      </c>
      <c r="X19" s="223">
        <f ca="1">X18 + (SFAssumptions!$C$8-X14)*$AO$35</f>
        <v>834.2579518227642</v>
      </c>
      <c r="Y19" s="223">
        <f ca="1">Y18 + (SFAssumptions!$C$8-Y14)*$AO$35</f>
        <v>711.16042860434982</v>
      </c>
      <c r="Z19" s="224">
        <f ca="1">Z18 + (SFAssumptions!$C$8-Z14)*$AO$35</f>
        <v>754.7360149776722</v>
      </c>
      <c r="AA19" s="224">
        <f ca="1">AA18 + (SFAssumptions!$C$8-AA14)*$AO$35</f>
        <v>969.81887509547198</v>
      </c>
      <c r="AB19" s="224">
        <f ca="1">AB18 + (SFAssumptions!$C$8-AB14)*$AO$35</f>
        <v>921.19144585144784</v>
      </c>
      <c r="AC19" s="224">
        <f ca="1">AC18 + (SFAssumptions!$C$8-AC14)*$AO$35</f>
        <v>951.49912384722427</v>
      </c>
      <c r="AD19" s="224">
        <f ca="1">AD18 + (SFAssumptions!$C$8-AD14)*$AO$35</f>
        <v>1001.0825583529517</v>
      </c>
      <c r="AE19" s="739">
        <f ca="1">AE18 + (SFAssumptions!$C$8-AE14)*$AO$35</f>
        <v>996.04811179834417</v>
      </c>
      <c r="AF19" s="740">
        <f ca="1">AB19*SFAssumptions!$C$6+Y19*(1-SFAssumptions!$C$6)</f>
        <v>776.31603614450796</v>
      </c>
      <c r="AG19" s="740">
        <f ca="1">AB19*SFAssumptions!$C$5+Y19*(1-SFAssumptions!$C$5)</f>
        <v>825.23457500176619</v>
      </c>
      <c r="AH19" s="206"/>
      <c r="AI19" s="206"/>
      <c r="AJ19" s="203"/>
      <c r="AK19" s="203"/>
      <c r="AL19" s="203"/>
      <c r="AM19" s="203"/>
      <c r="AN19" s="207"/>
    </row>
    <row r="20" spans="1:54" s="204" customFormat="1">
      <c r="C20" s="202"/>
      <c r="D20" s="203"/>
      <c r="E20" s="203"/>
      <c r="G20" s="203"/>
      <c r="H20" s="205"/>
      <c r="J20" s="202"/>
      <c r="K20" s="203"/>
      <c r="M20" s="203"/>
      <c r="N20" s="203"/>
      <c r="O20" s="203"/>
      <c r="P20" s="203"/>
      <c r="Q20" s="203"/>
      <c r="R20" s="203"/>
      <c r="S20" s="203"/>
      <c r="T20" s="203"/>
      <c r="U20" s="203"/>
      <c r="V20" s="203"/>
      <c r="W20" s="203"/>
      <c r="X20" s="203"/>
      <c r="Y20" s="203"/>
      <c r="Z20" s="203"/>
      <c r="AA20" s="203"/>
      <c r="AB20" s="203"/>
      <c r="AC20" s="203"/>
      <c r="AD20" s="203"/>
      <c r="AE20" s="203"/>
      <c r="AF20" s="206"/>
      <c r="AG20" s="206"/>
      <c r="AH20" s="206"/>
      <c r="AI20" s="206"/>
      <c r="AJ20" s="203"/>
      <c r="AK20" s="203"/>
      <c r="AL20" s="203"/>
      <c r="AM20" s="203"/>
      <c r="AN20" s="207"/>
    </row>
    <row r="21" spans="1:54" s="204" customFormat="1">
      <c r="C21" s="202"/>
      <c r="D21" s="203"/>
      <c r="E21" s="203"/>
      <c r="G21" s="203"/>
      <c r="H21" s="205"/>
      <c r="J21" s="202"/>
      <c r="K21" s="203"/>
      <c r="M21" s="203"/>
      <c r="N21" s="203"/>
      <c r="O21" s="203"/>
      <c r="P21" s="203"/>
      <c r="Q21" s="203"/>
      <c r="R21" s="203"/>
      <c r="S21" s="198" t="s">
        <v>828</v>
      </c>
      <c r="T21" s="203"/>
      <c r="U21" s="225"/>
      <c r="V21" s="225"/>
      <c r="W21" s="203"/>
      <c r="X21" s="203"/>
      <c r="Y21" s="203" t="s">
        <v>1352</v>
      </c>
      <c r="Z21" s="225">
        <f t="shared" ref="Z21:AE21" ca="1" si="6">Z19-$AF$19</f>
        <v>-21.580021166835763</v>
      </c>
      <c r="AA21" s="225">
        <f t="shared" ca="1" si="6"/>
        <v>193.50283895096402</v>
      </c>
      <c r="AB21" s="225">
        <f t="shared" ca="1" si="6"/>
        <v>144.87540970693988</v>
      </c>
      <c r="AC21" s="225">
        <f t="shared" ca="1" si="6"/>
        <v>175.18308770271631</v>
      </c>
      <c r="AD21" s="225">
        <f t="shared" ca="1" si="6"/>
        <v>224.76652220844369</v>
      </c>
      <c r="AE21" s="225">
        <f t="shared" ca="1" si="6"/>
        <v>219.7320756538362</v>
      </c>
      <c r="AF21" s="206"/>
      <c r="AG21" s="206"/>
      <c r="AH21" s="206"/>
      <c r="AI21" s="206"/>
      <c r="AJ21" s="203"/>
      <c r="AK21" s="203"/>
      <c r="AL21" s="203"/>
      <c r="AM21" s="203"/>
      <c r="AN21" s="207"/>
    </row>
    <row r="22" spans="1:54" s="204" customFormat="1">
      <c r="C22" s="202"/>
      <c r="D22" s="203"/>
      <c r="E22" s="203"/>
      <c r="G22" s="203"/>
      <c r="H22" s="205"/>
      <c r="J22" s="202"/>
      <c r="K22" s="203"/>
      <c r="M22" s="203"/>
      <c r="N22" s="203"/>
      <c r="O22" s="203"/>
      <c r="P22" s="203"/>
      <c r="Q22" s="203"/>
      <c r="R22" s="203"/>
      <c r="S22" s="226"/>
      <c r="T22" s="206"/>
      <c r="U22" s="206"/>
      <c r="V22" s="206"/>
      <c r="W22" s="206"/>
      <c r="X22" s="206"/>
      <c r="Y22" s="206" t="s">
        <v>1353</v>
      </c>
      <c r="Z22" s="225">
        <f ca="1">Z19-$AG$19</f>
        <v>-70.49856002409399</v>
      </c>
      <c r="AA22" s="225">
        <f t="shared" ref="AA22:AE22" ca="1" si="7">AA19-$AG$19</f>
        <v>144.58430009370579</v>
      </c>
      <c r="AB22" s="225">
        <f t="shared" ca="1" si="7"/>
        <v>95.95687084968165</v>
      </c>
      <c r="AC22" s="225">
        <f t="shared" ca="1" si="7"/>
        <v>126.26454884545808</v>
      </c>
      <c r="AD22" s="225">
        <f t="shared" ca="1" si="7"/>
        <v>175.84798335118546</v>
      </c>
      <c r="AE22" s="225">
        <f t="shared" ca="1" si="7"/>
        <v>170.81353679657798</v>
      </c>
      <c r="AF22" s="206"/>
      <c r="AG22" s="206"/>
      <c r="AH22" s="206"/>
      <c r="AI22" s="206"/>
      <c r="AJ22" s="203"/>
      <c r="AK22" s="203"/>
      <c r="AL22" s="203"/>
      <c r="AM22" s="203"/>
      <c r="AN22" s="207"/>
    </row>
    <row r="23" spans="1:54" s="204" customFormat="1">
      <c r="C23" s="202"/>
      <c r="D23" s="203"/>
      <c r="E23" s="203"/>
      <c r="G23" s="203"/>
      <c r="H23" s="205"/>
      <c r="J23" s="202"/>
      <c r="K23" s="203"/>
      <c r="M23" s="203"/>
      <c r="N23" s="203"/>
      <c r="O23" s="203"/>
      <c r="P23" s="203"/>
      <c r="Q23" s="203"/>
      <c r="R23" s="203"/>
      <c r="S23" s="203"/>
      <c r="T23" s="203"/>
      <c r="U23" s="203"/>
      <c r="V23" s="203"/>
      <c r="W23" s="203"/>
      <c r="X23" s="203"/>
      <c r="Y23" s="203"/>
      <c r="Z23" s="203"/>
      <c r="AA23" s="203"/>
      <c r="AB23" s="203"/>
      <c r="AC23" s="203"/>
      <c r="AD23" s="203"/>
      <c r="AE23" s="203"/>
      <c r="AF23" s="206"/>
      <c r="AG23" s="206"/>
      <c r="AH23" s="206"/>
      <c r="AI23" s="206"/>
      <c r="AJ23" s="203"/>
      <c r="AK23" s="203"/>
      <c r="AL23" s="203"/>
      <c r="AM23" s="203"/>
      <c r="AN23" s="207"/>
    </row>
    <row r="24" spans="1:54" s="204" customFormat="1">
      <c r="A24" s="227" t="s">
        <v>1354</v>
      </c>
      <c r="C24" s="202"/>
      <c r="D24" s="203"/>
      <c r="E24" s="203"/>
      <c r="G24" s="203"/>
      <c r="H24" s="205"/>
      <c r="J24" s="202"/>
      <c r="K24" s="203"/>
      <c r="M24" s="203"/>
      <c r="N24" s="203"/>
      <c r="O24" s="203"/>
      <c r="P24" s="203"/>
      <c r="Q24" s="203"/>
      <c r="R24" s="203"/>
      <c r="S24" s="203"/>
      <c r="T24" s="203"/>
      <c r="U24" s="203"/>
      <c r="V24" s="203"/>
      <c r="W24" s="203"/>
      <c r="X24" s="203"/>
      <c r="Y24" s="203"/>
      <c r="Z24" s="203"/>
      <c r="AA24" s="203"/>
      <c r="AB24" s="203"/>
      <c r="AC24" s="203"/>
      <c r="AD24" s="203"/>
      <c r="AE24" s="203"/>
      <c r="AF24" s="206"/>
      <c r="AG24" s="206"/>
      <c r="AH24" s="206"/>
      <c r="AI24" s="206"/>
      <c r="AJ24" s="203"/>
      <c r="AK24" s="203"/>
      <c r="AL24" s="203"/>
      <c r="AM24" s="203"/>
      <c r="AN24" s="207"/>
    </row>
    <row r="25" spans="1:54" s="204" customFormat="1">
      <c r="C25" s="202"/>
      <c r="D25" s="203"/>
      <c r="E25" s="203"/>
      <c r="G25" s="203"/>
      <c r="H25" s="205"/>
      <c r="J25" s="202"/>
      <c r="K25" s="203"/>
      <c r="M25" s="203"/>
      <c r="N25" s="203"/>
      <c r="O25" s="203"/>
      <c r="P25" s="203"/>
      <c r="Q25" s="203"/>
      <c r="R25" s="203"/>
      <c r="S25" s="203"/>
      <c r="T25" s="203"/>
      <c r="U25" s="203"/>
      <c r="V25" s="203"/>
      <c r="W25" s="203"/>
      <c r="X25" s="203"/>
      <c r="Y25" s="203"/>
      <c r="Z25" s="203"/>
      <c r="AA25" s="203"/>
      <c r="AB25" s="203"/>
      <c r="AC25" s="203"/>
      <c r="AD25" s="203"/>
      <c r="AE25" s="203"/>
      <c r="AF25" s="206"/>
      <c r="AG25" s="206"/>
      <c r="AH25" s="206"/>
      <c r="AI25" s="206"/>
      <c r="AJ25" s="203"/>
      <c r="AK25" s="203"/>
      <c r="AL25" s="203"/>
      <c r="AM25" s="203"/>
      <c r="AN25" s="207"/>
    </row>
    <row r="26" spans="1:54" s="204" customFormat="1">
      <c r="A26" s="204" t="s">
        <v>351</v>
      </c>
      <c r="B26" s="204">
        <f>ROW(B30)</f>
        <v>30</v>
      </c>
      <c r="C26" s="202"/>
      <c r="D26" s="203"/>
      <c r="E26" s="203"/>
      <c r="G26" s="203"/>
      <c r="H26" s="205"/>
      <c r="J26" s="202"/>
      <c r="K26" s="203"/>
      <c r="M26" s="203"/>
      <c r="N26" s="203"/>
      <c r="O26" s="203"/>
      <c r="P26" s="203"/>
      <c r="Q26" s="203"/>
      <c r="R26" s="203"/>
      <c r="S26" s="203"/>
      <c r="T26" s="203" t="s">
        <v>1026</v>
      </c>
      <c r="U26" s="203" t="s">
        <v>1023</v>
      </c>
      <c r="V26" s="203"/>
      <c r="W26" s="203" t="s">
        <v>1026</v>
      </c>
      <c r="X26" s="203" t="s">
        <v>1023</v>
      </c>
      <c r="Y26" s="203"/>
      <c r="Z26" s="203" t="s">
        <v>1026</v>
      </c>
      <c r="AA26" s="203" t="s">
        <v>1023</v>
      </c>
      <c r="AB26" s="203"/>
      <c r="AC26" s="203"/>
      <c r="AD26" s="203"/>
      <c r="AE26" s="203"/>
      <c r="AF26" s="206"/>
      <c r="AG26" s="206"/>
      <c r="AH26" s="206"/>
      <c r="AI26" s="206"/>
      <c r="AJ26" s="203"/>
      <c r="AK26" s="203"/>
      <c r="AL26" s="203"/>
      <c r="AM26" s="203"/>
      <c r="AN26" s="207"/>
    </row>
    <row r="27" spans="1:54" s="204" customFormat="1">
      <c r="A27" s="204" t="s">
        <v>352</v>
      </c>
      <c r="B27" s="204">
        <f ca="1">COUNTA(INDIRECT("A"&amp;B26&amp;":A"&amp;50000))+B26-1</f>
        <v>278</v>
      </c>
      <c r="C27" s="202"/>
      <c r="D27" s="203"/>
      <c r="E27" s="203"/>
      <c r="G27" s="203"/>
      <c r="H27" s="205"/>
      <c r="J27" s="202"/>
      <c r="K27" s="203"/>
      <c r="M27" s="203"/>
      <c r="N27" s="203"/>
      <c r="O27" s="203"/>
      <c r="P27" s="203"/>
      <c r="Q27" s="203"/>
      <c r="R27" s="203"/>
      <c r="S27" s="203"/>
      <c r="T27" s="203"/>
      <c r="U27" s="203"/>
      <c r="V27" s="203"/>
      <c r="W27" s="203"/>
      <c r="X27" s="203"/>
      <c r="Y27" s="203"/>
      <c r="Z27" s="203" t="s">
        <v>200</v>
      </c>
      <c r="AA27" s="203"/>
      <c r="AB27" s="203"/>
      <c r="AC27" s="203"/>
      <c r="AD27" s="203"/>
      <c r="AE27" s="203"/>
      <c r="AF27" s="206"/>
      <c r="AG27" s="206"/>
      <c r="AH27" s="206"/>
      <c r="AI27" s="206"/>
      <c r="AJ27" s="203"/>
      <c r="AK27" s="203"/>
      <c r="AL27" s="203"/>
      <c r="AM27" s="203"/>
      <c r="AN27" s="207"/>
    </row>
    <row r="28" spans="1:54" s="204" customFormat="1">
      <c r="A28" s="228" t="s">
        <v>829</v>
      </c>
      <c r="B28" s="229"/>
      <c r="C28" s="230"/>
      <c r="D28" s="231"/>
      <c r="E28" s="231"/>
      <c r="F28" s="229"/>
      <c r="G28" s="231"/>
      <c r="H28" s="232"/>
      <c r="I28" s="229"/>
      <c r="J28" s="230"/>
      <c r="K28" s="231"/>
      <c r="L28" s="229"/>
      <c r="M28" s="231"/>
      <c r="N28" s="231"/>
      <c r="O28" s="233" t="s">
        <v>830</v>
      </c>
      <c r="P28" s="233"/>
      <c r="Q28" s="203"/>
      <c r="R28" s="203"/>
      <c r="S28" s="203"/>
      <c r="T28" s="234" t="s">
        <v>354</v>
      </c>
      <c r="U28" s="234"/>
      <c r="V28" s="234"/>
      <c r="W28" s="234"/>
      <c r="X28" s="234"/>
      <c r="Y28" s="234"/>
      <c r="Z28" s="231"/>
      <c r="AA28" s="231"/>
      <c r="AB28" s="231"/>
      <c r="AC28" s="231"/>
      <c r="AD28" s="231"/>
      <c r="AE28" s="231"/>
      <c r="AF28" s="206"/>
      <c r="AG28" s="206"/>
      <c r="AH28" s="233" t="s">
        <v>831</v>
      </c>
      <c r="AI28" s="235"/>
      <c r="AJ28" s="235"/>
      <c r="AK28" s="206"/>
      <c r="AL28" s="206"/>
      <c r="AM28" s="206"/>
      <c r="AN28" s="236"/>
    </row>
    <row r="29" spans="1:54" s="204" customFormat="1" ht="52.5" customHeight="1" thickBot="1">
      <c r="A29" s="237" t="s">
        <v>832</v>
      </c>
      <c r="B29" s="237" t="s">
        <v>833</v>
      </c>
      <c r="C29" s="238" t="s">
        <v>834</v>
      </c>
      <c r="D29" s="238" t="s">
        <v>835</v>
      </c>
      <c r="E29" s="238" t="s">
        <v>1017</v>
      </c>
      <c r="F29" s="239" t="s">
        <v>836</v>
      </c>
      <c r="G29" s="240" t="s">
        <v>824</v>
      </c>
      <c r="H29" s="241" t="s">
        <v>825</v>
      </c>
      <c r="I29" s="239" t="s">
        <v>837</v>
      </c>
      <c r="J29" s="238" t="s">
        <v>834</v>
      </c>
      <c r="K29" s="240" t="s">
        <v>835</v>
      </c>
      <c r="L29" s="242" t="s">
        <v>1288</v>
      </c>
      <c r="M29" s="242" t="s">
        <v>1289</v>
      </c>
      <c r="N29" s="240" t="s">
        <v>838</v>
      </c>
      <c r="O29" s="240" t="s">
        <v>839</v>
      </c>
      <c r="P29" s="242" t="s">
        <v>840</v>
      </c>
      <c r="Q29" s="242" t="s">
        <v>1291</v>
      </c>
      <c r="R29" s="243"/>
      <c r="S29" s="243"/>
      <c r="T29" s="242" t="str">
        <f t="shared" ref="T29:AE29" si="8">T1</f>
        <v>All Retail Models Meeting Fed Standard - Top-Load</v>
      </c>
      <c r="U29" s="242" t="str">
        <f t="shared" si="8"/>
        <v>All Retail Models Meeting Fed Standard - Front-Load</v>
      </c>
      <c r="V29" s="242" t="str">
        <f t="shared" si="8"/>
        <v>All Models Meeting Fed Standard (Top- or Front-Load)</v>
      </c>
      <c r="W29" s="242" t="str">
        <f t="shared" si="8"/>
        <v>All Models Below ENERGY STAR - Top-Load</v>
      </c>
      <c r="X29" s="242" t="str">
        <f t="shared" si="8"/>
        <v>All Models Below ENERGY STAR - Front-Load</v>
      </c>
      <c r="Y29" s="242" t="str">
        <f>Y1</f>
        <v>All Models Below ENERGY STAR (Top- or Front-Load)</v>
      </c>
      <c r="Z29" s="242" t="str">
        <f t="shared" si="8"/>
        <v>ENERGY STAR - Top-Load</v>
      </c>
      <c r="AA29" s="242" t="str">
        <f t="shared" si="8"/>
        <v>ENERGY STAR - Front-Load</v>
      </c>
      <c r="AB29" s="242" t="str">
        <f t="shared" si="8"/>
        <v>Any ENERGY STAR (Top- or Front-Load)</v>
      </c>
      <c r="AC29" s="242" t="str">
        <f t="shared" si="8"/>
        <v>CEE Tier 1</v>
      </c>
      <c r="AD29" s="242" t="str">
        <f t="shared" si="8"/>
        <v>CEE Tier 2</v>
      </c>
      <c r="AE29" s="242" t="str">
        <f t="shared" si="8"/>
        <v>CEE Tier 3</v>
      </c>
      <c r="AF29" s="244"/>
      <c r="AG29" s="244"/>
      <c r="AH29" s="245" t="s">
        <v>824</v>
      </c>
      <c r="AI29" s="245" t="s">
        <v>841</v>
      </c>
      <c r="AJ29" s="245" t="s">
        <v>842</v>
      </c>
      <c r="AK29" s="206"/>
      <c r="AL29" s="246" t="s">
        <v>843</v>
      </c>
      <c r="AM29" s="246"/>
      <c r="AN29" s="246"/>
      <c r="AO29" s="247"/>
    </row>
    <row r="30" spans="1:54" s="204" customFormat="1" ht="15">
      <c r="A30" s="248" t="s">
        <v>844</v>
      </c>
      <c r="B30" s="248" t="s">
        <v>845</v>
      </c>
      <c r="C30" s="249">
        <v>1149</v>
      </c>
      <c r="D30" s="250">
        <v>4.3</v>
      </c>
      <c r="E30" s="250" t="str">
        <f>VLOOKUP(B30,'Northwest Retail Cost Data'!$C$5:$F$275,4,FALSE)</f>
        <v>Front Load</v>
      </c>
      <c r="F30" s="251" t="s">
        <v>846</v>
      </c>
      <c r="G30" s="248">
        <v>3.33</v>
      </c>
      <c r="H30" s="248">
        <v>2.8</v>
      </c>
      <c r="I30" s="252">
        <f>D30*H30*SFAssumptions!$C$3</f>
        <v>3090.8281319999996</v>
      </c>
      <c r="J30" s="253">
        <f t="shared" ref="J30:K93" si="9">C30</f>
        <v>1149</v>
      </c>
      <c r="K30" s="254">
        <f t="shared" si="9"/>
        <v>4.3</v>
      </c>
      <c r="L30" s="691">
        <f t="shared" ref="L30:L35" si="10">IF($G30="","",IF($E30="Front Load",G30*slope_FrontLoad_MEF+int_FrontLoad_MEF,IF($E30="Top Load",G30*slope_TopLoad_MEF+int_TopLoad_MEF,"")))</f>
        <v>2.8719849999999996</v>
      </c>
      <c r="M30" s="691">
        <f t="shared" ref="M30:M35" si="11">IF($H30="","",IF($E30="Front Load",H30*slope_FrontLoad_WF+int_FrontLoad_WF,IF($E30="Top Load",H30*slope_TopLoad_WF+int_TopLoad_WF,"")))</f>
        <v>2.9849599999999996</v>
      </c>
      <c r="N30" s="255">
        <v>2012</v>
      </c>
      <c r="O30" s="256">
        <f>C30*VLOOKUP(N30,SFAssumptions!$A$42:$B$51,2,FALSE)</f>
        <v>1037.6100591876248</v>
      </c>
      <c r="P30" s="254">
        <f ca="1">O30+((SFAssumptions!$C$8-D30)*$AO$35)</f>
        <v>989.63169026864978</v>
      </c>
      <c r="Q30" s="190" t="str">
        <f>IF(OR(L30="",M30=""),"No",IF(AND(E30="Front Load",L30&gt;='Eff. Standards &amp; Certifications'!$B$21,M30&lt;='Eff. Standards &amp; Certifications'!$C$21),"Consider",IF(AND(E30="Top Load",L30&gt;='Eff. Standards &amp; Certifications'!$B$20,M30&lt;='Eff. Standards &amp; Certifications'!$C$20),"Consider","No")))</f>
        <v>Consider</v>
      </c>
      <c r="R30" s="257"/>
      <c r="S30" s="203"/>
      <c r="T30" s="293" t="str">
        <f>IF(AND($L30&gt;=T$6,$L30&lt;=T$7,$M30&gt;=T$8,$M30&lt;=T$9,$M30&gt;0,$E30=T$26,$Q30="Consider"),"YES","NO")</f>
        <v>NO</v>
      </c>
      <c r="U30" s="293" t="str">
        <f>IF(AND($L30&gt;=U$6,$L30&lt;=U$7,$M30&gt;=U$8,$M30&lt;=U$9,$M30&gt;0,$E30=U$26,$Q30="Consider"),"YES","NO")</f>
        <v>YES</v>
      </c>
      <c r="V30" s="293" t="str">
        <f>IF(OR(T30="YES",U30="YES"),"YES","NO")</f>
        <v>YES</v>
      </c>
      <c r="W30" s="211" t="str">
        <f t="shared" ref="W30:X93" si="12">IF(AND($Q30="Consider",$E30=W$26,$L30&gt;=Z$6,$M30&lt;=Z$9),"NO",IF(AND($Q30="Consider",$E30=W$26,$L30&gt;=W$6,$M30&lt;=W$9),"YES","NO"))</f>
        <v>NO</v>
      </c>
      <c r="X30" s="211" t="str">
        <f t="shared" si="12"/>
        <v>NO</v>
      </c>
      <c r="Y30" s="211" t="str">
        <f>IF(OR(W30="YES",X30="YES"),"YES","NO")</f>
        <v>NO</v>
      </c>
      <c r="Z30" s="211" t="str">
        <f>IF(AND($Q30="Consider",$E30=Z$26,$L30&gt;=Z$6,$M30&lt;=Z$9),"YES","NO")</f>
        <v>NO</v>
      </c>
      <c r="AA30" s="211" t="str">
        <f>IF(AND($Q30="Consider",$E30=AA$26,$L30&gt;=AA$6,$M30&lt;=AA$9),"YES","NO")</f>
        <v>YES</v>
      </c>
      <c r="AB30" s="293" t="str">
        <f>IF(OR(Z30="YES",AA30="YES"),"YES","NO")</f>
        <v>YES</v>
      </c>
      <c r="AC30" s="211" t="str">
        <f>IF(AND($Q30="Consider",$L30&gt;=AE$6,$M30&lt;=AE$9),"NO",IF(AND($Q30="Consider",$L30&gt;=AD$6,$M30&lt;=AD$9),"NO",IF(AND($Q30="Consider",$L30&gt;=AC$6,$M30&lt;=AC$9),"YES","NO")))</f>
        <v>NO</v>
      </c>
      <c r="AD30" s="211" t="str">
        <f>IF(AND($Q30="Consider",$L30&gt;=AE$6,$M30&lt;=AE$9),"NO",IF(AND($Q30="Consider",$L30&gt;=AD$6,$M30&lt;=AD$9),"YES","NO"))</f>
        <v>YES</v>
      </c>
      <c r="AE30" s="211" t="str">
        <f>IF(AND($Q30="Consider",$L30&gt;=AE$6,$M30&lt;=AE$9),"YES","NO")</f>
        <v>NO</v>
      </c>
      <c r="AF30" s="99"/>
      <c r="AG30" s="99"/>
      <c r="AH30" s="203">
        <f t="shared" ref="AH30:AH93" si="13">L30</f>
        <v>2.8719849999999996</v>
      </c>
      <c r="AI30" s="203">
        <f t="shared" ref="AI30:AI93" si="14">C30</f>
        <v>1149</v>
      </c>
      <c r="AJ30" s="203">
        <f t="shared" ref="AJ30:AJ93" si="15">$AP$35+D30*$AO$35+L30*$AN$35+M30*$AM$35</f>
        <v>1025.3364339900581</v>
      </c>
      <c r="AK30" s="203"/>
      <c r="AL30" s="258" t="s">
        <v>847</v>
      </c>
      <c r="AM30" s="259"/>
      <c r="AN30" s="259"/>
      <c r="AO30" s="260"/>
      <c r="AP30" s="261"/>
      <c r="BB30" s="262"/>
    </row>
    <row r="31" spans="1:54" s="204" customFormat="1" ht="15">
      <c r="A31" s="248" t="s">
        <v>844</v>
      </c>
      <c r="B31" s="248" t="s">
        <v>848</v>
      </c>
      <c r="C31" s="249">
        <v>1049</v>
      </c>
      <c r="D31" s="250">
        <v>4.22</v>
      </c>
      <c r="E31" s="250" t="str">
        <f>VLOOKUP(B31,'Northwest Retail Cost Data'!$C$5:$F$275,4,FALSE)</f>
        <v>Front Load</v>
      </c>
      <c r="F31" s="251" t="s">
        <v>846</v>
      </c>
      <c r="G31" s="248">
        <v>2.88</v>
      </c>
      <c r="H31" s="248">
        <v>3.5</v>
      </c>
      <c r="I31" s="252">
        <f>D31*H31*SFAssumptions!$C$3</f>
        <v>3791.6554409999999</v>
      </c>
      <c r="J31" s="253">
        <f t="shared" si="9"/>
        <v>1049</v>
      </c>
      <c r="K31" s="254">
        <f t="shared" si="9"/>
        <v>4.22</v>
      </c>
      <c r="L31" s="691">
        <f t="shared" si="10"/>
        <v>2.4604599999999994</v>
      </c>
      <c r="M31" s="691">
        <f t="shared" si="11"/>
        <v>3.7018999999999997</v>
      </c>
      <c r="N31" s="255">
        <v>2012</v>
      </c>
      <c r="O31" s="256">
        <f>C31*VLOOKUP(N31,SFAssumptions!$A$42:$B$51,2,FALSE)</f>
        <v>947.30457100767489</v>
      </c>
      <c r="P31" s="254">
        <f ca="1">O31+((SFAssumptions!$C$8-D31)*$AO$35)</f>
        <v>906.66525196102316</v>
      </c>
      <c r="Q31" s="190" t="str">
        <f>IF(OR(L31="",M31=""),"No",IF(AND(E31="Front Load",L31&gt;='Eff. Standards &amp; Certifications'!$B$21,M31&lt;='Eff. Standards &amp; Certifications'!$C$21),"Consider",IF(AND(E31="Top Load",L31&gt;='Eff. Standards &amp; Certifications'!$B$20,M31&lt;='Eff. Standards &amp; Certifications'!$C$20),"Consider","No")))</f>
        <v>Consider</v>
      </c>
      <c r="R31" s="203"/>
      <c r="S31" s="203"/>
      <c r="T31" s="293" t="str">
        <f t="shared" ref="T31:U94" si="16">IF(AND($L31&gt;=T$6,$L31&lt;=T$7,$M31&gt;=T$8,$M31&lt;=T$9,$M31&gt;0,$E31=T$26,$Q31="Consider"),"YES","NO")</f>
        <v>NO</v>
      </c>
      <c r="U31" s="293" t="str">
        <f t="shared" si="16"/>
        <v>YES</v>
      </c>
      <c r="V31" s="293" t="str">
        <f t="shared" ref="V31:V94" si="17">IF(OR(T31="YES",U31="YES"),"YES","NO")</f>
        <v>YES</v>
      </c>
      <c r="W31" s="211" t="str">
        <f t="shared" si="12"/>
        <v>NO</v>
      </c>
      <c r="X31" s="211" t="str">
        <f t="shared" si="12"/>
        <v>YES</v>
      </c>
      <c r="Y31" s="211" t="str">
        <f t="shared" ref="Y31:Y94" si="18">IF(OR(W31="YES",X31="YES"),"YES","NO")</f>
        <v>YES</v>
      </c>
      <c r="Z31" s="211" t="str">
        <f t="shared" ref="Z31:AA94" si="19">IF(AND($Q31="Consider",$E31=Z$26,$L31&gt;=Z$6,$M31&lt;=Z$9),"YES","NO")</f>
        <v>NO</v>
      </c>
      <c r="AA31" s="211" t="str">
        <f t="shared" si="19"/>
        <v>NO</v>
      </c>
      <c r="AB31" s="293" t="str">
        <f t="shared" ref="AB31:AB94" si="20">IF(OR(Z31="YES",AA31="YES"),"YES","NO")</f>
        <v>NO</v>
      </c>
      <c r="AC31" s="211" t="str">
        <f t="shared" ref="AC31:AC94" si="21">IF(AND($Q31="Consider",$L31&gt;=AE$6,$M31&lt;=AE$9),"NO",IF(AND($Q31="Consider",$L31&gt;=AD$6,$M31&lt;=AD$9),"NO",IF(AND($Q31="Consider",$L31&gt;=AC$6,$M31&lt;=AC$9),"YES","NO")))</f>
        <v>NO</v>
      </c>
      <c r="AD31" s="211" t="str">
        <f t="shared" ref="AD31:AD94" si="22">IF(AND($Q31="Consider",$L31&gt;=AE$6,$M31&lt;=AE$9),"NO",IF(AND($Q31="Consider",$L31&gt;=AD$6,$M31&lt;=AD$9),"YES","NO"))</f>
        <v>NO</v>
      </c>
      <c r="AE31" s="211" t="str">
        <f t="shared" ref="AE31:AE94" si="23">IF(AND($Q31="Consider",$L31&gt;=AE$6,$M31&lt;=AE$9),"YES","NO")</f>
        <v>NO</v>
      </c>
      <c r="AF31" s="88"/>
      <c r="AG31" s="88"/>
      <c r="AH31" s="203">
        <f t="shared" si="13"/>
        <v>2.4604599999999994</v>
      </c>
      <c r="AI31" s="203">
        <f t="shared" si="14"/>
        <v>1049</v>
      </c>
      <c r="AJ31" s="203">
        <f t="shared" si="15"/>
        <v>913.57116722194269</v>
      </c>
      <c r="AK31" s="203"/>
      <c r="AL31" s="263" t="s">
        <v>849</v>
      </c>
      <c r="AM31" s="219"/>
      <c r="AN31" s="219"/>
      <c r="AO31" s="264"/>
      <c r="AP31" s="265"/>
      <c r="BB31" s="262"/>
    </row>
    <row r="32" spans="1:54" s="204" customFormat="1" ht="15">
      <c r="A32" s="248" t="s">
        <v>850</v>
      </c>
      <c r="B32" s="248" t="s">
        <v>851</v>
      </c>
      <c r="C32" s="249">
        <v>699</v>
      </c>
      <c r="D32" s="250">
        <v>3.26</v>
      </c>
      <c r="E32" s="250" t="str">
        <f>VLOOKUP(B32,'Northwest Retail Cost Data'!$C$5:$F$275,4,FALSE)</f>
        <v>Front Load</v>
      </c>
      <c r="F32" s="251" t="s">
        <v>846</v>
      </c>
      <c r="G32" s="248">
        <v>3</v>
      </c>
      <c r="H32" s="248">
        <v>3.3</v>
      </c>
      <c r="I32" s="252">
        <f>D32*H32*SFAssumptions!$C$3</f>
        <v>2761.7216813999999</v>
      </c>
      <c r="J32" s="253">
        <f t="shared" si="9"/>
        <v>699</v>
      </c>
      <c r="K32" s="254">
        <f t="shared" si="9"/>
        <v>3.26</v>
      </c>
      <c r="L32" s="691">
        <f t="shared" si="10"/>
        <v>2.5701999999999998</v>
      </c>
      <c r="M32" s="691">
        <f t="shared" si="11"/>
        <v>3.4970599999999998</v>
      </c>
      <c r="N32" s="255">
        <v>2012</v>
      </c>
      <c r="O32" s="256">
        <f>C32*VLOOKUP(N32,SFAssumptions!$A$42:$B$51,2,FALSE)</f>
        <v>631.23536237785015</v>
      </c>
      <c r="P32" s="254">
        <f ca="1">O32+((SFAssumptions!$C$8-D32)*$AO$35)</f>
        <v>678.66464179907814</v>
      </c>
      <c r="Q32" s="190" t="str">
        <f>IF(OR(L32="",M32=""),"No",IF(AND(E32="Front Load",L32&gt;='Eff. Standards &amp; Certifications'!$B$21,M32&lt;='Eff. Standards &amp; Certifications'!$C$21),"Consider",IF(AND(E32="Top Load",L32&gt;='Eff. Standards &amp; Certifications'!$B$20,M32&lt;='Eff. Standards &amp; Certifications'!$C$20),"Consider","No")))</f>
        <v>Consider</v>
      </c>
      <c r="R32" s="203"/>
      <c r="S32" s="203"/>
      <c r="T32" s="293" t="str">
        <f t="shared" si="16"/>
        <v>NO</v>
      </c>
      <c r="U32" s="293" t="str">
        <f t="shared" si="16"/>
        <v>YES</v>
      </c>
      <c r="V32" s="293" t="str">
        <f t="shared" si="17"/>
        <v>YES</v>
      </c>
      <c r="W32" s="211" t="str">
        <f t="shared" si="12"/>
        <v>NO</v>
      </c>
      <c r="X32" s="211" t="str">
        <f t="shared" si="12"/>
        <v>NO</v>
      </c>
      <c r="Y32" s="211" t="str">
        <f t="shared" si="18"/>
        <v>NO</v>
      </c>
      <c r="Z32" s="211" t="str">
        <f t="shared" si="19"/>
        <v>NO</v>
      </c>
      <c r="AA32" s="211" t="str">
        <f t="shared" si="19"/>
        <v>YES</v>
      </c>
      <c r="AB32" s="293" t="str">
        <f t="shared" si="20"/>
        <v>YES</v>
      </c>
      <c r="AC32" s="211" t="str">
        <f t="shared" si="21"/>
        <v>YES</v>
      </c>
      <c r="AD32" s="211" t="str">
        <f t="shared" si="22"/>
        <v>NO</v>
      </c>
      <c r="AE32" s="211" t="str">
        <f t="shared" si="23"/>
        <v>NO</v>
      </c>
      <c r="AF32" s="88"/>
      <c r="AG32" s="88"/>
      <c r="AH32" s="203">
        <f t="shared" si="13"/>
        <v>2.5701999999999998</v>
      </c>
      <c r="AI32" s="203">
        <f t="shared" si="14"/>
        <v>699</v>
      </c>
      <c r="AJ32" s="203">
        <f t="shared" si="15"/>
        <v>853.44419939584213</v>
      </c>
      <c r="AK32" s="203"/>
      <c r="AL32" s="266"/>
      <c r="AM32" s="219"/>
      <c r="AN32" s="219"/>
      <c r="AO32" s="264"/>
      <c r="AP32" s="265"/>
      <c r="BB32" s="262"/>
    </row>
    <row r="33" spans="1:54" s="204" customFormat="1" ht="15">
      <c r="A33" s="248" t="s">
        <v>852</v>
      </c>
      <c r="B33" s="248" t="s">
        <v>853</v>
      </c>
      <c r="C33" s="249">
        <v>899</v>
      </c>
      <c r="D33" s="250">
        <v>4.0999999999999996</v>
      </c>
      <c r="E33" s="250" t="str">
        <f>VLOOKUP(B33,'Northwest Retail Cost Data'!$C$5:$F$275,4,FALSE)</f>
        <v>Front Load</v>
      </c>
      <c r="F33" s="251" t="s">
        <v>846</v>
      </c>
      <c r="G33" s="248">
        <v>2.61</v>
      </c>
      <c r="H33" s="248">
        <v>3.9</v>
      </c>
      <c r="I33" s="252">
        <f>D33*H33*SFAssumptions!$C$3</f>
        <v>4104.8456669999996</v>
      </c>
      <c r="J33" s="253">
        <f t="shared" si="9"/>
        <v>899</v>
      </c>
      <c r="K33" s="254">
        <f t="shared" si="9"/>
        <v>4.0999999999999996</v>
      </c>
      <c r="L33" s="691">
        <f t="shared" si="10"/>
        <v>2.2135449999999999</v>
      </c>
      <c r="M33" s="691">
        <f t="shared" si="11"/>
        <v>4.11158</v>
      </c>
      <c r="N33" s="255">
        <v>2012</v>
      </c>
      <c r="O33" s="256">
        <f>C33*VLOOKUP(N33,SFAssumptions!$A$42:$B$51,2,FALSE)</f>
        <v>811.84633873774999</v>
      </c>
      <c r="P33" s="254">
        <f ca="1">O33+((SFAssumptions!$C$8-D33)*$AO$35)</f>
        <v>782.21559449958329</v>
      </c>
      <c r="Q33" s="190" t="str">
        <f>IF(OR(L33="",M33=""),"No",IF(AND(E33="Front Load",L33&gt;='Eff. Standards &amp; Certifications'!$B$21,M33&lt;='Eff. Standards &amp; Certifications'!$C$21),"Consider",IF(AND(E33="Top Load",L33&gt;='Eff. Standards &amp; Certifications'!$B$20,M33&lt;='Eff. Standards &amp; Certifications'!$C$20),"Consider","No")))</f>
        <v>Consider</v>
      </c>
      <c r="R33" s="203"/>
      <c r="S33" s="203"/>
      <c r="T33" s="293" t="str">
        <f t="shared" si="16"/>
        <v>NO</v>
      </c>
      <c r="U33" s="293" t="str">
        <f t="shared" si="16"/>
        <v>YES</v>
      </c>
      <c r="V33" s="293" t="str">
        <f t="shared" si="17"/>
        <v>YES</v>
      </c>
      <c r="W33" s="211" t="str">
        <f t="shared" si="12"/>
        <v>NO</v>
      </c>
      <c r="X33" s="211" t="str">
        <f t="shared" si="12"/>
        <v>YES</v>
      </c>
      <c r="Y33" s="211" t="str">
        <f t="shared" si="18"/>
        <v>YES</v>
      </c>
      <c r="Z33" s="211" t="str">
        <f t="shared" si="19"/>
        <v>NO</v>
      </c>
      <c r="AA33" s="211" t="str">
        <f t="shared" si="19"/>
        <v>NO</v>
      </c>
      <c r="AB33" s="293" t="str">
        <f t="shared" si="20"/>
        <v>NO</v>
      </c>
      <c r="AC33" s="211" t="str">
        <f t="shared" si="21"/>
        <v>NO</v>
      </c>
      <c r="AD33" s="211" t="str">
        <f t="shared" si="22"/>
        <v>NO</v>
      </c>
      <c r="AE33" s="211" t="str">
        <f t="shared" si="23"/>
        <v>NO</v>
      </c>
      <c r="AF33" s="88"/>
      <c r="AG33" s="88"/>
      <c r="AH33" s="203">
        <f t="shared" si="13"/>
        <v>2.2135449999999999</v>
      </c>
      <c r="AI33" s="203">
        <f t="shared" si="14"/>
        <v>899</v>
      </c>
      <c r="AJ33" s="203">
        <f t="shared" si="15"/>
        <v>840.04882148033391</v>
      </c>
      <c r="AK33" s="203"/>
      <c r="AL33" s="266"/>
      <c r="AM33" s="267" t="s">
        <v>854</v>
      </c>
      <c r="AN33" s="219"/>
      <c r="AO33" s="219"/>
      <c r="AP33" s="268"/>
      <c r="BB33" s="262"/>
    </row>
    <row r="34" spans="1:54" s="204" customFormat="1" ht="15">
      <c r="A34" s="248" t="s">
        <v>852</v>
      </c>
      <c r="B34" s="248" t="s">
        <v>855</v>
      </c>
      <c r="C34" s="249">
        <v>1099</v>
      </c>
      <c r="D34" s="250">
        <v>2.2000000000000002</v>
      </c>
      <c r="E34" s="250" t="str">
        <f>VLOOKUP(B34,'Northwest Retail Cost Data'!$C$5:$F$275,4,FALSE)</f>
        <v>Front Load</v>
      </c>
      <c r="F34" s="251" t="s">
        <v>846</v>
      </c>
      <c r="G34" s="248">
        <v>2.2999999999999998</v>
      </c>
      <c r="H34" s="248">
        <v>4.3</v>
      </c>
      <c r="I34" s="252">
        <f>D34*H34*SFAssumptions!$C$3</f>
        <v>2428.507818</v>
      </c>
      <c r="J34" s="253">
        <f t="shared" si="9"/>
        <v>1099</v>
      </c>
      <c r="K34" s="254">
        <f t="shared" si="9"/>
        <v>2.2000000000000002</v>
      </c>
      <c r="L34" s="691">
        <f t="shared" si="10"/>
        <v>1.9300499999999998</v>
      </c>
      <c r="M34" s="691">
        <f t="shared" si="11"/>
        <v>4.5212599999999998</v>
      </c>
      <c r="N34" s="255">
        <v>2012</v>
      </c>
      <c r="O34" s="256">
        <f>C34*VLOOKUP(N34,SFAssumptions!$A$42:$B$51,2,FALSE)</f>
        <v>992.45731509764994</v>
      </c>
      <c r="P34" s="254">
        <f ca="1">O34+((SFAssumptions!$C$8-D34)*$AO$35)</f>
        <v>1137.1290053271616</v>
      </c>
      <c r="Q34" s="190" t="str">
        <f>IF(OR(L34="",M34=""),"No",IF(AND(E34="Front Load",L34&gt;='Eff. Standards &amp; Certifications'!$B$21,M34&lt;='Eff. Standards &amp; Certifications'!$C$21),"Consider",IF(AND(E34="Top Load",L34&gt;='Eff. Standards &amp; Certifications'!$B$20,M34&lt;='Eff. Standards &amp; Certifications'!$C$20),"Consider","No")))</f>
        <v>Consider</v>
      </c>
      <c r="R34" s="203"/>
      <c r="S34" s="203"/>
      <c r="T34" s="293" t="str">
        <f t="shared" si="16"/>
        <v>NO</v>
      </c>
      <c r="U34" s="293" t="str">
        <f t="shared" si="16"/>
        <v>YES</v>
      </c>
      <c r="V34" s="293" t="str">
        <f t="shared" si="17"/>
        <v>YES</v>
      </c>
      <c r="W34" s="211" t="str">
        <f t="shared" si="12"/>
        <v>NO</v>
      </c>
      <c r="X34" s="211" t="str">
        <f t="shared" si="12"/>
        <v>YES</v>
      </c>
      <c r="Y34" s="211" t="str">
        <f t="shared" si="18"/>
        <v>YES</v>
      </c>
      <c r="Z34" s="211" t="str">
        <f t="shared" si="19"/>
        <v>NO</v>
      </c>
      <c r="AA34" s="211" t="str">
        <f t="shared" si="19"/>
        <v>NO</v>
      </c>
      <c r="AB34" s="293" t="str">
        <f t="shared" si="20"/>
        <v>NO</v>
      </c>
      <c r="AC34" s="211" t="str">
        <f t="shared" si="21"/>
        <v>NO</v>
      </c>
      <c r="AD34" s="211" t="str">
        <f t="shared" si="22"/>
        <v>NO</v>
      </c>
      <c r="AE34" s="211" t="str">
        <f t="shared" si="23"/>
        <v>NO</v>
      </c>
      <c r="AF34" s="101"/>
      <c r="AG34" s="101"/>
      <c r="AH34" s="203">
        <f t="shared" si="13"/>
        <v>1.9300499999999998</v>
      </c>
      <c r="AI34" s="203">
        <f t="shared" si="14"/>
        <v>1099</v>
      </c>
      <c r="AJ34" s="203">
        <f t="shared" si="15"/>
        <v>594.39193654677695</v>
      </c>
      <c r="AK34" s="203"/>
      <c r="AL34" s="269"/>
      <c r="AM34" s="270" t="s">
        <v>825</v>
      </c>
      <c r="AN34" s="270" t="s">
        <v>824</v>
      </c>
      <c r="AO34" s="270" t="s">
        <v>856</v>
      </c>
      <c r="AP34" s="271" t="s">
        <v>857</v>
      </c>
      <c r="BB34" s="262"/>
    </row>
    <row r="35" spans="1:54" s="204" customFormat="1" ht="15">
      <c r="A35" s="248" t="s">
        <v>852</v>
      </c>
      <c r="B35" s="248" t="s">
        <v>858</v>
      </c>
      <c r="C35" s="249">
        <v>899</v>
      </c>
      <c r="D35" s="250">
        <v>4.0999999999999996</v>
      </c>
      <c r="E35" s="250" t="str">
        <f>VLOOKUP(B35,'Northwest Retail Cost Data'!$C$5:$F$275,4,FALSE)</f>
        <v>Front Load</v>
      </c>
      <c r="F35" s="251" t="s">
        <v>846</v>
      </c>
      <c r="G35" s="248">
        <v>2.65</v>
      </c>
      <c r="H35" s="248">
        <v>3.6</v>
      </c>
      <c r="I35" s="252">
        <f>D35*H35*SFAssumptions!$C$3</f>
        <v>3789.0883079999999</v>
      </c>
      <c r="J35" s="253">
        <f t="shared" si="9"/>
        <v>899</v>
      </c>
      <c r="K35" s="254">
        <f t="shared" si="9"/>
        <v>4.0999999999999996</v>
      </c>
      <c r="L35" s="691">
        <f t="shared" si="10"/>
        <v>2.2501249999999997</v>
      </c>
      <c r="M35" s="691">
        <f t="shared" si="11"/>
        <v>3.8043200000000001</v>
      </c>
      <c r="N35" s="255">
        <v>2012</v>
      </c>
      <c r="O35" s="256">
        <f>C35*VLOOKUP(N35,SFAssumptions!$A$42:$B$51,2,FALSE)</f>
        <v>811.84633873774999</v>
      </c>
      <c r="P35" s="254">
        <f ca="1">O35+((SFAssumptions!$C$8-D35)*$AO$35)</f>
        <v>782.21559449958329</v>
      </c>
      <c r="Q35" s="190" t="str">
        <f>IF(OR(L35="",M35=""),"No",IF(AND(E35="Front Load",L35&gt;='Eff. Standards &amp; Certifications'!$B$21,M35&lt;='Eff. Standards &amp; Certifications'!$C$21),"Consider",IF(AND(E35="Top Load",L35&gt;='Eff. Standards &amp; Certifications'!$B$20,M35&lt;='Eff. Standards &amp; Certifications'!$C$20),"Consider","No")))</f>
        <v>Consider</v>
      </c>
      <c r="R35" s="203"/>
      <c r="S35" s="203"/>
      <c r="T35" s="293" t="str">
        <f t="shared" si="16"/>
        <v>NO</v>
      </c>
      <c r="U35" s="293" t="str">
        <f t="shared" si="16"/>
        <v>YES</v>
      </c>
      <c r="V35" s="293" t="str">
        <f t="shared" si="17"/>
        <v>YES</v>
      </c>
      <c r="W35" s="211" t="str">
        <f t="shared" si="12"/>
        <v>NO</v>
      </c>
      <c r="X35" s="211" t="str">
        <f t="shared" si="12"/>
        <v>YES</v>
      </c>
      <c r="Y35" s="211" t="str">
        <f t="shared" si="18"/>
        <v>YES</v>
      </c>
      <c r="Z35" s="211" t="str">
        <f t="shared" si="19"/>
        <v>NO</v>
      </c>
      <c r="AA35" s="211" t="str">
        <f t="shared" si="19"/>
        <v>NO</v>
      </c>
      <c r="AB35" s="293" t="str">
        <f t="shared" si="20"/>
        <v>NO</v>
      </c>
      <c r="AC35" s="211" t="str">
        <f t="shared" si="21"/>
        <v>NO</v>
      </c>
      <c r="AD35" s="211" t="str">
        <f t="shared" si="22"/>
        <v>NO</v>
      </c>
      <c r="AE35" s="211" t="str">
        <f t="shared" si="23"/>
        <v>NO</v>
      </c>
      <c r="AF35" s="101"/>
      <c r="AG35" s="101"/>
      <c r="AH35" s="203">
        <f t="shared" si="13"/>
        <v>2.2501249999999997</v>
      </c>
      <c r="AI35" s="203">
        <f t="shared" si="14"/>
        <v>899</v>
      </c>
      <c r="AJ35" s="203">
        <f t="shared" si="15"/>
        <v>851.01888907836121</v>
      </c>
      <c r="AK35" s="203"/>
      <c r="AL35" s="269" t="s">
        <v>859</v>
      </c>
      <c r="AM35" s="254">
        <f t="array" ref="AM35:AP39">LINEST(O30:O278,K30:M278,TRUE,TRUE)</f>
        <v>-6.9302482108722963</v>
      </c>
      <c r="AN35" s="254">
        <v>241.68068706272888</v>
      </c>
      <c r="AO35" s="254">
        <v>91.738123404041332</v>
      </c>
      <c r="AP35" s="272">
        <v>-42.554290981645281</v>
      </c>
      <c r="BB35" s="262"/>
    </row>
    <row r="36" spans="1:54" s="204" customFormat="1" ht="15">
      <c r="A36" s="248" t="s">
        <v>852</v>
      </c>
      <c r="B36" s="250" t="s">
        <v>860</v>
      </c>
      <c r="C36" s="249">
        <v>1099</v>
      </c>
      <c r="D36" s="250">
        <v>4.0999999999999996</v>
      </c>
      <c r="E36" s="250" t="str">
        <f>VLOOKUP(B36,'Northwest Retail Cost Data'!$C$5:$F$275,4,FALSE)</f>
        <v>Front Load</v>
      </c>
      <c r="F36" s="251" t="s">
        <v>846</v>
      </c>
      <c r="G36" s="248">
        <v>2.61</v>
      </c>
      <c r="H36" s="248">
        <v>3.9</v>
      </c>
      <c r="I36" s="252">
        <f>D36*H36*SFAssumptions!$C$3</f>
        <v>4104.8456669999996</v>
      </c>
      <c r="J36" s="253">
        <f t="shared" si="9"/>
        <v>1099</v>
      </c>
      <c r="K36" s="254">
        <f t="shared" si="9"/>
        <v>4.0999999999999996</v>
      </c>
      <c r="L36" s="691">
        <f t="shared" ref="L36:L93" si="24">IF($G36="","",IF($E36="Front Load",G36*slope_FrontLoad_MEF+int_FrontLoad_MEF,IF($E36="Top Load",G36*slope_TopLoad_MEF+int_TopLoad_MEF,"")))</f>
        <v>2.2135449999999999</v>
      </c>
      <c r="M36" s="691">
        <f t="shared" ref="M36:M93" si="25">IF($H36="","",IF($E36="Front Load",H36*slope_FrontLoad_WF+int_FrontLoad_WF,IF($E36="Top Load",H36*slope_TopLoad_WF+int_TopLoad_WF,"")))</f>
        <v>4.11158</v>
      </c>
      <c r="N36" s="255">
        <v>2012</v>
      </c>
      <c r="O36" s="256">
        <f>C36*VLOOKUP(N36,SFAssumptions!$A$42:$B$51,2,FALSE)</f>
        <v>992.45731509764994</v>
      </c>
      <c r="P36" s="254">
        <f ca="1">O36+((SFAssumptions!$C$8-D36)*$AO$35)</f>
        <v>962.82657085948324</v>
      </c>
      <c r="Q36" s="190" t="str">
        <f>IF(OR(L36="",M36=""),"No",IF(AND(E36="Front Load",L36&gt;='Eff. Standards &amp; Certifications'!$B$21,M36&lt;='Eff. Standards &amp; Certifications'!$C$21),"Consider",IF(AND(E36="Top Load",L36&gt;='Eff. Standards &amp; Certifications'!$B$20,M36&lt;='Eff. Standards &amp; Certifications'!$C$20),"Consider","No")))</f>
        <v>Consider</v>
      </c>
      <c r="R36" s="203"/>
      <c r="S36" s="203"/>
      <c r="T36" s="293" t="str">
        <f t="shared" si="16"/>
        <v>NO</v>
      </c>
      <c r="U36" s="293" t="str">
        <f t="shared" si="16"/>
        <v>YES</v>
      </c>
      <c r="V36" s="293" t="str">
        <f t="shared" si="17"/>
        <v>YES</v>
      </c>
      <c r="W36" s="211" t="str">
        <f t="shared" si="12"/>
        <v>NO</v>
      </c>
      <c r="X36" s="211" t="str">
        <f t="shared" si="12"/>
        <v>YES</v>
      </c>
      <c r="Y36" s="211" t="str">
        <f t="shared" si="18"/>
        <v>YES</v>
      </c>
      <c r="Z36" s="211" t="str">
        <f t="shared" si="19"/>
        <v>NO</v>
      </c>
      <c r="AA36" s="211" t="str">
        <f t="shared" si="19"/>
        <v>NO</v>
      </c>
      <c r="AB36" s="293" t="str">
        <f t="shared" si="20"/>
        <v>NO</v>
      </c>
      <c r="AC36" s="211" t="str">
        <f t="shared" si="21"/>
        <v>NO</v>
      </c>
      <c r="AD36" s="211" t="str">
        <f t="shared" si="22"/>
        <v>NO</v>
      </c>
      <c r="AE36" s="211" t="str">
        <f t="shared" si="23"/>
        <v>NO</v>
      </c>
      <c r="AF36" s="101"/>
      <c r="AG36" s="101"/>
      <c r="AH36" s="203">
        <f t="shared" si="13"/>
        <v>2.2135449999999999</v>
      </c>
      <c r="AI36" s="203">
        <f t="shared" si="14"/>
        <v>1099</v>
      </c>
      <c r="AJ36" s="203">
        <f t="shared" si="15"/>
        <v>840.04882148033391</v>
      </c>
      <c r="AK36" s="203"/>
      <c r="AL36" s="269" t="s">
        <v>861</v>
      </c>
      <c r="AM36" s="254">
        <v>15.16094492469097</v>
      </c>
      <c r="AN36" s="254">
        <v>53.261885952675229</v>
      </c>
      <c r="AO36" s="254">
        <v>21.924521496182074</v>
      </c>
      <c r="AP36" s="272">
        <v>186.3979655686756</v>
      </c>
    </row>
    <row r="37" spans="1:54" s="204" customFormat="1" ht="15">
      <c r="A37" s="248" t="s">
        <v>852</v>
      </c>
      <c r="B37" s="250" t="s">
        <v>862</v>
      </c>
      <c r="C37" s="249">
        <v>999</v>
      </c>
      <c r="D37" s="250">
        <v>4.0999999999999996</v>
      </c>
      <c r="E37" s="250" t="str">
        <f>VLOOKUP(B37,'Northwest Retail Cost Data'!$C$5:$F$275,4,FALSE)</f>
        <v>Front Load</v>
      </c>
      <c r="F37" s="251" t="s">
        <v>846</v>
      </c>
      <c r="G37" s="248">
        <v>2.65</v>
      </c>
      <c r="H37" s="248">
        <v>3.6</v>
      </c>
      <c r="I37" s="252">
        <f>D37*H37*SFAssumptions!$C$3</f>
        <v>3789.0883079999999</v>
      </c>
      <c r="J37" s="253">
        <f t="shared" si="9"/>
        <v>999</v>
      </c>
      <c r="K37" s="254">
        <f t="shared" si="9"/>
        <v>4.0999999999999996</v>
      </c>
      <c r="L37" s="691">
        <f t="shared" si="24"/>
        <v>2.2501249999999997</v>
      </c>
      <c r="M37" s="691">
        <f t="shared" si="25"/>
        <v>3.8043200000000001</v>
      </c>
      <c r="N37" s="255">
        <v>2012</v>
      </c>
      <c r="O37" s="256">
        <f>C37*VLOOKUP(N37,SFAssumptions!$A$42:$B$51,2,FALSE)</f>
        <v>902.15182691769996</v>
      </c>
      <c r="P37" s="254">
        <f ca="1">O37+((SFAssumptions!$C$8-D37)*$AO$35)</f>
        <v>872.52108267953327</v>
      </c>
      <c r="Q37" s="190" t="str">
        <f>IF(OR(L37="",M37=""),"No",IF(AND(E37="Front Load",L37&gt;='Eff. Standards &amp; Certifications'!$B$21,M37&lt;='Eff. Standards &amp; Certifications'!$C$21),"Consider",IF(AND(E37="Top Load",L37&gt;='Eff. Standards &amp; Certifications'!$B$20,M37&lt;='Eff. Standards &amp; Certifications'!$C$20),"Consider","No")))</f>
        <v>Consider</v>
      </c>
      <c r="R37" s="203"/>
      <c r="S37" s="203"/>
      <c r="T37" s="293" t="str">
        <f t="shared" si="16"/>
        <v>NO</v>
      </c>
      <c r="U37" s="293" t="str">
        <f t="shared" si="16"/>
        <v>YES</v>
      </c>
      <c r="V37" s="293" t="str">
        <f t="shared" si="17"/>
        <v>YES</v>
      </c>
      <c r="W37" s="211" t="str">
        <f t="shared" si="12"/>
        <v>NO</v>
      </c>
      <c r="X37" s="211" t="str">
        <f t="shared" si="12"/>
        <v>YES</v>
      </c>
      <c r="Y37" s="211" t="str">
        <f t="shared" si="18"/>
        <v>YES</v>
      </c>
      <c r="Z37" s="211" t="str">
        <f t="shared" si="19"/>
        <v>NO</v>
      </c>
      <c r="AA37" s="211" t="str">
        <f t="shared" si="19"/>
        <v>NO</v>
      </c>
      <c r="AB37" s="293" t="str">
        <f t="shared" si="20"/>
        <v>NO</v>
      </c>
      <c r="AC37" s="211" t="str">
        <f t="shared" si="21"/>
        <v>NO</v>
      </c>
      <c r="AD37" s="211" t="str">
        <f t="shared" si="22"/>
        <v>NO</v>
      </c>
      <c r="AE37" s="211" t="str">
        <f t="shared" si="23"/>
        <v>NO</v>
      </c>
      <c r="AF37" s="275"/>
      <c r="AG37" s="275"/>
      <c r="AH37" s="203">
        <f t="shared" si="13"/>
        <v>2.2501249999999997</v>
      </c>
      <c r="AI37" s="203">
        <f t="shared" si="14"/>
        <v>999</v>
      </c>
      <c r="AJ37" s="203">
        <f t="shared" si="15"/>
        <v>851.01888907836121</v>
      </c>
      <c r="AK37" s="203"/>
      <c r="AL37" s="266" t="s">
        <v>863</v>
      </c>
      <c r="AM37" s="219">
        <v>0.50586812442229601</v>
      </c>
      <c r="AN37" s="219">
        <v>174.8623433520801</v>
      </c>
      <c r="AO37" s="219" t="e">
        <v>#N/A</v>
      </c>
      <c r="AP37" s="268" t="e">
        <v>#N/A</v>
      </c>
    </row>
    <row r="38" spans="1:54" s="204" customFormat="1" ht="15">
      <c r="A38" s="248" t="s">
        <v>852</v>
      </c>
      <c r="B38" s="248" t="s">
        <v>864</v>
      </c>
      <c r="C38" s="249">
        <v>799</v>
      </c>
      <c r="D38" s="250">
        <v>3.6</v>
      </c>
      <c r="E38" s="250" t="str">
        <f>VLOOKUP(B38,'Northwest Retail Cost Data'!$C$5:$F$275,4,FALSE)</f>
        <v>Front Load</v>
      </c>
      <c r="F38" s="251" t="s">
        <v>846</v>
      </c>
      <c r="G38" s="248">
        <v>2.41</v>
      </c>
      <c r="H38" s="248">
        <v>4</v>
      </c>
      <c r="I38" s="252">
        <f>D38*H38*SFAssumptions!$C$3</f>
        <v>3696.6715200000003</v>
      </c>
      <c r="J38" s="253">
        <f t="shared" si="9"/>
        <v>799</v>
      </c>
      <c r="K38" s="254">
        <f t="shared" si="9"/>
        <v>3.6</v>
      </c>
      <c r="L38" s="691">
        <f t="shared" si="24"/>
        <v>2.0306449999999998</v>
      </c>
      <c r="M38" s="691">
        <f t="shared" si="25"/>
        <v>4.2140000000000004</v>
      </c>
      <c r="N38" s="255">
        <v>2012</v>
      </c>
      <c r="O38" s="256">
        <f>C38*VLOOKUP(N38,SFAssumptions!$A$42:$B$51,2,FALSE)</f>
        <v>721.54085055780001</v>
      </c>
      <c r="P38" s="254">
        <f ca="1">O38+((SFAssumptions!$C$8-D38)*$AO$35)</f>
        <v>737.77916802165396</v>
      </c>
      <c r="Q38" s="190" t="str">
        <f>IF(OR(L38="",M38=""),"No",IF(AND(E38="Front Load",L38&gt;='Eff. Standards &amp; Certifications'!$B$21,M38&lt;='Eff. Standards &amp; Certifications'!$C$21),"Consider",IF(AND(E38="Top Load",L38&gt;='Eff. Standards &amp; Certifications'!$B$20,M38&lt;='Eff. Standards &amp; Certifications'!$C$20),"Consider","No")))</f>
        <v>Consider</v>
      </c>
      <c r="R38" s="203"/>
      <c r="S38" s="203"/>
      <c r="T38" s="293" t="str">
        <f t="shared" si="16"/>
        <v>NO</v>
      </c>
      <c r="U38" s="293" t="str">
        <f t="shared" si="16"/>
        <v>YES</v>
      </c>
      <c r="V38" s="293" t="str">
        <f t="shared" si="17"/>
        <v>YES</v>
      </c>
      <c r="W38" s="211" t="str">
        <f t="shared" si="12"/>
        <v>NO</v>
      </c>
      <c r="X38" s="211" t="str">
        <f t="shared" si="12"/>
        <v>YES</v>
      </c>
      <c r="Y38" s="211" t="str">
        <f t="shared" si="18"/>
        <v>YES</v>
      </c>
      <c r="Z38" s="211" t="str">
        <f t="shared" si="19"/>
        <v>NO</v>
      </c>
      <c r="AA38" s="211" t="str">
        <f t="shared" si="19"/>
        <v>NO</v>
      </c>
      <c r="AB38" s="293" t="str">
        <f t="shared" si="20"/>
        <v>NO</v>
      </c>
      <c r="AC38" s="211" t="str">
        <f t="shared" si="21"/>
        <v>NO</v>
      </c>
      <c r="AD38" s="211" t="str">
        <f t="shared" si="22"/>
        <v>NO</v>
      </c>
      <c r="AE38" s="211" t="str">
        <f t="shared" si="23"/>
        <v>NO</v>
      </c>
      <c r="AF38" s="276"/>
      <c r="AG38" s="276"/>
      <c r="AH38" s="203">
        <f t="shared" si="13"/>
        <v>2.0306449999999998</v>
      </c>
      <c r="AI38" s="203">
        <f t="shared" si="14"/>
        <v>799</v>
      </c>
      <c r="AJ38" s="203">
        <f t="shared" si="15"/>
        <v>749.26656609278268</v>
      </c>
      <c r="AK38" s="203"/>
      <c r="AL38" s="266"/>
      <c r="AM38" s="219">
        <v>83.60635194033533</v>
      </c>
      <c r="AN38" s="219">
        <v>245</v>
      </c>
      <c r="AO38" s="219" t="e">
        <v>#N/A</v>
      </c>
      <c r="AP38" s="268" t="e">
        <v>#N/A</v>
      </c>
    </row>
    <row r="39" spans="1:54" s="204" customFormat="1" ht="15.75" thickBot="1">
      <c r="A39" s="248" t="s">
        <v>852</v>
      </c>
      <c r="B39" s="248" t="s">
        <v>865</v>
      </c>
      <c r="C39" s="249">
        <v>599</v>
      </c>
      <c r="D39" s="248">
        <v>3.9</v>
      </c>
      <c r="E39" s="250" t="str">
        <f>VLOOKUP(B39,'Northwest Retail Cost Data'!$C$5:$F$275,4,FALSE)</f>
        <v>Top Load</v>
      </c>
      <c r="F39" s="251" t="s">
        <v>846</v>
      </c>
      <c r="G39" s="248">
        <v>2</v>
      </c>
      <c r="H39" s="248">
        <v>6</v>
      </c>
      <c r="I39" s="252">
        <f>D39*H39*SFAssumptions!$C$3</f>
        <v>6007.0912199999993</v>
      </c>
      <c r="J39" s="253">
        <f t="shared" si="9"/>
        <v>599</v>
      </c>
      <c r="K39" s="254">
        <f t="shared" si="9"/>
        <v>3.9</v>
      </c>
      <c r="L39" s="691">
        <f t="shared" si="24"/>
        <v>1.5636999999999999</v>
      </c>
      <c r="M39" s="691">
        <f t="shared" si="25"/>
        <v>6.4615</v>
      </c>
      <c r="N39" s="255">
        <v>2012</v>
      </c>
      <c r="O39" s="256">
        <f>C39*VLOOKUP(N39,SFAssumptions!$A$42:$B$51,2,FALSE)</f>
        <v>540.92987419790018</v>
      </c>
      <c r="P39" s="254">
        <f ca="1">O39+((SFAssumptions!$C$8-D39)*$AO$35)</f>
        <v>529.64675464054164</v>
      </c>
      <c r="Q39" s="190" t="str">
        <f>IF(OR(L39="",M39=""),"No",IF(AND(E39="Front Load",L39&gt;='Eff. Standards &amp; Certifications'!$B$21,M39&lt;='Eff. Standards &amp; Certifications'!$C$21),"Consider",IF(AND(E39="Top Load",L39&gt;='Eff. Standards &amp; Certifications'!$B$20,M39&lt;='Eff. Standards &amp; Certifications'!$C$20),"Consider","No")))</f>
        <v>Consider</v>
      </c>
      <c r="R39" s="203"/>
      <c r="S39" s="203"/>
      <c r="T39" s="293" t="str">
        <f t="shared" si="16"/>
        <v>YES</v>
      </c>
      <c r="U39" s="293" t="str">
        <f t="shared" si="16"/>
        <v>NO</v>
      </c>
      <c r="V39" s="293" t="str">
        <f t="shared" si="17"/>
        <v>YES</v>
      </c>
      <c r="W39" s="211" t="str">
        <f t="shared" si="12"/>
        <v>YES</v>
      </c>
      <c r="X39" s="211" t="str">
        <f t="shared" si="12"/>
        <v>NO</v>
      </c>
      <c r="Y39" s="211" t="str">
        <f t="shared" si="18"/>
        <v>YES</v>
      </c>
      <c r="Z39" s="211" t="str">
        <f t="shared" si="19"/>
        <v>NO</v>
      </c>
      <c r="AA39" s="211" t="str">
        <f t="shared" si="19"/>
        <v>NO</v>
      </c>
      <c r="AB39" s="293" t="str">
        <f t="shared" si="20"/>
        <v>NO</v>
      </c>
      <c r="AC39" s="211" t="str">
        <f t="shared" si="21"/>
        <v>NO</v>
      </c>
      <c r="AD39" s="211" t="str">
        <f t="shared" si="22"/>
        <v>NO</v>
      </c>
      <c r="AE39" s="211" t="str">
        <f t="shared" si="23"/>
        <v>NO</v>
      </c>
      <c r="AF39" s="277"/>
      <c r="AG39" s="277"/>
      <c r="AH39" s="203">
        <f t="shared" si="13"/>
        <v>1.5636999999999999</v>
      </c>
      <c r="AI39" s="203">
        <f t="shared" si="14"/>
        <v>599</v>
      </c>
      <c r="AJ39" s="203">
        <f t="shared" si="15"/>
        <v>648.36068183955365</v>
      </c>
      <c r="AK39" s="203"/>
      <c r="AL39" s="278"/>
      <c r="AM39" s="273">
        <v>7669253.9187165024</v>
      </c>
      <c r="AN39" s="273">
        <v>7491325.5850322852</v>
      </c>
      <c r="AO39" s="273" t="e">
        <v>#N/A</v>
      </c>
      <c r="AP39" s="274" t="e">
        <v>#N/A</v>
      </c>
    </row>
    <row r="40" spans="1:54" s="204" customFormat="1" ht="15">
      <c r="A40" s="248" t="s">
        <v>852</v>
      </c>
      <c r="B40" s="248" t="s">
        <v>866</v>
      </c>
      <c r="C40" s="249">
        <v>599</v>
      </c>
      <c r="D40" s="248">
        <v>3.9</v>
      </c>
      <c r="E40" s="250" t="str">
        <f>VLOOKUP(B40,'Northwest Retail Cost Data'!$C$5:$F$275,4,FALSE)</f>
        <v>Top Load</v>
      </c>
      <c r="F40" s="251" t="s">
        <v>846</v>
      </c>
      <c r="G40" s="248">
        <v>2</v>
      </c>
      <c r="H40" s="248">
        <v>6</v>
      </c>
      <c r="I40" s="252">
        <f>D40*H40*SFAssumptions!$C$3</f>
        <v>6007.0912199999993</v>
      </c>
      <c r="J40" s="253">
        <f t="shared" si="9"/>
        <v>599</v>
      </c>
      <c r="K40" s="254">
        <f t="shared" si="9"/>
        <v>3.9</v>
      </c>
      <c r="L40" s="691">
        <f t="shared" si="24"/>
        <v>1.5636999999999999</v>
      </c>
      <c r="M40" s="691">
        <f t="shared" si="25"/>
        <v>6.4615</v>
      </c>
      <c r="N40" s="255">
        <v>2012</v>
      </c>
      <c r="O40" s="256">
        <f>C40*VLOOKUP(N40,SFAssumptions!$A$42:$B$51,2,FALSE)</f>
        <v>540.92987419790018</v>
      </c>
      <c r="P40" s="254">
        <f ca="1">O40+((SFAssumptions!$C$8-D40)*$AO$35)</f>
        <v>529.64675464054164</v>
      </c>
      <c r="Q40" s="190" t="str">
        <f>IF(OR(L40="",M40=""),"No",IF(AND(E40="Front Load",L40&gt;='Eff. Standards &amp; Certifications'!$B$21,M40&lt;='Eff. Standards &amp; Certifications'!$C$21),"Consider",IF(AND(E40="Top Load",L40&gt;='Eff. Standards &amp; Certifications'!$B$20,M40&lt;='Eff. Standards &amp; Certifications'!$C$20),"Consider","No")))</f>
        <v>Consider</v>
      </c>
      <c r="R40" s="203"/>
      <c r="S40" s="203"/>
      <c r="T40" s="293" t="str">
        <f t="shared" si="16"/>
        <v>YES</v>
      </c>
      <c r="U40" s="293" t="str">
        <f t="shared" si="16"/>
        <v>NO</v>
      </c>
      <c r="V40" s="293" t="str">
        <f t="shared" si="17"/>
        <v>YES</v>
      </c>
      <c r="W40" s="211" t="str">
        <f t="shared" si="12"/>
        <v>YES</v>
      </c>
      <c r="X40" s="211" t="str">
        <f t="shared" si="12"/>
        <v>NO</v>
      </c>
      <c r="Y40" s="211" t="str">
        <f t="shared" si="18"/>
        <v>YES</v>
      </c>
      <c r="Z40" s="211" t="str">
        <f t="shared" si="19"/>
        <v>NO</v>
      </c>
      <c r="AA40" s="211" t="str">
        <f t="shared" si="19"/>
        <v>NO</v>
      </c>
      <c r="AB40" s="293" t="str">
        <f t="shared" si="20"/>
        <v>NO</v>
      </c>
      <c r="AC40" s="211" t="str">
        <f t="shared" si="21"/>
        <v>NO</v>
      </c>
      <c r="AD40" s="211" t="str">
        <f t="shared" si="22"/>
        <v>NO</v>
      </c>
      <c r="AE40" s="211" t="str">
        <f t="shared" si="23"/>
        <v>NO</v>
      </c>
      <c r="AF40" s="101"/>
      <c r="AG40" s="101"/>
      <c r="AH40" s="203">
        <f t="shared" si="13"/>
        <v>1.5636999999999999</v>
      </c>
      <c r="AI40" s="203">
        <f t="shared" si="14"/>
        <v>599</v>
      </c>
      <c r="AJ40" s="203">
        <f t="shared" si="15"/>
        <v>648.36068183955365</v>
      </c>
      <c r="AK40" s="203"/>
      <c r="AL40" s="203"/>
      <c r="AM40" s="203"/>
      <c r="AN40" s="207"/>
    </row>
    <row r="41" spans="1:54" s="204" customFormat="1" ht="15">
      <c r="A41" s="248" t="s">
        <v>852</v>
      </c>
      <c r="B41" s="248" t="s">
        <v>867</v>
      </c>
      <c r="C41" s="249">
        <v>699</v>
      </c>
      <c r="D41" s="248">
        <v>4</v>
      </c>
      <c r="E41" s="250" t="str">
        <f>VLOOKUP(B41,'Northwest Retail Cost Data'!$C$5:$F$275,4,FALSE)</f>
        <v>Top Load</v>
      </c>
      <c r="F41" s="251" t="s">
        <v>846</v>
      </c>
      <c r="G41" s="248">
        <v>2.2000000000000002</v>
      </c>
      <c r="H41" s="248">
        <v>4.5</v>
      </c>
      <c r="I41" s="252">
        <f>D41*H41*SFAssumptions!$C$3</f>
        <v>4620.8393999999998</v>
      </c>
      <c r="J41" s="253">
        <f t="shared" si="9"/>
        <v>699</v>
      </c>
      <c r="K41" s="254">
        <f t="shared" si="9"/>
        <v>4</v>
      </c>
      <c r="L41" s="691">
        <f t="shared" si="24"/>
        <v>1.7616999999999998</v>
      </c>
      <c r="M41" s="691">
        <f t="shared" si="25"/>
        <v>4.9781500000000003</v>
      </c>
      <c r="N41" s="255">
        <v>2012</v>
      </c>
      <c r="O41" s="256">
        <f>C41*VLOOKUP(N41,SFAssumptions!$A$42:$B$51,2,FALSE)</f>
        <v>631.23536237785015</v>
      </c>
      <c r="P41" s="254">
        <f ca="1">O41+((SFAssumptions!$C$8-D41)*$AO$35)</f>
        <v>610.77843048008754</v>
      </c>
      <c r="Q41" s="190" t="str">
        <f>IF(OR(L41="",M41=""),"No",IF(AND(E41="Front Load",L41&gt;='Eff. Standards &amp; Certifications'!$B$21,M41&lt;='Eff. Standards &amp; Certifications'!$C$21),"Consider",IF(AND(E41="Top Load",L41&gt;='Eff. Standards &amp; Certifications'!$B$20,M41&lt;='Eff. Standards &amp; Certifications'!$C$20),"Consider","No")))</f>
        <v>Consider</v>
      </c>
      <c r="R41" s="203"/>
      <c r="S41" s="203"/>
      <c r="T41" s="293" t="str">
        <f t="shared" si="16"/>
        <v>YES</v>
      </c>
      <c r="U41" s="293" t="str">
        <f t="shared" si="16"/>
        <v>NO</v>
      </c>
      <c r="V41" s="293" t="str">
        <f t="shared" si="17"/>
        <v>YES</v>
      </c>
      <c r="W41" s="211" t="str">
        <f t="shared" si="12"/>
        <v>YES</v>
      </c>
      <c r="X41" s="211" t="str">
        <f t="shared" si="12"/>
        <v>NO</v>
      </c>
      <c r="Y41" s="211" t="str">
        <f t="shared" si="18"/>
        <v>YES</v>
      </c>
      <c r="Z41" s="211" t="str">
        <f t="shared" si="19"/>
        <v>NO</v>
      </c>
      <c r="AA41" s="211" t="str">
        <f t="shared" si="19"/>
        <v>NO</v>
      </c>
      <c r="AB41" s="293" t="str">
        <f t="shared" si="20"/>
        <v>NO</v>
      </c>
      <c r="AC41" s="211" t="str">
        <f t="shared" si="21"/>
        <v>NO</v>
      </c>
      <c r="AD41" s="211" t="str">
        <f t="shared" si="22"/>
        <v>NO</v>
      </c>
      <c r="AE41" s="211" t="str">
        <f t="shared" si="23"/>
        <v>NO</v>
      </c>
      <c r="AF41" s="275"/>
      <c r="AG41" s="275"/>
      <c r="AH41" s="203">
        <f t="shared" si="13"/>
        <v>1.7616999999999998</v>
      </c>
      <c r="AI41" s="203">
        <f t="shared" si="14"/>
        <v>699</v>
      </c>
      <c r="AJ41" s="203">
        <f t="shared" si="15"/>
        <v>715.66725390197553</v>
      </c>
      <c r="AK41" s="203"/>
      <c r="AL41" s="203"/>
      <c r="AM41" s="203"/>
      <c r="AN41" s="207"/>
    </row>
    <row r="42" spans="1:54" s="204" customFormat="1" ht="15">
      <c r="A42" s="248" t="s">
        <v>852</v>
      </c>
      <c r="B42" s="248" t="s">
        <v>868</v>
      </c>
      <c r="C42" s="249">
        <v>649</v>
      </c>
      <c r="D42" s="248">
        <v>3.9</v>
      </c>
      <c r="E42" s="250" t="str">
        <f>VLOOKUP(B42,'Northwest Retail Cost Data'!$C$5:$F$275,4,FALSE)</f>
        <v>Top Load</v>
      </c>
      <c r="F42" s="251" t="s">
        <v>846</v>
      </c>
      <c r="G42" s="248">
        <v>2</v>
      </c>
      <c r="H42" s="248">
        <v>6</v>
      </c>
      <c r="I42" s="252">
        <f>D42*H42*SFAssumptions!$C$3</f>
        <v>6007.0912199999993</v>
      </c>
      <c r="J42" s="253">
        <f t="shared" si="9"/>
        <v>649</v>
      </c>
      <c r="K42" s="254">
        <f t="shared" si="9"/>
        <v>3.9</v>
      </c>
      <c r="L42" s="691">
        <f t="shared" si="24"/>
        <v>1.5636999999999999</v>
      </c>
      <c r="M42" s="691">
        <f t="shared" si="25"/>
        <v>6.4615</v>
      </c>
      <c r="N42" s="255">
        <v>2012</v>
      </c>
      <c r="O42" s="256">
        <f>C42*VLOOKUP(N42,SFAssumptions!$A$42:$B$51,2,FALSE)</f>
        <v>586.08261828787511</v>
      </c>
      <c r="P42" s="254">
        <f ca="1">O42+((SFAssumptions!$C$8-D42)*$AO$35)</f>
        <v>574.79949873051658</v>
      </c>
      <c r="Q42" s="190" t="str">
        <f>IF(OR(L42="",M42=""),"No",IF(AND(E42="Front Load",L42&gt;='Eff. Standards &amp; Certifications'!$B$21,M42&lt;='Eff. Standards &amp; Certifications'!$C$21),"Consider",IF(AND(E42="Top Load",L42&gt;='Eff. Standards &amp; Certifications'!$B$20,M42&lt;='Eff. Standards &amp; Certifications'!$C$20),"Consider","No")))</f>
        <v>Consider</v>
      </c>
      <c r="R42" s="203"/>
      <c r="S42" s="203"/>
      <c r="T42" s="293" t="str">
        <f t="shared" si="16"/>
        <v>YES</v>
      </c>
      <c r="U42" s="293" t="str">
        <f t="shared" si="16"/>
        <v>NO</v>
      </c>
      <c r="V42" s="293" t="str">
        <f t="shared" si="17"/>
        <v>YES</v>
      </c>
      <c r="W42" s="211" t="str">
        <f t="shared" si="12"/>
        <v>YES</v>
      </c>
      <c r="X42" s="211" t="str">
        <f t="shared" si="12"/>
        <v>NO</v>
      </c>
      <c r="Y42" s="211" t="str">
        <f t="shared" si="18"/>
        <v>YES</v>
      </c>
      <c r="Z42" s="211" t="str">
        <f t="shared" si="19"/>
        <v>NO</v>
      </c>
      <c r="AA42" s="211" t="str">
        <f t="shared" si="19"/>
        <v>NO</v>
      </c>
      <c r="AB42" s="293" t="str">
        <f t="shared" si="20"/>
        <v>NO</v>
      </c>
      <c r="AC42" s="211" t="str">
        <f t="shared" si="21"/>
        <v>NO</v>
      </c>
      <c r="AD42" s="211" t="str">
        <f t="shared" si="22"/>
        <v>NO</v>
      </c>
      <c r="AE42" s="211" t="str">
        <f t="shared" si="23"/>
        <v>NO</v>
      </c>
      <c r="AF42" s="275"/>
      <c r="AG42" s="275"/>
      <c r="AH42" s="203">
        <f t="shared" si="13"/>
        <v>1.5636999999999999</v>
      </c>
      <c r="AI42" s="203">
        <f t="shared" si="14"/>
        <v>649</v>
      </c>
      <c r="AJ42" s="203">
        <f t="shared" si="15"/>
        <v>648.36068183955365</v>
      </c>
      <c r="AK42" s="203"/>
      <c r="AL42" s="203"/>
      <c r="AM42" s="203"/>
      <c r="AN42" s="207"/>
    </row>
    <row r="43" spans="1:54" s="204" customFormat="1" ht="15">
      <c r="A43" s="248" t="s">
        <v>869</v>
      </c>
      <c r="B43" s="248" t="s">
        <v>870</v>
      </c>
      <c r="C43" s="249">
        <v>1098</v>
      </c>
      <c r="D43" s="250">
        <v>4.3</v>
      </c>
      <c r="E43" s="250" t="str">
        <f>VLOOKUP(B43,'Northwest Retail Cost Data'!$C$5:$F$275,4,FALSE)</f>
        <v>Front Load</v>
      </c>
      <c r="F43" s="251" t="s">
        <v>846</v>
      </c>
      <c r="G43" s="248">
        <v>2.69</v>
      </c>
      <c r="H43" s="248">
        <v>3.9</v>
      </c>
      <c r="I43" s="252">
        <f>D43*H43*SFAssumptions!$C$3</f>
        <v>4305.0820409999997</v>
      </c>
      <c r="J43" s="253">
        <f t="shared" si="9"/>
        <v>1098</v>
      </c>
      <c r="K43" s="254">
        <f t="shared" si="9"/>
        <v>4.3</v>
      </c>
      <c r="L43" s="691">
        <f t="shared" si="24"/>
        <v>2.2867049999999995</v>
      </c>
      <c r="M43" s="691">
        <f t="shared" si="25"/>
        <v>4.11158</v>
      </c>
      <c r="N43" s="255">
        <v>2012</v>
      </c>
      <c r="O43" s="256">
        <f>C43*VLOOKUP(N43,SFAssumptions!$A$42:$B$51,2,FALSE)</f>
        <v>991.55426021585038</v>
      </c>
      <c r="P43" s="254">
        <f ca="1">O43+((SFAssumptions!$C$8-D43)*$AO$35)</f>
        <v>943.5758912968754</v>
      </c>
      <c r="Q43" s="190" t="str">
        <f>IF(OR(L43="",M43=""),"No",IF(AND(E43="Front Load",L43&gt;='Eff. Standards &amp; Certifications'!$B$21,M43&lt;='Eff. Standards &amp; Certifications'!$C$21),"Consider",IF(AND(E43="Top Load",L43&gt;='Eff. Standards &amp; Certifications'!$B$20,M43&lt;='Eff. Standards &amp; Certifications'!$C$20),"Consider","No")))</f>
        <v>Consider</v>
      </c>
      <c r="R43" s="203"/>
      <c r="S43" s="203"/>
      <c r="T43" s="293" t="str">
        <f t="shared" si="16"/>
        <v>NO</v>
      </c>
      <c r="U43" s="293" t="str">
        <f t="shared" si="16"/>
        <v>YES</v>
      </c>
      <c r="V43" s="293" t="str">
        <f t="shared" si="17"/>
        <v>YES</v>
      </c>
      <c r="W43" s="211" t="str">
        <f t="shared" si="12"/>
        <v>NO</v>
      </c>
      <c r="X43" s="211" t="str">
        <f t="shared" si="12"/>
        <v>YES</v>
      </c>
      <c r="Y43" s="211" t="str">
        <f t="shared" si="18"/>
        <v>YES</v>
      </c>
      <c r="Z43" s="211" t="str">
        <f t="shared" si="19"/>
        <v>NO</v>
      </c>
      <c r="AA43" s="211" t="str">
        <f t="shared" si="19"/>
        <v>NO</v>
      </c>
      <c r="AB43" s="293" t="str">
        <f t="shared" si="20"/>
        <v>NO</v>
      </c>
      <c r="AC43" s="211" t="str">
        <f t="shared" si="21"/>
        <v>NO</v>
      </c>
      <c r="AD43" s="211" t="str">
        <f t="shared" si="22"/>
        <v>NO</v>
      </c>
      <c r="AE43" s="211" t="str">
        <f t="shared" si="23"/>
        <v>NO</v>
      </c>
      <c r="AF43" s="206"/>
      <c r="AG43" s="206"/>
      <c r="AH43" s="203">
        <f t="shared" si="13"/>
        <v>2.2867049999999995</v>
      </c>
      <c r="AI43" s="203">
        <f t="shared" si="14"/>
        <v>1098</v>
      </c>
      <c r="AJ43" s="203">
        <f t="shared" si="15"/>
        <v>876.07780522665132</v>
      </c>
      <c r="AK43" s="203"/>
      <c r="AL43" s="203"/>
      <c r="AM43" s="203"/>
      <c r="AN43" s="207"/>
    </row>
    <row r="44" spans="1:54" s="204" customFormat="1" ht="15">
      <c r="A44" s="248" t="s">
        <v>871</v>
      </c>
      <c r="B44" s="248" t="s">
        <v>872</v>
      </c>
      <c r="C44" s="249">
        <v>499</v>
      </c>
      <c r="D44" s="248">
        <v>3.1</v>
      </c>
      <c r="E44" s="250" t="str">
        <f>VLOOKUP(B44,'Northwest Retail Cost Data'!$C$5:$F$275,4,FALSE)</f>
        <v>Top Load</v>
      </c>
      <c r="F44" s="251" t="s">
        <v>846</v>
      </c>
      <c r="G44" s="248">
        <v>2</v>
      </c>
      <c r="H44" s="248">
        <v>6</v>
      </c>
      <c r="I44" s="252">
        <f>D44*H44*SFAssumptions!$C$3</f>
        <v>4774.8673800000006</v>
      </c>
      <c r="J44" s="253">
        <f t="shared" si="9"/>
        <v>499</v>
      </c>
      <c r="K44" s="254">
        <f t="shared" si="9"/>
        <v>3.1</v>
      </c>
      <c r="L44" s="691">
        <f t="shared" si="24"/>
        <v>1.5636999999999999</v>
      </c>
      <c r="M44" s="691">
        <f t="shared" si="25"/>
        <v>6.4615</v>
      </c>
      <c r="N44" s="255">
        <v>2012</v>
      </c>
      <c r="O44" s="256">
        <f>C44*VLOOKUP(N44,SFAssumptions!$A$42:$B$51,2,FALSE)</f>
        <v>450.6243860179502</v>
      </c>
      <c r="P44" s="254">
        <f ca="1">O44+((SFAssumptions!$C$8-D44)*$AO$35)</f>
        <v>512.73176518382479</v>
      </c>
      <c r="Q44" s="190" t="str">
        <f>IF(OR(L44="",M44=""),"No",IF(AND(E44="Front Load",L44&gt;='Eff. Standards &amp; Certifications'!$B$21,M44&lt;='Eff. Standards &amp; Certifications'!$C$21),"Consider",IF(AND(E44="Top Load",L44&gt;='Eff. Standards &amp; Certifications'!$B$20,M44&lt;='Eff. Standards &amp; Certifications'!$C$20),"Consider","No")))</f>
        <v>Consider</v>
      </c>
      <c r="R44" s="203"/>
      <c r="S44" s="203"/>
      <c r="T44" s="293" t="str">
        <f t="shared" si="16"/>
        <v>YES</v>
      </c>
      <c r="U44" s="293" t="str">
        <f t="shared" si="16"/>
        <v>NO</v>
      </c>
      <c r="V44" s="293" t="str">
        <f t="shared" si="17"/>
        <v>YES</v>
      </c>
      <c r="W44" s="211" t="str">
        <f t="shared" si="12"/>
        <v>YES</v>
      </c>
      <c r="X44" s="211" t="str">
        <f t="shared" si="12"/>
        <v>NO</v>
      </c>
      <c r="Y44" s="211" t="str">
        <f t="shared" si="18"/>
        <v>YES</v>
      </c>
      <c r="Z44" s="211" t="str">
        <f t="shared" si="19"/>
        <v>NO</v>
      </c>
      <c r="AA44" s="211" t="str">
        <f t="shared" si="19"/>
        <v>NO</v>
      </c>
      <c r="AB44" s="293" t="str">
        <f t="shared" si="20"/>
        <v>NO</v>
      </c>
      <c r="AC44" s="211" t="str">
        <f t="shared" si="21"/>
        <v>NO</v>
      </c>
      <c r="AD44" s="211" t="str">
        <f t="shared" si="22"/>
        <v>NO</v>
      </c>
      <c r="AE44" s="211" t="str">
        <f t="shared" si="23"/>
        <v>NO</v>
      </c>
      <c r="AF44" s="206"/>
      <c r="AG44" s="206"/>
      <c r="AH44" s="203">
        <f t="shared" si="13"/>
        <v>1.5636999999999999</v>
      </c>
      <c r="AI44" s="203">
        <f t="shared" si="14"/>
        <v>499</v>
      </c>
      <c r="AJ44" s="203">
        <f t="shared" si="15"/>
        <v>574.97018311632064</v>
      </c>
      <c r="AK44" s="203"/>
      <c r="AL44" s="203"/>
      <c r="AM44" s="203"/>
      <c r="AN44" s="207"/>
    </row>
    <row r="45" spans="1:54" s="204" customFormat="1" ht="15">
      <c r="A45" s="248" t="s">
        <v>873</v>
      </c>
      <c r="B45" s="248" t="s">
        <v>874</v>
      </c>
      <c r="C45" s="249">
        <v>1099</v>
      </c>
      <c r="D45" s="250">
        <v>4</v>
      </c>
      <c r="E45" s="250" t="str">
        <f>VLOOKUP(B45,'Northwest Retail Cost Data'!$C$5:$F$275,4,FALSE)</f>
        <v>Front Load</v>
      </c>
      <c r="F45" s="251" t="s">
        <v>846</v>
      </c>
      <c r="G45" s="248">
        <v>3.2</v>
      </c>
      <c r="H45" s="248">
        <v>3.3</v>
      </c>
      <c r="I45" s="252">
        <f>D45*H45*SFAssumptions!$C$3</f>
        <v>3388.6155599999997</v>
      </c>
      <c r="J45" s="253">
        <f t="shared" si="9"/>
        <v>1099</v>
      </c>
      <c r="K45" s="254">
        <f t="shared" si="9"/>
        <v>4</v>
      </c>
      <c r="L45" s="691">
        <f t="shared" si="24"/>
        <v>2.7530999999999999</v>
      </c>
      <c r="M45" s="691">
        <f t="shared" si="25"/>
        <v>3.4970599999999998</v>
      </c>
      <c r="N45" s="255">
        <v>2012</v>
      </c>
      <c r="O45" s="256">
        <f>C45*VLOOKUP(N45,SFAssumptions!$A$42:$B$51,2,FALSE)</f>
        <v>992.45731509764994</v>
      </c>
      <c r="P45" s="254">
        <f ca="1">O45+((SFAssumptions!$C$8-D45)*$AO$35)</f>
        <v>972.00038319988732</v>
      </c>
      <c r="Q45" s="190" t="str">
        <f>IF(OR(L45="",M45=""),"No",IF(AND(E45="Front Load",L45&gt;='Eff. Standards &amp; Certifications'!$B$21,M45&lt;='Eff. Standards &amp; Certifications'!$C$21),"Consider",IF(AND(E45="Top Load",L45&gt;='Eff. Standards &amp; Certifications'!$B$20,M45&lt;='Eff. Standards &amp; Certifications'!$C$20),"Consider","No")))</f>
        <v>Consider</v>
      </c>
      <c r="R45" s="203"/>
      <c r="S45" s="203"/>
      <c r="T45" s="293" t="str">
        <f t="shared" si="16"/>
        <v>NO</v>
      </c>
      <c r="U45" s="293" t="str">
        <f t="shared" si="16"/>
        <v>YES</v>
      </c>
      <c r="V45" s="293" t="str">
        <f t="shared" si="17"/>
        <v>YES</v>
      </c>
      <c r="W45" s="211" t="str">
        <f t="shared" si="12"/>
        <v>NO</v>
      </c>
      <c r="X45" s="211" t="str">
        <f t="shared" si="12"/>
        <v>NO</v>
      </c>
      <c r="Y45" s="211" t="str">
        <f t="shared" si="18"/>
        <v>NO</v>
      </c>
      <c r="Z45" s="211" t="str">
        <f t="shared" si="19"/>
        <v>NO</v>
      </c>
      <c r="AA45" s="211" t="str">
        <f t="shared" si="19"/>
        <v>YES</v>
      </c>
      <c r="AB45" s="293" t="str">
        <f t="shared" si="20"/>
        <v>YES</v>
      </c>
      <c r="AC45" s="211" t="str">
        <f t="shared" si="21"/>
        <v>YES</v>
      </c>
      <c r="AD45" s="211" t="str">
        <f t="shared" si="22"/>
        <v>NO</v>
      </c>
      <c r="AE45" s="211" t="str">
        <f t="shared" si="23"/>
        <v>NO</v>
      </c>
      <c r="AF45" s="206"/>
      <c r="AG45" s="206"/>
      <c r="AH45" s="203">
        <f t="shared" si="13"/>
        <v>2.7530999999999999</v>
      </c>
      <c r="AI45" s="203">
        <f t="shared" si="14"/>
        <v>1099</v>
      </c>
      <c r="AJ45" s="203">
        <f t="shared" si="15"/>
        <v>965.53380837860573</v>
      </c>
      <c r="AK45" s="203"/>
      <c r="AL45" s="203"/>
      <c r="AM45" s="203"/>
      <c r="AN45" s="207"/>
    </row>
    <row r="46" spans="1:54" s="204" customFormat="1" ht="15">
      <c r="A46" s="248" t="s">
        <v>873</v>
      </c>
      <c r="B46" s="248" t="s">
        <v>875</v>
      </c>
      <c r="C46" s="249">
        <v>999</v>
      </c>
      <c r="D46" s="250">
        <v>3.6</v>
      </c>
      <c r="E46" s="250" t="str">
        <f>VLOOKUP(B46,'Northwest Retail Cost Data'!$C$5:$F$275,4,FALSE)</f>
        <v>Front Load</v>
      </c>
      <c r="F46" s="251" t="s">
        <v>846</v>
      </c>
      <c r="G46" s="248">
        <v>3</v>
      </c>
      <c r="H46" s="248">
        <v>3.3</v>
      </c>
      <c r="I46" s="252">
        <f>D46*H46*SFAssumptions!$C$3</f>
        <v>3049.7540039999999</v>
      </c>
      <c r="J46" s="253">
        <f t="shared" si="9"/>
        <v>999</v>
      </c>
      <c r="K46" s="254">
        <f t="shared" si="9"/>
        <v>3.6</v>
      </c>
      <c r="L46" s="691">
        <f t="shared" si="24"/>
        <v>2.5701999999999998</v>
      </c>
      <c r="M46" s="691">
        <f t="shared" si="25"/>
        <v>3.4970599999999998</v>
      </c>
      <c r="N46" s="255">
        <v>2012</v>
      </c>
      <c r="O46" s="256">
        <f>C46*VLOOKUP(N46,SFAssumptions!$A$42:$B$51,2,FALSE)</f>
        <v>902.15182691769996</v>
      </c>
      <c r="P46" s="254">
        <f ca="1">O46+((SFAssumptions!$C$8-D46)*$AO$35)</f>
        <v>918.39014438155391</v>
      </c>
      <c r="Q46" s="190" t="str">
        <f>IF(OR(L46="",M46=""),"No",IF(AND(E46="Front Load",L46&gt;='Eff. Standards &amp; Certifications'!$B$21,M46&lt;='Eff. Standards &amp; Certifications'!$C$21),"Consider",IF(AND(E46="Top Load",L46&gt;='Eff. Standards &amp; Certifications'!$B$20,M46&lt;='Eff. Standards &amp; Certifications'!$C$20),"Consider","No")))</f>
        <v>Consider</v>
      </c>
      <c r="R46" s="203"/>
      <c r="S46" s="203"/>
      <c r="T46" s="293" t="str">
        <f t="shared" si="16"/>
        <v>NO</v>
      </c>
      <c r="U46" s="293" t="str">
        <f t="shared" si="16"/>
        <v>YES</v>
      </c>
      <c r="V46" s="293" t="str">
        <f t="shared" si="17"/>
        <v>YES</v>
      </c>
      <c r="W46" s="211" t="str">
        <f t="shared" si="12"/>
        <v>NO</v>
      </c>
      <c r="X46" s="211" t="str">
        <f t="shared" si="12"/>
        <v>NO</v>
      </c>
      <c r="Y46" s="211" t="str">
        <f t="shared" si="18"/>
        <v>NO</v>
      </c>
      <c r="Z46" s="211" t="str">
        <f t="shared" si="19"/>
        <v>NO</v>
      </c>
      <c r="AA46" s="211" t="str">
        <f t="shared" si="19"/>
        <v>YES</v>
      </c>
      <c r="AB46" s="293" t="str">
        <f t="shared" si="20"/>
        <v>YES</v>
      </c>
      <c r="AC46" s="211" t="str">
        <f t="shared" si="21"/>
        <v>YES</v>
      </c>
      <c r="AD46" s="211" t="str">
        <f t="shared" si="22"/>
        <v>NO</v>
      </c>
      <c r="AE46" s="211" t="str">
        <f t="shared" si="23"/>
        <v>NO</v>
      </c>
      <c r="AF46" s="206"/>
      <c r="AG46" s="206"/>
      <c r="AH46" s="203">
        <f t="shared" si="13"/>
        <v>2.5701999999999998</v>
      </c>
      <c r="AI46" s="203">
        <f t="shared" si="14"/>
        <v>999</v>
      </c>
      <c r="AJ46" s="203">
        <f t="shared" si="15"/>
        <v>884.63516135321618</v>
      </c>
      <c r="AK46" s="203"/>
      <c r="AL46" s="203"/>
      <c r="AM46" s="203"/>
      <c r="AN46" s="207"/>
    </row>
    <row r="47" spans="1:54" s="204" customFormat="1" ht="15">
      <c r="A47" s="248" t="s">
        <v>873</v>
      </c>
      <c r="B47" s="248" t="s">
        <v>876</v>
      </c>
      <c r="C47" s="249">
        <v>1399</v>
      </c>
      <c r="D47" s="250">
        <v>5.0999999999999996</v>
      </c>
      <c r="E47" s="250" t="str">
        <f>VLOOKUP(B47,'Northwest Retail Cost Data'!$C$5:$F$275,4,FALSE)</f>
        <v>Front Load</v>
      </c>
      <c r="F47" s="251" t="s">
        <v>846</v>
      </c>
      <c r="G47" s="248">
        <v>3.45</v>
      </c>
      <c r="H47" s="248">
        <v>3</v>
      </c>
      <c r="I47" s="252">
        <f>D47*H47*SFAssumptions!$C$3</f>
        <v>3927.7134899999996</v>
      </c>
      <c r="J47" s="253">
        <f t="shared" si="9"/>
        <v>1399</v>
      </c>
      <c r="K47" s="254">
        <f t="shared" si="9"/>
        <v>5.0999999999999996</v>
      </c>
      <c r="L47" s="691">
        <f t="shared" si="24"/>
        <v>2.981725</v>
      </c>
      <c r="M47" s="691">
        <f t="shared" si="25"/>
        <v>3.1898</v>
      </c>
      <c r="N47" s="255">
        <v>2012</v>
      </c>
      <c r="O47" s="256">
        <f>C47*VLOOKUP(N47,SFAssumptions!$A$42:$B$51,2,FALSE)</f>
        <v>1263.3737796374996</v>
      </c>
      <c r="P47" s="254">
        <f ca="1">O47+((SFAssumptions!$C$8-D47)*$AO$35)</f>
        <v>1142.0049119952916</v>
      </c>
      <c r="Q47" s="190" t="str">
        <f>IF(OR(L47="",M47=""),"No",IF(AND(E47="Front Load",L47&gt;='Eff. Standards &amp; Certifications'!$B$21,M47&lt;='Eff. Standards &amp; Certifications'!$C$21),"Consider",IF(AND(E47="Top Load",L47&gt;='Eff. Standards &amp; Certifications'!$B$20,M47&lt;='Eff. Standards &amp; Certifications'!$C$20),"Consider","No")))</f>
        <v>Consider</v>
      </c>
      <c r="R47" s="203"/>
      <c r="S47" s="203"/>
      <c r="T47" s="293" t="str">
        <f t="shared" si="16"/>
        <v>NO</v>
      </c>
      <c r="U47" s="293" t="str">
        <f t="shared" si="16"/>
        <v>YES</v>
      </c>
      <c r="V47" s="293" t="str">
        <f t="shared" si="17"/>
        <v>YES</v>
      </c>
      <c r="W47" s="211" t="str">
        <f t="shared" si="12"/>
        <v>NO</v>
      </c>
      <c r="X47" s="211" t="str">
        <f t="shared" si="12"/>
        <v>NO</v>
      </c>
      <c r="Y47" s="211" t="str">
        <f t="shared" si="18"/>
        <v>NO</v>
      </c>
      <c r="Z47" s="211" t="str">
        <f t="shared" si="19"/>
        <v>NO</v>
      </c>
      <c r="AA47" s="211" t="str">
        <f t="shared" si="19"/>
        <v>YES</v>
      </c>
      <c r="AB47" s="293" t="str">
        <f t="shared" si="20"/>
        <v>YES</v>
      </c>
      <c r="AC47" s="211" t="str">
        <f t="shared" si="21"/>
        <v>NO</v>
      </c>
      <c r="AD47" s="211" t="str">
        <f t="shared" si="22"/>
        <v>NO</v>
      </c>
      <c r="AE47" s="211" t="str">
        <f t="shared" si="23"/>
        <v>YES</v>
      </c>
      <c r="AF47" s="206"/>
      <c r="AG47" s="206"/>
      <c r="AH47" s="203">
        <f t="shared" si="13"/>
        <v>2.981725</v>
      </c>
      <c r="AI47" s="203">
        <f t="shared" si="14"/>
        <v>1399</v>
      </c>
      <c r="AJ47" s="203">
        <f t="shared" si="15"/>
        <v>1123.8293792680404</v>
      </c>
      <c r="AK47" s="203"/>
      <c r="AL47" s="203"/>
      <c r="AM47" s="203"/>
      <c r="AN47" s="207"/>
    </row>
    <row r="48" spans="1:54" s="204" customFormat="1" ht="15">
      <c r="A48" s="248" t="s">
        <v>873</v>
      </c>
      <c r="B48" s="248" t="s">
        <v>877</v>
      </c>
      <c r="C48" s="249">
        <v>999</v>
      </c>
      <c r="D48" s="250">
        <v>2.2999999999999998</v>
      </c>
      <c r="E48" s="250" t="str">
        <f>VLOOKUP(B48,'Northwest Retail Cost Data'!$C$5:$F$275,4,FALSE)</f>
        <v>Front Load</v>
      </c>
      <c r="F48" s="251" t="s">
        <v>846</v>
      </c>
      <c r="G48" s="248">
        <v>2.4</v>
      </c>
      <c r="H48" s="248">
        <v>4.4000000000000004</v>
      </c>
      <c r="I48" s="252">
        <f>D48*H48*SFAssumptions!$C$3</f>
        <v>2597.938596</v>
      </c>
      <c r="J48" s="253">
        <f t="shared" si="9"/>
        <v>999</v>
      </c>
      <c r="K48" s="254">
        <f t="shared" si="9"/>
        <v>2.2999999999999998</v>
      </c>
      <c r="L48" s="691">
        <f t="shared" si="24"/>
        <v>2.0214999999999996</v>
      </c>
      <c r="M48" s="691">
        <f t="shared" si="25"/>
        <v>4.6236800000000011</v>
      </c>
      <c r="N48" s="255">
        <v>2012</v>
      </c>
      <c r="O48" s="256">
        <f>C48*VLOOKUP(N48,SFAssumptions!$A$42:$B$51,2,FALSE)</f>
        <v>902.15182691769996</v>
      </c>
      <c r="P48" s="254">
        <f ca="1">O48+((SFAssumptions!$C$8-D48)*$AO$35)</f>
        <v>1037.6497048068077</v>
      </c>
      <c r="Q48" s="190" t="str">
        <f>IF(OR(L48="",M48=""),"No",IF(AND(E48="Front Load",L48&gt;='Eff. Standards &amp; Certifications'!$B$21,M48&lt;='Eff. Standards &amp; Certifications'!$C$21),"Consider",IF(AND(E48="Top Load",L48&gt;='Eff. Standards &amp; Certifications'!$B$20,M48&lt;='Eff. Standards &amp; Certifications'!$C$20),"Consider","No")))</f>
        <v>Consider</v>
      </c>
      <c r="R48" s="203"/>
      <c r="S48" s="203"/>
      <c r="T48" s="293" t="str">
        <f t="shared" si="16"/>
        <v>NO</v>
      </c>
      <c r="U48" s="293" t="str">
        <f t="shared" si="16"/>
        <v>YES</v>
      </c>
      <c r="V48" s="293" t="str">
        <f t="shared" si="17"/>
        <v>YES</v>
      </c>
      <c r="W48" s="211" t="str">
        <f t="shared" si="12"/>
        <v>NO</v>
      </c>
      <c r="X48" s="211" t="str">
        <f t="shared" si="12"/>
        <v>YES</v>
      </c>
      <c r="Y48" s="211" t="str">
        <f t="shared" si="18"/>
        <v>YES</v>
      </c>
      <c r="Z48" s="211" t="str">
        <f t="shared" si="19"/>
        <v>NO</v>
      </c>
      <c r="AA48" s="211" t="str">
        <f t="shared" si="19"/>
        <v>NO</v>
      </c>
      <c r="AB48" s="293" t="str">
        <f t="shared" si="20"/>
        <v>NO</v>
      </c>
      <c r="AC48" s="211" t="str">
        <f t="shared" si="21"/>
        <v>NO</v>
      </c>
      <c r="AD48" s="211" t="str">
        <f t="shared" si="22"/>
        <v>NO</v>
      </c>
      <c r="AE48" s="211" t="str">
        <f t="shared" si="23"/>
        <v>NO</v>
      </c>
      <c r="AF48" s="206"/>
      <c r="AG48" s="206"/>
      <c r="AH48" s="203">
        <f t="shared" si="13"/>
        <v>2.0214999999999996</v>
      </c>
      <c r="AI48" s="203">
        <f t="shared" si="14"/>
        <v>999</v>
      </c>
      <c r="AJ48" s="203">
        <f t="shared" si="15"/>
        <v>624.9576516973101</v>
      </c>
      <c r="AK48" s="203"/>
      <c r="AL48" s="203"/>
      <c r="AM48" s="203"/>
      <c r="AN48" s="207"/>
    </row>
    <row r="49" spans="1:40" s="204" customFormat="1" ht="15">
      <c r="A49" s="248" t="s">
        <v>873</v>
      </c>
      <c r="B49" s="248" t="s">
        <v>878</v>
      </c>
      <c r="C49" s="249">
        <v>799</v>
      </c>
      <c r="D49" s="250">
        <v>3.6</v>
      </c>
      <c r="E49" s="250" t="str">
        <f>VLOOKUP(B49,'Northwest Retail Cost Data'!$C$5:$F$275,4,FALSE)</f>
        <v>Front Load</v>
      </c>
      <c r="F49" s="251" t="s">
        <v>846</v>
      </c>
      <c r="G49" s="248">
        <v>3</v>
      </c>
      <c r="H49" s="248">
        <v>3.3</v>
      </c>
      <c r="I49" s="252">
        <f>D49*H49*SFAssumptions!$C$3</f>
        <v>3049.7540039999999</v>
      </c>
      <c r="J49" s="253">
        <f t="shared" si="9"/>
        <v>799</v>
      </c>
      <c r="K49" s="254">
        <f t="shared" si="9"/>
        <v>3.6</v>
      </c>
      <c r="L49" s="691">
        <f t="shared" si="24"/>
        <v>2.5701999999999998</v>
      </c>
      <c r="M49" s="691">
        <f t="shared" si="25"/>
        <v>3.4970599999999998</v>
      </c>
      <c r="N49" s="255">
        <v>2012</v>
      </c>
      <c r="O49" s="256">
        <f>C49*VLOOKUP(N49,SFAssumptions!$A$42:$B$51,2,FALSE)</f>
        <v>721.54085055780001</v>
      </c>
      <c r="P49" s="254">
        <f ca="1">O49+((SFAssumptions!$C$8-D49)*$AO$35)</f>
        <v>737.77916802165396</v>
      </c>
      <c r="Q49" s="190" t="str">
        <f>IF(OR(L49="",M49=""),"No",IF(AND(E49="Front Load",L49&gt;='Eff. Standards &amp; Certifications'!$B$21,M49&lt;='Eff. Standards &amp; Certifications'!$C$21),"Consider",IF(AND(E49="Top Load",L49&gt;='Eff. Standards &amp; Certifications'!$B$20,M49&lt;='Eff. Standards &amp; Certifications'!$C$20),"Consider","No")))</f>
        <v>Consider</v>
      </c>
      <c r="R49" s="203"/>
      <c r="S49" s="203"/>
      <c r="T49" s="293" t="str">
        <f t="shared" si="16"/>
        <v>NO</v>
      </c>
      <c r="U49" s="293" t="str">
        <f t="shared" si="16"/>
        <v>YES</v>
      </c>
      <c r="V49" s="293" t="str">
        <f t="shared" si="17"/>
        <v>YES</v>
      </c>
      <c r="W49" s="211" t="str">
        <f t="shared" si="12"/>
        <v>NO</v>
      </c>
      <c r="X49" s="211" t="str">
        <f t="shared" si="12"/>
        <v>NO</v>
      </c>
      <c r="Y49" s="211" t="str">
        <f t="shared" si="18"/>
        <v>NO</v>
      </c>
      <c r="Z49" s="211" t="str">
        <f t="shared" si="19"/>
        <v>NO</v>
      </c>
      <c r="AA49" s="211" t="str">
        <f t="shared" si="19"/>
        <v>YES</v>
      </c>
      <c r="AB49" s="293" t="str">
        <f t="shared" si="20"/>
        <v>YES</v>
      </c>
      <c r="AC49" s="211" t="str">
        <f t="shared" si="21"/>
        <v>YES</v>
      </c>
      <c r="AD49" s="211" t="str">
        <f t="shared" si="22"/>
        <v>NO</v>
      </c>
      <c r="AE49" s="211" t="str">
        <f t="shared" si="23"/>
        <v>NO</v>
      </c>
      <c r="AF49" s="206"/>
      <c r="AG49" s="206"/>
      <c r="AH49" s="203">
        <f t="shared" si="13"/>
        <v>2.5701999999999998</v>
      </c>
      <c r="AI49" s="203">
        <f t="shared" si="14"/>
        <v>799</v>
      </c>
      <c r="AJ49" s="203">
        <f t="shared" si="15"/>
        <v>884.63516135321618</v>
      </c>
      <c r="AK49" s="203"/>
      <c r="AL49" s="203"/>
      <c r="AM49" s="203"/>
      <c r="AN49" s="207"/>
    </row>
    <row r="50" spans="1:40" s="204" customFormat="1" ht="15">
      <c r="A50" s="248" t="s">
        <v>873</v>
      </c>
      <c r="B50" s="248" t="s">
        <v>879</v>
      </c>
      <c r="C50" s="249">
        <v>1199</v>
      </c>
      <c r="D50" s="250">
        <v>4</v>
      </c>
      <c r="E50" s="250" t="str">
        <f>VLOOKUP(B50,'Northwest Retail Cost Data'!$C$5:$F$275,4,FALSE)</f>
        <v>Front Load</v>
      </c>
      <c r="F50" s="251" t="s">
        <v>846</v>
      </c>
      <c r="G50" s="248">
        <v>3.2</v>
      </c>
      <c r="H50" s="248">
        <v>3.3</v>
      </c>
      <c r="I50" s="252">
        <f>D50*H50*SFAssumptions!$C$3</f>
        <v>3388.6155599999997</v>
      </c>
      <c r="J50" s="253">
        <f t="shared" si="9"/>
        <v>1199</v>
      </c>
      <c r="K50" s="254">
        <f t="shared" si="9"/>
        <v>4</v>
      </c>
      <c r="L50" s="691">
        <f t="shared" si="24"/>
        <v>2.7530999999999999</v>
      </c>
      <c r="M50" s="691">
        <f t="shared" si="25"/>
        <v>3.4970599999999998</v>
      </c>
      <c r="N50" s="255">
        <v>2012</v>
      </c>
      <c r="O50" s="256">
        <f>C50*VLOOKUP(N50,SFAssumptions!$A$42:$B$51,2,FALSE)</f>
        <v>1082.7628032775999</v>
      </c>
      <c r="P50" s="254">
        <f ca="1">O50+((SFAssumptions!$C$8-D50)*$AO$35)</f>
        <v>1062.3058713798373</v>
      </c>
      <c r="Q50" s="190" t="str">
        <f>IF(OR(L50="",M50=""),"No",IF(AND(E50="Front Load",L50&gt;='Eff. Standards &amp; Certifications'!$B$21,M50&lt;='Eff. Standards &amp; Certifications'!$C$21),"Consider",IF(AND(E50="Top Load",L50&gt;='Eff. Standards &amp; Certifications'!$B$20,M50&lt;='Eff. Standards &amp; Certifications'!$C$20),"Consider","No")))</f>
        <v>Consider</v>
      </c>
      <c r="R50" s="203"/>
      <c r="S50" s="203"/>
      <c r="T50" s="293" t="str">
        <f t="shared" si="16"/>
        <v>NO</v>
      </c>
      <c r="U50" s="293" t="str">
        <f t="shared" si="16"/>
        <v>YES</v>
      </c>
      <c r="V50" s="293" t="str">
        <f t="shared" si="17"/>
        <v>YES</v>
      </c>
      <c r="W50" s="211" t="str">
        <f t="shared" si="12"/>
        <v>NO</v>
      </c>
      <c r="X50" s="211" t="str">
        <f t="shared" si="12"/>
        <v>NO</v>
      </c>
      <c r="Y50" s="211" t="str">
        <f t="shared" si="18"/>
        <v>NO</v>
      </c>
      <c r="Z50" s="211" t="str">
        <f t="shared" si="19"/>
        <v>NO</v>
      </c>
      <c r="AA50" s="211" t="str">
        <f t="shared" si="19"/>
        <v>YES</v>
      </c>
      <c r="AB50" s="293" t="str">
        <f t="shared" si="20"/>
        <v>YES</v>
      </c>
      <c r="AC50" s="211" t="str">
        <f t="shared" si="21"/>
        <v>YES</v>
      </c>
      <c r="AD50" s="211" t="str">
        <f t="shared" si="22"/>
        <v>NO</v>
      </c>
      <c r="AE50" s="211" t="str">
        <f t="shared" si="23"/>
        <v>NO</v>
      </c>
      <c r="AF50" s="206"/>
      <c r="AG50" s="206"/>
      <c r="AH50" s="203">
        <f t="shared" si="13"/>
        <v>2.7530999999999999</v>
      </c>
      <c r="AI50" s="203">
        <f t="shared" si="14"/>
        <v>1199</v>
      </c>
      <c r="AJ50" s="203">
        <f t="shared" si="15"/>
        <v>965.53380837860573</v>
      </c>
      <c r="AK50" s="203"/>
      <c r="AL50" s="203"/>
      <c r="AM50" s="203"/>
      <c r="AN50" s="207"/>
    </row>
    <row r="51" spans="1:40" s="204" customFormat="1" ht="15">
      <c r="A51" s="248" t="s">
        <v>873</v>
      </c>
      <c r="B51" s="248" t="s">
        <v>880</v>
      </c>
      <c r="C51" s="249">
        <v>999</v>
      </c>
      <c r="D51" s="250">
        <v>3.6</v>
      </c>
      <c r="E51" s="250" t="str">
        <f>VLOOKUP(B51,'Northwest Retail Cost Data'!$C$5:$F$275,4,FALSE)</f>
        <v>Front Load</v>
      </c>
      <c r="F51" s="251" t="s">
        <v>846</v>
      </c>
      <c r="G51" s="248">
        <v>3</v>
      </c>
      <c r="H51" s="248">
        <v>3.3</v>
      </c>
      <c r="I51" s="252">
        <f>D51*H51*SFAssumptions!$C$3</f>
        <v>3049.7540039999999</v>
      </c>
      <c r="J51" s="253">
        <f t="shared" si="9"/>
        <v>999</v>
      </c>
      <c r="K51" s="254">
        <f t="shared" si="9"/>
        <v>3.6</v>
      </c>
      <c r="L51" s="691">
        <f t="shared" si="24"/>
        <v>2.5701999999999998</v>
      </c>
      <c r="M51" s="691">
        <f t="shared" si="25"/>
        <v>3.4970599999999998</v>
      </c>
      <c r="N51" s="255">
        <v>2012</v>
      </c>
      <c r="O51" s="256">
        <f>C51*VLOOKUP(N51,SFAssumptions!$A$42:$B$51,2,FALSE)</f>
        <v>902.15182691769996</v>
      </c>
      <c r="P51" s="254">
        <f ca="1">O51+((SFAssumptions!$C$8-D51)*$AO$35)</f>
        <v>918.39014438155391</v>
      </c>
      <c r="Q51" s="190" t="str">
        <f>IF(OR(L51="",M51=""),"No",IF(AND(E51="Front Load",L51&gt;='Eff. Standards &amp; Certifications'!$B$21,M51&lt;='Eff. Standards &amp; Certifications'!$C$21),"Consider",IF(AND(E51="Top Load",L51&gt;='Eff. Standards &amp; Certifications'!$B$20,M51&lt;='Eff. Standards &amp; Certifications'!$C$20),"Consider","No")))</f>
        <v>Consider</v>
      </c>
      <c r="R51" s="203"/>
      <c r="S51" s="203"/>
      <c r="T51" s="293" t="str">
        <f t="shared" si="16"/>
        <v>NO</v>
      </c>
      <c r="U51" s="293" t="str">
        <f t="shared" si="16"/>
        <v>YES</v>
      </c>
      <c r="V51" s="293" t="str">
        <f t="shared" si="17"/>
        <v>YES</v>
      </c>
      <c r="W51" s="211" t="str">
        <f t="shared" si="12"/>
        <v>NO</v>
      </c>
      <c r="X51" s="211" t="str">
        <f t="shared" si="12"/>
        <v>NO</v>
      </c>
      <c r="Y51" s="211" t="str">
        <f t="shared" si="18"/>
        <v>NO</v>
      </c>
      <c r="Z51" s="211" t="str">
        <f t="shared" si="19"/>
        <v>NO</v>
      </c>
      <c r="AA51" s="211" t="str">
        <f t="shared" si="19"/>
        <v>YES</v>
      </c>
      <c r="AB51" s="293" t="str">
        <f t="shared" si="20"/>
        <v>YES</v>
      </c>
      <c r="AC51" s="211" t="str">
        <f t="shared" si="21"/>
        <v>YES</v>
      </c>
      <c r="AD51" s="211" t="str">
        <f t="shared" si="22"/>
        <v>NO</v>
      </c>
      <c r="AE51" s="211" t="str">
        <f t="shared" si="23"/>
        <v>NO</v>
      </c>
      <c r="AF51" s="206"/>
      <c r="AG51" s="206"/>
      <c r="AH51" s="203">
        <f t="shared" si="13"/>
        <v>2.5701999999999998</v>
      </c>
      <c r="AI51" s="203">
        <f t="shared" si="14"/>
        <v>999</v>
      </c>
      <c r="AJ51" s="203">
        <f t="shared" si="15"/>
        <v>884.63516135321618</v>
      </c>
      <c r="AK51" s="203"/>
      <c r="AL51" s="203"/>
      <c r="AM51" s="203"/>
      <c r="AN51" s="207"/>
    </row>
    <row r="52" spans="1:40" s="204" customFormat="1" ht="15">
      <c r="A52" s="248" t="s">
        <v>873</v>
      </c>
      <c r="B52" s="248" t="s">
        <v>881</v>
      </c>
      <c r="C52" s="249">
        <v>899</v>
      </c>
      <c r="D52" s="250">
        <v>3.6</v>
      </c>
      <c r="E52" s="250" t="str">
        <f>VLOOKUP(B52,'Northwest Retail Cost Data'!$C$5:$F$275,4,FALSE)</f>
        <v>Front Load</v>
      </c>
      <c r="F52" s="251" t="s">
        <v>846</v>
      </c>
      <c r="G52" s="248">
        <v>3</v>
      </c>
      <c r="H52" s="248">
        <v>3.3</v>
      </c>
      <c r="I52" s="252">
        <f>D52*H52*SFAssumptions!$C$3</f>
        <v>3049.7540039999999</v>
      </c>
      <c r="J52" s="253">
        <f t="shared" si="9"/>
        <v>899</v>
      </c>
      <c r="K52" s="254">
        <f t="shared" si="9"/>
        <v>3.6</v>
      </c>
      <c r="L52" s="691">
        <f t="shared" si="24"/>
        <v>2.5701999999999998</v>
      </c>
      <c r="M52" s="691">
        <f t="shared" si="25"/>
        <v>3.4970599999999998</v>
      </c>
      <c r="N52" s="255">
        <v>2012</v>
      </c>
      <c r="O52" s="256">
        <f>C52*VLOOKUP(N52,SFAssumptions!$A$42:$B$51,2,FALSE)</f>
        <v>811.84633873774999</v>
      </c>
      <c r="P52" s="254">
        <f ca="1">O52+((SFAssumptions!$C$8-D52)*$AO$35)</f>
        <v>828.08465620160393</v>
      </c>
      <c r="Q52" s="190" t="str">
        <f>IF(OR(L52="",M52=""),"No",IF(AND(E52="Front Load",L52&gt;='Eff. Standards &amp; Certifications'!$B$21,M52&lt;='Eff. Standards &amp; Certifications'!$C$21),"Consider",IF(AND(E52="Top Load",L52&gt;='Eff. Standards &amp; Certifications'!$B$20,M52&lt;='Eff. Standards &amp; Certifications'!$C$20),"Consider","No")))</f>
        <v>Consider</v>
      </c>
      <c r="R52" s="203"/>
      <c r="S52" s="203"/>
      <c r="T52" s="293" t="str">
        <f t="shared" si="16"/>
        <v>NO</v>
      </c>
      <c r="U52" s="293" t="str">
        <f t="shared" si="16"/>
        <v>YES</v>
      </c>
      <c r="V52" s="293" t="str">
        <f t="shared" si="17"/>
        <v>YES</v>
      </c>
      <c r="W52" s="211" t="str">
        <f t="shared" si="12"/>
        <v>NO</v>
      </c>
      <c r="X52" s="211" t="str">
        <f t="shared" si="12"/>
        <v>NO</v>
      </c>
      <c r="Y52" s="211" t="str">
        <f t="shared" si="18"/>
        <v>NO</v>
      </c>
      <c r="Z52" s="211" t="str">
        <f t="shared" si="19"/>
        <v>NO</v>
      </c>
      <c r="AA52" s="211" t="str">
        <f t="shared" si="19"/>
        <v>YES</v>
      </c>
      <c r="AB52" s="293" t="str">
        <f t="shared" si="20"/>
        <v>YES</v>
      </c>
      <c r="AC52" s="211" t="str">
        <f t="shared" si="21"/>
        <v>YES</v>
      </c>
      <c r="AD52" s="211" t="str">
        <f t="shared" si="22"/>
        <v>NO</v>
      </c>
      <c r="AE52" s="211" t="str">
        <f t="shared" si="23"/>
        <v>NO</v>
      </c>
      <c r="AF52" s="206"/>
      <c r="AG52" s="206"/>
      <c r="AH52" s="203">
        <f t="shared" si="13"/>
        <v>2.5701999999999998</v>
      </c>
      <c r="AI52" s="203">
        <f t="shared" si="14"/>
        <v>899</v>
      </c>
      <c r="AJ52" s="203">
        <f t="shared" si="15"/>
        <v>884.63516135321618</v>
      </c>
      <c r="AK52" s="203"/>
      <c r="AL52" s="203"/>
      <c r="AM52" s="203"/>
      <c r="AN52" s="207"/>
    </row>
    <row r="53" spans="1:40" s="204" customFormat="1" ht="15">
      <c r="A53" s="248" t="s">
        <v>873</v>
      </c>
      <c r="B53" s="248" t="s">
        <v>882</v>
      </c>
      <c r="C53" s="249">
        <v>1099</v>
      </c>
      <c r="D53" s="250">
        <v>3.7</v>
      </c>
      <c r="E53" s="250" t="str">
        <f>VLOOKUP(B53,'Northwest Retail Cost Data'!$C$5:$F$275,4,FALSE)</f>
        <v>Front Load</v>
      </c>
      <c r="F53" s="251" t="s">
        <v>846</v>
      </c>
      <c r="G53" s="248">
        <v>3.05</v>
      </c>
      <c r="H53" s="248">
        <v>3.3</v>
      </c>
      <c r="I53" s="252">
        <f>D53*H53*SFAssumptions!$C$3</f>
        <v>3134.4693929999999</v>
      </c>
      <c r="J53" s="253">
        <f t="shared" si="9"/>
        <v>1099</v>
      </c>
      <c r="K53" s="254">
        <f t="shared" si="9"/>
        <v>3.7</v>
      </c>
      <c r="L53" s="691">
        <f t="shared" si="24"/>
        <v>2.6159249999999998</v>
      </c>
      <c r="M53" s="691">
        <f t="shared" si="25"/>
        <v>3.4970599999999998</v>
      </c>
      <c r="N53" s="255">
        <v>2012</v>
      </c>
      <c r="O53" s="256">
        <f>C53*VLOOKUP(N53,SFAssumptions!$A$42:$B$51,2,FALSE)</f>
        <v>992.45731509764994</v>
      </c>
      <c r="P53" s="254">
        <f ca="1">O53+((SFAssumptions!$C$8-D53)*$AO$35)</f>
        <v>999.52182022109969</v>
      </c>
      <c r="Q53" s="190" t="str">
        <f>IF(OR(L53="",M53=""),"No",IF(AND(E53="Front Load",L53&gt;='Eff. Standards &amp; Certifications'!$B$21,M53&lt;='Eff. Standards &amp; Certifications'!$C$21),"Consider",IF(AND(E53="Top Load",L53&gt;='Eff. Standards &amp; Certifications'!$B$20,M53&lt;='Eff. Standards &amp; Certifications'!$C$20),"Consider","No")))</f>
        <v>Consider</v>
      </c>
      <c r="R53" s="203"/>
      <c r="S53" s="203"/>
      <c r="T53" s="293" t="str">
        <f t="shared" si="16"/>
        <v>NO</v>
      </c>
      <c r="U53" s="293" t="str">
        <f t="shared" si="16"/>
        <v>YES</v>
      </c>
      <c r="V53" s="293" t="str">
        <f t="shared" si="17"/>
        <v>YES</v>
      </c>
      <c r="W53" s="211" t="str">
        <f t="shared" si="12"/>
        <v>NO</v>
      </c>
      <c r="X53" s="211" t="str">
        <f t="shared" si="12"/>
        <v>NO</v>
      </c>
      <c r="Y53" s="211" t="str">
        <f t="shared" si="18"/>
        <v>NO</v>
      </c>
      <c r="Z53" s="211" t="str">
        <f t="shared" si="19"/>
        <v>NO</v>
      </c>
      <c r="AA53" s="211" t="str">
        <f t="shared" si="19"/>
        <v>YES</v>
      </c>
      <c r="AB53" s="293" t="str">
        <f t="shared" si="20"/>
        <v>YES</v>
      </c>
      <c r="AC53" s="211" t="str">
        <f t="shared" si="21"/>
        <v>YES</v>
      </c>
      <c r="AD53" s="211" t="str">
        <f t="shared" si="22"/>
        <v>NO</v>
      </c>
      <c r="AE53" s="211" t="str">
        <f t="shared" si="23"/>
        <v>NO</v>
      </c>
      <c r="AF53" s="206"/>
      <c r="AG53" s="206"/>
      <c r="AH53" s="203">
        <f t="shared" si="13"/>
        <v>2.6159249999999998</v>
      </c>
      <c r="AI53" s="203">
        <f t="shared" si="14"/>
        <v>1099</v>
      </c>
      <c r="AJ53" s="203">
        <f t="shared" si="15"/>
        <v>904.85982310956365</v>
      </c>
      <c r="AK53" s="203"/>
      <c r="AL53" s="203"/>
      <c r="AM53" s="203"/>
      <c r="AN53" s="207"/>
    </row>
    <row r="54" spans="1:40" s="204" customFormat="1" ht="15">
      <c r="A54" s="248" t="s">
        <v>873</v>
      </c>
      <c r="B54" s="248" t="s">
        <v>883</v>
      </c>
      <c r="C54" s="249">
        <v>999</v>
      </c>
      <c r="D54" s="250">
        <v>3.7</v>
      </c>
      <c r="E54" s="250" t="str">
        <f>VLOOKUP(B54,'Northwest Retail Cost Data'!$C$5:$F$275,4,FALSE)</f>
        <v>Front Load</v>
      </c>
      <c r="F54" s="251" t="s">
        <v>846</v>
      </c>
      <c r="G54" s="248">
        <v>3.05</v>
      </c>
      <c r="H54" s="248">
        <v>3.3</v>
      </c>
      <c r="I54" s="252">
        <f>D54*H54*SFAssumptions!$C$3</f>
        <v>3134.4693929999999</v>
      </c>
      <c r="J54" s="253">
        <f t="shared" si="9"/>
        <v>999</v>
      </c>
      <c r="K54" s="254">
        <f t="shared" si="9"/>
        <v>3.7</v>
      </c>
      <c r="L54" s="691">
        <f t="shared" si="24"/>
        <v>2.6159249999999998</v>
      </c>
      <c r="M54" s="691">
        <f t="shared" si="25"/>
        <v>3.4970599999999998</v>
      </c>
      <c r="N54" s="255">
        <v>2012</v>
      </c>
      <c r="O54" s="256">
        <f>C54*VLOOKUP(N54,SFAssumptions!$A$42:$B$51,2,FALSE)</f>
        <v>902.15182691769996</v>
      </c>
      <c r="P54" s="254">
        <f ca="1">O54+((SFAssumptions!$C$8-D54)*$AO$35)</f>
        <v>909.21633204114971</v>
      </c>
      <c r="Q54" s="190" t="str">
        <f>IF(OR(L54="",M54=""),"No",IF(AND(E54="Front Load",L54&gt;='Eff. Standards &amp; Certifications'!$B$21,M54&lt;='Eff. Standards &amp; Certifications'!$C$21),"Consider",IF(AND(E54="Top Load",L54&gt;='Eff. Standards &amp; Certifications'!$B$20,M54&lt;='Eff. Standards &amp; Certifications'!$C$20),"Consider","No")))</f>
        <v>Consider</v>
      </c>
      <c r="R54" s="203"/>
      <c r="S54" s="203"/>
      <c r="T54" s="293" t="str">
        <f t="shared" si="16"/>
        <v>NO</v>
      </c>
      <c r="U54" s="293" t="str">
        <f t="shared" si="16"/>
        <v>YES</v>
      </c>
      <c r="V54" s="293" t="str">
        <f t="shared" si="17"/>
        <v>YES</v>
      </c>
      <c r="W54" s="211" t="str">
        <f t="shared" si="12"/>
        <v>NO</v>
      </c>
      <c r="X54" s="211" t="str">
        <f t="shared" si="12"/>
        <v>NO</v>
      </c>
      <c r="Y54" s="211" t="str">
        <f t="shared" si="18"/>
        <v>NO</v>
      </c>
      <c r="Z54" s="211" t="str">
        <f t="shared" si="19"/>
        <v>NO</v>
      </c>
      <c r="AA54" s="211" t="str">
        <f t="shared" si="19"/>
        <v>YES</v>
      </c>
      <c r="AB54" s="293" t="str">
        <f t="shared" si="20"/>
        <v>YES</v>
      </c>
      <c r="AC54" s="211" t="str">
        <f t="shared" si="21"/>
        <v>YES</v>
      </c>
      <c r="AD54" s="211" t="str">
        <f t="shared" si="22"/>
        <v>NO</v>
      </c>
      <c r="AE54" s="211" t="str">
        <f t="shared" si="23"/>
        <v>NO</v>
      </c>
      <c r="AF54" s="206"/>
      <c r="AG54" s="206"/>
      <c r="AH54" s="203">
        <f t="shared" si="13"/>
        <v>2.6159249999999998</v>
      </c>
      <c r="AI54" s="203">
        <f t="shared" si="14"/>
        <v>999</v>
      </c>
      <c r="AJ54" s="203">
        <f t="shared" si="15"/>
        <v>904.85982310956365</v>
      </c>
      <c r="AK54" s="203"/>
      <c r="AL54" s="203"/>
      <c r="AM54" s="203"/>
      <c r="AN54" s="207"/>
    </row>
    <row r="55" spans="1:40" s="204" customFormat="1" ht="15">
      <c r="A55" s="248" t="s">
        <v>873</v>
      </c>
      <c r="B55" s="248" t="s">
        <v>884</v>
      </c>
      <c r="C55" s="249">
        <v>1099</v>
      </c>
      <c r="D55" s="248">
        <v>4.7</v>
      </c>
      <c r="E55" s="250" t="str">
        <f>VLOOKUP(B55,'Northwest Retail Cost Data'!$C$5:$F$275,4,FALSE)</f>
        <v>Top Load</v>
      </c>
      <c r="F55" s="251" t="s">
        <v>846</v>
      </c>
      <c r="G55" s="248">
        <v>2.75</v>
      </c>
      <c r="H55" s="248">
        <v>3.7</v>
      </c>
      <c r="I55" s="252">
        <f>D55*H55*SFAssumptions!$C$3</f>
        <v>4464.2442870000004</v>
      </c>
      <c r="J55" s="253">
        <f t="shared" si="9"/>
        <v>1099</v>
      </c>
      <c r="K55" s="254">
        <f t="shared" si="9"/>
        <v>4.7</v>
      </c>
      <c r="L55" s="691">
        <f t="shared" si="24"/>
        <v>2.3062</v>
      </c>
      <c r="M55" s="691">
        <f t="shared" si="25"/>
        <v>4.18703</v>
      </c>
      <c r="N55" s="255">
        <v>2012</v>
      </c>
      <c r="O55" s="256">
        <f>C55*VLOOKUP(N55,SFAssumptions!$A$42:$B$51,2,FALSE)</f>
        <v>992.45731509764994</v>
      </c>
      <c r="P55" s="254">
        <f ca="1">O55+((SFAssumptions!$C$8-D55)*$AO$35)</f>
        <v>907.7836968170584</v>
      </c>
      <c r="Q55" s="190" t="str">
        <f>IF(OR(L55="",M55=""),"No",IF(AND(E55="Front Load",L55&gt;='Eff. Standards &amp; Certifications'!$B$21,M55&lt;='Eff. Standards &amp; Certifications'!$C$21),"Consider",IF(AND(E55="Top Load",L55&gt;='Eff. Standards &amp; Certifications'!$B$20,M55&lt;='Eff. Standards &amp; Certifications'!$C$20),"Consider","No")))</f>
        <v>Consider</v>
      </c>
      <c r="R55" s="203"/>
      <c r="S55" s="203"/>
      <c r="T55" s="293" t="str">
        <f t="shared" si="16"/>
        <v>YES</v>
      </c>
      <c r="U55" s="293" t="str">
        <f t="shared" si="16"/>
        <v>NO</v>
      </c>
      <c r="V55" s="293" t="str">
        <f t="shared" si="17"/>
        <v>YES</v>
      </c>
      <c r="W55" s="211" t="str">
        <f t="shared" si="12"/>
        <v>NO</v>
      </c>
      <c r="X55" s="211" t="str">
        <f t="shared" si="12"/>
        <v>NO</v>
      </c>
      <c r="Y55" s="211" t="str">
        <f t="shared" si="18"/>
        <v>NO</v>
      </c>
      <c r="Z55" s="211" t="str">
        <f t="shared" si="19"/>
        <v>YES</v>
      </c>
      <c r="AA55" s="211" t="str">
        <f t="shared" si="19"/>
        <v>NO</v>
      </c>
      <c r="AB55" s="293" t="str">
        <f t="shared" si="20"/>
        <v>YES</v>
      </c>
      <c r="AC55" s="211" t="str">
        <f t="shared" si="21"/>
        <v>NO</v>
      </c>
      <c r="AD55" s="211" t="str">
        <f t="shared" si="22"/>
        <v>NO</v>
      </c>
      <c r="AE55" s="211" t="str">
        <f t="shared" si="23"/>
        <v>NO</v>
      </c>
      <c r="AF55" s="206"/>
      <c r="AG55" s="206"/>
      <c r="AH55" s="203">
        <f t="shared" si="13"/>
        <v>2.3062</v>
      </c>
      <c r="AI55" s="203">
        <f t="shared" si="14"/>
        <v>1099</v>
      </c>
      <c r="AJ55" s="203">
        <f t="shared" si="15"/>
        <v>916.96173235504557</v>
      </c>
      <c r="AK55" s="203"/>
      <c r="AL55" s="203"/>
      <c r="AM55" s="203"/>
      <c r="AN55" s="207"/>
    </row>
    <row r="56" spans="1:40" s="204" customFormat="1" ht="15">
      <c r="A56" s="248" t="s">
        <v>873</v>
      </c>
      <c r="B56" s="248" t="s">
        <v>885</v>
      </c>
      <c r="C56" s="249">
        <v>749</v>
      </c>
      <c r="D56" s="248">
        <v>3.7</v>
      </c>
      <c r="E56" s="250" t="str">
        <f>VLOOKUP(B56,'Northwest Retail Cost Data'!$C$5:$F$275,4,FALSE)</f>
        <v>Top Load</v>
      </c>
      <c r="F56" s="251" t="s">
        <v>846</v>
      </c>
      <c r="G56" s="248">
        <v>2.41</v>
      </c>
      <c r="H56" s="248">
        <v>3.9</v>
      </c>
      <c r="I56" s="252">
        <f>D56*H56*SFAssumptions!$C$3</f>
        <v>3704.3729189999999</v>
      </c>
      <c r="J56" s="253">
        <f t="shared" si="9"/>
        <v>749</v>
      </c>
      <c r="K56" s="254">
        <f t="shared" si="9"/>
        <v>3.7</v>
      </c>
      <c r="L56" s="691">
        <f t="shared" si="24"/>
        <v>1.9695999999999998</v>
      </c>
      <c r="M56" s="691">
        <f t="shared" si="25"/>
        <v>4.3848099999999999</v>
      </c>
      <c r="N56" s="255">
        <v>2012</v>
      </c>
      <c r="O56" s="256">
        <f>C56*VLOOKUP(N56,SFAssumptions!$A$42:$B$51,2,FALSE)</f>
        <v>676.38810646782508</v>
      </c>
      <c r="P56" s="254">
        <f ca="1">O56+((SFAssumptions!$C$8-D56)*$AO$35)</f>
        <v>683.45261159127483</v>
      </c>
      <c r="Q56" s="190" t="str">
        <f>IF(OR(L56="",M56=""),"No",IF(AND(E56="Front Load",L56&gt;='Eff. Standards &amp; Certifications'!$B$21,M56&lt;='Eff. Standards &amp; Certifications'!$C$21),"Consider",IF(AND(E56="Top Load",L56&gt;='Eff. Standards &amp; Certifications'!$B$20,M56&lt;='Eff. Standards &amp; Certifications'!$C$20),"Consider","No")))</f>
        <v>Consider</v>
      </c>
      <c r="R56" s="203"/>
      <c r="S56" s="203"/>
      <c r="T56" s="293" t="str">
        <f t="shared" si="16"/>
        <v>YES</v>
      </c>
      <c r="U56" s="293" t="str">
        <f t="shared" si="16"/>
        <v>NO</v>
      </c>
      <c r="V56" s="293" t="str">
        <f t="shared" si="17"/>
        <v>YES</v>
      </c>
      <c r="W56" s="211" t="str">
        <f t="shared" si="12"/>
        <v>YES</v>
      </c>
      <c r="X56" s="211" t="str">
        <f t="shared" si="12"/>
        <v>NO</v>
      </c>
      <c r="Y56" s="211" t="str">
        <f t="shared" si="18"/>
        <v>YES</v>
      </c>
      <c r="Z56" s="211" t="str">
        <f t="shared" si="19"/>
        <v>NO</v>
      </c>
      <c r="AA56" s="211" t="str">
        <f t="shared" si="19"/>
        <v>NO</v>
      </c>
      <c r="AB56" s="293" t="str">
        <f t="shared" si="20"/>
        <v>NO</v>
      </c>
      <c r="AC56" s="211" t="str">
        <f t="shared" si="21"/>
        <v>NO</v>
      </c>
      <c r="AD56" s="211" t="str">
        <f t="shared" si="22"/>
        <v>NO</v>
      </c>
      <c r="AE56" s="211" t="str">
        <f t="shared" si="23"/>
        <v>NO</v>
      </c>
      <c r="AF56" s="206"/>
      <c r="AG56" s="206"/>
      <c r="AH56" s="203">
        <f t="shared" si="13"/>
        <v>1.9695999999999998</v>
      </c>
      <c r="AI56" s="203">
        <f t="shared" si="14"/>
        <v>749</v>
      </c>
      <c r="AJ56" s="203">
        <f t="shared" si="15"/>
        <v>742.50322519454357</v>
      </c>
      <c r="AK56" s="203"/>
      <c r="AL56" s="203"/>
      <c r="AM56" s="203"/>
      <c r="AN56" s="207"/>
    </row>
    <row r="57" spans="1:40" s="204" customFormat="1" ht="15">
      <c r="A57" s="248" t="s">
        <v>873</v>
      </c>
      <c r="B57" s="248" t="s">
        <v>886</v>
      </c>
      <c r="C57" s="249">
        <v>999</v>
      </c>
      <c r="D57" s="248">
        <v>4.7</v>
      </c>
      <c r="E57" s="250" t="str">
        <f>VLOOKUP(B57,'Northwest Retail Cost Data'!$C$5:$F$275,4,FALSE)</f>
        <v>Top Load</v>
      </c>
      <c r="F57" s="251" t="s">
        <v>846</v>
      </c>
      <c r="G57" s="248">
        <v>2.75</v>
      </c>
      <c r="H57" s="248">
        <v>3.7</v>
      </c>
      <c r="I57" s="252">
        <f>D57*H57*SFAssumptions!$C$3</f>
        <v>4464.2442870000004</v>
      </c>
      <c r="J57" s="253">
        <f t="shared" si="9"/>
        <v>999</v>
      </c>
      <c r="K57" s="254">
        <f t="shared" si="9"/>
        <v>4.7</v>
      </c>
      <c r="L57" s="691">
        <f t="shared" si="24"/>
        <v>2.3062</v>
      </c>
      <c r="M57" s="691">
        <f t="shared" si="25"/>
        <v>4.18703</v>
      </c>
      <c r="N57" s="255">
        <v>2012</v>
      </c>
      <c r="O57" s="256">
        <f>C57*VLOOKUP(N57,SFAssumptions!$A$42:$B$51,2,FALSE)</f>
        <v>902.15182691769996</v>
      </c>
      <c r="P57" s="254">
        <f ca="1">O57+((SFAssumptions!$C$8-D57)*$AO$35)</f>
        <v>817.47820863710842</v>
      </c>
      <c r="Q57" s="190" t="str">
        <f>IF(OR(L57="",M57=""),"No",IF(AND(E57="Front Load",L57&gt;='Eff. Standards &amp; Certifications'!$B$21,M57&lt;='Eff. Standards &amp; Certifications'!$C$21),"Consider",IF(AND(E57="Top Load",L57&gt;='Eff. Standards &amp; Certifications'!$B$20,M57&lt;='Eff. Standards &amp; Certifications'!$C$20),"Consider","No")))</f>
        <v>Consider</v>
      </c>
      <c r="R57" s="203"/>
      <c r="S57" s="203"/>
      <c r="T57" s="293" t="str">
        <f t="shared" si="16"/>
        <v>YES</v>
      </c>
      <c r="U57" s="293" t="str">
        <f t="shared" si="16"/>
        <v>NO</v>
      </c>
      <c r="V57" s="293" t="str">
        <f t="shared" si="17"/>
        <v>YES</v>
      </c>
      <c r="W57" s="211" t="str">
        <f t="shared" si="12"/>
        <v>NO</v>
      </c>
      <c r="X57" s="211" t="str">
        <f t="shared" si="12"/>
        <v>NO</v>
      </c>
      <c r="Y57" s="211" t="str">
        <f t="shared" si="18"/>
        <v>NO</v>
      </c>
      <c r="Z57" s="211" t="str">
        <f t="shared" si="19"/>
        <v>YES</v>
      </c>
      <c r="AA57" s="211" t="str">
        <f t="shared" si="19"/>
        <v>NO</v>
      </c>
      <c r="AB57" s="293" t="str">
        <f t="shared" si="20"/>
        <v>YES</v>
      </c>
      <c r="AC57" s="211" t="str">
        <f t="shared" si="21"/>
        <v>NO</v>
      </c>
      <c r="AD57" s="211" t="str">
        <f t="shared" si="22"/>
        <v>NO</v>
      </c>
      <c r="AE57" s="211" t="str">
        <f t="shared" si="23"/>
        <v>NO</v>
      </c>
      <c r="AF57" s="206"/>
      <c r="AG57" s="206"/>
      <c r="AH57" s="203">
        <f t="shared" si="13"/>
        <v>2.3062</v>
      </c>
      <c r="AI57" s="203">
        <f t="shared" si="14"/>
        <v>999</v>
      </c>
      <c r="AJ57" s="203">
        <f t="shared" si="15"/>
        <v>916.96173235504557</v>
      </c>
      <c r="AK57" s="203"/>
      <c r="AL57" s="203"/>
      <c r="AM57" s="203"/>
      <c r="AN57" s="207"/>
    </row>
    <row r="58" spans="1:40" s="204" customFormat="1" ht="15">
      <c r="A58" s="248" t="s">
        <v>873</v>
      </c>
      <c r="B58" s="248" t="s">
        <v>887</v>
      </c>
      <c r="C58" s="249">
        <v>1199</v>
      </c>
      <c r="D58" s="248">
        <v>4.7</v>
      </c>
      <c r="E58" s="250" t="str">
        <f>VLOOKUP(B58,'Northwest Retail Cost Data'!$C$5:$F$275,4,FALSE)</f>
        <v>Top Load</v>
      </c>
      <c r="F58" s="251" t="s">
        <v>846</v>
      </c>
      <c r="G58" s="248">
        <v>2.75</v>
      </c>
      <c r="H58" s="248">
        <v>3.7</v>
      </c>
      <c r="I58" s="252">
        <f>D58*H58*SFAssumptions!$C$3</f>
        <v>4464.2442870000004</v>
      </c>
      <c r="J58" s="253">
        <f t="shared" si="9"/>
        <v>1199</v>
      </c>
      <c r="K58" s="254">
        <f t="shared" si="9"/>
        <v>4.7</v>
      </c>
      <c r="L58" s="691">
        <f t="shared" si="24"/>
        <v>2.3062</v>
      </c>
      <c r="M58" s="691">
        <f t="shared" si="25"/>
        <v>4.18703</v>
      </c>
      <c r="N58" s="255">
        <v>2012</v>
      </c>
      <c r="O58" s="256">
        <f>C58*VLOOKUP(N58,SFAssumptions!$A$42:$B$51,2,FALSE)</f>
        <v>1082.7628032775999</v>
      </c>
      <c r="P58" s="254">
        <f ca="1">O58+((SFAssumptions!$C$8-D58)*$AO$35)</f>
        <v>998.08918499700837</v>
      </c>
      <c r="Q58" s="190" t="str">
        <f>IF(OR(L58="",M58=""),"No",IF(AND(E58="Front Load",L58&gt;='Eff. Standards &amp; Certifications'!$B$21,M58&lt;='Eff. Standards &amp; Certifications'!$C$21),"Consider",IF(AND(E58="Top Load",L58&gt;='Eff. Standards &amp; Certifications'!$B$20,M58&lt;='Eff. Standards &amp; Certifications'!$C$20),"Consider","No")))</f>
        <v>Consider</v>
      </c>
      <c r="R58" s="203"/>
      <c r="S58" s="203"/>
      <c r="T58" s="293" t="str">
        <f t="shared" si="16"/>
        <v>YES</v>
      </c>
      <c r="U58" s="293" t="str">
        <f t="shared" si="16"/>
        <v>NO</v>
      </c>
      <c r="V58" s="293" t="str">
        <f t="shared" si="17"/>
        <v>YES</v>
      </c>
      <c r="W58" s="211" t="str">
        <f t="shared" si="12"/>
        <v>NO</v>
      </c>
      <c r="X58" s="211" t="str">
        <f t="shared" si="12"/>
        <v>NO</v>
      </c>
      <c r="Y58" s="211" t="str">
        <f t="shared" si="18"/>
        <v>NO</v>
      </c>
      <c r="Z58" s="211" t="str">
        <f t="shared" si="19"/>
        <v>YES</v>
      </c>
      <c r="AA58" s="211" t="str">
        <f t="shared" si="19"/>
        <v>NO</v>
      </c>
      <c r="AB58" s="293" t="str">
        <f t="shared" si="20"/>
        <v>YES</v>
      </c>
      <c r="AC58" s="211" t="str">
        <f t="shared" si="21"/>
        <v>NO</v>
      </c>
      <c r="AD58" s="211" t="str">
        <f t="shared" si="22"/>
        <v>NO</v>
      </c>
      <c r="AE58" s="211" t="str">
        <f t="shared" si="23"/>
        <v>NO</v>
      </c>
      <c r="AF58" s="206"/>
      <c r="AG58" s="206"/>
      <c r="AH58" s="203">
        <f t="shared" si="13"/>
        <v>2.3062</v>
      </c>
      <c r="AI58" s="203">
        <f t="shared" si="14"/>
        <v>1199</v>
      </c>
      <c r="AJ58" s="203">
        <f t="shared" si="15"/>
        <v>916.96173235504557</v>
      </c>
      <c r="AK58" s="203"/>
      <c r="AL58" s="203"/>
      <c r="AM58" s="203"/>
      <c r="AN58" s="207"/>
    </row>
    <row r="59" spans="1:40" s="204" customFormat="1" ht="15">
      <c r="A59" s="248" t="s">
        <v>888</v>
      </c>
      <c r="B59" s="248" t="s">
        <v>889</v>
      </c>
      <c r="C59" s="249">
        <v>999</v>
      </c>
      <c r="D59" s="248">
        <v>4.5999999999999996</v>
      </c>
      <c r="E59" s="250" t="str">
        <f>VLOOKUP(B59,'Northwest Retail Cost Data'!$C$5:$F$275,4,FALSE)</f>
        <v>Top Load</v>
      </c>
      <c r="F59" s="251" t="s">
        <v>846</v>
      </c>
      <c r="G59" s="248">
        <v>2.57</v>
      </c>
      <c r="H59" s="250">
        <v>3.88</v>
      </c>
      <c r="I59" s="252">
        <f>D59*H59*SFAssumptions!$C$3</f>
        <v>4581.8189783999997</v>
      </c>
      <c r="J59" s="253">
        <f t="shared" si="9"/>
        <v>999</v>
      </c>
      <c r="K59" s="254">
        <f t="shared" si="9"/>
        <v>4.5999999999999996</v>
      </c>
      <c r="L59" s="691">
        <f t="shared" si="24"/>
        <v>2.1279999999999997</v>
      </c>
      <c r="M59" s="691">
        <f t="shared" si="25"/>
        <v>4.3650320000000002</v>
      </c>
      <c r="N59" s="255">
        <v>2012</v>
      </c>
      <c r="O59" s="256">
        <f>C59*VLOOKUP(N59,SFAssumptions!$A$42:$B$51,2,FALSE)</f>
        <v>902.15182691769996</v>
      </c>
      <c r="P59" s="254">
        <f ca="1">O59+((SFAssumptions!$C$8-D59)*$AO$35)</f>
        <v>826.65202097751262</v>
      </c>
      <c r="Q59" s="190" t="str">
        <f>IF(OR(L59="",M59=""),"No",IF(AND(E59="Front Load",L59&gt;='Eff. Standards &amp; Certifications'!$B$21,M59&lt;='Eff. Standards &amp; Certifications'!$C$21),"Consider",IF(AND(E59="Top Load",L59&gt;='Eff. Standards &amp; Certifications'!$B$20,M59&lt;='Eff. Standards &amp; Certifications'!$C$20),"Consider","No")))</f>
        <v>Consider</v>
      </c>
      <c r="R59" s="203"/>
      <c r="S59" s="203"/>
      <c r="T59" s="293" t="str">
        <f t="shared" si="16"/>
        <v>YES</v>
      </c>
      <c r="U59" s="293" t="str">
        <f t="shared" si="16"/>
        <v>NO</v>
      </c>
      <c r="V59" s="293" t="str">
        <f t="shared" si="17"/>
        <v>YES</v>
      </c>
      <c r="W59" s="211" t="str">
        <f t="shared" si="12"/>
        <v>YES</v>
      </c>
      <c r="X59" s="211" t="str">
        <f t="shared" si="12"/>
        <v>NO</v>
      </c>
      <c r="Y59" s="211" t="str">
        <f t="shared" si="18"/>
        <v>YES</v>
      </c>
      <c r="Z59" s="211" t="str">
        <f t="shared" si="19"/>
        <v>NO</v>
      </c>
      <c r="AA59" s="211" t="str">
        <f t="shared" si="19"/>
        <v>NO</v>
      </c>
      <c r="AB59" s="293" t="str">
        <f t="shared" si="20"/>
        <v>NO</v>
      </c>
      <c r="AC59" s="211" t="str">
        <f t="shared" si="21"/>
        <v>NO</v>
      </c>
      <c r="AD59" s="211" t="str">
        <f t="shared" si="22"/>
        <v>NO</v>
      </c>
      <c r="AE59" s="211" t="str">
        <f t="shared" si="23"/>
        <v>NO</v>
      </c>
      <c r="AF59" s="206"/>
      <c r="AG59" s="206"/>
      <c r="AH59" s="203">
        <f t="shared" si="13"/>
        <v>2.1279999999999997</v>
      </c>
      <c r="AI59" s="203">
        <f t="shared" si="14"/>
        <v>999</v>
      </c>
      <c r="AJ59" s="203">
        <f t="shared" si="15"/>
        <v>863.48682353803156</v>
      </c>
      <c r="AK59" s="203"/>
      <c r="AL59" s="203"/>
      <c r="AM59" s="203"/>
      <c r="AN59" s="207"/>
    </row>
    <row r="60" spans="1:40" s="204" customFormat="1" ht="15">
      <c r="A60" s="248" t="s">
        <v>888</v>
      </c>
      <c r="B60" s="248" t="s">
        <v>890</v>
      </c>
      <c r="C60" s="249">
        <v>799</v>
      </c>
      <c r="D60" s="248">
        <v>3.6</v>
      </c>
      <c r="E60" s="250" t="str">
        <f>VLOOKUP(B60,'Northwest Retail Cost Data'!$C$5:$F$275,4,FALSE)</f>
        <v>Top Load</v>
      </c>
      <c r="F60" s="251" t="s">
        <v>846</v>
      </c>
      <c r="G60" s="248">
        <v>2.46</v>
      </c>
      <c r="H60" s="250">
        <v>3.62</v>
      </c>
      <c r="I60" s="252">
        <f>D60*H60*SFAssumptions!$C$3</f>
        <v>3345.4877256</v>
      </c>
      <c r="J60" s="253">
        <f t="shared" si="9"/>
        <v>799</v>
      </c>
      <c r="K60" s="254">
        <f t="shared" si="9"/>
        <v>3.6</v>
      </c>
      <c r="L60" s="691">
        <f t="shared" si="24"/>
        <v>2.0190999999999999</v>
      </c>
      <c r="M60" s="691">
        <f t="shared" si="25"/>
        <v>4.1079179999999997</v>
      </c>
      <c r="N60" s="255">
        <v>2012</v>
      </c>
      <c r="O60" s="256">
        <f>C60*VLOOKUP(N60,SFAssumptions!$A$42:$B$51,2,FALSE)</f>
        <v>721.54085055780001</v>
      </c>
      <c r="P60" s="254">
        <f ca="1">O60+((SFAssumptions!$C$8-D60)*$AO$35)</f>
        <v>737.77916802165396</v>
      </c>
      <c r="Q60" s="190" t="str">
        <f>IF(OR(L60="",M60=""),"No",IF(AND(E60="Front Load",L60&gt;='Eff. Standards &amp; Certifications'!$B$21,M60&lt;='Eff. Standards &amp; Certifications'!$C$21),"Consider",IF(AND(E60="Top Load",L60&gt;='Eff. Standards &amp; Certifications'!$B$20,M60&lt;='Eff. Standards &amp; Certifications'!$C$20),"Consider","No")))</f>
        <v>Consider</v>
      </c>
      <c r="R60" s="203"/>
      <c r="S60" s="203"/>
      <c r="T60" s="293" t="str">
        <f t="shared" si="16"/>
        <v>YES</v>
      </c>
      <c r="U60" s="293" t="str">
        <f t="shared" si="16"/>
        <v>NO</v>
      </c>
      <c r="V60" s="293" t="str">
        <f t="shared" si="17"/>
        <v>YES</v>
      </c>
      <c r="W60" s="211" t="str">
        <f t="shared" si="12"/>
        <v>YES</v>
      </c>
      <c r="X60" s="211" t="str">
        <f t="shared" si="12"/>
        <v>NO</v>
      </c>
      <c r="Y60" s="211" t="str">
        <f t="shared" si="18"/>
        <v>YES</v>
      </c>
      <c r="Z60" s="211" t="str">
        <f t="shared" si="19"/>
        <v>NO</v>
      </c>
      <c r="AA60" s="211" t="str">
        <f t="shared" si="19"/>
        <v>NO</v>
      </c>
      <c r="AB60" s="293" t="str">
        <f t="shared" si="20"/>
        <v>NO</v>
      </c>
      <c r="AC60" s="211" t="str">
        <f t="shared" si="21"/>
        <v>NO</v>
      </c>
      <c r="AD60" s="211" t="str">
        <f t="shared" si="22"/>
        <v>NO</v>
      </c>
      <c r="AE60" s="211" t="str">
        <f t="shared" si="23"/>
        <v>NO</v>
      </c>
      <c r="AF60" s="206"/>
      <c r="AG60" s="206"/>
      <c r="AH60" s="203">
        <f t="shared" si="13"/>
        <v>2.0190999999999999</v>
      </c>
      <c r="AI60" s="203">
        <f t="shared" si="14"/>
        <v>799</v>
      </c>
      <c r="AJ60" s="203">
        <f t="shared" si="15"/>
        <v>747.21153715134926</v>
      </c>
      <c r="AK60" s="203"/>
      <c r="AL60" s="203"/>
      <c r="AM60" s="203"/>
      <c r="AN60" s="207"/>
    </row>
    <row r="61" spans="1:40" s="204" customFormat="1" ht="15">
      <c r="A61" s="248" t="s">
        <v>888</v>
      </c>
      <c r="B61" s="248" t="s">
        <v>891</v>
      </c>
      <c r="C61" s="249">
        <v>1099</v>
      </c>
      <c r="D61" s="248">
        <v>4.5999999999999996</v>
      </c>
      <c r="E61" s="250" t="str">
        <f>VLOOKUP(B61,'Northwest Retail Cost Data'!$C$5:$F$275,4,FALSE)</f>
        <v>Top Load</v>
      </c>
      <c r="F61" s="251" t="s">
        <v>846</v>
      </c>
      <c r="G61" s="248">
        <v>2.57</v>
      </c>
      <c r="H61" s="250">
        <v>3.88</v>
      </c>
      <c r="I61" s="252">
        <f>D61*H61*SFAssumptions!$C$3</f>
        <v>4581.8189783999997</v>
      </c>
      <c r="J61" s="253">
        <f t="shared" si="9"/>
        <v>1099</v>
      </c>
      <c r="K61" s="254">
        <f t="shared" si="9"/>
        <v>4.5999999999999996</v>
      </c>
      <c r="L61" s="691">
        <f t="shared" si="24"/>
        <v>2.1279999999999997</v>
      </c>
      <c r="M61" s="691">
        <f t="shared" si="25"/>
        <v>4.3650320000000002</v>
      </c>
      <c r="N61" s="255">
        <v>2012</v>
      </c>
      <c r="O61" s="256">
        <f>C61*VLOOKUP(N61,SFAssumptions!$A$42:$B$51,2,FALSE)</f>
        <v>992.45731509764994</v>
      </c>
      <c r="P61" s="254">
        <f ca="1">O61+((SFAssumptions!$C$8-D61)*$AO$35)</f>
        <v>916.95750915746248</v>
      </c>
      <c r="Q61" s="190" t="str">
        <f>IF(OR(L61="",M61=""),"No",IF(AND(E61="Front Load",L61&gt;='Eff. Standards &amp; Certifications'!$B$21,M61&lt;='Eff. Standards &amp; Certifications'!$C$21),"Consider",IF(AND(E61="Top Load",L61&gt;='Eff. Standards &amp; Certifications'!$B$20,M61&lt;='Eff. Standards &amp; Certifications'!$C$20),"Consider","No")))</f>
        <v>Consider</v>
      </c>
      <c r="R61" s="203"/>
      <c r="S61" s="203"/>
      <c r="T61" s="293" t="str">
        <f t="shared" si="16"/>
        <v>YES</v>
      </c>
      <c r="U61" s="293" t="str">
        <f t="shared" si="16"/>
        <v>NO</v>
      </c>
      <c r="V61" s="293" t="str">
        <f t="shared" si="17"/>
        <v>YES</v>
      </c>
      <c r="W61" s="211" t="str">
        <f t="shared" si="12"/>
        <v>YES</v>
      </c>
      <c r="X61" s="211" t="str">
        <f t="shared" si="12"/>
        <v>NO</v>
      </c>
      <c r="Y61" s="211" t="str">
        <f t="shared" si="18"/>
        <v>YES</v>
      </c>
      <c r="Z61" s="211" t="str">
        <f t="shared" si="19"/>
        <v>NO</v>
      </c>
      <c r="AA61" s="211" t="str">
        <f t="shared" si="19"/>
        <v>NO</v>
      </c>
      <c r="AB61" s="293" t="str">
        <f t="shared" si="20"/>
        <v>NO</v>
      </c>
      <c r="AC61" s="211" t="str">
        <f t="shared" si="21"/>
        <v>NO</v>
      </c>
      <c r="AD61" s="211" t="str">
        <f t="shared" si="22"/>
        <v>NO</v>
      </c>
      <c r="AE61" s="211" t="str">
        <f t="shared" si="23"/>
        <v>NO</v>
      </c>
      <c r="AF61" s="206"/>
      <c r="AG61" s="206"/>
      <c r="AH61" s="203">
        <f t="shared" si="13"/>
        <v>2.1279999999999997</v>
      </c>
      <c r="AI61" s="203">
        <f t="shared" si="14"/>
        <v>1099</v>
      </c>
      <c r="AJ61" s="203">
        <f t="shared" si="15"/>
        <v>863.48682353803156</v>
      </c>
      <c r="AK61" s="203"/>
      <c r="AL61" s="203"/>
      <c r="AM61" s="203"/>
      <c r="AN61" s="207"/>
    </row>
    <row r="62" spans="1:40" s="204" customFormat="1" ht="15">
      <c r="A62" s="248" t="s">
        <v>888</v>
      </c>
      <c r="B62" s="248" t="s">
        <v>892</v>
      </c>
      <c r="C62" s="249">
        <v>598</v>
      </c>
      <c r="D62" s="248">
        <v>3.6</v>
      </c>
      <c r="E62" s="250" t="str">
        <f>VLOOKUP(B62,'Northwest Retail Cost Data'!$C$5:$F$275,4,FALSE)</f>
        <v>Top Load</v>
      </c>
      <c r="F62" s="251" t="s">
        <v>846</v>
      </c>
      <c r="G62" s="248">
        <v>2.46</v>
      </c>
      <c r="H62" s="250">
        <v>3.62</v>
      </c>
      <c r="I62" s="252">
        <f>D62*H62*SFAssumptions!$C$3</f>
        <v>3345.4877256</v>
      </c>
      <c r="J62" s="253">
        <f t="shared" si="9"/>
        <v>598</v>
      </c>
      <c r="K62" s="254">
        <f t="shared" si="9"/>
        <v>3.6</v>
      </c>
      <c r="L62" s="691">
        <f t="shared" si="24"/>
        <v>2.0190999999999999</v>
      </c>
      <c r="M62" s="691">
        <f t="shared" si="25"/>
        <v>4.1079179999999997</v>
      </c>
      <c r="N62" s="255">
        <v>2012</v>
      </c>
      <c r="O62" s="256">
        <f>C62*VLOOKUP(N62,SFAssumptions!$A$42:$B$51,2,FALSE)</f>
        <v>540.02681931610061</v>
      </c>
      <c r="P62" s="254">
        <f ca="1">O62+((SFAssumptions!$C$8-D62)*$AO$35)</f>
        <v>556.26513677995456</v>
      </c>
      <c r="Q62" s="190" t="str">
        <f>IF(OR(L62="",M62=""),"No",IF(AND(E62="Front Load",L62&gt;='Eff. Standards &amp; Certifications'!$B$21,M62&lt;='Eff. Standards &amp; Certifications'!$C$21),"Consider",IF(AND(E62="Top Load",L62&gt;='Eff. Standards &amp; Certifications'!$B$20,M62&lt;='Eff. Standards &amp; Certifications'!$C$20),"Consider","No")))</f>
        <v>Consider</v>
      </c>
      <c r="R62" s="203"/>
      <c r="S62" s="203"/>
      <c r="T62" s="293" t="str">
        <f t="shared" si="16"/>
        <v>YES</v>
      </c>
      <c r="U62" s="293" t="str">
        <f t="shared" si="16"/>
        <v>NO</v>
      </c>
      <c r="V62" s="293" t="str">
        <f t="shared" si="17"/>
        <v>YES</v>
      </c>
      <c r="W62" s="211" t="str">
        <f t="shared" si="12"/>
        <v>YES</v>
      </c>
      <c r="X62" s="211" t="str">
        <f t="shared" si="12"/>
        <v>NO</v>
      </c>
      <c r="Y62" s="211" t="str">
        <f t="shared" si="18"/>
        <v>YES</v>
      </c>
      <c r="Z62" s="211" t="str">
        <f t="shared" si="19"/>
        <v>NO</v>
      </c>
      <c r="AA62" s="211" t="str">
        <f t="shared" si="19"/>
        <v>NO</v>
      </c>
      <c r="AB62" s="293" t="str">
        <f t="shared" si="20"/>
        <v>NO</v>
      </c>
      <c r="AC62" s="211" t="str">
        <f t="shared" si="21"/>
        <v>NO</v>
      </c>
      <c r="AD62" s="211" t="str">
        <f t="shared" si="22"/>
        <v>NO</v>
      </c>
      <c r="AE62" s="211" t="str">
        <f t="shared" si="23"/>
        <v>NO</v>
      </c>
      <c r="AF62" s="206"/>
      <c r="AG62" s="206"/>
      <c r="AH62" s="203">
        <f t="shared" si="13"/>
        <v>2.0190999999999999</v>
      </c>
      <c r="AI62" s="203">
        <f t="shared" si="14"/>
        <v>598</v>
      </c>
      <c r="AJ62" s="203">
        <f t="shared" si="15"/>
        <v>747.21153715134926</v>
      </c>
      <c r="AK62" s="203"/>
      <c r="AL62" s="203"/>
      <c r="AM62" s="203"/>
      <c r="AN62" s="207"/>
    </row>
    <row r="63" spans="1:40" s="204" customFormat="1" ht="15">
      <c r="A63" s="248" t="s">
        <v>888</v>
      </c>
      <c r="B63" s="248" t="s">
        <v>893</v>
      </c>
      <c r="C63" s="249">
        <v>899</v>
      </c>
      <c r="D63" s="248">
        <v>4.5999999999999996</v>
      </c>
      <c r="E63" s="250" t="str">
        <f>VLOOKUP(B63,'Northwest Retail Cost Data'!$C$5:$F$275,4,FALSE)</f>
        <v>Top Load</v>
      </c>
      <c r="F63" s="251" t="s">
        <v>846</v>
      </c>
      <c r="G63" s="248">
        <v>2.61</v>
      </c>
      <c r="H63" s="250">
        <v>3.69</v>
      </c>
      <c r="I63" s="252">
        <f>D63*H63*SFAssumptions!$C$3</f>
        <v>4357.4515541999999</v>
      </c>
      <c r="J63" s="253">
        <f t="shared" si="9"/>
        <v>899</v>
      </c>
      <c r="K63" s="254">
        <f t="shared" si="9"/>
        <v>4.5999999999999996</v>
      </c>
      <c r="L63" s="691">
        <f t="shared" si="24"/>
        <v>2.1675999999999997</v>
      </c>
      <c r="M63" s="691">
        <f t="shared" si="25"/>
        <v>4.1771409999999998</v>
      </c>
      <c r="N63" s="255">
        <v>2012</v>
      </c>
      <c r="O63" s="256">
        <f>C63*VLOOKUP(N63,SFAssumptions!$A$42:$B$51,2,FALSE)</f>
        <v>811.84633873774999</v>
      </c>
      <c r="P63" s="254">
        <f ca="1">O63+((SFAssumptions!$C$8-D63)*$AO$35)</f>
        <v>736.34653279756253</v>
      </c>
      <c r="Q63" s="190" t="str">
        <f>IF(OR(L63="",M63=""),"No",IF(AND(E63="Front Load",L63&gt;='Eff. Standards &amp; Certifications'!$B$21,M63&lt;='Eff. Standards &amp; Certifications'!$C$21),"Consider",IF(AND(E63="Top Load",L63&gt;='Eff. Standards &amp; Certifications'!$B$20,M63&lt;='Eff. Standards &amp; Certifications'!$C$20),"Consider","No")))</f>
        <v>Consider</v>
      </c>
      <c r="R63" s="203"/>
      <c r="S63" s="203"/>
      <c r="T63" s="293" t="str">
        <f t="shared" si="16"/>
        <v>YES</v>
      </c>
      <c r="U63" s="293" t="str">
        <f t="shared" si="16"/>
        <v>NO</v>
      </c>
      <c r="V63" s="293" t="str">
        <f t="shared" si="17"/>
        <v>YES</v>
      </c>
      <c r="W63" s="211" t="str">
        <f t="shared" si="12"/>
        <v>NO</v>
      </c>
      <c r="X63" s="211" t="str">
        <f t="shared" si="12"/>
        <v>NO</v>
      </c>
      <c r="Y63" s="211" t="str">
        <f t="shared" si="18"/>
        <v>NO</v>
      </c>
      <c r="Z63" s="211" t="str">
        <f t="shared" si="19"/>
        <v>YES</v>
      </c>
      <c r="AA63" s="211" t="str">
        <f t="shared" si="19"/>
        <v>NO</v>
      </c>
      <c r="AB63" s="293" t="str">
        <f t="shared" si="20"/>
        <v>YES</v>
      </c>
      <c r="AC63" s="211" t="str">
        <f t="shared" si="21"/>
        <v>NO</v>
      </c>
      <c r="AD63" s="211" t="str">
        <f t="shared" si="22"/>
        <v>NO</v>
      </c>
      <c r="AE63" s="211" t="str">
        <f t="shared" si="23"/>
        <v>NO</v>
      </c>
      <c r="AF63" s="206"/>
      <c r="AG63" s="206"/>
      <c r="AH63" s="203">
        <f t="shared" si="13"/>
        <v>2.1675999999999997</v>
      </c>
      <c r="AI63" s="203">
        <f t="shared" si="14"/>
        <v>899</v>
      </c>
      <c r="AJ63" s="203">
        <f t="shared" si="15"/>
        <v>874.35951001230455</v>
      </c>
      <c r="AK63" s="203"/>
      <c r="AL63" s="203"/>
      <c r="AM63" s="203"/>
      <c r="AN63" s="207"/>
    </row>
    <row r="64" spans="1:40" s="204" customFormat="1" ht="15">
      <c r="A64" s="248" t="s">
        <v>888</v>
      </c>
      <c r="B64" s="248" t="s">
        <v>894</v>
      </c>
      <c r="C64" s="249">
        <v>699</v>
      </c>
      <c r="D64" s="248">
        <v>3.6</v>
      </c>
      <c r="E64" s="250" t="str">
        <f>VLOOKUP(B64,'Northwest Retail Cost Data'!$C$5:$F$275,4,FALSE)</f>
        <v>Top Load</v>
      </c>
      <c r="F64" s="251" t="s">
        <v>846</v>
      </c>
      <c r="G64" s="248">
        <v>2.46</v>
      </c>
      <c r="H64" s="250">
        <v>3.62</v>
      </c>
      <c r="I64" s="252">
        <f>D64*H64*SFAssumptions!$C$3</f>
        <v>3345.4877256</v>
      </c>
      <c r="J64" s="253">
        <f t="shared" si="9"/>
        <v>699</v>
      </c>
      <c r="K64" s="254">
        <f t="shared" si="9"/>
        <v>3.6</v>
      </c>
      <c r="L64" s="691">
        <f t="shared" si="24"/>
        <v>2.0190999999999999</v>
      </c>
      <c r="M64" s="691">
        <f t="shared" si="25"/>
        <v>4.1079179999999997</v>
      </c>
      <c r="N64" s="255">
        <v>2012</v>
      </c>
      <c r="O64" s="256">
        <f>C64*VLOOKUP(N64,SFAssumptions!$A$42:$B$51,2,FALSE)</f>
        <v>631.23536237785015</v>
      </c>
      <c r="P64" s="254">
        <f ca="1">O64+((SFAssumptions!$C$8-D64)*$AO$35)</f>
        <v>647.4736798417041</v>
      </c>
      <c r="Q64" s="190" t="str">
        <f>IF(OR(L64="",M64=""),"No",IF(AND(E64="Front Load",L64&gt;='Eff. Standards &amp; Certifications'!$B$21,M64&lt;='Eff. Standards &amp; Certifications'!$C$21),"Consider",IF(AND(E64="Top Load",L64&gt;='Eff. Standards &amp; Certifications'!$B$20,M64&lt;='Eff. Standards &amp; Certifications'!$C$20),"Consider","No")))</f>
        <v>Consider</v>
      </c>
      <c r="R64" s="203"/>
      <c r="S64" s="203"/>
      <c r="T64" s="293" t="str">
        <f t="shared" si="16"/>
        <v>YES</v>
      </c>
      <c r="U64" s="293" t="str">
        <f t="shared" si="16"/>
        <v>NO</v>
      </c>
      <c r="V64" s="293" t="str">
        <f t="shared" si="17"/>
        <v>YES</v>
      </c>
      <c r="W64" s="211" t="str">
        <f t="shared" si="12"/>
        <v>YES</v>
      </c>
      <c r="X64" s="211" t="str">
        <f t="shared" si="12"/>
        <v>NO</v>
      </c>
      <c r="Y64" s="211" t="str">
        <f t="shared" si="18"/>
        <v>YES</v>
      </c>
      <c r="Z64" s="211" t="str">
        <f t="shared" si="19"/>
        <v>NO</v>
      </c>
      <c r="AA64" s="211" t="str">
        <f t="shared" si="19"/>
        <v>NO</v>
      </c>
      <c r="AB64" s="293" t="str">
        <f t="shared" si="20"/>
        <v>NO</v>
      </c>
      <c r="AC64" s="211" t="str">
        <f t="shared" si="21"/>
        <v>NO</v>
      </c>
      <c r="AD64" s="211" t="str">
        <f t="shared" si="22"/>
        <v>NO</v>
      </c>
      <c r="AE64" s="211" t="str">
        <f t="shared" si="23"/>
        <v>NO</v>
      </c>
      <c r="AF64" s="206"/>
      <c r="AG64" s="206"/>
      <c r="AH64" s="203">
        <f t="shared" si="13"/>
        <v>2.0190999999999999</v>
      </c>
      <c r="AI64" s="203">
        <f t="shared" si="14"/>
        <v>699</v>
      </c>
      <c r="AJ64" s="203">
        <f t="shared" si="15"/>
        <v>747.21153715134926</v>
      </c>
      <c r="AK64" s="203"/>
      <c r="AL64" s="203"/>
      <c r="AM64" s="203"/>
      <c r="AN64" s="207"/>
    </row>
    <row r="65" spans="1:40" s="204" customFormat="1" ht="15">
      <c r="A65" s="248" t="s">
        <v>895</v>
      </c>
      <c r="B65" s="248" t="s">
        <v>896</v>
      </c>
      <c r="C65" s="249">
        <v>549</v>
      </c>
      <c r="D65" s="248">
        <v>3.4</v>
      </c>
      <c r="E65" s="250" t="str">
        <f>VLOOKUP(B65,'Northwest Retail Cost Data'!$C$5:$F$275,4,FALSE)</f>
        <v>Top Load</v>
      </c>
      <c r="F65" s="251" t="s">
        <v>846</v>
      </c>
      <c r="G65" s="248">
        <v>2.02</v>
      </c>
      <c r="H65" s="250">
        <v>5.89</v>
      </c>
      <c r="I65" s="252">
        <f>D65*H65*SFAssumptions!$C$3</f>
        <v>5140.9405458000001</v>
      </c>
      <c r="J65" s="253">
        <f t="shared" si="9"/>
        <v>549</v>
      </c>
      <c r="K65" s="254">
        <f t="shared" si="9"/>
        <v>3.4</v>
      </c>
      <c r="L65" s="691">
        <f t="shared" si="24"/>
        <v>1.5834999999999999</v>
      </c>
      <c r="M65" s="691">
        <f t="shared" si="25"/>
        <v>6.3527209999999998</v>
      </c>
      <c r="N65" s="255">
        <v>2012</v>
      </c>
      <c r="O65" s="256">
        <f>C65*VLOOKUP(N65,SFAssumptions!$A$42:$B$51,2,FALSE)</f>
        <v>495.77713010792519</v>
      </c>
      <c r="P65" s="254">
        <f ca="1">O65+((SFAssumptions!$C$8-D65)*$AO$35)</f>
        <v>530.36307225258736</v>
      </c>
      <c r="Q65" s="190" t="str">
        <f>IF(OR(L65="",M65=""),"No",IF(AND(E65="Front Load",L65&gt;='Eff. Standards &amp; Certifications'!$B$21,M65&lt;='Eff. Standards &amp; Certifications'!$C$21),"Consider",IF(AND(E65="Top Load",L65&gt;='Eff. Standards &amp; Certifications'!$B$20,M65&lt;='Eff. Standards &amp; Certifications'!$C$20),"Consider","No")))</f>
        <v>Consider</v>
      </c>
      <c r="R65" s="203"/>
      <c r="S65" s="203"/>
      <c r="T65" s="293" t="str">
        <f t="shared" si="16"/>
        <v>YES</v>
      </c>
      <c r="U65" s="293" t="str">
        <f t="shared" si="16"/>
        <v>NO</v>
      </c>
      <c r="V65" s="293" t="str">
        <f t="shared" si="17"/>
        <v>YES</v>
      </c>
      <c r="W65" s="211" t="str">
        <f t="shared" si="12"/>
        <v>YES</v>
      </c>
      <c r="X65" s="211" t="str">
        <f t="shared" si="12"/>
        <v>NO</v>
      </c>
      <c r="Y65" s="211" t="str">
        <f t="shared" si="18"/>
        <v>YES</v>
      </c>
      <c r="Z65" s="211" t="str">
        <f t="shared" si="19"/>
        <v>NO</v>
      </c>
      <c r="AA65" s="211" t="str">
        <f t="shared" si="19"/>
        <v>NO</v>
      </c>
      <c r="AB65" s="293" t="str">
        <f t="shared" si="20"/>
        <v>NO</v>
      </c>
      <c r="AC65" s="211" t="str">
        <f t="shared" si="21"/>
        <v>NO</v>
      </c>
      <c r="AD65" s="211" t="str">
        <f t="shared" si="22"/>
        <v>NO</v>
      </c>
      <c r="AE65" s="211" t="str">
        <f t="shared" si="23"/>
        <v>NO</v>
      </c>
      <c r="AF65" s="206"/>
      <c r="AG65" s="206"/>
      <c r="AH65" s="203">
        <f t="shared" si="13"/>
        <v>1.5834999999999999</v>
      </c>
      <c r="AI65" s="203">
        <f t="shared" si="14"/>
        <v>549</v>
      </c>
      <c r="AJ65" s="203">
        <f t="shared" si="15"/>
        <v>608.03076321150559</v>
      </c>
      <c r="AK65" s="203"/>
      <c r="AL65" s="203"/>
      <c r="AM65" s="203"/>
      <c r="AN65" s="207"/>
    </row>
    <row r="66" spans="1:40" s="204" customFormat="1" ht="15">
      <c r="A66" s="248" t="s">
        <v>895</v>
      </c>
      <c r="B66" s="248" t="s">
        <v>897</v>
      </c>
      <c r="C66" s="249">
        <v>649</v>
      </c>
      <c r="D66" s="248">
        <v>3.6</v>
      </c>
      <c r="E66" s="250" t="str">
        <f>VLOOKUP(B66,'Northwest Retail Cost Data'!$C$5:$F$275,4,FALSE)</f>
        <v>Top Load</v>
      </c>
      <c r="F66" s="251" t="s">
        <v>846</v>
      </c>
      <c r="G66" s="248">
        <v>2.48</v>
      </c>
      <c r="H66" s="250">
        <v>3.64</v>
      </c>
      <c r="I66" s="252">
        <f>D66*H66*SFAssumptions!$C$3</f>
        <v>3363.9710832000005</v>
      </c>
      <c r="J66" s="253">
        <f t="shared" si="9"/>
        <v>649</v>
      </c>
      <c r="K66" s="254">
        <f t="shared" si="9"/>
        <v>3.6</v>
      </c>
      <c r="L66" s="691">
        <f t="shared" si="24"/>
        <v>2.0388999999999999</v>
      </c>
      <c r="M66" s="691">
        <f t="shared" si="25"/>
        <v>4.1276960000000003</v>
      </c>
      <c r="N66" s="255">
        <v>2012</v>
      </c>
      <c r="O66" s="256">
        <f>C66*VLOOKUP(N66,SFAssumptions!$A$42:$B$51,2,FALSE)</f>
        <v>586.08261828787511</v>
      </c>
      <c r="P66" s="254">
        <f ca="1">O66+((SFAssumptions!$C$8-D66)*$AO$35)</f>
        <v>602.32093575172905</v>
      </c>
      <c r="Q66" s="190" t="str">
        <f>IF(OR(L66="",M66=""),"No",IF(AND(E66="Front Load",L66&gt;='Eff. Standards &amp; Certifications'!$B$21,M66&lt;='Eff. Standards &amp; Certifications'!$C$21),"Consider",IF(AND(E66="Top Load",L66&gt;='Eff. Standards &amp; Certifications'!$B$20,M66&lt;='Eff. Standards &amp; Certifications'!$C$20),"Consider","No")))</f>
        <v>Consider</v>
      </c>
      <c r="R66" s="203"/>
      <c r="S66" s="203"/>
      <c r="T66" s="293" t="str">
        <f t="shared" si="16"/>
        <v>YES</v>
      </c>
      <c r="U66" s="293" t="str">
        <f t="shared" si="16"/>
        <v>NO</v>
      </c>
      <c r="V66" s="293" t="str">
        <f t="shared" si="17"/>
        <v>YES</v>
      </c>
      <c r="W66" s="211" t="str">
        <f t="shared" si="12"/>
        <v>YES</v>
      </c>
      <c r="X66" s="211" t="str">
        <f t="shared" si="12"/>
        <v>NO</v>
      </c>
      <c r="Y66" s="211" t="str">
        <f t="shared" si="18"/>
        <v>YES</v>
      </c>
      <c r="Z66" s="211" t="str">
        <f t="shared" si="19"/>
        <v>NO</v>
      </c>
      <c r="AA66" s="211" t="str">
        <f t="shared" si="19"/>
        <v>NO</v>
      </c>
      <c r="AB66" s="293" t="str">
        <f t="shared" si="20"/>
        <v>NO</v>
      </c>
      <c r="AC66" s="211" t="str">
        <f t="shared" si="21"/>
        <v>NO</v>
      </c>
      <c r="AD66" s="211" t="str">
        <f t="shared" si="22"/>
        <v>NO</v>
      </c>
      <c r="AE66" s="211" t="str">
        <f t="shared" si="23"/>
        <v>NO</v>
      </c>
      <c r="AF66" s="206"/>
      <c r="AG66" s="206"/>
      <c r="AH66" s="203">
        <f t="shared" si="13"/>
        <v>2.0388999999999999</v>
      </c>
      <c r="AI66" s="203">
        <f t="shared" si="14"/>
        <v>649</v>
      </c>
      <c r="AJ66" s="203">
        <f t="shared" si="15"/>
        <v>751.85974830607665</v>
      </c>
      <c r="AK66" s="203"/>
      <c r="AL66" s="203"/>
      <c r="AM66" s="203"/>
      <c r="AN66" s="207"/>
    </row>
    <row r="67" spans="1:40" s="204" customFormat="1" ht="15">
      <c r="A67" s="248" t="s">
        <v>895</v>
      </c>
      <c r="B67" s="248" t="s">
        <v>898</v>
      </c>
      <c r="C67" s="249">
        <v>498</v>
      </c>
      <c r="D67" s="248">
        <v>3.4</v>
      </c>
      <c r="E67" s="250" t="str">
        <f>VLOOKUP(B67,'Northwest Retail Cost Data'!$C$5:$F$275,4,FALSE)</f>
        <v>Top Load</v>
      </c>
      <c r="F67" s="251" t="s">
        <v>846</v>
      </c>
      <c r="G67" s="248">
        <v>2.024</v>
      </c>
      <c r="H67" s="250">
        <v>5.8959999999999999</v>
      </c>
      <c r="I67" s="252">
        <f>D67*H67*SFAssumptions!$C$3</f>
        <v>5146.1774971199993</v>
      </c>
      <c r="J67" s="253">
        <f t="shared" si="9"/>
        <v>498</v>
      </c>
      <c r="K67" s="254">
        <f t="shared" si="9"/>
        <v>3.4</v>
      </c>
      <c r="L67" s="691">
        <f t="shared" si="24"/>
        <v>1.5874600000000001</v>
      </c>
      <c r="M67" s="691">
        <f t="shared" si="25"/>
        <v>6.3586543999999998</v>
      </c>
      <c r="N67" s="255">
        <v>2012</v>
      </c>
      <c r="O67" s="256">
        <f>C67*VLOOKUP(N67,SFAssumptions!$A$42:$B$51,2,FALSE)</f>
        <v>449.7213311361507</v>
      </c>
      <c r="P67" s="254">
        <f ca="1">O67+((SFAssumptions!$C$8-D67)*$AO$35)</f>
        <v>484.30727328081286</v>
      </c>
      <c r="Q67" s="190" t="str">
        <f>IF(OR(L67="",M67=""),"No",IF(AND(E67="Front Load",L67&gt;='Eff. Standards &amp; Certifications'!$B$21,M67&lt;='Eff. Standards &amp; Certifications'!$C$21),"Consider",IF(AND(E67="Top Load",L67&gt;='Eff. Standards &amp; Certifications'!$B$20,M67&lt;='Eff. Standards &amp; Certifications'!$C$20),"Consider","No")))</f>
        <v>Consider</v>
      </c>
      <c r="R67" s="203"/>
      <c r="S67" s="203"/>
      <c r="T67" s="293" t="str">
        <f t="shared" si="16"/>
        <v>YES</v>
      </c>
      <c r="U67" s="293" t="str">
        <f t="shared" si="16"/>
        <v>NO</v>
      </c>
      <c r="V67" s="293" t="str">
        <f t="shared" si="17"/>
        <v>YES</v>
      </c>
      <c r="W67" s="211" t="str">
        <f t="shared" si="12"/>
        <v>YES</v>
      </c>
      <c r="X67" s="211" t="str">
        <f t="shared" si="12"/>
        <v>NO</v>
      </c>
      <c r="Y67" s="211" t="str">
        <f t="shared" si="18"/>
        <v>YES</v>
      </c>
      <c r="Z67" s="211" t="str">
        <f t="shared" si="19"/>
        <v>NO</v>
      </c>
      <c r="AA67" s="211" t="str">
        <f t="shared" si="19"/>
        <v>NO</v>
      </c>
      <c r="AB67" s="293" t="str">
        <f t="shared" si="20"/>
        <v>NO</v>
      </c>
      <c r="AC67" s="211" t="str">
        <f t="shared" si="21"/>
        <v>NO</v>
      </c>
      <c r="AD67" s="211" t="str">
        <f t="shared" si="22"/>
        <v>NO</v>
      </c>
      <c r="AE67" s="211" t="str">
        <f t="shared" si="23"/>
        <v>NO</v>
      </c>
      <c r="AF67" s="206"/>
      <c r="AG67" s="206"/>
      <c r="AH67" s="203">
        <f t="shared" si="13"/>
        <v>1.5874600000000001</v>
      </c>
      <c r="AI67" s="203">
        <f t="shared" si="14"/>
        <v>498</v>
      </c>
      <c r="AJ67" s="203">
        <f t="shared" si="15"/>
        <v>608.94669879753951</v>
      </c>
      <c r="AK67" s="203"/>
      <c r="AL67" s="203"/>
      <c r="AM67" s="203"/>
      <c r="AN67" s="207"/>
    </row>
    <row r="68" spans="1:40" s="204" customFormat="1" ht="15">
      <c r="A68" s="248" t="s">
        <v>899</v>
      </c>
      <c r="B68" s="248" t="s">
        <v>900</v>
      </c>
      <c r="C68" s="249">
        <v>1299</v>
      </c>
      <c r="D68" s="250">
        <v>4.3</v>
      </c>
      <c r="E68" s="250" t="str">
        <f>VLOOKUP(B68,'Northwest Retail Cost Data'!$C$5:$F$275,4,FALSE)</f>
        <v>Front Load</v>
      </c>
      <c r="F68" s="251" t="s">
        <v>846</v>
      </c>
      <c r="G68" s="248">
        <v>3</v>
      </c>
      <c r="H68" s="250">
        <v>2.68</v>
      </c>
      <c r="I68" s="252">
        <f>D68*H68*SFAssumptions!$C$3</f>
        <v>2958.3640692000004</v>
      </c>
      <c r="J68" s="253">
        <f t="shared" si="9"/>
        <v>1299</v>
      </c>
      <c r="K68" s="254">
        <f t="shared" si="9"/>
        <v>4.3</v>
      </c>
      <c r="L68" s="691">
        <f t="shared" si="24"/>
        <v>2.5701999999999998</v>
      </c>
      <c r="M68" s="691">
        <f t="shared" si="25"/>
        <v>2.8620559999999999</v>
      </c>
      <c r="N68" s="255">
        <v>2012</v>
      </c>
      <c r="O68" s="256">
        <f>C68*VLOOKUP(N68,SFAssumptions!$A$42:$B$51,2,FALSE)</f>
        <v>1173.0682914575498</v>
      </c>
      <c r="P68" s="254">
        <f ca="1">O68+((SFAssumptions!$C$8-D68)*$AO$35)</f>
        <v>1125.0899225385747</v>
      </c>
      <c r="Q68" s="190" t="str">
        <f>IF(OR(L68="",M68=""),"No",IF(AND(E68="Front Load",L68&gt;='Eff. Standards &amp; Certifications'!$B$21,M68&lt;='Eff. Standards &amp; Certifications'!$C$21),"Consider",IF(AND(E68="Top Load",L68&gt;='Eff. Standards &amp; Certifications'!$B$20,M68&lt;='Eff. Standards &amp; Certifications'!$C$20),"Consider","No")))</f>
        <v>Consider</v>
      </c>
      <c r="R68" s="203"/>
      <c r="S68" s="203"/>
      <c r="T68" s="293" t="str">
        <f t="shared" si="16"/>
        <v>NO</v>
      </c>
      <c r="U68" s="293" t="str">
        <f t="shared" si="16"/>
        <v>YES</v>
      </c>
      <c r="V68" s="293" t="str">
        <f t="shared" si="17"/>
        <v>YES</v>
      </c>
      <c r="W68" s="211" t="str">
        <f t="shared" si="12"/>
        <v>NO</v>
      </c>
      <c r="X68" s="211" t="str">
        <f t="shared" si="12"/>
        <v>NO</v>
      </c>
      <c r="Y68" s="211" t="str">
        <f t="shared" si="18"/>
        <v>NO</v>
      </c>
      <c r="Z68" s="211" t="str">
        <f t="shared" si="19"/>
        <v>NO</v>
      </c>
      <c r="AA68" s="211" t="str">
        <f t="shared" si="19"/>
        <v>YES</v>
      </c>
      <c r="AB68" s="293" t="str">
        <f t="shared" si="20"/>
        <v>YES</v>
      </c>
      <c r="AC68" s="211" t="str">
        <f t="shared" si="21"/>
        <v>YES</v>
      </c>
      <c r="AD68" s="211" t="str">
        <f t="shared" si="22"/>
        <v>NO</v>
      </c>
      <c r="AE68" s="211" t="str">
        <f t="shared" si="23"/>
        <v>NO</v>
      </c>
      <c r="AF68" s="206"/>
      <c r="AG68" s="206"/>
      <c r="AH68" s="203">
        <f t="shared" si="13"/>
        <v>2.5701999999999998</v>
      </c>
      <c r="AI68" s="203">
        <f t="shared" si="14"/>
        <v>1299</v>
      </c>
      <c r="AJ68" s="203">
        <f t="shared" si="15"/>
        <v>953.25258307094191</v>
      </c>
      <c r="AK68" s="203"/>
      <c r="AL68" s="203"/>
      <c r="AM68" s="203"/>
      <c r="AN68" s="207"/>
    </row>
    <row r="69" spans="1:40" s="204" customFormat="1" ht="15">
      <c r="A69" s="248" t="s">
        <v>899</v>
      </c>
      <c r="B69" s="248" t="s">
        <v>901</v>
      </c>
      <c r="C69" s="249">
        <v>1299</v>
      </c>
      <c r="D69" s="250">
        <v>4.3</v>
      </c>
      <c r="E69" s="250" t="str">
        <f>VLOOKUP(B69,'Northwest Retail Cost Data'!$C$5:$F$275,4,FALSE)</f>
        <v>Front Load</v>
      </c>
      <c r="F69" s="251" t="s">
        <v>846</v>
      </c>
      <c r="G69" s="248">
        <v>3</v>
      </c>
      <c r="H69" s="250">
        <v>2.78</v>
      </c>
      <c r="I69" s="252">
        <f>D69*H69*SFAssumptions!$C$3</f>
        <v>3068.7507881999995</v>
      </c>
      <c r="J69" s="253">
        <f t="shared" si="9"/>
        <v>1299</v>
      </c>
      <c r="K69" s="254">
        <f t="shared" si="9"/>
        <v>4.3</v>
      </c>
      <c r="L69" s="691">
        <f t="shared" si="24"/>
        <v>2.5701999999999998</v>
      </c>
      <c r="M69" s="691">
        <f t="shared" si="25"/>
        <v>2.9644759999999999</v>
      </c>
      <c r="N69" s="255">
        <v>2012</v>
      </c>
      <c r="O69" s="256">
        <f>C69*VLOOKUP(N69,SFAssumptions!$A$42:$B$51,2,FALSE)</f>
        <v>1173.0682914575498</v>
      </c>
      <c r="P69" s="254">
        <f ca="1">O69+((SFAssumptions!$C$8-D69)*$AO$35)</f>
        <v>1125.0899225385747</v>
      </c>
      <c r="Q69" s="190" t="str">
        <f>IF(OR(L69="",M69=""),"No",IF(AND(E69="Front Load",L69&gt;='Eff. Standards &amp; Certifications'!$B$21,M69&lt;='Eff. Standards &amp; Certifications'!$C$21),"Consider",IF(AND(E69="Top Load",L69&gt;='Eff. Standards &amp; Certifications'!$B$20,M69&lt;='Eff. Standards &amp; Certifications'!$C$20),"Consider","No")))</f>
        <v>Consider</v>
      </c>
      <c r="R69" s="203"/>
      <c r="S69" s="203"/>
      <c r="T69" s="293" t="str">
        <f t="shared" si="16"/>
        <v>NO</v>
      </c>
      <c r="U69" s="293" t="str">
        <f t="shared" si="16"/>
        <v>YES</v>
      </c>
      <c r="V69" s="293" t="str">
        <f t="shared" si="17"/>
        <v>YES</v>
      </c>
      <c r="W69" s="211" t="str">
        <f t="shared" si="12"/>
        <v>NO</v>
      </c>
      <c r="X69" s="211" t="str">
        <f t="shared" si="12"/>
        <v>NO</v>
      </c>
      <c r="Y69" s="211" t="str">
        <f t="shared" si="18"/>
        <v>NO</v>
      </c>
      <c r="Z69" s="211" t="str">
        <f t="shared" si="19"/>
        <v>NO</v>
      </c>
      <c r="AA69" s="211" t="str">
        <f t="shared" si="19"/>
        <v>YES</v>
      </c>
      <c r="AB69" s="293" t="str">
        <f t="shared" si="20"/>
        <v>YES</v>
      </c>
      <c r="AC69" s="211" t="str">
        <f t="shared" si="21"/>
        <v>YES</v>
      </c>
      <c r="AD69" s="211" t="str">
        <f t="shared" si="22"/>
        <v>NO</v>
      </c>
      <c r="AE69" s="211" t="str">
        <f t="shared" si="23"/>
        <v>NO</v>
      </c>
      <c r="AF69" s="206"/>
      <c r="AG69" s="206"/>
      <c r="AH69" s="203">
        <f t="shared" si="13"/>
        <v>2.5701999999999998</v>
      </c>
      <c r="AI69" s="203">
        <f t="shared" si="14"/>
        <v>1299</v>
      </c>
      <c r="AJ69" s="203">
        <f t="shared" si="15"/>
        <v>952.54278704918431</v>
      </c>
      <c r="AK69" s="203"/>
      <c r="AL69" s="203"/>
      <c r="AM69" s="203"/>
      <c r="AN69" s="207"/>
    </row>
    <row r="70" spans="1:40" s="204" customFormat="1" ht="15">
      <c r="A70" s="248" t="s">
        <v>899</v>
      </c>
      <c r="B70" s="248" t="s">
        <v>902</v>
      </c>
      <c r="C70" s="249">
        <v>1499</v>
      </c>
      <c r="D70" s="250">
        <v>4.3</v>
      </c>
      <c r="E70" s="250" t="str">
        <f>VLOOKUP(B70,'Northwest Retail Cost Data'!$C$5:$F$275,4,FALSE)</f>
        <v>Front Load</v>
      </c>
      <c r="F70" s="251" t="s">
        <v>846</v>
      </c>
      <c r="G70" s="248">
        <v>3</v>
      </c>
      <c r="H70" s="250">
        <v>2.72</v>
      </c>
      <c r="I70" s="252">
        <f>D70*H70*SFAssumptions!$C$3</f>
        <v>3002.5187568000001</v>
      </c>
      <c r="J70" s="253">
        <f t="shared" si="9"/>
        <v>1499</v>
      </c>
      <c r="K70" s="254">
        <f t="shared" si="9"/>
        <v>4.3</v>
      </c>
      <c r="L70" s="691">
        <f t="shared" si="24"/>
        <v>2.5701999999999998</v>
      </c>
      <c r="M70" s="691">
        <f t="shared" si="25"/>
        <v>2.9030240000000003</v>
      </c>
      <c r="N70" s="255">
        <v>2012</v>
      </c>
      <c r="O70" s="256">
        <f>C70*VLOOKUP(N70,SFAssumptions!$A$42:$B$51,2,FALSE)</f>
        <v>1353.6792678174497</v>
      </c>
      <c r="P70" s="254">
        <f ca="1">O70+((SFAssumptions!$C$8-D70)*$AO$35)</f>
        <v>1305.7008988984746</v>
      </c>
      <c r="Q70" s="190" t="str">
        <f>IF(OR(L70="",M70=""),"No",IF(AND(E70="Front Load",L70&gt;='Eff. Standards &amp; Certifications'!$B$21,M70&lt;='Eff. Standards &amp; Certifications'!$C$21),"Consider",IF(AND(E70="Top Load",L70&gt;='Eff. Standards &amp; Certifications'!$B$20,M70&lt;='Eff. Standards &amp; Certifications'!$C$20),"Consider","No")))</f>
        <v>Consider</v>
      </c>
      <c r="R70" s="203"/>
      <c r="S70" s="203"/>
      <c r="T70" s="293" t="str">
        <f t="shared" si="16"/>
        <v>NO</v>
      </c>
      <c r="U70" s="293" t="str">
        <f t="shared" si="16"/>
        <v>YES</v>
      </c>
      <c r="V70" s="293" t="str">
        <f t="shared" si="17"/>
        <v>YES</v>
      </c>
      <c r="W70" s="211" t="str">
        <f t="shared" si="12"/>
        <v>NO</v>
      </c>
      <c r="X70" s="211" t="str">
        <f t="shared" si="12"/>
        <v>NO</v>
      </c>
      <c r="Y70" s="211" t="str">
        <f t="shared" si="18"/>
        <v>NO</v>
      </c>
      <c r="Z70" s="211" t="str">
        <f t="shared" si="19"/>
        <v>NO</v>
      </c>
      <c r="AA70" s="211" t="str">
        <f t="shared" si="19"/>
        <v>YES</v>
      </c>
      <c r="AB70" s="293" t="str">
        <f t="shared" si="20"/>
        <v>YES</v>
      </c>
      <c r="AC70" s="211" t="str">
        <f t="shared" si="21"/>
        <v>YES</v>
      </c>
      <c r="AD70" s="211" t="str">
        <f t="shared" si="22"/>
        <v>NO</v>
      </c>
      <c r="AE70" s="211" t="str">
        <f t="shared" si="23"/>
        <v>NO</v>
      </c>
      <c r="AF70" s="206"/>
      <c r="AG70" s="206"/>
      <c r="AH70" s="203">
        <f t="shared" si="13"/>
        <v>2.5701999999999998</v>
      </c>
      <c r="AI70" s="203">
        <f t="shared" si="14"/>
        <v>1499</v>
      </c>
      <c r="AJ70" s="203">
        <f t="shared" si="15"/>
        <v>952.96866466223889</v>
      </c>
      <c r="AK70" s="203"/>
      <c r="AL70" s="203"/>
      <c r="AM70" s="203"/>
      <c r="AN70" s="207"/>
    </row>
    <row r="71" spans="1:40" s="204" customFormat="1" ht="15">
      <c r="A71" s="248" t="s">
        <v>903</v>
      </c>
      <c r="B71" s="248" t="s">
        <v>904</v>
      </c>
      <c r="C71" s="249">
        <v>899</v>
      </c>
      <c r="D71" s="250">
        <v>3.5</v>
      </c>
      <c r="E71" s="250" t="str">
        <f>VLOOKUP(B71,'Northwest Retail Cost Data'!$C$5:$F$275,4,FALSE)</f>
        <v>Front Load</v>
      </c>
      <c r="F71" s="251" t="s">
        <v>846</v>
      </c>
      <c r="G71" s="248">
        <v>2.46</v>
      </c>
      <c r="H71" s="250">
        <v>3.69</v>
      </c>
      <c r="I71" s="252">
        <f>D71*H71*SFAssumptions!$C$3</f>
        <v>3315.4522695000001</v>
      </c>
      <c r="J71" s="253">
        <f t="shared" si="9"/>
        <v>899</v>
      </c>
      <c r="K71" s="254">
        <f t="shared" si="9"/>
        <v>3.5</v>
      </c>
      <c r="L71" s="691">
        <f t="shared" si="24"/>
        <v>2.0763699999999998</v>
      </c>
      <c r="M71" s="691">
        <f t="shared" si="25"/>
        <v>3.8964979999999998</v>
      </c>
      <c r="N71" s="255">
        <v>2012</v>
      </c>
      <c r="O71" s="256">
        <f>C71*VLOOKUP(N71,SFAssumptions!$A$42:$B$51,2,FALSE)</f>
        <v>811.84633873774999</v>
      </c>
      <c r="P71" s="254">
        <f ca="1">O71+((SFAssumptions!$C$8-D71)*$AO$35)</f>
        <v>837.25846854200802</v>
      </c>
      <c r="Q71" s="190" t="str">
        <f>IF(OR(L71="",M71=""),"No",IF(AND(E71="Front Load",L71&gt;='Eff. Standards &amp; Certifications'!$B$21,M71&lt;='Eff. Standards &amp; Certifications'!$C$21),"Consider",IF(AND(E71="Top Load",L71&gt;='Eff. Standards &amp; Certifications'!$B$20,M71&lt;='Eff. Standards &amp; Certifications'!$C$20),"Consider","No")))</f>
        <v>Consider</v>
      </c>
      <c r="R71" s="203"/>
      <c r="S71" s="203"/>
      <c r="T71" s="293" t="str">
        <f t="shared" si="16"/>
        <v>NO</v>
      </c>
      <c r="U71" s="293" t="str">
        <f t="shared" si="16"/>
        <v>YES</v>
      </c>
      <c r="V71" s="293" t="str">
        <f t="shared" si="17"/>
        <v>YES</v>
      </c>
      <c r="W71" s="211" t="str">
        <f t="shared" si="12"/>
        <v>NO</v>
      </c>
      <c r="X71" s="211" t="str">
        <f t="shared" si="12"/>
        <v>YES</v>
      </c>
      <c r="Y71" s="211" t="str">
        <f t="shared" si="18"/>
        <v>YES</v>
      </c>
      <c r="Z71" s="211" t="str">
        <f t="shared" si="19"/>
        <v>NO</v>
      </c>
      <c r="AA71" s="211" t="str">
        <f t="shared" si="19"/>
        <v>NO</v>
      </c>
      <c r="AB71" s="293" t="str">
        <f t="shared" si="20"/>
        <v>NO</v>
      </c>
      <c r="AC71" s="211" t="str">
        <f t="shared" si="21"/>
        <v>NO</v>
      </c>
      <c r="AD71" s="211" t="str">
        <f t="shared" si="22"/>
        <v>NO</v>
      </c>
      <c r="AE71" s="211" t="str">
        <f t="shared" si="23"/>
        <v>NO</v>
      </c>
      <c r="AF71" s="206"/>
      <c r="AG71" s="206"/>
      <c r="AH71" s="203">
        <f t="shared" si="13"/>
        <v>2.0763699999999998</v>
      </c>
      <c r="AI71" s="203">
        <f t="shared" si="14"/>
        <v>899</v>
      </c>
      <c r="AJ71" s="203">
        <f t="shared" si="15"/>
        <v>753.34397083577016</v>
      </c>
      <c r="AK71" s="203"/>
      <c r="AL71" s="203"/>
      <c r="AM71" s="203"/>
      <c r="AN71" s="207"/>
    </row>
    <row r="72" spans="1:40" s="204" customFormat="1" ht="15">
      <c r="A72" s="248" t="s">
        <v>903</v>
      </c>
      <c r="B72" s="248" t="s">
        <v>905</v>
      </c>
      <c r="C72" s="249">
        <v>799</v>
      </c>
      <c r="D72" s="250">
        <v>3.5</v>
      </c>
      <c r="E72" s="250" t="str">
        <f>VLOOKUP(B72,'Northwest Retail Cost Data'!$C$5:$F$275,4,FALSE)</f>
        <v>Front Load</v>
      </c>
      <c r="F72" s="251" t="s">
        <v>846</v>
      </c>
      <c r="G72" s="248">
        <v>2.46</v>
      </c>
      <c r="H72" s="250">
        <v>3.69</v>
      </c>
      <c r="I72" s="252">
        <f>D72*H72*SFAssumptions!$C$3</f>
        <v>3315.4522695000001</v>
      </c>
      <c r="J72" s="253">
        <f t="shared" si="9"/>
        <v>799</v>
      </c>
      <c r="K72" s="254">
        <f t="shared" si="9"/>
        <v>3.5</v>
      </c>
      <c r="L72" s="691">
        <f t="shared" si="24"/>
        <v>2.0763699999999998</v>
      </c>
      <c r="M72" s="691">
        <f t="shared" si="25"/>
        <v>3.8964979999999998</v>
      </c>
      <c r="N72" s="255">
        <v>2012</v>
      </c>
      <c r="O72" s="256">
        <f>C72*VLOOKUP(N72,SFAssumptions!$A$42:$B$51,2,FALSE)</f>
        <v>721.54085055780001</v>
      </c>
      <c r="P72" s="254">
        <f ca="1">O72+((SFAssumptions!$C$8-D72)*$AO$35)</f>
        <v>746.95298036205804</v>
      </c>
      <c r="Q72" s="190" t="str">
        <f>IF(OR(L72="",M72=""),"No",IF(AND(E72="Front Load",L72&gt;='Eff. Standards &amp; Certifications'!$B$21,M72&lt;='Eff. Standards &amp; Certifications'!$C$21),"Consider",IF(AND(E72="Top Load",L72&gt;='Eff. Standards &amp; Certifications'!$B$20,M72&lt;='Eff. Standards &amp; Certifications'!$C$20),"Consider","No")))</f>
        <v>Consider</v>
      </c>
      <c r="R72" s="203"/>
      <c r="S72" s="203"/>
      <c r="T72" s="293" t="str">
        <f t="shared" si="16"/>
        <v>NO</v>
      </c>
      <c r="U72" s="293" t="str">
        <f t="shared" si="16"/>
        <v>YES</v>
      </c>
      <c r="V72" s="293" t="str">
        <f t="shared" si="17"/>
        <v>YES</v>
      </c>
      <c r="W72" s="211" t="str">
        <f t="shared" si="12"/>
        <v>NO</v>
      </c>
      <c r="X72" s="211" t="str">
        <f t="shared" si="12"/>
        <v>YES</v>
      </c>
      <c r="Y72" s="211" t="str">
        <f t="shared" si="18"/>
        <v>YES</v>
      </c>
      <c r="Z72" s="211" t="str">
        <f t="shared" si="19"/>
        <v>NO</v>
      </c>
      <c r="AA72" s="211" t="str">
        <f t="shared" si="19"/>
        <v>NO</v>
      </c>
      <c r="AB72" s="293" t="str">
        <f t="shared" si="20"/>
        <v>NO</v>
      </c>
      <c r="AC72" s="211" t="str">
        <f t="shared" si="21"/>
        <v>NO</v>
      </c>
      <c r="AD72" s="211" t="str">
        <f t="shared" si="22"/>
        <v>NO</v>
      </c>
      <c r="AE72" s="211" t="str">
        <f t="shared" si="23"/>
        <v>NO</v>
      </c>
      <c r="AF72" s="206"/>
      <c r="AG72" s="206"/>
      <c r="AH72" s="203">
        <f t="shared" si="13"/>
        <v>2.0763699999999998</v>
      </c>
      <c r="AI72" s="203">
        <f t="shared" si="14"/>
        <v>799</v>
      </c>
      <c r="AJ72" s="203">
        <f t="shared" si="15"/>
        <v>753.34397083577016</v>
      </c>
      <c r="AK72" s="203"/>
      <c r="AL72" s="203"/>
      <c r="AM72" s="203"/>
      <c r="AN72" s="207"/>
    </row>
    <row r="73" spans="1:40" s="204" customFormat="1" ht="15">
      <c r="A73" s="248" t="s">
        <v>903</v>
      </c>
      <c r="B73" s="248" t="s">
        <v>906</v>
      </c>
      <c r="C73" s="249">
        <v>899</v>
      </c>
      <c r="D73" s="250">
        <v>3.5</v>
      </c>
      <c r="E73" s="250" t="str">
        <f>VLOOKUP(B73,'Northwest Retail Cost Data'!$C$5:$F$275,4,FALSE)</f>
        <v>Front Load</v>
      </c>
      <c r="F73" s="251" t="s">
        <v>846</v>
      </c>
      <c r="G73" s="248">
        <v>2.46</v>
      </c>
      <c r="H73" s="250">
        <v>3.69</v>
      </c>
      <c r="I73" s="252">
        <f>D73*H73*SFAssumptions!$C$3</f>
        <v>3315.4522695000001</v>
      </c>
      <c r="J73" s="253">
        <f t="shared" si="9"/>
        <v>899</v>
      </c>
      <c r="K73" s="254">
        <f t="shared" si="9"/>
        <v>3.5</v>
      </c>
      <c r="L73" s="691">
        <f t="shared" si="24"/>
        <v>2.0763699999999998</v>
      </c>
      <c r="M73" s="691">
        <f t="shared" si="25"/>
        <v>3.8964979999999998</v>
      </c>
      <c r="N73" s="255">
        <v>2012</v>
      </c>
      <c r="O73" s="256">
        <f>C73*VLOOKUP(N73,SFAssumptions!$A$42:$B$51,2,FALSE)</f>
        <v>811.84633873774999</v>
      </c>
      <c r="P73" s="254">
        <f ca="1">O73+((SFAssumptions!$C$8-D73)*$AO$35)</f>
        <v>837.25846854200802</v>
      </c>
      <c r="Q73" s="190" t="str">
        <f>IF(OR(L73="",M73=""),"No",IF(AND(E73="Front Load",L73&gt;='Eff. Standards &amp; Certifications'!$B$21,M73&lt;='Eff. Standards &amp; Certifications'!$C$21),"Consider",IF(AND(E73="Top Load",L73&gt;='Eff. Standards &amp; Certifications'!$B$20,M73&lt;='Eff. Standards &amp; Certifications'!$C$20),"Consider","No")))</f>
        <v>Consider</v>
      </c>
      <c r="R73" s="203"/>
      <c r="S73" s="203"/>
      <c r="T73" s="293" t="str">
        <f t="shared" si="16"/>
        <v>NO</v>
      </c>
      <c r="U73" s="293" t="str">
        <f t="shared" si="16"/>
        <v>YES</v>
      </c>
      <c r="V73" s="293" t="str">
        <f t="shared" si="17"/>
        <v>YES</v>
      </c>
      <c r="W73" s="211" t="str">
        <f t="shared" si="12"/>
        <v>NO</v>
      </c>
      <c r="X73" s="211" t="str">
        <f t="shared" si="12"/>
        <v>YES</v>
      </c>
      <c r="Y73" s="211" t="str">
        <f t="shared" si="18"/>
        <v>YES</v>
      </c>
      <c r="Z73" s="211" t="str">
        <f t="shared" si="19"/>
        <v>NO</v>
      </c>
      <c r="AA73" s="211" t="str">
        <f t="shared" si="19"/>
        <v>NO</v>
      </c>
      <c r="AB73" s="293" t="str">
        <f t="shared" si="20"/>
        <v>NO</v>
      </c>
      <c r="AC73" s="211" t="str">
        <f t="shared" si="21"/>
        <v>NO</v>
      </c>
      <c r="AD73" s="211" t="str">
        <f t="shared" si="22"/>
        <v>NO</v>
      </c>
      <c r="AE73" s="211" t="str">
        <f t="shared" si="23"/>
        <v>NO</v>
      </c>
      <c r="AF73" s="206"/>
      <c r="AG73" s="206"/>
      <c r="AH73" s="203">
        <f t="shared" si="13"/>
        <v>2.0763699999999998</v>
      </c>
      <c r="AI73" s="203">
        <f t="shared" si="14"/>
        <v>899</v>
      </c>
      <c r="AJ73" s="203">
        <f t="shared" si="15"/>
        <v>753.34397083577016</v>
      </c>
      <c r="AK73" s="203"/>
      <c r="AL73" s="203"/>
      <c r="AM73" s="203"/>
      <c r="AN73" s="207"/>
    </row>
    <row r="74" spans="1:40" s="204" customFormat="1" ht="15">
      <c r="A74" s="248" t="s">
        <v>903</v>
      </c>
      <c r="B74" s="248" t="s">
        <v>907</v>
      </c>
      <c r="C74" s="249">
        <v>999</v>
      </c>
      <c r="D74" s="250">
        <v>3.9</v>
      </c>
      <c r="E74" s="250" t="str">
        <f>VLOOKUP(B74,'Northwest Retail Cost Data'!$C$5:$F$275,4,FALSE)</f>
        <v>Front Load</v>
      </c>
      <c r="F74" s="251" t="s">
        <v>846</v>
      </c>
      <c r="G74" s="248">
        <v>2.46</v>
      </c>
      <c r="H74" s="250">
        <v>2.94</v>
      </c>
      <c r="I74" s="252">
        <f>D74*H74*SFAssumptions!$C$3</f>
        <v>2943.4746977999998</v>
      </c>
      <c r="J74" s="253">
        <f t="shared" si="9"/>
        <v>999</v>
      </c>
      <c r="K74" s="254">
        <f t="shared" si="9"/>
        <v>3.9</v>
      </c>
      <c r="L74" s="691">
        <f t="shared" si="24"/>
        <v>2.0763699999999998</v>
      </c>
      <c r="M74" s="691">
        <f t="shared" si="25"/>
        <v>3.1283479999999999</v>
      </c>
      <c r="N74" s="255">
        <v>2012</v>
      </c>
      <c r="O74" s="256">
        <f>C74*VLOOKUP(N74,SFAssumptions!$A$42:$B$51,2,FALSE)</f>
        <v>902.15182691769996</v>
      </c>
      <c r="P74" s="254">
        <f ca="1">O74+((SFAssumptions!$C$8-D74)*$AO$35)</f>
        <v>890.86870736034143</v>
      </c>
      <c r="Q74" s="190" t="str">
        <f>IF(OR(L74="",M74=""),"No",IF(AND(E74="Front Load",L74&gt;='Eff. Standards &amp; Certifications'!$B$21,M74&lt;='Eff. Standards &amp; Certifications'!$C$21),"Consider",IF(AND(E74="Top Load",L74&gt;='Eff. Standards &amp; Certifications'!$B$20,M74&lt;='Eff. Standards &amp; Certifications'!$C$20),"Consider","No")))</f>
        <v>Consider</v>
      </c>
      <c r="R74" s="203"/>
      <c r="S74" s="203"/>
      <c r="T74" s="293" t="str">
        <f t="shared" si="16"/>
        <v>NO</v>
      </c>
      <c r="U74" s="293" t="str">
        <f t="shared" si="16"/>
        <v>YES</v>
      </c>
      <c r="V74" s="293" t="str">
        <f t="shared" si="17"/>
        <v>YES</v>
      </c>
      <c r="W74" s="211" t="str">
        <f t="shared" si="12"/>
        <v>NO</v>
      </c>
      <c r="X74" s="211" t="str">
        <f t="shared" si="12"/>
        <v>YES</v>
      </c>
      <c r="Y74" s="211" t="str">
        <f t="shared" si="18"/>
        <v>YES</v>
      </c>
      <c r="Z74" s="211" t="str">
        <f t="shared" si="19"/>
        <v>NO</v>
      </c>
      <c r="AA74" s="211" t="str">
        <f t="shared" si="19"/>
        <v>NO</v>
      </c>
      <c r="AB74" s="293" t="str">
        <f t="shared" si="20"/>
        <v>NO</v>
      </c>
      <c r="AC74" s="211" t="str">
        <f t="shared" si="21"/>
        <v>NO</v>
      </c>
      <c r="AD74" s="211" t="str">
        <f t="shared" si="22"/>
        <v>NO</v>
      </c>
      <c r="AE74" s="211" t="str">
        <f t="shared" si="23"/>
        <v>NO</v>
      </c>
      <c r="AF74" s="206"/>
      <c r="AG74" s="206"/>
      <c r="AH74" s="203">
        <f t="shared" si="13"/>
        <v>2.0763699999999998</v>
      </c>
      <c r="AI74" s="203">
        <f t="shared" si="14"/>
        <v>999</v>
      </c>
      <c r="AJ74" s="203">
        <f t="shared" si="15"/>
        <v>795.36269036056831</v>
      </c>
      <c r="AK74" s="203"/>
      <c r="AL74" s="203"/>
      <c r="AM74" s="203"/>
      <c r="AN74" s="207"/>
    </row>
    <row r="75" spans="1:40" s="204" customFormat="1" ht="15">
      <c r="A75" s="248" t="s">
        <v>908</v>
      </c>
      <c r="B75" s="250" t="s">
        <v>909</v>
      </c>
      <c r="C75" s="249">
        <v>749</v>
      </c>
      <c r="D75" s="250">
        <v>2</v>
      </c>
      <c r="E75" s="250" t="str">
        <f>VLOOKUP(B75,'Northwest Retail Cost Data'!$C$5:$F$275,4,FALSE)</f>
        <v>Front Load</v>
      </c>
      <c r="F75" s="251" t="s">
        <v>846</v>
      </c>
      <c r="G75" s="248">
        <v>2.08</v>
      </c>
      <c r="H75" s="250">
        <v>5.22</v>
      </c>
      <c r="I75" s="252">
        <f>D75*H75*SFAssumptions!$C$3</f>
        <v>2680.0868519999999</v>
      </c>
      <c r="J75" s="253">
        <f t="shared" si="9"/>
        <v>749</v>
      </c>
      <c r="K75" s="254">
        <f t="shared" si="9"/>
        <v>2</v>
      </c>
      <c r="L75" s="691">
        <f t="shared" si="24"/>
        <v>1.7288600000000001</v>
      </c>
      <c r="M75" s="691">
        <f t="shared" si="25"/>
        <v>5.4635240000000005</v>
      </c>
      <c r="N75" s="255">
        <v>2012</v>
      </c>
      <c r="O75" s="256">
        <f>C75*VLOOKUP(N75,SFAssumptions!$A$42:$B$51,2,FALSE)</f>
        <v>676.38810646782508</v>
      </c>
      <c r="P75" s="254">
        <f ca="1">O75+((SFAssumptions!$C$8-D75)*$AO$35)</f>
        <v>839.40742137814516</v>
      </c>
      <c r="Q75" s="190" t="str">
        <f>IF(OR(L75="",M75=""),"No",IF(AND(E75="Front Load",L75&gt;='Eff. Standards &amp; Certifications'!$B$21,M75&lt;='Eff. Standards &amp; Certifications'!$C$21),"Consider",IF(AND(E75="Top Load",L75&gt;='Eff. Standards &amp; Certifications'!$B$20,M75&lt;='Eff. Standards &amp; Certifications'!$C$20),"Consider","No")))</f>
        <v>No</v>
      </c>
      <c r="R75" s="203"/>
      <c r="S75" s="203"/>
      <c r="T75" s="293" t="str">
        <f t="shared" si="16"/>
        <v>NO</v>
      </c>
      <c r="U75" s="293" t="str">
        <f t="shared" si="16"/>
        <v>NO</v>
      </c>
      <c r="V75" s="293" t="str">
        <f t="shared" si="17"/>
        <v>NO</v>
      </c>
      <c r="W75" s="211" t="str">
        <f t="shared" si="12"/>
        <v>NO</v>
      </c>
      <c r="X75" s="211" t="str">
        <f t="shared" si="12"/>
        <v>NO</v>
      </c>
      <c r="Y75" s="211" t="str">
        <f t="shared" si="18"/>
        <v>NO</v>
      </c>
      <c r="Z75" s="211" t="str">
        <f t="shared" si="19"/>
        <v>NO</v>
      </c>
      <c r="AA75" s="211" t="str">
        <f t="shared" si="19"/>
        <v>NO</v>
      </c>
      <c r="AB75" s="293" t="str">
        <f t="shared" si="20"/>
        <v>NO</v>
      </c>
      <c r="AC75" s="211" t="str">
        <f t="shared" si="21"/>
        <v>NO</v>
      </c>
      <c r="AD75" s="211" t="str">
        <f t="shared" si="22"/>
        <v>NO</v>
      </c>
      <c r="AE75" s="211" t="str">
        <f t="shared" si="23"/>
        <v>NO</v>
      </c>
      <c r="AF75" s="206"/>
      <c r="AG75" s="206"/>
      <c r="AH75" s="203">
        <f t="shared" si="13"/>
        <v>1.7288600000000001</v>
      </c>
      <c r="AI75" s="203">
        <f t="shared" si="14"/>
        <v>749</v>
      </c>
      <c r="AJ75" s="203">
        <f t="shared" si="15"/>
        <v>520.89045103564899</v>
      </c>
      <c r="AK75" s="203"/>
      <c r="AL75" s="203"/>
      <c r="AM75" s="203"/>
      <c r="AN75" s="207"/>
    </row>
    <row r="76" spans="1:40" s="204" customFormat="1" ht="15">
      <c r="A76" s="248" t="s">
        <v>908</v>
      </c>
      <c r="B76" s="248" t="s">
        <v>910</v>
      </c>
      <c r="C76" s="249">
        <v>579</v>
      </c>
      <c r="D76" s="248">
        <v>3.4</v>
      </c>
      <c r="E76" s="250" t="str">
        <f>VLOOKUP(B76,'Northwest Retail Cost Data'!$C$5:$F$275,4,FALSE)</f>
        <v>Top Load</v>
      </c>
      <c r="F76" s="251" t="s">
        <v>846</v>
      </c>
      <c r="G76" s="248">
        <v>2.024</v>
      </c>
      <c r="H76" s="250">
        <v>5.8959999999999999</v>
      </c>
      <c r="I76" s="252">
        <f>D76*H76*SFAssumptions!$C$3</f>
        <v>5146.1774971199993</v>
      </c>
      <c r="J76" s="253">
        <f t="shared" si="9"/>
        <v>579</v>
      </c>
      <c r="K76" s="254">
        <f t="shared" si="9"/>
        <v>3.4</v>
      </c>
      <c r="L76" s="691">
        <f t="shared" si="24"/>
        <v>1.5874600000000001</v>
      </c>
      <c r="M76" s="691">
        <f t="shared" si="25"/>
        <v>6.3586543999999998</v>
      </c>
      <c r="N76" s="255">
        <v>2012</v>
      </c>
      <c r="O76" s="256">
        <f>C76*VLOOKUP(N76,SFAssumptions!$A$42:$B$51,2,FALSE)</f>
        <v>522.86877656191018</v>
      </c>
      <c r="P76" s="254">
        <f ca="1">O76+((SFAssumptions!$C$8-D76)*$AO$35)</f>
        <v>557.45471870657241</v>
      </c>
      <c r="Q76" s="190" t="str">
        <f>IF(OR(L76="",M76=""),"No",IF(AND(E76="Front Load",L76&gt;='Eff. Standards &amp; Certifications'!$B$21,M76&lt;='Eff. Standards &amp; Certifications'!$C$21),"Consider",IF(AND(E76="Top Load",L76&gt;='Eff. Standards &amp; Certifications'!$B$20,M76&lt;='Eff. Standards &amp; Certifications'!$C$20),"Consider","No")))</f>
        <v>Consider</v>
      </c>
      <c r="R76" s="203"/>
      <c r="S76" s="203"/>
      <c r="T76" s="293" t="str">
        <f t="shared" si="16"/>
        <v>YES</v>
      </c>
      <c r="U76" s="293" t="str">
        <f t="shared" si="16"/>
        <v>NO</v>
      </c>
      <c r="V76" s="293" t="str">
        <f t="shared" si="17"/>
        <v>YES</v>
      </c>
      <c r="W76" s="211" t="str">
        <f t="shared" si="12"/>
        <v>YES</v>
      </c>
      <c r="X76" s="211" t="str">
        <f t="shared" si="12"/>
        <v>NO</v>
      </c>
      <c r="Y76" s="211" t="str">
        <f t="shared" si="18"/>
        <v>YES</v>
      </c>
      <c r="Z76" s="211" t="str">
        <f t="shared" si="19"/>
        <v>NO</v>
      </c>
      <c r="AA76" s="211" t="str">
        <f t="shared" si="19"/>
        <v>NO</v>
      </c>
      <c r="AB76" s="293" t="str">
        <f t="shared" si="20"/>
        <v>NO</v>
      </c>
      <c r="AC76" s="211" t="str">
        <f t="shared" si="21"/>
        <v>NO</v>
      </c>
      <c r="AD76" s="211" t="str">
        <f t="shared" si="22"/>
        <v>NO</v>
      </c>
      <c r="AE76" s="211" t="str">
        <f t="shared" si="23"/>
        <v>NO</v>
      </c>
      <c r="AF76" s="206"/>
      <c r="AG76" s="206"/>
      <c r="AH76" s="203">
        <f t="shared" si="13"/>
        <v>1.5874600000000001</v>
      </c>
      <c r="AI76" s="203">
        <f t="shared" si="14"/>
        <v>579</v>
      </c>
      <c r="AJ76" s="203">
        <f t="shared" si="15"/>
        <v>608.94669879753951</v>
      </c>
      <c r="AK76" s="203"/>
      <c r="AL76" s="203"/>
      <c r="AM76" s="203"/>
      <c r="AN76" s="207"/>
    </row>
    <row r="77" spans="1:40" s="204" customFormat="1" ht="15">
      <c r="A77" s="248" t="s">
        <v>908</v>
      </c>
      <c r="B77" s="248" t="s">
        <v>911</v>
      </c>
      <c r="C77" s="249">
        <v>649</v>
      </c>
      <c r="D77" s="248">
        <v>3.6</v>
      </c>
      <c r="E77" s="250" t="str">
        <f>VLOOKUP(B77,'Northwest Retail Cost Data'!$C$5:$F$275,4,FALSE)</f>
        <v>Top Load</v>
      </c>
      <c r="F77" s="251" t="s">
        <v>846</v>
      </c>
      <c r="G77" s="248">
        <v>2.4900000000000002</v>
      </c>
      <c r="H77" s="250">
        <v>3.91</v>
      </c>
      <c r="I77" s="252">
        <f>D77*H77*SFAssumptions!$C$3</f>
        <v>3613.4964108000004</v>
      </c>
      <c r="J77" s="253">
        <f t="shared" si="9"/>
        <v>649</v>
      </c>
      <c r="K77" s="254">
        <f t="shared" si="9"/>
        <v>3.6</v>
      </c>
      <c r="L77" s="691">
        <f t="shared" si="24"/>
        <v>2.0488</v>
      </c>
      <c r="M77" s="691">
        <f t="shared" si="25"/>
        <v>4.3946990000000001</v>
      </c>
      <c r="N77" s="255">
        <v>2012</v>
      </c>
      <c r="O77" s="256">
        <f>C77*VLOOKUP(N77,SFAssumptions!$A$42:$B$51,2,FALSE)</f>
        <v>586.08261828787511</v>
      </c>
      <c r="P77" s="254">
        <f ca="1">O77+((SFAssumptions!$C$8-D77)*$AO$35)</f>
        <v>602.32093575172905</v>
      </c>
      <c r="Q77" s="190" t="str">
        <f>IF(OR(L77="",M77=""),"No",IF(AND(E77="Front Load",L77&gt;='Eff. Standards &amp; Certifications'!$B$21,M77&lt;='Eff. Standards &amp; Certifications'!$C$21),"Consider",IF(AND(E77="Top Load",L77&gt;='Eff. Standards &amp; Certifications'!$B$20,M77&lt;='Eff. Standards &amp; Certifications'!$C$20),"Consider","No")))</f>
        <v>Consider</v>
      </c>
      <c r="R77" s="203"/>
      <c r="S77" s="203"/>
      <c r="T77" s="293" t="str">
        <f t="shared" si="16"/>
        <v>YES</v>
      </c>
      <c r="U77" s="293" t="str">
        <f t="shared" si="16"/>
        <v>NO</v>
      </c>
      <c r="V77" s="293" t="str">
        <f t="shared" si="17"/>
        <v>YES</v>
      </c>
      <c r="W77" s="211" t="str">
        <f t="shared" si="12"/>
        <v>YES</v>
      </c>
      <c r="X77" s="211" t="str">
        <f t="shared" si="12"/>
        <v>NO</v>
      </c>
      <c r="Y77" s="211" t="str">
        <f t="shared" si="18"/>
        <v>YES</v>
      </c>
      <c r="Z77" s="211" t="str">
        <f t="shared" si="19"/>
        <v>NO</v>
      </c>
      <c r="AA77" s="211" t="str">
        <f t="shared" si="19"/>
        <v>NO</v>
      </c>
      <c r="AB77" s="293" t="str">
        <f t="shared" si="20"/>
        <v>NO</v>
      </c>
      <c r="AC77" s="211" t="str">
        <f t="shared" si="21"/>
        <v>NO</v>
      </c>
      <c r="AD77" s="211" t="str">
        <f t="shared" si="22"/>
        <v>NO</v>
      </c>
      <c r="AE77" s="211" t="str">
        <f t="shared" si="23"/>
        <v>NO</v>
      </c>
      <c r="AF77" s="206"/>
      <c r="AG77" s="206"/>
      <c r="AH77" s="203">
        <f t="shared" si="13"/>
        <v>2.0488</v>
      </c>
      <c r="AI77" s="203">
        <f t="shared" si="14"/>
        <v>649</v>
      </c>
      <c r="AJ77" s="203">
        <f t="shared" si="15"/>
        <v>752.40199004495025</v>
      </c>
      <c r="AK77" s="203"/>
      <c r="AL77" s="203"/>
      <c r="AM77" s="203"/>
      <c r="AN77" s="207"/>
    </row>
    <row r="78" spans="1:40" s="204" customFormat="1" ht="15">
      <c r="A78" s="248" t="s">
        <v>912</v>
      </c>
      <c r="B78" s="248" t="s">
        <v>913</v>
      </c>
      <c r="C78" s="249">
        <v>699</v>
      </c>
      <c r="D78" s="248">
        <v>3.6</v>
      </c>
      <c r="E78" s="250" t="str">
        <f>VLOOKUP(B78,'Northwest Retail Cost Data'!$C$5:$F$275,4,FALSE)</f>
        <v>Top Load</v>
      </c>
      <c r="F78" s="251" t="s">
        <v>846</v>
      </c>
      <c r="G78" s="248">
        <v>2.4900000000000002</v>
      </c>
      <c r="H78" s="250">
        <v>3.91</v>
      </c>
      <c r="I78" s="252">
        <f>D78*H78*SFAssumptions!$C$3</f>
        <v>3613.4964108000004</v>
      </c>
      <c r="J78" s="253">
        <f t="shared" si="9"/>
        <v>699</v>
      </c>
      <c r="K78" s="254">
        <f t="shared" si="9"/>
        <v>3.6</v>
      </c>
      <c r="L78" s="691">
        <f t="shared" si="24"/>
        <v>2.0488</v>
      </c>
      <c r="M78" s="691">
        <f t="shared" si="25"/>
        <v>4.3946990000000001</v>
      </c>
      <c r="N78" s="255">
        <v>2012</v>
      </c>
      <c r="O78" s="256">
        <f>C78*VLOOKUP(N78,SFAssumptions!$A$42:$B$51,2,FALSE)</f>
        <v>631.23536237785015</v>
      </c>
      <c r="P78" s="254">
        <f ca="1">O78+((SFAssumptions!$C$8-D78)*$AO$35)</f>
        <v>647.4736798417041</v>
      </c>
      <c r="Q78" s="190" t="str">
        <f>IF(OR(L78="",M78=""),"No",IF(AND(E78="Front Load",L78&gt;='Eff. Standards &amp; Certifications'!$B$21,M78&lt;='Eff. Standards &amp; Certifications'!$C$21),"Consider",IF(AND(E78="Top Load",L78&gt;='Eff. Standards &amp; Certifications'!$B$20,M78&lt;='Eff. Standards &amp; Certifications'!$C$20),"Consider","No")))</f>
        <v>Consider</v>
      </c>
      <c r="R78" s="203"/>
      <c r="S78" s="203"/>
      <c r="T78" s="293" t="str">
        <f t="shared" si="16"/>
        <v>YES</v>
      </c>
      <c r="U78" s="293" t="str">
        <f t="shared" si="16"/>
        <v>NO</v>
      </c>
      <c r="V78" s="293" t="str">
        <f t="shared" si="17"/>
        <v>YES</v>
      </c>
      <c r="W78" s="211" t="str">
        <f t="shared" si="12"/>
        <v>YES</v>
      </c>
      <c r="X78" s="211" t="str">
        <f t="shared" si="12"/>
        <v>NO</v>
      </c>
      <c r="Y78" s="211" t="str">
        <f t="shared" si="18"/>
        <v>YES</v>
      </c>
      <c r="Z78" s="211" t="str">
        <f t="shared" si="19"/>
        <v>NO</v>
      </c>
      <c r="AA78" s="211" t="str">
        <f t="shared" si="19"/>
        <v>NO</v>
      </c>
      <c r="AB78" s="293" t="str">
        <f t="shared" si="20"/>
        <v>NO</v>
      </c>
      <c r="AC78" s="211" t="str">
        <f t="shared" si="21"/>
        <v>NO</v>
      </c>
      <c r="AD78" s="211" t="str">
        <f t="shared" si="22"/>
        <v>NO</v>
      </c>
      <c r="AE78" s="211" t="str">
        <f t="shared" si="23"/>
        <v>NO</v>
      </c>
      <c r="AF78" s="206"/>
      <c r="AG78" s="206"/>
      <c r="AH78" s="203">
        <f t="shared" si="13"/>
        <v>2.0488</v>
      </c>
      <c r="AI78" s="203">
        <f t="shared" si="14"/>
        <v>699</v>
      </c>
      <c r="AJ78" s="203">
        <f t="shared" si="15"/>
        <v>752.40199004495025</v>
      </c>
      <c r="AK78" s="203"/>
      <c r="AL78" s="203"/>
      <c r="AM78" s="203"/>
      <c r="AN78" s="207"/>
    </row>
    <row r="79" spans="1:40" s="204" customFormat="1" ht="15">
      <c r="A79" s="248" t="s">
        <v>912</v>
      </c>
      <c r="B79" s="248" t="s">
        <v>914</v>
      </c>
      <c r="C79" s="249">
        <v>899</v>
      </c>
      <c r="D79" s="248">
        <v>3.6</v>
      </c>
      <c r="E79" s="250" t="str">
        <f>VLOOKUP(B79,'Northwest Retail Cost Data'!$C$5:$F$275,4,FALSE)</f>
        <v>Top Load</v>
      </c>
      <c r="F79" s="251" t="s">
        <v>846</v>
      </c>
      <c r="G79" s="248">
        <v>2.46</v>
      </c>
      <c r="H79" s="250">
        <v>3.84</v>
      </c>
      <c r="I79" s="252">
        <f>D79*H79*SFAssumptions!$C$3</f>
        <v>3548.8046592000001</v>
      </c>
      <c r="J79" s="253">
        <f t="shared" si="9"/>
        <v>899</v>
      </c>
      <c r="K79" s="254">
        <f t="shared" si="9"/>
        <v>3.6</v>
      </c>
      <c r="L79" s="691">
        <f t="shared" si="24"/>
        <v>2.0190999999999999</v>
      </c>
      <c r="M79" s="691">
        <f t="shared" si="25"/>
        <v>4.3254760000000001</v>
      </c>
      <c r="N79" s="255">
        <v>2012</v>
      </c>
      <c r="O79" s="256">
        <f>C79*VLOOKUP(N79,SFAssumptions!$A$42:$B$51,2,FALSE)</f>
        <v>811.84633873774999</v>
      </c>
      <c r="P79" s="254">
        <f ca="1">O79+((SFAssumptions!$C$8-D79)*$AO$35)</f>
        <v>828.08465620160393</v>
      </c>
      <c r="Q79" s="190" t="str">
        <f>IF(OR(L79="",M79=""),"No",IF(AND(E79="Front Load",L79&gt;='Eff. Standards &amp; Certifications'!$B$21,M79&lt;='Eff. Standards &amp; Certifications'!$C$21),"Consider",IF(AND(E79="Top Load",L79&gt;='Eff. Standards &amp; Certifications'!$B$20,M79&lt;='Eff. Standards &amp; Certifications'!$C$20),"Consider","No")))</f>
        <v>Consider</v>
      </c>
      <c r="R79" s="203"/>
      <c r="S79" s="203"/>
      <c r="T79" s="293" t="str">
        <f t="shared" si="16"/>
        <v>YES</v>
      </c>
      <c r="U79" s="293" t="str">
        <f t="shared" si="16"/>
        <v>NO</v>
      </c>
      <c r="V79" s="293" t="str">
        <f t="shared" si="17"/>
        <v>YES</v>
      </c>
      <c r="W79" s="211" t="str">
        <f t="shared" si="12"/>
        <v>YES</v>
      </c>
      <c r="X79" s="211" t="str">
        <f t="shared" si="12"/>
        <v>NO</v>
      </c>
      <c r="Y79" s="211" t="str">
        <f t="shared" si="18"/>
        <v>YES</v>
      </c>
      <c r="Z79" s="211" t="str">
        <f t="shared" si="19"/>
        <v>NO</v>
      </c>
      <c r="AA79" s="211" t="str">
        <f t="shared" si="19"/>
        <v>NO</v>
      </c>
      <c r="AB79" s="293" t="str">
        <f t="shared" si="20"/>
        <v>NO</v>
      </c>
      <c r="AC79" s="211" t="str">
        <f t="shared" si="21"/>
        <v>NO</v>
      </c>
      <c r="AD79" s="211" t="str">
        <f t="shared" si="22"/>
        <v>NO</v>
      </c>
      <c r="AE79" s="211" t="str">
        <f t="shared" si="23"/>
        <v>NO</v>
      </c>
      <c r="AF79" s="206"/>
      <c r="AG79" s="206"/>
      <c r="AH79" s="203">
        <f t="shared" si="13"/>
        <v>2.0190999999999999</v>
      </c>
      <c r="AI79" s="203">
        <f t="shared" si="14"/>
        <v>899</v>
      </c>
      <c r="AJ79" s="203">
        <f t="shared" si="15"/>
        <v>745.70380621108836</v>
      </c>
      <c r="AK79" s="203"/>
      <c r="AL79" s="203"/>
      <c r="AM79" s="203"/>
      <c r="AN79" s="207"/>
    </row>
    <row r="80" spans="1:40" s="204" customFormat="1" ht="15">
      <c r="A80" s="248" t="s">
        <v>912</v>
      </c>
      <c r="B80" s="248" t="s">
        <v>915</v>
      </c>
      <c r="C80" s="249">
        <v>1099</v>
      </c>
      <c r="D80" s="248">
        <v>4.5999999999999996</v>
      </c>
      <c r="E80" s="250" t="str">
        <f>VLOOKUP(B80,'Northwest Retail Cost Data'!$C$5:$F$275,4,FALSE)</f>
        <v>Top Load</v>
      </c>
      <c r="F80" s="251" t="s">
        <v>846</v>
      </c>
      <c r="G80" s="248">
        <v>2.65</v>
      </c>
      <c r="H80" s="250">
        <v>3.71</v>
      </c>
      <c r="I80" s="252">
        <f>D80*H80*SFAssumptions!$C$3</f>
        <v>4381.0691778</v>
      </c>
      <c r="J80" s="253">
        <f t="shared" si="9"/>
        <v>1099</v>
      </c>
      <c r="K80" s="254">
        <f t="shared" si="9"/>
        <v>4.5999999999999996</v>
      </c>
      <c r="L80" s="691">
        <f t="shared" si="24"/>
        <v>2.2071999999999998</v>
      </c>
      <c r="M80" s="691">
        <f t="shared" si="25"/>
        <v>4.1969190000000003</v>
      </c>
      <c r="N80" s="255">
        <v>2012</v>
      </c>
      <c r="O80" s="256">
        <f>C80*VLOOKUP(N80,SFAssumptions!$A$42:$B$51,2,FALSE)</f>
        <v>992.45731509764994</v>
      </c>
      <c r="P80" s="254">
        <f ca="1">O80+((SFAssumptions!$C$8-D80)*$AO$35)</f>
        <v>916.95750915746248</v>
      </c>
      <c r="Q80" s="190" t="str">
        <f>IF(OR(L80="",M80=""),"No",IF(AND(E80="Front Load",L80&gt;='Eff. Standards &amp; Certifications'!$B$21,M80&lt;='Eff. Standards &amp; Certifications'!$C$21),"Consider",IF(AND(E80="Top Load",L80&gt;='Eff. Standards &amp; Certifications'!$B$20,M80&lt;='Eff. Standards &amp; Certifications'!$C$20),"Consider","No")))</f>
        <v>Consider</v>
      </c>
      <c r="R80" s="203"/>
      <c r="S80" s="203"/>
      <c r="T80" s="293" t="str">
        <f t="shared" si="16"/>
        <v>YES</v>
      </c>
      <c r="U80" s="293" t="str">
        <f t="shared" si="16"/>
        <v>NO</v>
      </c>
      <c r="V80" s="293" t="str">
        <f t="shared" si="17"/>
        <v>YES</v>
      </c>
      <c r="W80" s="211" t="str">
        <f t="shared" si="12"/>
        <v>NO</v>
      </c>
      <c r="X80" s="211" t="str">
        <f t="shared" si="12"/>
        <v>NO</v>
      </c>
      <c r="Y80" s="211" t="str">
        <f t="shared" si="18"/>
        <v>NO</v>
      </c>
      <c r="Z80" s="211" t="str">
        <f t="shared" si="19"/>
        <v>YES</v>
      </c>
      <c r="AA80" s="211" t="str">
        <f t="shared" si="19"/>
        <v>NO</v>
      </c>
      <c r="AB80" s="293" t="str">
        <f t="shared" si="20"/>
        <v>YES</v>
      </c>
      <c r="AC80" s="211" t="str">
        <f t="shared" si="21"/>
        <v>NO</v>
      </c>
      <c r="AD80" s="211" t="str">
        <f t="shared" si="22"/>
        <v>NO</v>
      </c>
      <c r="AE80" s="211" t="str">
        <f t="shared" si="23"/>
        <v>NO</v>
      </c>
      <c r="AF80" s="206"/>
      <c r="AG80" s="206"/>
      <c r="AH80" s="203">
        <f t="shared" si="13"/>
        <v>2.2071999999999998</v>
      </c>
      <c r="AI80" s="203">
        <f t="shared" si="14"/>
        <v>1099</v>
      </c>
      <c r="AJ80" s="203">
        <f t="shared" si="15"/>
        <v>883.79299877087396</v>
      </c>
      <c r="AK80" s="203"/>
      <c r="AL80" s="203"/>
      <c r="AM80" s="203"/>
      <c r="AN80" s="207"/>
    </row>
    <row r="81" spans="1:40" s="204" customFormat="1" ht="15">
      <c r="A81" s="248" t="s">
        <v>912</v>
      </c>
      <c r="B81" s="248" t="s">
        <v>916</v>
      </c>
      <c r="C81" s="249">
        <v>999</v>
      </c>
      <c r="D81" s="248">
        <v>4.5999999999999996</v>
      </c>
      <c r="E81" s="250" t="str">
        <f>VLOOKUP(B81,'Northwest Retail Cost Data'!$C$5:$F$275,4,FALSE)</f>
        <v>Top Load</v>
      </c>
      <c r="F81" s="251" t="s">
        <v>846</v>
      </c>
      <c r="G81" s="248">
        <v>2.65</v>
      </c>
      <c r="H81" s="250">
        <v>3.71</v>
      </c>
      <c r="I81" s="252">
        <f>D81*H81*SFAssumptions!$C$3</f>
        <v>4381.0691778</v>
      </c>
      <c r="J81" s="253">
        <f t="shared" si="9"/>
        <v>999</v>
      </c>
      <c r="K81" s="254">
        <f t="shared" si="9"/>
        <v>4.5999999999999996</v>
      </c>
      <c r="L81" s="691">
        <f t="shared" si="24"/>
        <v>2.2071999999999998</v>
      </c>
      <c r="M81" s="691">
        <f t="shared" si="25"/>
        <v>4.1969190000000003</v>
      </c>
      <c r="N81" s="255">
        <v>2012</v>
      </c>
      <c r="O81" s="256">
        <f>C81*VLOOKUP(N81,SFAssumptions!$A$42:$B$51,2,FALSE)</f>
        <v>902.15182691769996</v>
      </c>
      <c r="P81" s="254">
        <f ca="1">O81+((SFAssumptions!$C$8-D81)*$AO$35)</f>
        <v>826.65202097751262</v>
      </c>
      <c r="Q81" s="190" t="str">
        <f>IF(OR(L81="",M81=""),"No",IF(AND(E81="Front Load",L81&gt;='Eff. Standards &amp; Certifications'!$B$21,M81&lt;='Eff. Standards &amp; Certifications'!$C$21),"Consider",IF(AND(E81="Top Load",L81&gt;='Eff. Standards &amp; Certifications'!$B$20,M81&lt;='Eff. Standards &amp; Certifications'!$C$20),"Consider","No")))</f>
        <v>Consider</v>
      </c>
      <c r="R81" s="203"/>
      <c r="S81" s="203"/>
      <c r="T81" s="293" t="str">
        <f t="shared" si="16"/>
        <v>YES</v>
      </c>
      <c r="U81" s="293" t="str">
        <f t="shared" si="16"/>
        <v>NO</v>
      </c>
      <c r="V81" s="293" t="str">
        <f t="shared" si="17"/>
        <v>YES</v>
      </c>
      <c r="W81" s="211" t="str">
        <f t="shared" si="12"/>
        <v>NO</v>
      </c>
      <c r="X81" s="211" t="str">
        <f t="shared" si="12"/>
        <v>NO</v>
      </c>
      <c r="Y81" s="211" t="str">
        <f t="shared" si="18"/>
        <v>NO</v>
      </c>
      <c r="Z81" s="211" t="str">
        <f t="shared" si="19"/>
        <v>YES</v>
      </c>
      <c r="AA81" s="211" t="str">
        <f t="shared" si="19"/>
        <v>NO</v>
      </c>
      <c r="AB81" s="293" t="str">
        <f t="shared" si="20"/>
        <v>YES</v>
      </c>
      <c r="AC81" s="211" t="str">
        <f t="shared" si="21"/>
        <v>NO</v>
      </c>
      <c r="AD81" s="211" t="str">
        <f t="shared" si="22"/>
        <v>NO</v>
      </c>
      <c r="AE81" s="211" t="str">
        <f t="shared" si="23"/>
        <v>NO</v>
      </c>
      <c r="AF81" s="206"/>
      <c r="AG81" s="206"/>
      <c r="AH81" s="203">
        <f t="shared" si="13"/>
        <v>2.2071999999999998</v>
      </c>
      <c r="AI81" s="203">
        <f t="shared" si="14"/>
        <v>999</v>
      </c>
      <c r="AJ81" s="203">
        <f t="shared" si="15"/>
        <v>883.79299877087396</v>
      </c>
      <c r="AK81" s="203"/>
      <c r="AL81" s="203"/>
      <c r="AM81" s="203"/>
      <c r="AN81" s="207"/>
    </row>
    <row r="82" spans="1:40" s="204" customFormat="1" ht="15">
      <c r="A82" s="248" t="s">
        <v>912</v>
      </c>
      <c r="B82" s="248" t="s">
        <v>917</v>
      </c>
      <c r="C82" s="249">
        <v>749</v>
      </c>
      <c r="D82" s="248">
        <v>3.6</v>
      </c>
      <c r="E82" s="250" t="str">
        <f>VLOOKUP(B82,'Northwest Retail Cost Data'!$C$5:$F$275,4,FALSE)</f>
        <v>Top Load</v>
      </c>
      <c r="F82" s="251" t="s">
        <v>846</v>
      </c>
      <c r="G82" s="248">
        <v>2.46</v>
      </c>
      <c r="H82" s="250">
        <v>3.84</v>
      </c>
      <c r="I82" s="252">
        <f>D82*H82*SFAssumptions!$C$3</f>
        <v>3548.8046592000001</v>
      </c>
      <c r="J82" s="253">
        <f t="shared" si="9"/>
        <v>749</v>
      </c>
      <c r="K82" s="254">
        <f t="shared" si="9"/>
        <v>3.6</v>
      </c>
      <c r="L82" s="691">
        <f t="shared" si="24"/>
        <v>2.0190999999999999</v>
      </c>
      <c r="M82" s="691">
        <f t="shared" si="25"/>
        <v>4.3254760000000001</v>
      </c>
      <c r="N82" s="255">
        <v>2012</v>
      </c>
      <c r="O82" s="256">
        <f>C82*VLOOKUP(N82,SFAssumptions!$A$42:$B$51,2,FALSE)</f>
        <v>676.38810646782508</v>
      </c>
      <c r="P82" s="254">
        <f ca="1">O82+((SFAssumptions!$C$8-D82)*$AO$35)</f>
        <v>692.62642393167903</v>
      </c>
      <c r="Q82" s="190" t="str">
        <f>IF(OR(L82="",M82=""),"No",IF(AND(E82="Front Load",L82&gt;='Eff. Standards &amp; Certifications'!$B$21,M82&lt;='Eff. Standards &amp; Certifications'!$C$21),"Consider",IF(AND(E82="Top Load",L82&gt;='Eff. Standards &amp; Certifications'!$B$20,M82&lt;='Eff. Standards &amp; Certifications'!$C$20),"Consider","No")))</f>
        <v>Consider</v>
      </c>
      <c r="R82" s="203"/>
      <c r="S82" s="203"/>
      <c r="T82" s="293" t="str">
        <f t="shared" si="16"/>
        <v>YES</v>
      </c>
      <c r="U82" s="293" t="str">
        <f t="shared" si="16"/>
        <v>NO</v>
      </c>
      <c r="V82" s="293" t="str">
        <f t="shared" si="17"/>
        <v>YES</v>
      </c>
      <c r="W82" s="211" t="str">
        <f t="shared" si="12"/>
        <v>YES</v>
      </c>
      <c r="X82" s="211" t="str">
        <f t="shared" si="12"/>
        <v>NO</v>
      </c>
      <c r="Y82" s="211" t="str">
        <f t="shared" si="18"/>
        <v>YES</v>
      </c>
      <c r="Z82" s="211" t="str">
        <f t="shared" si="19"/>
        <v>NO</v>
      </c>
      <c r="AA82" s="211" t="str">
        <f t="shared" si="19"/>
        <v>NO</v>
      </c>
      <c r="AB82" s="293" t="str">
        <f t="shared" si="20"/>
        <v>NO</v>
      </c>
      <c r="AC82" s="211" t="str">
        <f t="shared" si="21"/>
        <v>NO</v>
      </c>
      <c r="AD82" s="211" t="str">
        <f t="shared" si="22"/>
        <v>NO</v>
      </c>
      <c r="AE82" s="211" t="str">
        <f t="shared" si="23"/>
        <v>NO</v>
      </c>
      <c r="AF82" s="206"/>
      <c r="AG82" s="206"/>
      <c r="AH82" s="203">
        <f t="shared" si="13"/>
        <v>2.0190999999999999</v>
      </c>
      <c r="AI82" s="203">
        <f t="shared" si="14"/>
        <v>749</v>
      </c>
      <c r="AJ82" s="203">
        <f t="shared" si="15"/>
        <v>745.70380621108836</v>
      </c>
      <c r="AK82" s="203"/>
      <c r="AL82" s="203"/>
      <c r="AM82" s="203"/>
      <c r="AN82" s="207"/>
    </row>
    <row r="83" spans="1:40" s="204" customFormat="1" ht="15">
      <c r="A83" s="248" t="s">
        <v>918</v>
      </c>
      <c r="B83" s="248" t="s">
        <v>919</v>
      </c>
      <c r="C83" s="249">
        <v>899</v>
      </c>
      <c r="D83" s="248">
        <v>4.5999999999999996</v>
      </c>
      <c r="E83" s="250" t="str">
        <f>VLOOKUP(B83,'Northwest Retail Cost Data'!$C$5:$F$275,4,FALSE)</f>
        <v>Top Load</v>
      </c>
      <c r="F83" s="251" t="s">
        <v>846</v>
      </c>
      <c r="G83" s="248">
        <v>2.65</v>
      </c>
      <c r="H83" s="250">
        <v>3.71</v>
      </c>
      <c r="I83" s="252">
        <f>D83*H83*SFAssumptions!$C$3</f>
        <v>4381.0691778</v>
      </c>
      <c r="J83" s="253">
        <f t="shared" si="9"/>
        <v>899</v>
      </c>
      <c r="K83" s="254">
        <f t="shared" si="9"/>
        <v>4.5999999999999996</v>
      </c>
      <c r="L83" s="691">
        <f t="shared" si="24"/>
        <v>2.2071999999999998</v>
      </c>
      <c r="M83" s="691">
        <f t="shared" si="25"/>
        <v>4.1969190000000003</v>
      </c>
      <c r="N83" s="255">
        <v>2012</v>
      </c>
      <c r="O83" s="256">
        <f>C83*VLOOKUP(N83,SFAssumptions!$A$42:$B$51,2,FALSE)</f>
        <v>811.84633873774999</v>
      </c>
      <c r="P83" s="254">
        <f ca="1">O83+((SFAssumptions!$C$8-D83)*$AO$35)</f>
        <v>736.34653279756253</v>
      </c>
      <c r="Q83" s="190" t="str">
        <f>IF(OR(L83="",M83=""),"No",IF(AND(E83="Front Load",L83&gt;='Eff. Standards &amp; Certifications'!$B$21,M83&lt;='Eff. Standards &amp; Certifications'!$C$21),"Consider",IF(AND(E83="Top Load",L83&gt;='Eff. Standards &amp; Certifications'!$B$20,M83&lt;='Eff. Standards &amp; Certifications'!$C$20),"Consider","No")))</f>
        <v>Consider</v>
      </c>
      <c r="R83" s="203"/>
      <c r="S83" s="203"/>
      <c r="T83" s="293" t="str">
        <f t="shared" si="16"/>
        <v>YES</v>
      </c>
      <c r="U83" s="293" t="str">
        <f t="shared" si="16"/>
        <v>NO</v>
      </c>
      <c r="V83" s="293" t="str">
        <f t="shared" si="17"/>
        <v>YES</v>
      </c>
      <c r="W83" s="211" t="str">
        <f t="shared" si="12"/>
        <v>NO</v>
      </c>
      <c r="X83" s="211" t="str">
        <f t="shared" si="12"/>
        <v>NO</v>
      </c>
      <c r="Y83" s="211" t="str">
        <f t="shared" si="18"/>
        <v>NO</v>
      </c>
      <c r="Z83" s="211" t="str">
        <f t="shared" si="19"/>
        <v>YES</v>
      </c>
      <c r="AA83" s="211" t="str">
        <f t="shared" si="19"/>
        <v>NO</v>
      </c>
      <c r="AB83" s="293" t="str">
        <f t="shared" si="20"/>
        <v>YES</v>
      </c>
      <c r="AC83" s="211" t="str">
        <f t="shared" si="21"/>
        <v>NO</v>
      </c>
      <c r="AD83" s="211" t="str">
        <f t="shared" si="22"/>
        <v>NO</v>
      </c>
      <c r="AE83" s="211" t="str">
        <f t="shared" si="23"/>
        <v>NO</v>
      </c>
      <c r="AF83" s="206"/>
      <c r="AG83" s="206"/>
      <c r="AH83" s="203">
        <f t="shared" si="13"/>
        <v>2.2071999999999998</v>
      </c>
      <c r="AI83" s="203">
        <f t="shared" si="14"/>
        <v>899</v>
      </c>
      <c r="AJ83" s="203">
        <f t="shared" si="15"/>
        <v>883.79299877087396</v>
      </c>
      <c r="AK83" s="203"/>
      <c r="AL83" s="203"/>
      <c r="AM83" s="203"/>
      <c r="AN83" s="207"/>
    </row>
    <row r="84" spans="1:40" s="204" customFormat="1" ht="15">
      <c r="A84" s="248" t="s">
        <v>920</v>
      </c>
      <c r="B84" s="248" t="s">
        <v>921</v>
      </c>
      <c r="C84" s="249">
        <v>1099</v>
      </c>
      <c r="D84" s="250">
        <v>3.8</v>
      </c>
      <c r="E84" s="250" t="str">
        <f>VLOOKUP(B84,'Northwest Retail Cost Data'!$C$5:$F$275,4,FALSE)</f>
        <v>Front Load</v>
      </c>
      <c r="F84" s="251" t="s">
        <v>846</v>
      </c>
      <c r="G84" s="248">
        <v>2.4300000000000002</v>
      </c>
      <c r="H84" s="250">
        <v>3.43</v>
      </c>
      <c r="I84" s="252">
        <f>D84*H84*SFAssumptions!$C$3</f>
        <v>3346.0011522000004</v>
      </c>
      <c r="J84" s="253">
        <f t="shared" si="9"/>
        <v>1099</v>
      </c>
      <c r="K84" s="254">
        <f t="shared" si="9"/>
        <v>3.8</v>
      </c>
      <c r="L84" s="691">
        <f t="shared" si="24"/>
        <v>2.0489350000000002</v>
      </c>
      <c r="M84" s="691">
        <f t="shared" si="25"/>
        <v>3.6302060000000003</v>
      </c>
      <c r="N84" s="255">
        <v>2012</v>
      </c>
      <c r="O84" s="256">
        <f>C84*VLOOKUP(N84,SFAssumptions!$A$42:$B$51,2,FALSE)</f>
        <v>992.45731509764994</v>
      </c>
      <c r="P84" s="254">
        <f ca="1">O84+((SFAssumptions!$C$8-D84)*$AO$35)</f>
        <v>990.3480078806956</v>
      </c>
      <c r="Q84" s="190" t="str">
        <f>IF(OR(L84="",M84=""),"No",IF(AND(E84="Front Load",L84&gt;='Eff. Standards &amp; Certifications'!$B$21,M84&lt;='Eff. Standards &amp; Certifications'!$C$21),"Consider",IF(AND(E84="Top Load",L84&gt;='Eff. Standards &amp; Certifications'!$B$20,M84&lt;='Eff. Standards &amp; Certifications'!$C$20),"Consider","No")))</f>
        <v>Consider</v>
      </c>
      <c r="R84" s="203"/>
      <c r="S84" s="203"/>
      <c r="T84" s="293" t="str">
        <f t="shared" si="16"/>
        <v>NO</v>
      </c>
      <c r="U84" s="293" t="str">
        <f t="shared" si="16"/>
        <v>YES</v>
      </c>
      <c r="V84" s="293" t="str">
        <f t="shared" si="17"/>
        <v>YES</v>
      </c>
      <c r="W84" s="211" t="str">
        <f t="shared" si="12"/>
        <v>NO</v>
      </c>
      <c r="X84" s="211" t="str">
        <f t="shared" si="12"/>
        <v>YES</v>
      </c>
      <c r="Y84" s="211" t="str">
        <f t="shared" si="18"/>
        <v>YES</v>
      </c>
      <c r="Z84" s="211" t="str">
        <f t="shared" si="19"/>
        <v>NO</v>
      </c>
      <c r="AA84" s="211" t="str">
        <f t="shared" si="19"/>
        <v>NO</v>
      </c>
      <c r="AB84" s="293" t="str">
        <f t="shared" si="20"/>
        <v>NO</v>
      </c>
      <c r="AC84" s="211" t="str">
        <f t="shared" si="21"/>
        <v>NO</v>
      </c>
      <c r="AD84" s="211" t="str">
        <f t="shared" si="22"/>
        <v>NO</v>
      </c>
      <c r="AE84" s="211" t="str">
        <f t="shared" si="23"/>
        <v>NO</v>
      </c>
      <c r="AF84" s="206"/>
      <c r="AG84" s="206"/>
      <c r="AH84" s="203">
        <f t="shared" si="13"/>
        <v>2.0489350000000002</v>
      </c>
      <c r="AI84" s="203">
        <f t="shared" si="14"/>
        <v>1099</v>
      </c>
      <c r="AJ84" s="203">
        <f t="shared" si="15"/>
        <v>776.08036786398634</v>
      </c>
      <c r="AK84" s="203"/>
      <c r="AL84" s="203"/>
      <c r="AM84" s="203"/>
      <c r="AN84" s="207"/>
    </row>
    <row r="85" spans="1:40" s="204" customFormat="1" ht="15">
      <c r="A85" s="248" t="s">
        <v>920</v>
      </c>
      <c r="B85" s="248" t="s">
        <v>922</v>
      </c>
      <c r="C85" s="249">
        <v>1199</v>
      </c>
      <c r="D85" s="250">
        <v>4.3</v>
      </c>
      <c r="E85" s="250" t="str">
        <f>VLOOKUP(B85,'Northwest Retail Cost Data'!$C$5:$F$275,4,FALSE)</f>
        <v>Front Load</v>
      </c>
      <c r="F85" s="251" t="s">
        <v>846</v>
      </c>
      <c r="G85" s="248">
        <v>3</v>
      </c>
      <c r="H85" s="250">
        <v>2.48</v>
      </c>
      <c r="I85" s="252">
        <f>D85*H85*SFAssumptions!$C$3</f>
        <v>2737.5906312000002</v>
      </c>
      <c r="J85" s="253">
        <f t="shared" si="9"/>
        <v>1199</v>
      </c>
      <c r="K85" s="254">
        <f t="shared" si="9"/>
        <v>4.3</v>
      </c>
      <c r="L85" s="691">
        <f t="shared" si="24"/>
        <v>2.5701999999999998</v>
      </c>
      <c r="M85" s="691">
        <f t="shared" si="25"/>
        <v>2.657216</v>
      </c>
      <c r="N85" s="255">
        <v>2012</v>
      </c>
      <c r="O85" s="256">
        <f>C85*VLOOKUP(N85,SFAssumptions!$A$42:$B$51,2,FALSE)</f>
        <v>1082.7628032775999</v>
      </c>
      <c r="P85" s="254">
        <f ca="1">O85+((SFAssumptions!$C$8-D85)*$AO$35)</f>
        <v>1034.7844343586248</v>
      </c>
      <c r="Q85" s="190" t="str">
        <f>IF(OR(L85="",M85=""),"No",IF(AND(E85="Front Load",L85&gt;='Eff. Standards &amp; Certifications'!$B$21,M85&lt;='Eff. Standards &amp; Certifications'!$C$21),"Consider",IF(AND(E85="Top Load",L85&gt;='Eff. Standards &amp; Certifications'!$B$20,M85&lt;='Eff. Standards &amp; Certifications'!$C$20),"Consider","No")))</f>
        <v>Consider</v>
      </c>
      <c r="R85" s="203"/>
      <c r="S85" s="203"/>
      <c r="T85" s="293" t="str">
        <f t="shared" si="16"/>
        <v>NO</v>
      </c>
      <c r="U85" s="293" t="str">
        <f t="shared" si="16"/>
        <v>YES</v>
      </c>
      <c r="V85" s="293" t="str">
        <f t="shared" si="17"/>
        <v>YES</v>
      </c>
      <c r="W85" s="211" t="str">
        <f t="shared" si="12"/>
        <v>NO</v>
      </c>
      <c r="X85" s="211" t="str">
        <f t="shared" si="12"/>
        <v>NO</v>
      </c>
      <c r="Y85" s="211" t="str">
        <f t="shared" si="18"/>
        <v>NO</v>
      </c>
      <c r="Z85" s="211" t="str">
        <f t="shared" si="19"/>
        <v>NO</v>
      </c>
      <c r="AA85" s="211" t="str">
        <f t="shared" si="19"/>
        <v>YES</v>
      </c>
      <c r="AB85" s="293" t="str">
        <f t="shared" si="20"/>
        <v>YES</v>
      </c>
      <c r="AC85" s="211" t="str">
        <f t="shared" si="21"/>
        <v>YES</v>
      </c>
      <c r="AD85" s="211" t="str">
        <f t="shared" si="22"/>
        <v>NO</v>
      </c>
      <c r="AE85" s="211" t="str">
        <f t="shared" si="23"/>
        <v>NO</v>
      </c>
      <c r="AF85" s="206"/>
      <c r="AG85" s="206"/>
      <c r="AH85" s="203">
        <f t="shared" si="13"/>
        <v>2.5701999999999998</v>
      </c>
      <c r="AI85" s="203">
        <f t="shared" si="14"/>
        <v>1199</v>
      </c>
      <c r="AJ85" s="203">
        <f t="shared" si="15"/>
        <v>954.67217511445699</v>
      </c>
      <c r="AK85" s="203"/>
      <c r="AL85" s="203"/>
      <c r="AM85" s="203"/>
      <c r="AN85" s="207"/>
    </row>
    <row r="86" spans="1:40" s="204" customFormat="1" ht="15">
      <c r="A86" s="248" t="s">
        <v>920</v>
      </c>
      <c r="B86" s="250" t="s">
        <v>923</v>
      </c>
      <c r="C86" s="249">
        <v>899</v>
      </c>
      <c r="D86" s="250">
        <v>3.5</v>
      </c>
      <c r="E86" s="250" t="str">
        <f>VLOOKUP(B86,'Northwest Retail Cost Data'!$C$5:$F$275,4,FALSE)</f>
        <v>Front Load</v>
      </c>
      <c r="F86" s="251" t="s">
        <v>846</v>
      </c>
      <c r="G86" s="248">
        <v>2.46</v>
      </c>
      <c r="H86" s="250">
        <v>3.69</v>
      </c>
      <c r="I86" s="252">
        <f>D86*H86*SFAssumptions!$C$3</f>
        <v>3315.4522695000001</v>
      </c>
      <c r="J86" s="253">
        <f t="shared" si="9"/>
        <v>899</v>
      </c>
      <c r="K86" s="254">
        <f t="shared" si="9"/>
        <v>3.5</v>
      </c>
      <c r="L86" s="691">
        <f t="shared" si="24"/>
        <v>2.0763699999999998</v>
      </c>
      <c r="M86" s="691">
        <f t="shared" si="25"/>
        <v>3.8964979999999998</v>
      </c>
      <c r="N86" s="255">
        <v>2012</v>
      </c>
      <c r="O86" s="256">
        <f>C86*VLOOKUP(N86,SFAssumptions!$A$42:$B$51,2,FALSE)</f>
        <v>811.84633873774999</v>
      </c>
      <c r="P86" s="254">
        <f ca="1">O86+((SFAssumptions!$C$8-D86)*$AO$35)</f>
        <v>837.25846854200802</v>
      </c>
      <c r="Q86" s="190" t="str">
        <f>IF(OR(L86="",M86=""),"No",IF(AND(E86="Front Load",L86&gt;='Eff. Standards &amp; Certifications'!$B$21,M86&lt;='Eff. Standards &amp; Certifications'!$C$21),"Consider",IF(AND(E86="Top Load",L86&gt;='Eff. Standards &amp; Certifications'!$B$20,M86&lt;='Eff. Standards &amp; Certifications'!$C$20),"Consider","No")))</f>
        <v>Consider</v>
      </c>
      <c r="R86" s="203"/>
      <c r="S86" s="203"/>
      <c r="T86" s="293" t="str">
        <f t="shared" si="16"/>
        <v>NO</v>
      </c>
      <c r="U86" s="293" t="str">
        <f t="shared" si="16"/>
        <v>YES</v>
      </c>
      <c r="V86" s="293" t="str">
        <f t="shared" si="17"/>
        <v>YES</v>
      </c>
      <c r="W86" s="211" t="str">
        <f t="shared" si="12"/>
        <v>NO</v>
      </c>
      <c r="X86" s="211" t="str">
        <f t="shared" si="12"/>
        <v>YES</v>
      </c>
      <c r="Y86" s="211" t="str">
        <f t="shared" si="18"/>
        <v>YES</v>
      </c>
      <c r="Z86" s="211" t="str">
        <f t="shared" si="19"/>
        <v>NO</v>
      </c>
      <c r="AA86" s="211" t="str">
        <f t="shared" si="19"/>
        <v>NO</v>
      </c>
      <c r="AB86" s="293" t="str">
        <f t="shared" si="20"/>
        <v>NO</v>
      </c>
      <c r="AC86" s="211" t="str">
        <f t="shared" si="21"/>
        <v>NO</v>
      </c>
      <c r="AD86" s="211" t="str">
        <f t="shared" si="22"/>
        <v>NO</v>
      </c>
      <c r="AE86" s="211" t="str">
        <f t="shared" si="23"/>
        <v>NO</v>
      </c>
      <c r="AF86" s="206"/>
      <c r="AG86" s="206"/>
      <c r="AH86" s="203">
        <f t="shared" si="13"/>
        <v>2.0763699999999998</v>
      </c>
      <c r="AI86" s="203">
        <f t="shared" si="14"/>
        <v>899</v>
      </c>
      <c r="AJ86" s="203">
        <f t="shared" si="15"/>
        <v>753.34397083577016</v>
      </c>
      <c r="AK86" s="203"/>
      <c r="AL86" s="203"/>
      <c r="AM86" s="203"/>
      <c r="AN86" s="207"/>
    </row>
    <row r="87" spans="1:40" s="204" customFormat="1" ht="15">
      <c r="A87" s="248" t="s">
        <v>920</v>
      </c>
      <c r="B87" s="250" t="s">
        <v>924</v>
      </c>
      <c r="C87" s="249">
        <v>1499</v>
      </c>
      <c r="D87" s="250">
        <v>4.3</v>
      </c>
      <c r="E87" s="250" t="str">
        <f>VLOOKUP(B87,'Northwest Retail Cost Data'!$C$5:$F$275,4,FALSE)</f>
        <v>Front Load</v>
      </c>
      <c r="F87" s="251" t="s">
        <v>846</v>
      </c>
      <c r="G87" s="248">
        <v>3</v>
      </c>
      <c r="H87" s="250">
        <v>2.83</v>
      </c>
      <c r="I87" s="252">
        <f>D87*H87*SFAssumptions!$C$3</f>
        <v>3123.9441477</v>
      </c>
      <c r="J87" s="253">
        <f t="shared" si="9"/>
        <v>1499</v>
      </c>
      <c r="K87" s="254">
        <f t="shared" si="9"/>
        <v>4.3</v>
      </c>
      <c r="L87" s="691">
        <f t="shared" si="24"/>
        <v>2.5701999999999998</v>
      </c>
      <c r="M87" s="691">
        <f t="shared" si="25"/>
        <v>3.0156860000000001</v>
      </c>
      <c r="N87" s="255">
        <v>2012</v>
      </c>
      <c r="O87" s="256">
        <f>C87*VLOOKUP(N87,SFAssumptions!$A$42:$B$51,2,FALSE)</f>
        <v>1353.6792678174497</v>
      </c>
      <c r="P87" s="254">
        <f ca="1">O87+((SFAssumptions!$C$8-D87)*$AO$35)</f>
        <v>1305.7008988984746</v>
      </c>
      <c r="Q87" s="190" t="str">
        <f>IF(OR(L87="",M87=""),"No",IF(AND(E87="Front Load",L87&gt;='Eff. Standards &amp; Certifications'!$B$21,M87&lt;='Eff. Standards &amp; Certifications'!$C$21),"Consider",IF(AND(E87="Top Load",L87&gt;='Eff. Standards &amp; Certifications'!$B$20,M87&lt;='Eff. Standards &amp; Certifications'!$C$20),"Consider","No")))</f>
        <v>Consider</v>
      </c>
      <c r="R87" s="203"/>
      <c r="S87" s="203"/>
      <c r="T87" s="293" t="str">
        <f t="shared" si="16"/>
        <v>NO</v>
      </c>
      <c r="U87" s="293" t="str">
        <f t="shared" si="16"/>
        <v>YES</v>
      </c>
      <c r="V87" s="293" t="str">
        <f t="shared" si="17"/>
        <v>YES</v>
      </c>
      <c r="W87" s="211" t="str">
        <f t="shared" si="12"/>
        <v>NO</v>
      </c>
      <c r="X87" s="211" t="str">
        <f t="shared" si="12"/>
        <v>NO</v>
      </c>
      <c r="Y87" s="211" t="str">
        <f t="shared" si="18"/>
        <v>NO</v>
      </c>
      <c r="Z87" s="211" t="str">
        <f t="shared" si="19"/>
        <v>NO</v>
      </c>
      <c r="AA87" s="211" t="str">
        <f t="shared" si="19"/>
        <v>YES</v>
      </c>
      <c r="AB87" s="293" t="str">
        <f t="shared" si="20"/>
        <v>YES</v>
      </c>
      <c r="AC87" s="211" t="str">
        <f t="shared" si="21"/>
        <v>YES</v>
      </c>
      <c r="AD87" s="211" t="str">
        <f t="shared" si="22"/>
        <v>NO</v>
      </c>
      <c r="AE87" s="211" t="str">
        <f t="shared" si="23"/>
        <v>NO</v>
      </c>
      <c r="AF87" s="206"/>
      <c r="AG87" s="206"/>
      <c r="AH87" s="203">
        <f t="shared" si="13"/>
        <v>2.5701999999999998</v>
      </c>
      <c r="AI87" s="203">
        <f t="shared" si="14"/>
        <v>1499</v>
      </c>
      <c r="AJ87" s="203">
        <f t="shared" si="15"/>
        <v>952.18788903830557</v>
      </c>
      <c r="AK87" s="203"/>
      <c r="AL87" s="203"/>
      <c r="AM87" s="203"/>
      <c r="AN87" s="207"/>
    </row>
    <row r="88" spans="1:40" s="204" customFormat="1" ht="15">
      <c r="A88" s="248" t="s">
        <v>920</v>
      </c>
      <c r="B88" s="250" t="s">
        <v>925</v>
      </c>
      <c r="C88" s="249">
        <v>1399</v>
      </c>
      <c r="D88" s="250">
        <v>4.3</v>
      </c>
      <c r="E88" s="250" t="str">
        <f>VLOOKUP(B88,'Northwest Retail Cost Data'!$C$5:$F$275,4,FALSE)</f>
        <v>Front Load</v>
      </c>
      <c r="F88" s="251" t="s">
        <v>846</v>
      </c>
      <c r="G88" s="248">
        <v>3</v>
      </c>
      <c r="H88" s="250">
        <v>2.78</v>
      </c>
      <c r="I88" s="252">
        <f>D88*H88*SFAssumptions!$C$3</f>
        <v>3068.7507881999995</v>
      </c>
      <c r="J88" s="253">
        <f t="shared" si="9"/>
        <v>1399</v>
      </c>
      <c r="K88" s="254">
        <f t="shared" si="9"/>
        <v>4.3</v>
      </c>
      <c r="L88" s="691">
        <f t="shared" si="24"/>
        <v>2.5701999999999998</v>
      </c>
      <c r="M88" s="691">
        <f t="shared" si="25"/>
        <v>2.9644759999999999</v>
      </c>
      <c r="N88" s="255">
        <v>2012</v>
      </c>
      <c r="O88" s="256">
        <f>C88*VLOOKUP(N88,SFAssumptions!$A$42:$B$51,2,FALSE)</f>
        <v>1263.3737796374996</v>
      </c>
      <c r="P88" s="254">
        <f ca="1">O88+((SFAssumptions!$C$8-D88)*$AO$35)</f>
        <v>1215.3954107185245</v>
      </c>
      <c r="Q88" s="190" t="str">
        <f>IF(OR(L88="",M88=""),"No",IF(AND(E88="Front Load",L88&gt;='Eff. Standards &amp; Certifications'!$B$21,M88&lt;='Eff. Standards &amp; Certifications'!$C$21),"Consider",IF(AND(E88="Top Load",L88&gt;='Eff. Standards &amp; Certifications'!$B$20,M88&lt;='Eff. Standards &amp; Certifications'!$C$20),"Consider","No")))</f>
        <v>Consider</v>
      </c>
      <c r="R88" s="203"/>
      <c r="S88" s="203"/>
      <c r="T88" s="293" t="str">
        <f t="shared" si="16"/>
        <v>NO</v>
      </c>
      <c r="U88" s="293" t="str">
        <f t="shared" si="16"/>
        <v>YES</v>
      </c>
      <c r="V88" s="293" t="str">
        <f t="shared" si="17"/>
        <v>YES</v>
      </c>
      <c r="W88" s="211" t="str">
        <f t="shared" si="12"/>
        <v>NO</v>
      </c>
      <c r="X88" s="211" t="str">
        <f t="shared" si="12"/>
        <v>NO</v>
      </c>
      <c r="Y88" s="211" t="str">
        <f t="shared" si="18"/>
        <v>NO</v>
      </c>
      <c r="Z88" s="211" t="str">
        <f t="shared" si="19"/>
        <v>NO</v>
      </c>
      <c r="AA88" s="211" t="str">
        <f t="shared" si="19"/>
        <v>YES</v>
      </c>
      <c r="AB88" s="293" t="str">
        <f t="shared" si="20"/>
        <v>YES</v>
      </c>
      <c r="AC88" s="211" t="str">
        <f t="shared" si="21"/>
        <v>YES</v>
      </c>
      <c r="AD88" s="211" t="str">
        <f t="shared" si="22"/>
        <v>NO</v>
      </c>
      <c r="AE88" s="211" t="str">
        <f t="shared" si="23"/>
        <v>NO</v>
      </c>
      <c r="AF88" s="206"/>
      <c r="AG88" s="206"/>
      <c r="AH88" s="203">
        <f t="shared" si="13"/>
        <v>2.5701999999999998</v>
      </c>
      <c r="AI88" s="203">
        <f t="shared" si="14"/>
        <v>1399</v>
      </c>
      <c r="AJ88" s="203">
        <f t="shared" si="15"/>
        <v>952.54278704918431</v>
      </c>
      <c r="AK88" s="203"/>
      <c r="AL88" s="203"/>
      <c r="AM88" s="203"/>
      <c r="AN88" s="207"/>
    </row>
    <row r="89" spans="1:40" s="204" customFormat="1" ht="15">
      <c r="A89" s="248" t="s">
        <v>920</v>
      </c>
      <c r="B89" s="250" t="s">
        <v>926</v>
      </c>
      <c r="C89" s="249">
        <v>799</v>
      </c>
      <c r="D89" s="250">
        <v>3.5</v>
      </c>
      <c r="E89" s="250" t="str">
        <f>VLOOKUP(B89,'Northwest Retail Cost Data'!$C$5:$F$275,4,FALSE)</f>
        <v>Front Load</v>
      </c>
      <c r="F89" s="251" t="s">
        <v>846</v>
      </c>
      <c r="G89" s="248">
        <v>2.46</v>
      </c>
      <c r="H89" s="250">
        <v>3.69</v>
      </c>
      <c r="I89" s="252">
        <f>D89*H89*SFAssumptions!$C$3</f>
        <v>3315.4522695000001</v>
      </c>
      <c r="J89" s="253">
        <f t="shared" si="9"/>
        <v>799</v>
      </c>
      <c r="K89" s="254">
        <f t="shared" si="9"/>
        <v>3.5</v>
      </c>
      <c r="L89" s="691">
        <f t="shared" si="24"/>
        <v>2.0763699999999998</v>
      </c>
      <c r="M89" s="691">
        <f t="shared" si="25"/>
        <v>3.8964979999999998</v>
      </c>
      <c r="N89" s="255">
        <v>2012</v>
      </c>
      <c r="O89" s="256">
        <f>C89*VLOOKUP(N89,SFAssumptions!$A$42:$B$51,2,FALSE)</f>
        <v>721.54085055780001</v>
      </c>
      <c r="P89" s="254">
        <f ca="1">O89+((SFAssumptions!$C$8-D89)*$AO$35)</f>
        <v>746.95298036205804</v>
      </c>
      <c r="Q89" s="190" t="str">
        <f>IF(OR(L89="",M89=""),"No",IF(AND(E89="Front Load",L89&gt;='Eff. Standards &amp; Certifications'!$B$21,M89&lt;='Eff. Standards &amp; Certifications'!$C$21),"Consider",IF(AND(E89="Top Load",L89&gt;='Eff. Standards &amp; Certifications'!$B$20,M89&lt;='Eff. Standards &amp; Certifications'!$C$20),"Consider","No")))</f>
        <v>Consider</v>
      </c>
      <c r="R89" s="203"/>
      <c r="S89" s="203"/>
      <c r="T89" s="293" t="str">
        <f t="shared" si="16"/>
        <v>NO</v>
      </c>
      <c r="U89" s="293" t="str">
        <f t="shared" si="16"/>
        <v>YES</v>
      </c>
      <c r="V89" s="293" t="str">
        <f t="shared" si="17"/>
        <v>YES</v>
      </c>
      <c r="W89" s="211" t="str">
        <f t="shared" si="12"/>
        <v>NO</v>
      </c>
      <c r="X89" s="211" t="str">
        <f t="shared" si="12"/>
        <v>YES</v>
      </c>
      <c r="Y89" s="211" t="str">
        <f t="shared" si="18"/>
        <v>YES</v>
      </c>
      <c r="Z89" s="211" t="str">
        <f t="shared" si="19"/>
        <v>NO</v>
      </c>
      <c r="AA89" s="211" t="str">
        <f t="shared" si="19"/>
        <v>NO</v>
      </c>
      <c r="AB89" s="293" t="str">
        <f t="shared" si="20"/>
        <v>NO</v>
      </c>
      <c r="AC89" s="211" t="str">
        <f t="shared" si="21"/>
        <v>NO</v>
      </c>
      <c r="AD89" s="211" t="str">
        <f t="shared" si="22"/>
        <v>NO</v>
      </c>
      <c r="AE89" s="211" t="str">
        <f t="shared" si="23"/>
        <v>NO</v>
      </c>
      <c r="AF89" s="206"/>
      <c r="AG89" s="206"/>
      <c r="AH89" s="203">
        <f t="shared" si="13"/>
        <v>2.0763699999999998</v>
      </c>
      <c r="AI89" s="203">
        <f t="shared" si="14"/>
        <v>799</v>
      </c>
      <c r="AJ89" s="203">
        <f t="shared" si="15"/>
        <v>753.34397083577016</v>
      </c>
      <c r="AK89" s="203"/>
      <c r="AL89" s="203"/>
      <c r="AM89" s="203"/>
      <c r="AN89" s="207"/>
    </row>
    <row r="90" spans="1:40" s="204" customFormat="1" ht="15">
      <c r="A90" s="248" t="s">
        <v>920</v>
      </c>
      <c r="B90" s="250" t="s">
        <v>927</v>
      </c>
      <c r="C90" s="249">
        <v>1199</v>
      </c>
      <c r="D90" s="250">
        <v>4.3</v>
      </c>
      <c r="E90" s="250" t="str">
        <f>VLOOKUP(B90,'Northwest Retail Cost Data'!$C$5:$F$275,4,FALSE)</f>
        <v>Front Load</v>
      </c>
      <c r="F90" s="251" t="s">
        <v>846</v>
      </c>
      <c r="G90" s="248">
        <v>3.3</v>
      </c>
      <c r="H90" s="250">
        <v>2.5499999999999998</v>
      </c>
      <c r="I90" s="252">
        <f>D90*H90*SFAssumptions!$C$3</f>
        <v>2814.8613344999994</v>
      </c>
      <c r="J90" s="253">
        <f t="shared" si="9"/>
        <v>1199</v>
      </c>
      <c r="K90" s="254">
        <f t="shared" si="9"/>
        <v>4.3</v>
      </c>
      <c r="L90" s="691">
        <f t="shared" si="24"/>
        <v>2.8445499999999999</v>
      </c>
      <c r="M90" s="691">
        <f t="shared" si="25"/>
        <v>2.7289099999999999</v>
      </c>
      <c r="N90" s="255">
        <v>2012</v>
      </c>
      <c r="O90" s="256">
        <f>C90*VLOOKUP(N90,SFAssumptions!$A$42:$B$51,2,FALSE)</f>
        <v>1082.7628032775999</v>
      </c>
      <c r="P90" s="254">
        <f ca="1">O90+((SFAssumptions!$C$8-D90)*$AO$35)</f>
        <v>1034.7844343586248</v>
      </c>
      <c r="Q90" s="190" t="str">
        <f>IF(OR(L90="",M90=""),"No",IF(AND(E90="Front Load",L90&gt;='Eff. Standards &amp; Certifications'!$B$21,M90&lt;='Eff. Standards &amp; Certifications'!$C$21),"Consider",IF(AND(E90="Top Load",L90&gt;='Eff. Standards &amp; Certifications'!$B$20,M90&lt;='Eff. Standards &amp; Certifications'!$C$20),"Consider","No")))</f>
        <v>Consider</v>
      </c>
      <c r="R90" s="203"/>
      <c r="S90" s="203"/>
      <c r="T90" s="293" t="str">
        <f t="shared" si="16"/>
        <v>NO</v>
      </c>
      <c r="U90" s="293" t="str">
        <f t="shared" si="16"/>
        <v>YES</v>
      </c>
      <c r="V90" s="293" t="str">
        <f t="shared" si="17"/>
        <v>YES</v>
      </c>
      <c r="W90" s="211" t="str">
        <f t="shared" si="12"/>
        <v>NO</v>
      </c>
      <c r="X90" s="211" t="str">
        <f t="shared" si="12"/>
        <v>NO</v>
      </c>
      <c r="Y90" s="211" t="str">
        <f t="shared" si="18"/>
        <v>NO</v>
      </c>
      <c r="Z90" s="211" t="str">
        <f t="shared" si="19"/>
        <v>NO</v>
      </c>
      <c r="AA90" s="211" t="str">
        <f t="shared" si="19"/>
        <v>YES</v>
      </c>
      <c r="AB90" s="293" t="str">
        <f t="shared" si="20"/>
        <v>YES</v>
      </c>
      <c r="AC90" s="211" t="str">
        <f t="shared" si="21"/>
        <v>NO</v>
      </c>
      <c r="AD90" s="211" t="str">
        <f t="shared" si="22"/>
        <v>YES</v>
      </c>
      <c r="AE90" s="211" t="str">
        <f t="shared" si="23"/>
        <v>NO</v>
      </c>
      <c r="AF90" s="206"/>
      <c r="AG90" s="206"/>
      <c r="AH90" s="203">
        <f t="shared" si="13"/>
        <v>2.8445499999999999</v>
      </c>
      <c r="AI90" s="203">
        <f t="shared" si="14"/>
        <v>1199</v>
      </c>
      <c r="AJ90" s="203">
        <f t="shared" si="15"/>
        <v>1020.4804143948863</v>
      </c>
      <c r="AK90" s="203"/>
      <c r="AL90" s="203"/>
      <c r="AM90" s="203"/>
      <c r="AN90" s="207"/>
    </row>
    <row r="91" spans="1:40" s="204" customFormat="1" ht="15">
      <c r="A91" s="248" t="s">
        <v>920</v>
      </c>
      <c r="B91" s="248" t="s">
        <v>928</v>
      </c>
      <c r="C91" s="249">
        <v>999</v>
      </c>
      <c r="D91" s="250">
        <v>3.8</v>
      </c>
      <c r="E91" s="250" t="str">
        <f>VLOOKUP(B91,'Northwest Retail Cost Data'!$C$5:$F$275,4,FALSE)</f>
        <v>Front Load</v>
      </c>
      <c r="F91" s="251" t="s">
        <v>846</v>
      </c>
      <c r="G91" s="248">
        <v>2.4300000000000002</v>
      </c>
      <c r="H91" s="250">
        <v>3.43</v>
      </c>
      <c r="I91" s="252">
        <f>D91*H91*SFAssumptions!$C$3</f>
        <v>3346.0011522000004</v>
      </c>
      <c r="J91" s="253">
        <f t="shared" si="9"/>
        <v>999</v>
      </c>
      <c r="K91" s="254">
        <f t="shared" si="9"/>
        <v>3.8</v>
      </c>
      <c r="L91" s="691">
        <f t="shared" si="24"/>
        <v>2.0489350000000002</v>
      </c>
      <c r="M91" s="691">
        <f t="shared" si="25"/>
        <v>3.6302060000000003</v>
      </c>
      <c r="N91" s="255">
        <v>2012</v>
      </c>
      <c r="O91" s="256">
        <f>C91*VLOOKUP(N91,SFAssumptions!$A$42:$B$51,2,FALSE)</f>
        <v>902.15182691769996</v>
      </c>
      <c r="P91" s="254">
        <f ca="1">O91+((SFAssumptions!$C$8-D91)*$AO$35)</f>
        <v>900.04251970074563</v>
      </c>
      <c r="Q91" s="190" t="str">
        <f>IF(OR(L91="",M91=""),"No",IF(AND(E91="Front Load",L91&gt;='Eff. Standards &amp; Certifications'!$B$21,M91&lt;='Eff. Standards &amp; Certifications'!$C$21),"Consider",IF(AND(E91="Top Load",L91&gt;='Eff. Standards &amp; Certifications'!$B$20,M91&lt;='Eff. Standards &amp; Certifications'!$C$20),"Consider","No")))</f>
        <v>Consider</v>
      </c>
      <c r="R91" s="203"/>
      <c r="S91" s="203"/>
      <c r="T91" s="293" t="str">
        <f t="shared" si="16"/>
        <v>NO</v>
      </c>
      <c r="U91" s="293" t="str">
        <f t="shared" si="16"/>
        <v>YES</v>
      </c>
      <c r="V91" s="293" t="str">
        <f t="shared" si="17"/>
        <v>YES</v>
      </c>
      <c r="W91" s="211" t="str">
        <f t="shared" si="12"/>
        <v>NO</v>
      </c>
      <c r="X91" s="211" t="str">
        <f t="shared" si="12"/>
        <v>YES</v>
      </c>
      <c r="Y91" s="211" t="str">
        <f t="shared" si="18"/>
        <v>YES</v>
      </c>
      <c r="Z91" s="211" t="str">
        <f t="shared" si="19"/>
        <v>NO</v>
      </c>
      <c r="AA91" s="211" t="str">
        <f t="shared" si="19"/>
        <v>NO</v>
      </c>
      <c r="AB91" s="293" t="str">
        <f t="shared" si="20"/>
        <v>NO</v>
      </c>
      <c r="AC91" s="211" t="str">
        <f t="shared" si="21"/>
        <v>NO</v>
      </c>
      <c r="AD91" s="211" t="str">
        <f t="shared" si="22"/>
        <v>NO</v>
      </c>
      <c r="AE91" s="211" t="str">
        <f t="shared" si="23"/>
        <v>NO</v>
      </c>
      <c r="AF91" s="206"/>
      <c r="AG91" s="206"/>
      <c r="AH91" s="203">
        <f t="shared" si="13"/>
        <v>2.0489350000000002</v>
      </c>
      <c r="AI91" s="203">
        <f t="shared" si="14"/>
        <v>999</v>
      </c>
      <c r="AJ91" s="203">
        <f t="shared" si="15"/>
        <v>776.08036786398634</v>
      </c>
      <c r="AK91" s="203"/>
      <c r="AL91" s="203"/>
      <c r="AM91" s="203"/>
      <c r="AN91" s="207"/>
    </row>
    <row r="92" spans="1:40" s="204" customFormat="1" ht="15">
      <c r="A92" s="248" t="s">
        <v>626</v>
      </c>
      <c r="B92" s="248" t="s">
        <v>929</v>
      </c>
      <c r="C92" s="249">
        <v>399</v>
      </c>
      <c r="D92" s="248">
        <v>3.1</v>
      </c>
      <c r="E92" s="250" t="str">
        <f>VLOOKUP(B92,'Northwest Retail Cost Data'!$C$5:$F$275,4,FALSE)</f>
        <v>Top Load</v>
      </c>
      <c r="F92" s="251" t="s">
        <v>846</v>
      </c>
      <c r="G92" s="248">
        <v>1.5</v>
      </c>
      <c r="H92" s="248">
        <v>9.5</v>
      </c>
      <c r="I92" s="252">
        <f>D92*H92*SFAssumptions!$C$3</f>
        <v>7560.2066850000001</v>
      </c>
      <c r="J92" s="253">
        <f t="shared" si="9"/>
        <v>399</v>
      </c>
      <c r="K92" s="254">
        <f t="shared" si="9"/>
        <v>3.1</v>
      </c>
      <c r="L92" s="691">
        <f t="shared" si="24"/>
        <v>1.0686999999999998</v>
      </c>
      <c r="M92" s="691">
        <f t="shared" si="25"/>
        <v>9.9226500000000009</v>
      </c>
      <c r="N92" s="255">
        <v>2012</v>
      </c>
      <c r="O92" s="256">
        <f>C92*VLOOKUP(N92,SFAssumptions!$A$42:$B$51,2,FALSE)</f>
        <v>360.31889783800028</v>
      </c>
      <c r="P92" s="254">
        <f ca="1">O92+((SFAssumptions!$C$8-D92)*$AO$35)</f>
        <v>422.42627700387482</v>
      </c>
      <c r="Q92" s="190" t="str">
        <f>IF(OR(L92="",M92=""),"No",IF(AND(E92="Front Load",L92&gt;='Eff. Standards &amp; Certifications'!$B$21,M92&lt;='Eff. Standards &amp; Certifications'!$C$21),"Consider",IF(AND(E92="Top Load",L92&gt;='Eff. Standards &amp; Certifications'!$B$20,M92&lt;='Eff. Standards &amp; Certifications'!$C$20),"Consider","No")))</f>
        <v>No</v>
      </c>
      <c r="R92" s="203"/>
      <c r="S92" s="203"/>
      <c r="T92" s="293" t="str">
        <f t="shared" si="16"/>
        <v>NO</v>
      </c>
      <c r="U92" s="293" t="str">
        <f t="shared" si="16"/>
        <v>NO</v>
      </c>
      <c r="V92" s="293" t="str">
        <f t="shared" si="17"/>
        <v>NO</v>
      </c>
      <c r="W92" s="211" t="str">
        <f t="shared" si="12"/>
        <v>NO</v>
      </c>
      <c r="X92" s="211" t="str">
        <f t="shared" si="12"/>
        <v>NO</v>
      </c>
      <c r="Y92" s="211" t="str">
        <f t="shared" si="18"/>
        <v>NO</v>
      </c>
      <c r="Z92" s="211" t="str">
        <f t="shared" si="19"/>
        <v>NO</v>
      </c>
      <c r="AA92" s="211" t="str">
        <f t="shared" si="19"/>
        <v>NO</v>
      </c>
      <c r="AB92" s="293" t="str">
        <f t="shared" si="20"/>
        <v>NO</v>
      </c>
      <c r="AC92" s="211" t="str">
        <f t="shared" si="21"/>
        <v>NO</v>
      </c>
      <c r="AD92" s="211" t="str">
        <f t="shared" si="22"/>
        <v>NO</v>
      </c>
      <c r="AE92" s="211" t="str">
        <f t="shared" si="23"/>
        <v>NO</v>
      </c>
      <c r="AF92" s="206"/>
      <c r="AG92" s="206"/>
      <c r="AH92" s="203">
        <f t="shared" si="13"/>
        <v>1.0686999999999998</v>
      </c>
      <c r="AI92" s="203">
        <f t="shared" si="14"/>
        <v>399</v>
      </c>
      <c r="AJ92" s="203">
        <f t="shared" si="15"/>
        <v>431.35161442520911</v>
      </c>
      <c r="AK92" s="203"/>
      <c r="AL92" s="203"/>
      <c r="AM92" s="203"/>
      <c r="AN92" s="207"/>
    </row>
    <row r="93" spans="1:40" s="204" customFormat="1" ht="15">
      <c r="A93" s="248" t="s">
        <v>852</v>
      </c>
      <c r="B93" s="248" t="s">
        <v>930</v>
      </c>
      <c r="C93" s="249">
        <v>499</v>
      </c>
      <c r="D93" s="248">
        <v>3.7</v>
      </c>
      <c r="E93" s="250" t="str">
        <f>VLOOKUP(B93,'Northwest Retail Cost Data'!$C$5:$F$275,4,FALSE)</f>
        <v>Top Load</v>
      </c>
      <c r="F93" s="251" t="s">
        <v>846</v>
      </c>
      <c r="G93" s="248">
        <v>1.26</v>
      </c>
      <c r="H93" s="248">
        <v>9.5</v>
      </c>
      <c r="I93" s="252">
        <f>D93*H93*SFAssumptions!$C$3</f>
        <v>9023.472495</v>
      </c>
      <c r="J93" s="253">
        <f t="shared" si="9"/>
        <v>499</v>
      </c>
      <c r="K93" s="254">
        <f t="shared" si="9"/>
        <v>3.7</v>
      </c>
      <c r="L93" s="691">
        <f t="shared" si="24"/>
        <v>0.83110000000000006</v>
      </c>
      <c r="M93" s="691">
        <f t="shared" si="25"/>
        <v>9.9226500000000009</v>
      </c>
      <c r="N93" s="255">
        <v>2012</v>
      </c>
      <c r="O93" s="256">
        <f>C93*VLOOKUP(N93,SFAssumptions!$A$42:$B$51,2,FALSE)</f>
        <v>450.6243860179502</v>
      </c>
      <c r="P93" s="254">
        <f ca="1">O93+((SFAssumptions!$C$8-D93)*$AO$35)</f>
        <v>457.68889114139995</v>
      </c>
      <c r="Q93" s="190" t="str">
        <f>IF(OR(L93="",M93=""),"No",IF(AND(E93="Front Load",L93&gt;='Eff. Standards &amp; Certifications'!$B$21,M93&lt;='Eff. Standards &amp; Certifications'!$C$21),"Consider",IF(AND(E93="Top Load",L93&gt;='Eff. Standards &amp; Certifications'!$B$20,M93&lt;='Eff. Standards &amp; Certifications'!$C$20),"Consider","No")))</f>
        <v>No</v>
      </c>
      <c r="R93" s="203"/>
      <c r="S93" s="203"/>
      <c r="T93" s="293" t="str">
        <f t="shared" si="16"/>
        <v>NO</v>
      </c>
      <c r="U93" s="293" t="str">
        <f t="shared" si="16"/>
        <v>NO</v>
      </c>
      <c r="V93" s="293" t="str">
        <f t="shared" si="17"/>
        <v>NO</v>
      </c>
      <c r="W93" s="211" t="str">
        <f t="shared" si="12"/>
        <v>NO</v>
      </c>
      <c r="X93" s="211" t="str">
        <f t="shared" si="12"/>
        <v>NO</v>
      </c>
      <c r="Y93" s="211" t="str">
        <f t="shared" si="18"/>
        <v>NO</v>
      </c>
      <c r="Z93" s="211" t="str">
        <f t="shared" si="19"/>
        <v>NO</v>
      </c>
      <c r="AA93" s="211" t="str">
        <f t="shared" si="19"/>
        <v>NO</v>
      </c>
      <c r="AB93" s="293" t="str">
        <f t="shared" si="20"/>
        <v>NO</v>
      </c>
      <c r="AC93" s="211" t="str">
        <f t="shared" si="21"/>
        <v>NO</v>
      </c>
      <c r="AD93" s="211" t="str">
        <f t="shared" si="22"/>
        <v>NO</v>
      </c>
      <c r="AE93" s="211" t="str">
        <f t="shared" si="23"/>
        <v>NO</v>
      </c>
      <c r="AF93" s="206"/>
      <c r="AG93" s="206"/>
      <c r="AH93" s="203">
        <f t="shared" si="13"/>
        <v>0.83110000000000006</v>
      </c>
      <c r="AI93" s="203">
        <f t="shared" si="14"/>
        <v>499</v>
      </c>
      <c r="AJ93" s="203">
        <f t="shared" si="15"/>
        <v>428.97115722152967</v>
      </c>
      <c r="AK93" s="203"/>
      <c r="AL93" s="203"/>
      <c r="AM93" s="203"/>
      <c r="AN93" s="207"/>
    </row>
    <row r="94" spans="1:40" s="204" customFormat="1" ht="15">
      <c r="A94" s="248" t="s">
        <v>852</v>
      </c>
      <c r="B94" s="248" t="s">
        <v>931</v>
      </c>
      <c r="C94" s="249">
        <v>429</v>
      </c>
      <c r="D94" s="248">
        <v>3.3</v>
      </c>
      <c r="E94" s="250" t="str">
        <f>VLOOKUP(B94,'Northwest Retail Cost Data'!$C$5:$F$275,4,FALSE)</f>
        <v>Top Load</v>
      </c>
      <c r="F94" s="251" t="s">
        <v>846</v>
      </c>
      <c r="G94" s="248">
        <v>1.33</v>
      </c>
      <c r="H94" s="248">
        <v>8.5</v>
      </c>
      <c r="I94" s="252">
        <f>D94*H94*SFAssumptions!$C$3</f>
        <v>7200.8080649999993</v>
      </c>
      <c r="J94" s="253">
        <f t="shared" ref="J94:K157" si="26">C94</f>
        <v>429</v>
      </c>
      <c r="K94" s="254">
        <f t="shared" si="26"/>
        <v>3.3</v>
      </c>
      <c r="L94" s="691">
        <f t="shared" ref="L94:L157" si="27">IF($G94="","",IF($E94="Front Load",G94*slope_FrontLoad_MEF+int_FrontLoad_MEF,IF($E94="Top Load",G94*slope_TopLoad_MEF+int_TopLoad_MEF,"")))</f>
        <v>0.90039999999999998</v>
      </c>
      <c r="M94" s="691">
        <f t="shared" ref="M94:M157" si="28">IF($H94="","",IF($E94="Front Load",H94*slope_FrontLoad_WF+int_FrontLoad_WF,IF($E94="Top Load",H94*slope_TopLoad_WF+int_TopLoad_WF,"")))</f>
        <v>8.9337499999999999</v>
      </c>
      <c r="N94" s="255">
        <v>2012</v>
      </c>
      <c r="O94" s="256">
        <f>C94*VLOOKUP(N94,SFAssumptions!$A$42:$B$51,2,FALSE)</f>
        <v>387.41054429198527</v>
      </c>
      <c r="P94" s="254">
        <f ca="1">O94+((SFAssumptions!$C$8-D94)*$AO$35)</f>
        <v>431.17029877705158</v>
      </c>
      <c r="Q94" s="190" t="str">
        <f>IF(OR(L94="",M94=""),"No",IF(AND(E94="Front Load",L94&gt;='Eff. Standards &amp; Certifications'!$B$21,M94&lt;='Eff. Standards &amp; Certifications'!$C$21),"Consider",IF(AND(E94="Top Load",L94&gt;='Eff. Standards &amp; Certifications'!$B$20,M94&lt;='Eff. Standards &amp; Certifications'!$C$20),"Consider","No")))</f>
        <v>No</v>
      </c>
      <c r="R94" s="203"/>
      <c r="S94" s="203"/>
      <c r="T94" s="293" t="str">
        <f t="shared" si="16"/>
        <v>NO</v>
      </c>
      <c r="U94" s="293" t="str">
        <f t="shared" si="16"/>
        <v>NO</v>
      </c>
      <c r="V94" s="293" t="str">
        <f t="shared" si="17"/>
        <v>NO</v>
      </c>
      <c r="W94" s="211" t="str">
        <f t="shared" ref="W94:X157" si="29">IF(AND($Q94="Consider",$E94=W$26,$L94&gt;=Z$6,$M94&lt;=Z$9),"NO",IF(AND($Q94="Consider",$E94=W$26,$L94&gt;=W$6,$M94&lt;=W$9),"YES","NO"))</f>
        <v>NO</v>
      </c>
      <c r="X94" s="211" t="str">
        <f t="shared" si="29"/>
        <v>NO</v>
      </c>
      <c r="Y94" s="211" t="str">
        <f t="shared" si="18"/>
        <v>NO</v>
      </c>
      <c r="Z94" s="211" t="str">
        <f t="shared" si="19"/>
        <v>NO</v>
      </c>
      <c r="AA94" s="211" t="str">
        <f t="shared" si="19"/>
        <v>NO</v>
      </c>
      <c r="AB94" s="293" t="str">
        <f t="shared" si="20"/>
        <v>NO</v>
      </c>
      <c r="AC94" s="211" t="str">
        <f t="shared" si="21"/>
        <v>NO</v>
      </c>
      <c r="AD94" s="211" t="str">
        <f t="shared" si="22"/>
        <v>NO</v>
      </c>
      <c r="AE94" s="211" t="str">
        <f t="shared" si="23"/>
        <v>NO</v>
      </c>
      <c r="AF94" s="206"/>
      <c r="AG94" s="206"/>
      <c r="AH94" s="203">
        <f t="shared" ref="AH94:AH157" si="30">L94</f>
        <v>0.90039999999999998</v>
      </c>
      <c r="AI94" s="203">
        <f t="shared" ref="AI94:AI157" si="31">C94</f>
        <v>429</v>
      </c>
      <c r="AJ94" s="203">
        <f t="shared" ref="AJ94:AJ157" si="32">$AP$35+D94*$AO$35+L94*$AN$35+M94*$AM$35</f>
        <v>415.87770192909181</v>
      </c>
      <c r="AK94" s="203"/>
      <c r="AL94" s="203"/>
      <c r="AM94" s="203"/>
      <c r="AN94" s="207"/>
    </row>
    <row r="95" spans="1:40" s="204" customFormat="1" ht="15">
      <c r="A95" s="248" t="s">
        <v>852</v>
      </c>
      <c r="B95" s="248" t="s">
        <v>932</v>
      </c>
      <c r="C95" s="249">
        <v>849</v>
      </c>
      <c r="D95" s="248">
        <v>2.7</v>
      </c>
      <c r="E95" s="250" t="str">
        <f>VLOOKUP(B95,'Northwest Retail Cost Data'!$C$5:$F$275,4,FALSE)</f>
        <v>Top Load</v>
      </c>
      <c r="F95" s="251" t="s">
        <v>846</v>
      </c>
      <c r="G95" s="248">
        <v>1.33</v>
      </c>
      <c r="H95" s="248">
        <v>9.5</v>
      </c>
      <c r="I95" s="252">
        <f>D95*H95*SFAssumptions!$C$3</f>
        <v>6584.6961450000008</v>
      </c>
      <c r="J95" s="253">
        <f t="shared" si="26"/>
        <v>849</v>
      </c>
      <c r="K95" s="254">
        <f t="shared" si="26"/>
        <v>2.7</v>
      </c>
      <c r="L95" s="691">
        <f t="shared" si="27"/>
        <v>0.90039999999999998</v>
      </c>
      <c r="M95" s="691">
        <f t="shared" si="28"/>
        <v>9.9226500000000009</v>
      </c>
      <c r="N95" s="255">
        <v>2012</v>
      </c>
      <c r="O95" s="256">
        <f>C95*VLOOKUP(N95,SFAssumptions!$A$42:$B$51,2,FALSE)</f>
        <v>766.69359464777506</v>
      </c>
      <c r="P95" s="254">
        <f ca="1">O95+((SFAssumptions!$C$8-D95)*$AO$35)</f>
        <v>865.4962231752661</v>
      </c>
      <c r="Q95" s="190" t="str">
        <f>IF(OR(L95="",M95=""),"No",IF(AND(E95="Front Load",L95&gt;='Eff. Standards &amp; Certifications'!$B$21,M95&lt;='Eff. Standards &amp; Certifications'!$C$21),"Consider",IF(AND(E95="Top Load",L95&gt;='Eff. Standards &amp; Certifications'!$B$20,M95&lt;='Eff. Standards &amp; Certifications'!$C$20),"Consider","No")))</f>
        <v>No</v>
      </c>
      <c r="R95" s="203"/>
      <c r="S95" s="203"/>
      <c r="T95" s="293" t="str">
        <f t="shared" ref="T95:U158" si="33">IF(AND($L95&gt;=T$6,$L95&lt;=T$7,$M95&gt;=T$8,$M95&lt;=T$9,$M95&gt;0,$E95=T$26,$Q95="Consider"),"YES","NO")</f>
        <v>NO</v>
      </c>
      <c r="U95" s="293" t="str">
        <f t="shared" si="33"/>
        <v>NO</v>
      </c>
      <c r="V95" s="293" t="str">
        <f t="shared" ref="V95:V158" si="34">IF(OR(T95="YES",U95="YES"),"YES","NO")</f>
        <v>NO</v>
      </c>
      <c r="W95" s="211" t="str">
        <f t="shared" si="29"/>
        <v>NO</v>
      </c>
      <c r="X95" s="211" t="str">
        <f t="shared" si="29"/>
        <v>NO</v>
      </c>
      <c r="Y95" s="211" t="str">
        <f t="shared" ref="Y95:Y158" si="35">IF(OR(W95="YES",X95="YES"),"YES","NO")</f>
        <v>NO</v>
      </c>
      <c r="Z95" s="211" t="str">
        <f t="shared" ref="Z95:AA158" si="36">IF(AND($Q95="Consider",$E95=Z$26,$L95&gt;=Z$6,$M95&lt;=Z$9),"YES","NO")</f>
        <v>NO</v>
      </c>
      <c r="AA95" s="211" t="str">
        <f t="shared" si="36"/>
        <v>NO</v>
      </c>
      <c r="AB95" s="293" t="str">
        <f t="shared" ref="AB95:AB158" si="37">IF(OR(Z95="YES",AA95="YES"),"YES","NO")</f>
        <v>NO</v>
      </c>
      <c r="AC95" s="211" t="str">
        <f t="shared" ref="AC95:AC158" si="38">IF(AND($Q95="Consider",$L95&gt;=AE$6,$M95&lt;=AE$9),"NO",IF(AND($Q95="Consider",$L95&gt;=AD$6,$M95&lt;=AD$9),"NO",IF(AND($Q95="Consider",$L95&gt;=AC$6,$M95&lt;=AC$9),"YES","NO")))</f>
        <v>NO</v>
      </c>
      <c r="AD95" s="211" t="str">
        <f t="shared" ref="AD95:AD158" si="39">IF(AND($Q95="Consider",$L95&gt;=AE$6,$M95&lt;=AE$9),"NO",IF(AND($Q95="Consider",$L95&gt;=AD$6,$M95&lt;=AD$9),"YES","NO"))</f>
        <v>NO</v>
      </c>
      <c r="AE95" s="211" t="str">
        <f t="shared" ref="AE95:AE158" si="40">IF(AND($Q95="Consider",$L95&gt;=AE$6,$M95&lt;=AE$9),"YES","NO")</f>
        <v>NO</v>
      </c>
      <c r="AF95" s="206"/>
      <c r="AG95" s="206"/>
      <c r="AH95" s="203">
        <f t="shared" si="30"/>
        <v>0.90039999999999998</v>
      </c>
      <c r="AI95" s="203">
        <f t="shared" si="31"/>
        <v>849</v>
      </c>
      <c r="AJ95" s="203">
        <f t="shared" si="32"/>
        <v>353.98150543093539</v>
      </c>
      <c r="AK95" s="203"/>
      <c r="AL95" s="203"/>
      <c r="AM95" s="203"/>
      <c r="AN95" s="207"/>
    </row>
    <row r="96" spans="1:40" s="204" customFormat="1" ht="15">
      <c r="A96" s="248" t="s">
        <v>489</v>
      </c>
      <c r="B96" s="248" t="s">
        <v>933</v>
      </c>
      <c r="C96" s="249">
        <v>449</v>
      </c>
      <c r="D96" s="248">
        <v>3.5</v>
      </c>
      <c r="E96" s="250" t="str">
        <f>VLOOKUP(B96,'Northwest Retail Cost Data'!$C$5:$F$275,4,FALSE)</f>
        <v>Top Load</v>
      </c>
      <c r="F96" s="251" t="s">
        <v>846</v>
      </c>
      <c r="G96" s="248">
        <v>1.26</v>
      </c>
      <c r="H96" s="248">
        <v>9.5</v>
      </c>
      <c r="I96" s="252">
        <f>D96*H96*SFAssumptions!$C$3</f>
        <v>8535.7172250000003</v>
      </c>
      <c r="J96" s="253">
        <f t="shared" si="26"/>
        <v>449</v>
      </c>
      <c r="K96" s="254">
        <f t="shared" si="26"/>
        <v>3.5</v>
      </c>
      <c r="L96" s="691">
        <f t="shared" si="27"/>
        <v>0.83110000000000006</v>
      </c>
      <c r="M96" s="691">
        <f t="shared" si="28"/>
        <v>9.9226500000000009</v>
      </c>
      <c r="N96" s="255">
        <v>2012</v>
      </c>
      <c r="O96" s="256">
        <f>C96*VLOOKUP(N96,SFAssumptions!$A$42:$B$51,2,FALSE)</f>
        <v>405.47164192797527</v>
      </c>
      <c r="P96" s="254">
        <f ca="1">O96+((SFAssumptions!$C$8-D96)*$AO$35)</f>
        <v>430.8837717322333</v>
      </c>
      <c r="Q96" s="190" t="str">
        <f>IF(OR(L96="",M96=""),"No",IF(AND(E96="Front Load",L96&gt;='Eff. Standards &amp; Certifications'!$B$21,M96&lt;='Eff. Standards &amp; Certifications'!$C$21),"Consider",IF(AND(E96="Top Load",L96&gt;='Eff. Standards &amp; Certifications'!$B$20,M96&lt;='Eff. Standards &amp; Certifications'!$C$20),"Consider","No")))</f>
        <v>No</v>
      </c>
      <c r="R96" s="203"/>
      <c r="S96" s="203"/>
      <c r="T96" s="293" t="str">
        <f t="shared" si="33"/>
        <v>NO</v>
      </c>
      <c r="U96" s="293" t="str">
        <f t="shared" si="33"/>
        <v>NO</v>
      </c>
      <c r="V96" s="293" t="str">
        <f t="shared" si="34"/>
        <v>NO</v>
      </c>
      <c r="W96" s="211" t="str">
        <f t="shared" si="29"/>
        <v>NO</v>
      </c>
      <c r="X96" s="211" t="str">
        <f t="shared" si="29"/>
        <v>NO</v>
      </c>
      <c r="Y96" s="211" t="str">
        <f t="shared" si="35"/>
        <v>NO</v>
      </c>
      <c r="Z96" s="211" t="str">
        <f t="shared" si="36"/>
        <v>NO</v>
      </c>
      <c r="AA96" s="211" t="str">
        <f t="shared" si="36"/>
        <v>NO</v>
      </c>
      <c r="AB96" s="293" t="str">
        <f t="shared" si="37"/>
        <v>NO</v>
      </c>
      <c r="AC96" s="211" t="str">
        <f t="shared" si="38"/>
        <v>NO</v>
      </c>
      <c r="AD96" s="211" t="str">
        <f t="shared" si="39"/>
        <v>NO</v>
      </c>
      <c r="AE96" s="211" t="str">
        <f t="shared" si="40"/>
        <v>NO</v>
      </c>
      <c r="AF96" s="206"/>
      <c r="AG96" s="206"/>
      <c r="AH96" s="203">
        <f t="shared" si="30"/>
        <v>0.83110000000000006</v>
      </c>
      <c r="AI96" s="203">
        <f t="shared" si="31"/>
        <v>449</v>
      </c>
      <c r="AJ96" s="203">
        <f t="shared" si="32"/>
        <v>410.62353254072138</v>
      </c>
      <c r="AK96" s="203"/>
      <c r="AL96" s="203"/>
      <c r="AM96" s="203"/>
      <c r="AN96" s="207"/>
    </row>
    <row r="97" spans="1:40" s="204" customFormat="1" ht="15">
      <c r="A97" s="248" t="s">
        <v>489</v>
      </c>
      <c r="B97" s="248" t="s">
        <v>934</v>
      </c>
      <c r="C97" s="249">
        <v>419</v>
      </c>
      <c r="D97" s="248">
        <v>3.5</v>
      </c>
      <c r="E97" s="250" t="str">
        <f>VLOOKUP(B97,'Northwest Retail Cost Data'!$C$5:$F$275,4,FALSE)</f>
        <v>Top Load</v>
      </c>
      <c r="F97" s="251" t="s">
        <v>846</v>
      </c>
      <c r="G97" s="248">
        <v>1.26</v>
      </c>
      <c r="H97" s="248">
        <v>9.5</v>
      </c>
      <c r="I97" s="252">
        <f>D97*H97*SFAssumptions!$C$3</f>
        <v>8535.7172250000003</v>
      </c>
      <c r="J97" s="253">
        <f t="shared" si="26"/>
        <v>419</v>
      </c>
      <c r="K97" s="254">
        <f t="shared" si="26"/>
        <v>3.5</v>
      </c>
      <c r="L97" s="691">
        <f t="shared" si="27"/>
        <v>0.83110000000000006</v>
      </c>
      <c r="M97" s="691">
        <f t="shared" si="28"/>
        <v>9.9226500000000009</v>
      </c>
      <c r="N97" s="255">
        <v>2012</v>
      </c>
      <c r="O97" s="256">
        <f>C97*VLOOKUP(N97,SFAssumptions!$A$42:$B$51,2,FALSE)</f>
        <v>378.37999547399028</v>
      </c>
      <c r="P97" s="254">
        <f ca="1">O97+((SFAssumptions!$C$8-D97)*$AO$35)</f>
        <v>403.79212527824831</v>
      </c>
      <c r="Q97" s="190" t="str">
        <f>IF(OR(L97="",M97=""),"No",IF(AND(E97="Front Load",L97&gt;='Eff. Standards &amp; Certifications'!$B$21,M97&lt;='Eff. Standards &amp; Certifications'!$C$21),"Consider",IF(AND(E97="Top Load",L97&gt;='Eff. Standards &amp; Certifications'!$B$20,M97&lt;='Eff. Standards &amp; Certifications'!$C$20),"Consider","No")))</f>
        <v>No</v>
      </c>
      <c r="R97" s="203"/>
      <c r="S97" s="203"/>
      <c r="T97" s="293" t="str">
        <f t="shared" si="33"/>
        <v>NO</v>
      </c>
      <c r="U97" s="293" t="str">
        <f t="shared" si="33"/>
        <v>NO</v>
      </c>
      <c r="V97" s="293" t="str">
        <f t="shared" si="34"/>
        <v>NO</v>
      </c>
      <c r="W97" s="211" t="str">
        <f t="shared" si="29"/>
        <v>NO</v>
      </c>
      <c r="X97" s="211" t="str">
        <f t="shared" si="29"/>
        <v>NO</v>
      </c>
      <c r="Y97" s="211" t="str">
        <f t="shared" si="35"/>
        <v>NO</v>
      </c>
      <c r="Z97" s="211" t="str">
        <f t="shared" si="36"/>
        <v>NO</v>
      </c>
      <c r="AA97" s="211" t="str">
        <f t="shared" si="36"/>
        <v>NO</v>
      </c>
      <c r="AB97" s="293" t="str">
        <f t="shared" si="37"/>
        <v>NO</v>
      </c>
      <c r="AC97" s="211" t="str">
        <f t="shared" si="38"/>
        <v>NO</v>
      </c>
      <c r="AD97" s="211" t="str">
        <f t="shared" si="39"/>
        <v>NO</v>
      </c>
      <c r="AE97" s="211" t="str">
        <f t="shared" si="40"/>
        <v>NO</v>
      </c>
      <c r="AF97" s="206"/>
      <c r="AG97" s="206"/>
      <c r="AH97" s="203">
        <f t="shared" si="30"/>
        <v>0.83110000000000006</v>
      </c>
      <c r="AI97" s="203">
        <f t="shared" si="31"/>
        <v>419</v>
      </c>
      <c r="AJ97" s="203">
        <f t="shared" si="32"/>
        <v>410.62353254072138</v>
      </c>
      <c r="AK97" s="203"/>
      <c r="AL97" s="203"/>
      <c r="AM97" s="203"/>
      <c r="AN97" s="207"/>
    </row>
    <row r="98" spans="1:40" s="204" customFormat="1" ht="15">
      <c r="A98" s="248" t="s">
        <v>908</v>
      </c>
      <c r="B98" s="248" t="s">
        <v>935</v>
      </c>
      <c r="C98" s="249">
        <v>499</v>
      </c>
      <c r="D98" s="248">
        <v>3.4</v>
      </c>
      <c r="E98" s="250" t="str">
        <f>VLOOKUP(B98,'Northwest Retail Cost Data'!$C$5:$F$275,4,FALSE)</f>
        <v>Top Load</v>
      </c>
      <c r="F98" s="251" t="s">
        <v>846</v>
      </c>
      <c r="G98" s="248">
        <v>1.41</v>
      </c>
      <c r="H98" s="248">
        <v>8.6</v>
      </c>
      <c r="I98" s="252">
        <f>D98*H98*SFAssumptions!$C$3</f>
        <v>7506.2968919999994</v>
      </c>
      <c r="J98" s="253">
        <f t="shared" si="26"/>
        <v>499</v>
      </c>
      <c r="K98" s="254">
        <f t="shared" si="26"/>
        <v>3.4</v>
      </c>
      <c r="L98" s="691">
        <f t="shared" si="27"/>
        <v>0.97959999999999992</v>
      </c>
      <c r="M98" s="691">
        <f t="shared" si="28"/>
        <v>9.0326400000000007</v>
      </c>
      <c r="N98" s="255">
        <v>2012</v>
      </c>
      <c r="O98" s="256">
        <f>C98*VLOOKUP(N98,SFAssumptions!$A$42:$B$51,2,FALSE)</f>
        <v>450.6243860179502</v>
      </c>
      <c r="P98" s="254">
        <f ca="1">O98+((SFAssumptions!$C$8-D98)*$AO$35)</f>
        <v>485.21032816261237</v>
      </c>
      <c r="Q98" s="190" t="str">
        <f>IF(OR(L98="",M98=""),"No",IF(AND(E98="Front Load",L98&gt;='Eff. Standards &amp; Certifications'!$B$21,M98&lt;='Eff. Standards &amp; Certifications'!$C$21),"Consider",IF(AND(E98="Top Load",L98&gt;='Eff. Standards &amp; Certifications'!$B$20,M98&lt;='Eff. Standards &amp; Certifications'!$C$20),"Consider","No")))</f>
        <v>No</v>
      </c>
      <c r="R98" s="203"/>
      <c r="S98" s="203"/>
      <c r="T98" s="293" t="str">
        <f t="shared" si="33"/>
        <v>NO</v>
      </c>
      <c r="U98" s="293" t="str">
        <f t="shared" si="33"/>
        <v>NO</v>
      </c>
      <c r="V98" s="293" t="str">
        <f t="shared" si="34"/>
        <v>NO</v>
      </c>
      <c r="W98" s="211" t="str">
        <f t="shared" si="29"/>
        <v>NO</v>
      </c>
      <c r="X98" s="211" t="str">
        <f t="shared" si="29"/>
        <v>NO</v>
      </c>
      <c r="Y98" s="211" t="str">
        <f t="shared" si="35"/>
        <v>NO</v>
      </c>
      <c r="Z98" s="211" t="str">
        <f t="shared" si="36"/>
        <v>NO</v>
      </c>
      <c r="AA98" s="211" t="str">
        <f t="shared" si="36"/>
        <v>NO</v>
      </c>
      <c r="AB98" s="293" t="str">
        <f t="shared" si="37"/>
        <v>NO</v>
      </c>
      <c r="AC98" s="211" t="str">
        <f t="shared" si="38"/>
        <v>NO</v>
      </c>
      <c r="AD98" s="211" t="str">
        <f t="shared" si="39"/>
        <v>NO</v>
      </c>
      <c r="AE98" s="211" t="str">
        <f t="shared" si="40"/>
        <v>NO</v>
      </c>
      <c r="AF98" s="206"/>
      <c r="AG98" s="206"/>
      <c r="AH98" s="203">
        <f t="shared" si="30"/>
        <v>0.97959999999999992</v>
      </c>
      <c r="AI98" s="203">
        <f t="shared" si="31"/>
        <v>499</v>
      </c>
      <c r="AJ98" s="203">
        <f t="shared" si="32"/>
        <v>443.50729243929089</v>
      </c>
      <c r="AK98" s="203"/>
      <c r="AL98" s="203"/>
      <c r="AM98" s="203"/>
      <c r="AN98" s="207"/>
    </row>
    <row r="99" spans="1:40" s="204" customFormat="1" ht="15">
      <c r="A99" s="248" t="s">
        <v>936</v>
      </c>
      <c r="B99" s="248" t="s">
        <v>937</v>
      </c>
      <c r="C99" s="249">
        <v>649</v>
      </c>
      <c r="D99" s="248">
        <v>3.9</v>
      </c>
      <c r="E99" s="250" t="str">
        <f>VLOOKUP(B99,'Northwest Retail Cost Data'!$C$5:$F$275,4,FALSE)</f>
        <v>Top Load</v>
      </c>
      <c r="F99" s="251" t="s">
        <v>846</v>
      </c>
      <c r="G99" s="279">
        <v>2</v>
      </c>
      <c r="H99" s="279">
        <v>6</v>
      </c>
      <c r="I99" s="252">
        <f>D99*H99*SFAssumptions!$C$3</f>
        <v>6007.0912199999993</v>
      </c>
      <c r="J99" s="253">
        <f t="shared" si="26"/>
        <v>649</v>
      </c>
      <c r="K99" s="254">
        <f t="shared" si="26"/>
        <v>3.9</v>
      </c>
      <c r="L99" s="691">
        <f t="shared" si="27"/>
        <v>1.5636999999999999</v>
      </c>
      <c r="M99" s="691">
        <f t="shared" si="28"/>
        <v>6.4615</v>
      </c>
      <c r="N99" s="255">
        <v>2012</v>
      </c>
      <c r="O99" s="256">
        <f>C99*VLOOKUP(N99,SFAssumptions!$A$42:$B$51,2,FALSE)</f>
        <v>586.08261828787511</v>
      </c>
      <c r="P99" s="254">
        <f ca="1">O99+((SFAssumptions!$C$8-D99)*$AO$35)</f>
        <v>574.79949873051658</v>
      </c>
      <c r="Q99" s="190" t="str">
        <f>IF(OR(L99="",M99=""),"No",IF(AND(E99="Front Load",L99&gt;='Eff. Standards &amp; Certifications'!$B$21,M99&lt;='Eff. Standards &amp; Certifications'!$C$21),"Consider",IF(AND(E99="Top Load",L99&gt;='Eff. Standards &amp; Certifications'!$B$20,M99&lt;='Eff. Standards &amp; Certifications'!$C$20),"Consider","No")))</f>
        <v>Consider</v>
      </c>
      <c r="R99" s="203"/>
      <c r="S99" s="203"/>
      <c r="T99" s="293" t="str">
        <f t="shared" si="33"/>
        <v>YES</v>
      </c>
      <c r="U99" s="293" t="str">
        <f t="shared" si="33"/>
        <v>NO</v>
      </c>
      <c r="V99" s="293" t="str">
        <f t="shared" si="34"/>
        <v>YES</v>
      </c>
      <c r="W99" s="211" t="str">
        <f t="shared" si="29"/>
        <v>YES</v>
      </c>
      <c r="X99" s="211" t="str">
        <f t="shared" si="29"/>
        <v>NO</v>
      </c>
      <c r="Y99" s="211" t="str">
        <f t="shared" si="35"/>
        <v>YES</v>
      </c>
      <c r="Z99" s="211" t="str">
        <f t="shared" si="36"/>
        <v>NO</v>
      </c>
      <c r="AA99" s="211" t="str">
        <f t="shared" si="36"/>
        <v>NO</v>
      </c>
      <c r="AB99" s="293" t="str">
        <f t="shared" si="37"/>
        <v>NO</v>
      </c>
      <c r="AC99" s="211" t="str">
        <f t="shared" si="38"/>
        <v>NO</v>
      </c>
      <c r="AD99" s="211" t="str">
        <f t="shared" si="39"/>
        <v>NO</v>
      </c>
      <c r="AE99" s="211" t="str">
        <f t="shared" si="40"/>
        <v>NO</v>
      </c>
      <c r="AF99" s="206"/>
      <c r="AG99" s="206"/>
      <c r="AH99" s="203">
        <f t="shared" si="30"/>
        <v>1.5636999999999999</v>
      </c>
      <c r="AI99" s="203">
        <f t="shared" si="31"/>
        <v>649</v>
      </c>
      <c r="AJ99" s="203">
        <f t="shared" si="32"/>
        <v>648.36068183955365</v>
      </c>
      <c r="AK99" s="203"/>
      <c r="AL99" s="203"/>
      <c r="AM99" s="203"/>
      <c r="AN99" s="207"/>
    </row>
    <row r="100" spans="1:40" s="204" customFormat="1" ht="15">
      <c r="A100" s="248" t="s">
        <v>938</v>
      </c>
      <c r="B100" s="248" t="s">
        <v>939</v>
      </c>
      <c r="C100" s="249">
        <v>1199</v>
      </c>
      <c r="D100" s="248">
        <v>4.5</v>
      </c>
      <c r="E100" s="250" t="str">
        <f>VLOOKUP(B100,'Northwest Retail Cost Data'!$C$5:$F$275,4,FALSE)</f>
        <v>Top Load</v>
      </c>
      <c r="F100" s="251" t="s">
        <v>846</v>
      </c>
      <c r="G100" s="279">
        <v>2.21</v>
      </c>
      <c r="H100" s="279">
        <v>4.5</v>
      </c>
      <c r="I100" s="252">
        <f>D100*H100*SFAssumptions!$C$3</f>
        <v>5198.4443250000004</v>
      </c>
      <c r="J100" s="253">
        <f t="shared" si="26"/>
        <v>1199</v>
      </c>
      <c r="K100" s="254">
        <f t="shared" si="26"/>
        <v>4.5</v>
      </c>
      <c r="L100" s="691">
        <f t="shared" si="27"/>
        <v>1.7715999999999998</v>
      </c>
      <c r="M100" s="691">
        <f t="shared" si="28"/>
        <v>4.9781500000000003</v>
      </c>
      <c r="N100" s="255">
        <v>2012</v>
      </c>
      <c r="O100" s="256">
        <f>C100*VLOOKUP(N100,SFAssumptions!$A$42:$B$51,2,FALSE)</f>
        <v>1082.7628032775999</v>
      </c>
      <c r="P100" s="254">
        <f ca="1">O100+((SFAssumptions!$C$8-D100)*$AO$35)</f>
        <v>1016.4368096778167</v>
      </c>
      <c r="Q100" s="190" t="str">
        <f>IF(OR(L100="",M100=""),"No",IF(AND(E100="Front Load",L100&gt;='Eff. Standards &amp; Certifications'!$B$21,M100&lt;='Eff. Standards &amp; Certifications'!$C$21),"Consider",IF(AND(E100="Top Load",L100&gt;='Eff. Standards &amp; Certifications'!$B$20,M100&lt;='Eff. Standards &amp; Certifications'!$C$20),"Consider","No")))</f>
        <v>Consider</v>
      </c>
      <c r="R100" s="203"/>
      <c r="S100" s="203"/>
      <c r="T100" s="293" t="str">
        <f t="shared" si="33"/>
        <v>YES</v>
      </c>
      <c r="U100" s="293" t="str">
        <f t="shared" si="33"/>
        <v>NO</v>
      </c>
      <c r="V100" s="293" t="str">
        <f t="shared" si="34"/>
        <v>YES</v>
      </c>
      <c r="W100" s="211" t="str">
        <f t="shared" si="29"/>
        <v>YES</v>
      </c>
      <c r="X100" s="211" t="str">
        <f t="shared" si="29"/>
        <v>NO</v>
      </c>
      <c r="Y100" s="211" t="str">
        <f t="shared" si="35"/>
        <v>YES</v>
      </c>
      <c r="Z100" s="211" t="str">
        <f t="shared" si="36"/>
        <v>NO</v>
      </c>
      <c r="AA100" s="211" t="str">
        <f t="shared" si="36"/>
        <v>NO</v>
      </c>
      <c r="AB100" s="293" t="str">
        <f t="shared" si="37"/>
        <v>NO</v>
      </c>
      <c r="AC100" s="211" t="str">
        <f t="shared" si="38"/>
        <v>NO</v>
      </c>
      <c r="AD100" s="211" t="str">
        <f t="shared" si="39"/>
        <v>NO</v>
      </c>
      <c r="AE100" s="211" t="str">
        <f t="shared" si="40"/>
        <v>NO</v>
      </c>
      <c r="AF100" s="206"/>
      <c r="AG100" s="206"/>
      <c r="AH100" s="203">
        <f t="shared" si="30"/>
        <v>1.7715999999999998</v>
      </c>
      <c r="AI100" s="203">
        <f t="shared" si="31"/>
        <v>1199</v>
      </c>
      <c r="AJ100" s="203">
        <f t="shared" si="32"/>
        <v>763.92895440591724</v>
      </c>
      <c r="AK100" s="203"/>
      <c r="AL100" s="203"/>
      <c r="AM100" s="203"/>
      <c r="AN100" s="207"/>
    </row>
    <row r="101" spans="1:40" s="204" customFormat="1" ht="15">
      <c r="A101" s="248" t="s">
        <v>852</v>
      </c>
      <c r="B101" s="248" t="s">
        <v>940</v>
      </c>
      <c r="C101" s="249">
        <v>849</v>
      </c>
      <c r="D101" s="248">
        <v>2.7</v>
      </c>
      <c r="E101" s="250" t="str">
        <f>VLOOKUP(B101,'Northwest Retail Cost Data'!$C$5:$F$275,4,FALSE)</f>
        <v>Top Load</v>
      </c>
      <c r="F101" s="251" t="s">
        <v>846</v>
      </c>
      <c r="G101" s="279">
        <v>1.33</v>
      </c>
      <c r="H101" s="279">
        <v>9.5</v>
      </c>
      <c r="I101" s="252">
        <f>D101*H101*SFAssumptions!$C$3</f>
        <v>6584.6961450000008</v>
      </c>
      <c r="J101" s="253">
        <f t="shared" si="26"/>
        <v>849</v>
      </c>
      <c r="K101" s="254">
        <f t="shared" si="26"/>
        <v>2.7</v>
      </c>
      <c r="L101" s="691">
        <f t="shared" si="27"/>
        <v>0.90039999999999998</v>
      </c>
      <c r="M101" s="691">
        <f t="shared" si="28"/>
        <v>9.9226500000000009</v>
      </c>
      <c r="N101" s="255">
        <v>2012</v>
      </c>
      <c r="O101" s="256">
        <f>C101*VLOOKUP(N101,SFAssumptions!$A$42:$B$51,2,FALSE)</f>
        <v>766.69359464777506</v>
      </c>
      <c r="P101" s="254">
        <f ca="1">O101+((SFAssumptions!$C$8-D101)*$AO$35)</f>
        <v>865.4962231752661</v>
      </c>
      <c r="Q101" s="190" t="str">
        <f>IF(OR(L101="",M101=""),"No",IF(AND(E101="Front Load",L101&gt;='Eff. Standards &amp; Certifications'!$B$21,M101&lt;='Eff. Standards &amp; Certifications'!$C$21),"Consider",IF(AND(E101="Top Load",L101&gt;='Eff. Standards &amp; Certifications'!$B$20,M101&lt;='Eff. Standards &amp; Certifications'!$C$20),"Consider","No")))</f>
        <v>No</v>
      </c>
      <c r="R101" s="203"/>
      <c r="S101" s="203"/>
      <c r="T101" s="293" t="str">
        <f t="shared" si="33"/>
        <v>NO</v>
      </c>
      <c r="U101" s="293" t="str">
        <f t="shared" si="33"/>
        <v>NO</v>
      </c>
      <c r="V101" s="293" t="str">
        <f t="shared" si="34"/>
        <v>NO</v>
      </c>
      <c r="W101" s="211" t="str">
        <f t="shared" si="29"/>
        <v>NO</v>
      </c>
      <c r="X101" s="211" t="str">
        <f t="shared" si="29"/>
        <v>NO</v>
      </c>
      <c r="Y101" s="211" t="str">
        <f t="shared" si="35"/>
        <v>NO</v>
      </c>
      <c r="Z101" s="211" t="str">
        <f t="shared" si="36"/>
        <v>NO</v>
      </c>
      <c r="AA101" s="211" t="str">
        <f t="shared" si="36"/>
        <v>NO</v>
      </c>
      <c r="AB101" s="293" t="str">
        <f t="shared" si="37"/>
        <v>NO</v>
      </c>
      <c r="AC101" s="211" t="str">
        <f t="shared" si="38"/>
        <v>NO</v>
      </c>
      <c r="AD101" s="211" t="str">
        <f t="shared" si="39"/>
        <v>NO</v>
      </c>
      <c r="AE101" s="211" t="str">
        <f t="shared" si="40"/>
        <v>NO</v>
      </c>
      <c r="AF101" s="206"/>
      <c r="AG101" s="206"/>
      <c r="AH101" s="203">
        <f t="shared" si="30"/>
        <v>0.90039999999999998</v>
      </c>
      <c r="AI101" s="203">
        <f t="shared" si="31"/>
        <v>849</v>
      </c>
      <c r="AJ101" s="203">
        <f t="shared" si="32"/>
        <v>353.98150543093539</v>
      </c>
      <c r="AK101" s="203"/>
      <c r="AL101" s="203"/>
      <c r="AM101" s="203"/>
      <c r="AN101" s="207"/>
    </row>
    <row r="102" spans="1:40" s="204" customFormat="1" ht="15">
      <c r="A102" s="248" t="s">
        <v>852</v>
      </c>
      <c r="B102" s="248" t="s">
        <v>941</v>
      </c>
      <c r="C102" s="249">
        <v>499</v>
      </c>
      <c r="D102" s="248">
        <v>3.7</v>
      </c>
      <c r="E102" s="250" t="str">
        <f>VLOOKUP(B102,'Northwest Retail Cost Data'!$C$5:$F$275,4,FALSE)</f>
        <v>Top Load</v>
      </c>
      <c r="F102" s="251" t="s">
        <v>846</v>
      </c>
      <c r="G102" s="279">
        <v>1.26</v>
      </c>
      <c r="H102" s="279">
        <v>9.5</v>
      </c>
      <c r="I102" s="252">
        <f>D102*H102*SFAssumptions!$C$3</f>
        <v>9023.472495</v>
      </c>
      <c r="J102" s="253">
        <f t="shared" si="26"/>
        <v>499</v>
      </c>
      <c r="K102" s="254">
        <f t="shared" si="26"/>
        <v>3.7</v>
      </c>
      <c r="L102" s="691">
        <f t="shared" si="27"/>
        <v>0.83110000000000006</v>
      </c>
      <c r="M102" s="691">
        <f t="shared" si="28"/>
        <v>9.9226500000000009</v>
      </c>
      <c r="N102" s="255">
        <v>2012</v>
      </c>
      <c r="O102" s="256">
        <f>C102*VLOOKUP(N102,SFAssumptions!$A$42:$B$51,2,FALSE)</f>
        <v>450.6243860179502</v>
      </c>
      <c r="P102" s="254">
        <f ca="1">O102+((SFAssumptions!$C$8-D102)*$AO$35)</f>
        <v>457.68889114139995</v>
      </c>
      <c r="Q102" s="190" t="str">
        <f>IF(OR(L102="",M102=""),"No",IF(AND(E102="Front Load",L102&gt;='Eff. Standards &amp; Certifications'!$B$21,M102&lt;='Eff. Standards &amp; Certifications'!$C$21),"Consider",IF(AND(E102="Top Load",L102&gt;='Eff. Standards &amp; Certifications'!$B$20,M102&lt;='Eff. Standards &amp; Certifications'!$C$20),"Consider","No")))</f>
        <v>No</v>
      </c>
      <c r="R102" s="203"/>
      <c r="S102" s="203"/>
      <c r="T102" s="293" t="str">
        <f t="shared" si="33"/>
        <v>NO</v>
      </c>
      <c r="U102" s="293" t="str">
        <f t="shared" si="33"/>
        <v>NO</v>
      </c>
      <c r="V102" s="293" t="str">
        <f t="shared" si="34"/>
        <v>NO</v>
      </c>
      <c r="W102" s="211" t="str">
        <f t="shared" si="29"/>
        <v>NO</v>
      </c>
      <c r="X102" s="211" t="str">
        <f t="shared" si="29"/>
        <v>NO</v>
      </c>
      <c r="Y102" s="211" t="str">
        <f t="shared" si="35"/>
        <v>NO</v>
      </c>
      <c r="Z102" s="211" t="str">
        <f t="shared" si="36"/>
        <v>NO</v>
      </c>
      <c r="AA102" s="211" t="str">
        <f t="shared" si="36"/>
        <v>NO</v>
      </c>
      <c r="AB102" s="293" t="str">
        <f t="shared" si="37"/>
        <v>NO</v>
      </c>
      <c r="AC102" s="211" t="str">
        <f t="shared" si="38"/>
        <v>NO</v>
      </c>
      <c r="AD102" s="211" t="str">
        <f t="shared" si="39"/>
        <v>NO</v>
      </c>
      <c r="AE102" s="211" t="str">
        <f t="shared" si="40"/>
        <v>NO</v>
      </c>
      <c r="AF102" s="206"/>
      <c r="AG102" s="206"/>
      <c r="AH102" s="203">
        <f t="shared" si="30"/>
        <v>0.83110000000000006</v>
      </c>
      <c r="AI102" s="203">
        <f t="shared" si="31"/>
        <v>499</v>
      </c>
      <c r="AJ102" s="203">
        <f t="shared" si="32"/>
        <v>428.97115722152967</v>
      </c>
      <c r="AK102" s="203"/>
      <c r="AL102" s="203"/>
      <c r="AM102" s="203"/>
      <c r="AN102" s="207"/>
    </row>
    <row r="103" spans="1:40" s="204" customFormat="1" ht="15">
      <c r="A103" s="280" t="s">
        <v>942</v>
      </c>
      <c r="B103" s="281">
        <v>41473</v>
      </c>
      <c r="C103" s="249">
        <v>1058.24</v>
      </c>
      <c r="D103" s="248">
        <v>4</v>
      </c>
      <c r="E103" s="250" t="str">
        <f>VLOOKUP(B103,'Northwest Retail Cost Data'!$C$5:$F$275,4,FALSE)</f>
        <v>Front load</v>
      </c>
      <c r="F103" s="251" t="s">
        <v>846</v>
      </c>
      <c r="G103" s="279">
        <v>3.2</v>
      </c>
      <c r="H103" s="279">
        <v>3.3</v>
      </c>
      <c r="I103" s="252">
        <f>D103*H103*SFAssumptions!$C$3</f>
        <v>3388.6155599999997</v>
      </c>
      <c r="J103" s="253">
        <f t="shared" si="26"/>
        <v>1058.24</v>
      </c>
      <c r="K103" s="254">
        <f t="shared" si="26"/>
        <v>4</v>
      </c>
      <c r="L103" s="691">
        <f t="shared" si="27"/>
        <v>2.7530999999999999</v>
      </c>
      <c r="M103" s="691">
        <f t="shared" si="28"/>
        <v>3.4970599999999998</v>
      </c>
      <c r="N103" s="255">
        <v>2012</v>
      </c>
      <c r="O103" s="256">
        <f>C103*VLOOKUP(N103,SFAssumptions!$A$42:$B$51,2,FALSE)</f>
        <v>955.64879811550225</v>
      </c>
      <c r="P103" s="254">
        <f ca="1">O103+((SFAssumptions!$C$8-D103)*$AO$35)</f>
        <v>935.19186621773963</v>
      </c>
      <c r="Q103" s="190" t="str">
        <f>IF(OR(L103="",M103=""),"No",IF(AND(E103="Front Load",L103&gt;='Eff. Standards &amp; Certifications'!$B$21,M103&lt;='Eff. Standards &amp; Certifications'!$C$21),"Consider",IF(AND(E103="Top Load",L103&gt;='Eff. Standards &amp; Certifications'!$B$20,M103&lt;='Eff. Standards &amp; Certifications'!$C$20),"Consider","No")))</f>
        <v>Consider</v>
      </c>
      <c r="R103" s="203"/>
      <c r="S103" s="203"/>
      <c r="T103" s="293" t="str">
        <f t="shared" si="33"/>
        <v>NO</v>
      </c>
      <c r="U103" s="293" t="str">
        <f t="shared" si="33"/>
        <v>YES</v>
      </c>
      <c r="V103" s="293" t="str">
        <f t="shared" si="34"/>
        <v>YES</v>
      </c>
      <c r="W103" s="211" t="str">
        <f t="shared" si="29"/>
        <v>NO</v>
      </c>
      <c r="X103" s="211" t="str">
        <f t="shared" si="29"/>
        <v>NO</v>
      </c>
      <c r="Y103" s="211" t="str">
        <f t="shared" si="35"/>
        <v>NO</v>
      </c>
      <c r="Z103" s="211" t="str">
        <f t="shared" si="36"/>
        <v>NO</v>
      </c>
      <c r="AA103" s="211" t="str">
        <f t="shared" si="36"/>
        <v>YES</v>
      </c>
      <c r="AB103" s="293" t="str">
        <f t="shared" si="37"/>
        <v>YES</v>
      </c>
      <c r="AC103" s="211" t="str">
        <f t="shared" si="38"/>
        <v>YES</v>
      </c>
      <c r="AD103" s="211" t="str">
        <f t="shared" si="39"/>
        <v>NO</v>
      </c>
      <c r="AE103" s="211" t="str">
        <f t="shared" si="40"/>
        <v>NO</v>
      </c>
      <c r="AF103" s="206"/>
      <c r="AG103" s="206"/>
      <c r="AH103" s="203">
        <f t="shared" si="30"/>
        <v>2.7530999999999999</v>
      </c>
      <c r="AI103" s="203">
        <f t="shared" si="31"/>
        <v>1058.24</v>
      </c>
      <c r="AJ103" s="203">
        <f t="shared" si="32"/>
        <v>965.53380837860573</v>
      </c>
      <c r="AK103" s="203"/>
      <c r="AL103" s="203"/>
      <c r="AM103" s="203"/>
      <c r="AN103" s="207"/>
    </row>
    <row r="104" spans="1:40" s="204" customFormat="1" ht="15">
      <c r="A104" s="280" t="s">
        <v>942</v>
      </c>
      <c r="B104" s="281">
        <v>41472</v>
      </c>
      <c r="C104" s="249">
        <v>970.49</v>
      </c>
      <c r="D104" s="248">
        <v>4</v>
      </c>
      <c r="E104" s="250" t="str">
        <f>VLOOKUP(B104,'Northwest Retail Cost Data'!$C$5:$F$275,4,FALSE)</f>
        <v>Front load</v>
      </c>
      <c r="F104" s="251" t="s">
        <v>846</v>
      </c>
      <c r="G104" s="279">
        <v>3.2</v>
      </c>
      <c r="H104" s="279">
        <v>3.3</v>
      </c>
      <c r="I104" s="252">
        <f>D104*H104*SFAssumptions!$C$3</f>
        <v>3388.6155599999997</v>
      </c>
      <c r="J104" s="253">
        <f t="shared" si="26"/>
        <v>970.49</v>
      </c>
      <c r="K104" s="254">
        <f t="shared" si="26"/>
        <v>4</v>
      </c>
      <c r="L104" s="691">
        <f t="shared" si="27"/>
        <v>2.7530999999999999</v>
      </c>
      <c r="M104" s="691">
        <f t="shared" si="28"/>
        <v>3.4970599999999998</v>
      </c>
      <c r="N104" s="255">
        <v>2012</v>
      </c>
      <c r="O104" s="256">
        <f>C104*VLOOKUP(N104,SFAssumptions!$A$42:$B$51,2,FALSE)</f>
        <v>876.40573223759623</v>
      </c>
      <c r="P104" s="254">
        <f ca="1">O104+((SFAssumptions!$C$8-D104)*$AO$35)</f>
        <v>855.94880033983361</v>
      </c>
      <c r="Q104" s="190" t="str">
        <f>IF(OR(L104="",M104=""),"No",IF(AND(E104="Front Load",L104&gt;='Eff. Standards &amp; Certifications'!$B$21,M104&lt;='Eff. Standards &amp; Certifications'!$C$21),"Consider",IF(AND(E104="Top Load",L104&gt;='Eff. Standards &amp; Certifications'!$B$20,M104&lt;='Eff. Standards &amp; Certifications'!$C$20),"Consider","No")))</f>
        <v>Consider</v>
      </c>
      <c r="R104" s="203"/>
      <c r="S104" s="203"/>
      <c r="T104" s="293" t="str">
        <f t="shared" si="33"/>
        <v>NO</v>
      </c>
      <c r="U104" s="293" t="str">
        <f t="shared" si="33"/>
        <v>YES</v>
      </c>
      <c r="V104" s="293" t="str">
        <f t="shared" si="34"/>
        <v>YES</v>
      </c>
      <c r="W104" s="211" t="str">
        <f t="shared" si="29"/>
        <v>NO</v>
      </c>
      <c r="X104" s="211" t="str">
        <f t="shared" si="29"/>
        <v>NO</v>
      </c>
      <c r="Y104" s="211" t="str">
        <f t="shared" si="35"/>
        <v>NO</v>
      </c>
      <c r="Z104" s="211" t="str">
        <f t="shared" si="36"/>
        <v>NO</v>
      </c>
      <c r="AA104" s="211" t="str">
        <f t="shared" si="36"/>
        <v>YES</v>
      </c>
      <c r="AB104" s="293" t="str">
        <f t="shared" si="37"/>
        <v>YES</v>
      </c>
      <c r="AC104" s="211" t="str">
        <f t="shared" si="38"/>
        <v>YES</v>
      </c>
      <c r="AD104" s="211" t="str">
        <f t="shared" si="39"/>
        <v>NO</v>
      </c>
      <c r="AE104" s="211" t="str">
        <f t="shared" si="40"/>
        <v>NO</v>
      </c>
      <c r="AF104" s="206"/>
      <c r="AG104" s="206"/>
      <c r="AH104" s="203">
        <f t="shared" si="30"/>
        <v>2.7530999999999999</v>
      </c>
      <c r="AI104" s="203">
        <f t="shared" si="31"/>
        <v>970.49</v>
      </c>
      <c r="AJ104" s="203">
        <f t="shared" si="32"/>
        <v>965.53380837860573</v>
      </c>
      <c r="AK104" s="203"/>
      <c r="AL104" s="203"/>
      <c r="AM104" s="203"/>
      <c r="AN104" s="207"/>
    </row>
    <row r="105" spans="1:40" s="204" customFormat="1" ht="15">
      <c r="A105" s="280" t="s">
        <v>942</v>
      </c>
      <c r="B105" s="281">
        <v>41172</v>
      </c>
      <c r="C105" s="249">
        <v>658.69</v>
      </c>
      <c r="D105" s="248">
        <v>3.6</v>
      </c>
      <c r="E105" s="250" t="str">
        <f>VLOOKUP(B105,'Northwest Retail Cost Data'!$C$5:$F$275,4,FALSE)</f>
        <v>Front load</v>
      </c>
      <c r="F105" s="251" t="s">
        <v>846</v>
      </c>
      <c r="G105" s="279">
        <v>3</v>
      </c>
      <c r="H105" s="279">
        <v>3.3</v>
      </c>
      <c r="I105" s="252">
        <f>D105*H105*SFAssumptions!$C$3</f>
        <v>3049.7540039999999</v>
      </c>
      <c r="J105" s="253">
        <f t="shared" si="26"/>
        <v>658.69</v>
      </c>
      <c r="K105" s="254">
        <f t="shared" si="26"/>
        <v>3.6</v>
      </c>
      <c r="L105" s="691">
        <f t="shared" si="27"/>
        <v>2.5701999999999998</v>
      </c>
      <c r="M105" s="691">
        <f t="shared" si="28"/>
        <v>3.4970599999999998</v>
      </c>
      <c r="N105" s="255">
        <v>2012</v>
      </c>
      <c r="O105" s="256">
        <f>C105*VLOOKUP(N105,SFAssumptions!$A$42:$B$51,2,FALSE)</f>
        <v>594.83322009251231</v>
      </c>
      <c r="P105" s="254">
        <f ca="1">O105+((SFAssumptions!$C$8-D105)*$AO$35)</f>
        <v>611.07153755636625</v>
      </c>
      <c r="Q105" s="190" t="str">
        <f>IF(OR(L105="",M105=""),"No",IF(AND(E105="Front Load",L105&gt;='Eff. Standards &amp; Certifications'!$B$21,M105&lt;='Eff. Standards &amp; Certifications'!$C$21),"Consider",IF(AND(E105="Top Load",L105&gt;='Eff. Standards &amp; Certifications'!$B$20,M105&lt;='Eff. Standards &amp; Certifications'!$C$20),"Consider","No")))</f>
        <v>Consider</v>
      </c>
      <c r="R105" s="203"/>
      <c r="S105" s="203"/>
      <c r="T105" s="293" t="str">
        <f t="shared" si="33"/>
        <v>NO</v>
      </c>
      <c r="U105" s="293" t="str">
        <f t="shared" si="33"/>
        <v>YES</v>
      </c>
      <c r="V105" s="293" t="str">
        <f t="shared" si="34"/>
        <v>YES</v>
      </c>
      <c r="W105" s="211" t="str">
        <f t="shared" si="29"/>
        <v>NO</v>
      </c>
      <c r="X105" s="211" t="str">
        <f t="shared" si="29"/>
        <v>NO</v>
      </c>
      <c r="Y105" s="211" t="str">
        <f t="shared" si="35"/>
        <v>NO</v>
      </c>
      <c r="Z105" s="211" t="str">
        <f t="shared" si="36"/>
        <v>NO</v>
      </c>
      <c r="AA105" s="211" t="str">
        <f t="shared" si="36"/>
        <v>YES</v>
      </c>
      <c r="AB105" s="293" t="str">
        <f t="shared" si="37"/>
        <v>YES</v>
      </c>
      <c r="AC105" s="211" t="str">
        <f t="shared" si="38"/>
        <v>YES</v>
      </c>
      <c r="AD105" s="211" t="str">
        <f t="shared" si="39"/>
        <v>NO</v>
      </c>
      <c r="AE105" s="211" t="str">
        <f t="shared" si="40"/>
        <v>NO</v>
      </c>
      <c r="AF105" s="206"/>
      <c r="AG105" s="206"/>
      <c r="AH105" s="203">
        <f t="shared" si="30"/>
        <v>2.5701999999999998</v>
      </c>
      <c r="AI105" s="203">
        <f t="shared" si="31"/>
        <v>658.69</v>
      </c>
      <c r="AJ105" s="203">
        <f t="shared" si="32"/>
        <v>884.63516135321618</v>
      </c>
      <c r="AK105" s="203"/>
      <c r="AL105" s="203"/>
      <c r="AM105" s="203"/>
      <c r="AN105" s="207"/>
    </row>
    <row r="106" spans="1:40" s="204" customFormat="1" ht="15">
      <c r="A106" s="280" t="s">
        <v>873</v>
      </c>
      <c r="B106" s="281" t="s">
        <v>874</v>
      </c>
      <c r="C106" s="249">
        <v>989.99</v>
      </c>
      <c r="D106" s="248">
        <v>4</v>
      </c>
      <c r="E106" s="250" t="str">
        <f>VLOOKUP(B106,'Northwest Retail Cost Data'!$C$5:$F$275,4,FALSE)</f>
        <v>Front Load</v>
      </c>
      <c r="F106" s="251" t="s">
        <v>846</v>
      </c>
      <c r="G106" s="279">
        <v>3.2</v>
      </c>
      <c r="H106" s="279">
        <v>3.3</v>
      </c>
      <c r="I106" s="252">
        <f>D106*H106*SFAssumptions!$C$3</f>
        <v>3388.6155599999997</v>
      </c>
      <c r="J106" s="253">
        <f t="shared" si="26"/>
        <v>989.99</v>
      </c>
      <c r="K106" s="254">
        <f t="shared" si="26"/>
        <v>4</v>
      </c>
      <c r="L106" s="691">
        <f t="shared" si="27"/>
        <v>2.7530999999999999</v>
      </c>
      <c r="M106" s="691">
        <f t="shared" si="28"/>
        <v>3.4970599999999998</v>
      </c>
      <c r="N106" s="255">
        <v>2012</v>
      </c>
      <c r="O106" s="256">
        <f>C106*VLOOKUP(N106,SFAssumptions!$A$42:$B$51,2,FALSE)</f>
        <v>894.01530243268644</v>
      </c>
      <c r="P106" s="254">
        <f ca="1">O106+((SFAssumptions!$C$8-D106)*$AO$35)</f>
        <v>873.55837053492382</v>
      </c>
      <c r="Q106" s="190" t="str">
        <f>IF(OR(L106="",M106=""),"No",IF(AND(E106="Front Load",L106&gt;='Eff. Standards &amp; Certifications'!$B$21,M106&lt;='Eff. Standards &amp; Certifications'!$C$21),"Consider",IF(AND(E106="Top Load",L106&gt;='Eff. Standards &amp; Certifications'!$B$20,M106&lt;='Eff. Standards &amp; Certifications'!$C$20),"Consider","No")))</f>
        <v>Consider</v>
      </c>
      <c r="R106" s="203"/>
      <c r="S106" s="203"/>
      <c r="T106" s="293" t="str">
        <f t="shared" si="33"/>
        <v>NO</v>
      </c>
      <c r="U106" s="293" t="str">
        <f t="shared" si="33"/>
        <v>YES</v>
      </c>
      <c r="V106" s="293" t="str">
        <f t="shared" si="34"/>
        <v>YES</v>
      </c>
      <c r="W106" s="211" t="str">
        <f t="shared" si="29"/>
        <v>NO</v>
      </c>
      <c r="X106" s="211" t="str">
        <f t="shared" si="29"/>
        <v>NO</v>
      </c>
      <c r="Y106" s="211" t="str">
        <f t="shared" si="35"/>
        <v>NO</v>
      </c>
      <c r="Z106" s="211" t="str">
        <f t="shared" si="36"/>
        <v>NO</v>
      </c>
      <c r="AA106" s="211" t="str">
        <f t="shared" si="36"/>
        <v>YES</v>
      </c>
      <c r="AB106" s="293" t="str">
        <f t="shared" si="37"/>
        <v>YES</v>
      </c>
      <c r="AC106" s="211" t="str">
        <f t="shared" si="38"/>
        <v>YES</v>
      </c>
      <c r="AD106" s="211" t="str">
        <f t="shared" si="39"/>
        <v>NO</v>
      </c>
      <c r="AE106" s="211" t="str">
        <f t="shared" si="40"/>
        <v>NO</v>
      </c>
      <c r="AF106" s="206"/>
      <c r="AG106" s="206"/>
      <c r="AH106" s="203">
        <f t="shared" si="30"/>
        <v>2.7530999999999999</v>
      </c>
      <c r="AI106" s="203">
        <f t="shared" si="31"/>
        <v>989.99</v>
      </c>
      <c r="AJ106" s="203">
        <f t="shared" si="32"/>
        <v>965.53380837860573</v>
      </c>
      <c r="AK106" s="203"/>
      <c r="AL106" s="203"/>
      <c r="AM106" s="203"/>
      <c r="AN106" s="207"/>
    </row>
    <row r="107" spans="1:40" s="204" customFormat="1" ht="15">
      <c r="A107" s="280" t="s">
        <v>625</v>
      </c>
      <c r="B107" s="281" t="s">
        <v>922</v>
      </c>
      <c r="C107" s="249">
        <v>1199.99</v>
      </c>
      <c r="D107" s="248">
        <v>4.3</v>
      </c>
      <c r="E107" s="250" t="str">
        <f>VLOOKUP(B107,'Northwest Retail Cost Data'!$C$5:$F$275,4,FALSE)</f>
        <v>Front Load</v>
      </c>
      <c r="F107" s="251" t="s">
        <v>846</v>
      </c>
      <c r="G107" s="279">
        <v>3</v>
      </c>
      <c r="H107" s="279">
        <v>2.48</v>
      </c>
      <c r="I107" s="252">
        <f>D107*H107*SFAssumptions!$C$3</f>
        <v>2737.5906312000002</v>
      </c>
      <c r="J107" s="253">
        <f t="shared" si="26"/>
        <v>1199.99</v>
      </c>
      <c r="K107" s="254">
        <f t="shared" si="26"/>
        <v>4.3</v>
      </c>
      <c r="L107" s="691">
        <f t="shared" si="27"/>
        <v>2.5701999999999998</v>
      </c>
      <c r="M107" s="691">
        <f t="shared" si="28"/>
        <v>2.657216</v>
      </c>
      <c r="N107" s="255">
        <v>2012</v>
      </c>
      <c r="O107" s="256">
        <f>C107*VLOOKUP(N107,SFAssumptions!$A$42:$B$51,2,FALSE)</f>
        <v>1083.6568276105813</v>
      </c>
      <c r="P107" s="254">
        <f ca="1">O107+((SFAssumptions!$C$8-D107)*$AO$35)</f>
        <v>1035.6784586916062</v>
      </c>
      <c r="Q107" s="190" t="str">
        <f>IF(OR(L107="",M107=""),"No",IF(AND(E107="Front Load",L107&gt;='Eff. Standards &amp; Certifications'!$B$21,M107&lt;='Eff. Standards &amp; Certifications'!$C$21),"Consider",IF(AND(E107="Top Load",L107&gt;='Eff. Standards &amp; Certifications'!$B$20,M107&lt;='Eff. Standards &amp; Certifications'!$C$20),"Consider","No")))</f>
        <v>Consider</v>
      </c>
      <c r="R107" s="203"/>
      <c r="S107" s="203"/>
      <c r="T107" s="293" t="str">
        <f t="shared" si="33"/>
        <v>NO</v>
      </c>
      <c r="U107" s="293" t="str">
        <f t="shared" si="33"/>
        <v>YES</v>
      </c>
      <c r="V107" s="293" t="str">
        <f t="shared" si="34"/>
        <v>YES</v>
      </c>
      <c r="W107" s="211" t="str">
        <f t="shared" si="29"/>
        <v>NO</v>
      </c>
      <c r="X107" s="211" t="str">
        <f t="shared" si="29"/>
        <v>NO</v>
      </c>
      <c r="Y107" s="211" t="str">
        <f t="shared" si="35"/>
        <v>NO</v>
      </c>
      <c r="Z107" s="211" t="str">
        <f t="shared" si="36"/>
        <v>NO</v>
      </c>
      <c r="AA107" s="211" t="str">
        <f t="shared" si="36"/>
        <v>YES</v>
      </c>
      <c r="AB107" s="293" t="str">
        <f t="shared" si="37"/>
        <v>YES</v>
      </c>
      <c r="AC107" s="211" t="str">
        <f t="shared" si="38"/>
        <v>YES</v>
      </c>
      <c r="AD107" s="211" t="str">
        <f t="shared" si="39"/>
        <v>NO</v>
      </c>
      <c r="AE107" s="211" t="str">
        <f t="shared" si="40"/>
        <v>NO</v>
      </c>
      <c r="AF107" s="206"/>
      <c r="AG107" s="206"/>
      <c r="AH107" s="203">
        <f t="shared" si="30"/>
        <v>2.5701999999999998</v>
      </c>
      <c r="AI107" s="203">
        <f t="shared" si="31"/>
        <v>1199.99</v>
      </c>
      <c r="AJ107" s="203">
        <f t="shared" si="32"/>
        <v>954.67217511445699</v>
      </c>
      <c r="AK107" s="203"/>
      <c r="AL107" s="203"/>
      <c r="AM107" s="203"/>
      <c r="AN107" s="207"/>
    </row>
    <row r="108" spans="1:40" s="204" customFormat="1" ht="15">
      <c r="A108" s="280" t="s">
        <v>873</v>
      </c>
      <c r="B108" s="281" t="s">
        <v>878</v>
      </c>
      <c r="C108" s="249">
        <v>799.99</v>
      </c>
      <c r="D108" s="248">
        <v>3.6</v>
      </c>
      <c r="E108" s="250" t="str">
        <f>VLOOKUP(B108,'Northwest Retail Cost Data'!$C$5:$F$275,4,FALSE)</f>
        <v>Front Load</v>
      </c>
      <c r="F108" s="251" t="s">
        <v>846</v>
      </c>
      <c r="G108" s="279">
        <v>3</v>
      </c>
      <c r="H108" s="279">
        <v>3.3</v>
      </c>
      <c r="I108" s="252">
        <f>D108*H108*SFAssumptions!$C$3</f>
        <v>3049.7540039999999</v>
      </c>
      <c r="J108" s="253">
        <f t="shared" si="26"/>
        <v>799.99</v>
      </c>
      <c r="K108" s="254">
        <f t="shared" si="26"/>
        <v>3.6</v>
      </c>
      <c r="L108" s="691">
        <f t="shared" si="27"/>
        <v>2.5701999999999998</v>
      </c>
      <c r="M108" s="691">
        <f t="shared" si="28"/>
        <v>3.4970599999999998</v>
      </c>
      <c r="N108" s="255">
        <v>2012</v>
      </c>
      <c r="O108" s="256">
        <f>C108*VLOOKUP(N108,SFAssumptions!$A$42:$B$51,2,FALSE)</f>
        <v>722.43487489078154</v>
      </c>
      <c r="P108" s="254">
        <f ca="1">O108+((SFAssumptions!$C$8-D108)*$AO$35)</f>
        <v>738.67319235463549</v>
      </c>
      <c r="Q108" s="190" t="str">
        <f>IF(OR(L108="",M108=""),"No",IF(AND(E108="Front Load",L108&gt;='Eff. Standards &amp; Certifications'!$B$21,M108&lt;='Eff. Standards &amp; Certifications'!$C$21),"Consider",IF(AND(E108="Top Load",L108&gt;='Eff. Standards &amp; Certifications'!$B$20,M108&lt;='Eff. Standards &amp; Certifications'!$C$20),"Consider","No")))</f>
        <v>Consider</v>
      </c>
      <c r="R108" s="203"/>
      <c r="S108" s="203"/>
      <c r="T108" s="293" t="str">
        <f t="shared" si="33"/>
        <v>NO</v>
      </c>
      <c r="U108" s="293" t="str">
        <f t="shared" si="33"/>
        <v>YES</v>
      </c>
      <c r="V108" s="293" t="str">
        <f t="shared" si="34"/>
        <v>YES</v>
      </c>
      <c r="W108" s="211" t="str">
        <f t="shared" si="29"/>
        <v>NO</v>
      </c>
      <c r="X108" s="211" t="str">
        <f t="shared" si="29"/>
        <v>NO</v>
      </c>
      <c r="Y108" s="211" t="str">
        <f t="shared" si="35"/>
        <v>NO</v>
      </c>
      <c r="Z108" s="211" t="str">
        <f t="shared" si="36"/>
        <v>NO</v>
      </c>
      <c r="AA108" s="211" t="str">
        <f t="shared" si="36"/>
        <v>YES</v>
      </c>
      <c r="AB108" s="293" t="str">
        <f t="shared" si="37"/>
        <v>YES</v>
      </c>
      <c r="AC108" s="211" t="str">
        <f t="shared" si="38"/>
        <v>YES</v>
      </c>
      <c r="AD108" s="211" t="str">
        <f t="shared" si="39"/>
        <v>NO</v>
      </c>
      <c r="AE108" s="211" t="str">
        <f t="shared" si="40"/>
        <v>NO</v>
      </c>
      <c r="AF108" s="206"/>
      <c r="AG108" s="206"/>
      <c r="AH108" s="203">
        <f t="shared" si="30"/>
        <v>2.5701999999999998</v>
      </c>
      <c r="AI108" s="203">
        <f t="shared" si="31"/>
        <v>799.99</v>
      </c>
      <c r="AJ108" s="203">
        <f t="shared" si="32"/>
        <v>884.63516135321618</v>
      </c>
      <c r="AK108" s="203"/>
      <c r="AL108" s="203"/>
      <c r="AM108" s="203"/>
      <c r="AN108" s="207"/>
    </row>
    <row r="109" spans="1:40" s="204" customFormat="1" ht="15">
      <c r="A109" s="280" t="s">
        <v>850</v>
      </c>
      <c r="B109" s="281" t="s">
        <v>851</v>
      </c>
      <c r="C109" s="249">
        <v>619.99</v>
      </c>
      <c r="D109" s="248">
        <v>3.3</v>
      </c>
      <c r="E109" s="250" t="str">
        <f>VLOOKUP(B109,'Northwest Retail Cost Data'!$C$5:$F$275,4,FALSE)</f>
        <v>Front Load</v>
      </c>
      <c r="F109" s="251" t="s">
        <v>846</v>
      </c>
      <c r="G109" s="282">
        <v>3</v>
      </c>
      <c r="H109" s="282">
        <v>3.3</v>
      </c>
      <c r="I109" s="252">
        <f>D109*H109*SFAssumptions!$C$3</f>
        <v>2795.6078369999996</v>
      </c>
      <c r="J109" s="253">
        <f t="shared" si="26"/>
        <v>619.99</v>
      </c>
      <c r="K109" s="254">
        <f t="shared" si="26"/>
        <v>3.3</v>
      </c>
      <c r="L109" s="691">
        <f t="shared" si="27"/>
        <v>2.5701999999999998</v>
      </c>
      <c r="M109" s="691">
        <f t="shared" si="28"/>
        <v>3.4970599999999998</v>
      </c>
      <c r="N109" s="255">
        <v>2012</v>
      </c>
      <c r="O109" s="256">
        <f>C109*VLOOKUP(N109,SFAssumptions!$A$42:$B$51,2,FALSE)</f>
        <v>559.8849961668717</v>
      </c>
      <c r="P109" s="254">
        <f ca="1">O109+((SFAssumptions!$C$8-D109)*$AO$35)</f>
        <v>603.64475065193801</v>
      </c>
      <c r="Q109" s="190" t="str">
        <f>IF(OR(L109="",M109=""),"No",IF(AND(E109="Front Load",L109&gt;='Eff. Standards &amp; Certifications'!$B$21,M109&lt;='Eff. Standards &amp; Certifications'!$C$21),"Consider",IF(AND(E109="Top Load",L109&gt;='Eff. Standards &amp; Certifications'!$B$20,M109&lt;='Eff. Standards &amp; Certifications'!$C$20),"Consider","No")))</f>
        <v>Consider</v>
      </c>
      <c r="R109" s="203"/>
      <c r="S109" s="203"/>
      <c r="T109" s="293" t="str">
        <f t="shared" si="33"/>
        <v>NO</v>
      </c>
      <c r="U109" s="293" t="str">
        <f t="shared" si="33"/>
        <v>YES</v>
      </c>
      <c r="V109" s="293" t="str">
        <f t="shared" si="34"/>
        <v>YES</v>
      </c>
      <c r="W109" s="211" t="str">
        <f t="shared" si="29"/>
        <v>NO</v>
      </c>
      <c r="X109" s="211" t="str">
        <f t="shared" si="29"/>
        <v>NO</v>
      </c>
      <c r="Y109" s="211" t="str">
        <f t="shared" si="35"/>
        <v>NO</v>
      </c>
      <c r="Z109" s="211" t="str">
        <f t="shared" si="36"/>
        <v>NO</v>
      </c>
      <c r="AA109" s="211" t="str">
        <f t="shared" si="36"/>
        <v>YES</v>
      </c>
      <c r="AB109" s="293" t="str">
        <f t="shared" si="37"/>
        <v>YES</v>
      </c>
      <c r="AC109" s="211" t="str">
        <f t="shared" si="38"/>
        <v>YES</v>
      </c>
      <c r="AD109" s="211" t="str">
        <f t="shared" si="39"/>
        <v>NO</v>
      </c>
      <c r="AE109" s="211" t="str">
        <f t="shared" si="40"/>
        <v>NO</v>
      </c>
      <c r="AF109" s="206"/>
      <c r="AG109" s="206"/>
      <c r="AH109" s="203">
        <f t="shared" si="30"/>
        <v>2.5701999999999998</v>
      </c>
      <c r="AI109" s="203">
        <f t="shared" si="31"/>
        <v>619.99</v>
      </c>
      <c r="AJ109" s="203">
        <f t="shared" si="32"/>
        <v>857.11372433200381</v>
      </c>
      <c r="AK109" s="203"/>
      <c r="AL109" s="203"/>
      <c r="AM109" s="203"/>
      <c r="AN109" s="207"/>
    </row>
    <row r="110" spans="1:40" s="204" customFormat="1" ht="15">
      <c r="A110" s="280" t="s">
        <v>873</v>
      </c>
      <c r="B110" s="281" t="s">
        <v>879</v>
      </c>
      <c r="C110" s="249">
        <v>1079.99</v>
      </c>
      <c r="D110" s="248">
        <v>4</v>
      </c>
      <c r="E110" s="250" t="str">
        <f>VLOOKUP(B110,'Northwest Retail Cost Data'!$C$5:$F$275,4,FALSE)</f>
        <v>Front Load</v>
      </c>
      <c r="F110" s="251" t="s">
        <v>846</v>
      </c>
      <c r="G110" s="279">
        <v>3.2</v>
      </c>
      <c r="H110" s="279">
        <v>3.3</v>
      </c>
      <c r="I110" s="252">
        <f>D110*H110*SFAssumptions!$C$3</f>
        <v>3388.6155599999997</v>
      </c>
      <c r="J110" s="253">
        <f t="shared" si="26"/>
        <v>1079.99</v>
      </c>
      <c r="K110" s="254">
        <f t="shared" si="26"/>
        <v>4</v>
      </c>
      <c r="L110" s="691">
        <f t="shared" si="27"/>
        <v>2.7530999999999999</v>
      </c>
      <c r="M110" s="691">
        <f t="shared" si="28"/>
        <v>3.4970599999999998</v>
      </c>
      <c r="N110" s="255">
        <v>2012</v>
      </c>
      <c r="O110" s="256">
        <f>C110*VLOOKUP(N110,SFAssumptions!$A$42:$B$51,2,FALSE)</f>
        <v>975.29024179464136</v>
      </c>
      <c r="P110" s="254">
        <f ca="1">O110+((SFAssumptions!$C$8-D110)*$AO$35)</f>
        <v>954.83330989687875</v>
      </c>
      <c r="Q110" s="190" t="str">
        <f>IF(OR(L110="",M110=""),"No",IF(AND(E110="Front Load",L110&gt;='Eff. Standards &amp; Certifications'!$B$21,M110&lt;='Eff. Standards &amp; Certifications'!$C$21),"Consider",IF(AND(E110="Top Load",L110&gt;='Eff. Standards &amp; Certifications'!$B$20,M110&lt;='Eff. Standards &amp; Certifications'!$C$20),"Consider","No")))</f>
        <v>Consider</v>
      </c>
      <c r="R110" s="203"/>
      <c r="S110" s="203"/>
      <c r="T110" s="293" t="str">
        <f t="shared" si="33"/>
        <v>NO</v>
      </c>
      <c r="U110" s="293" t="str">
        <f t="shared" si="33"/>
        <v>YES</v>
      </c>
      <c r="V110" s="293" t="str">
        <f t="shared" si="34"/>
        <v>YES</v>
      </c>
      <c r="W110" s="211" t="str">
        <f t="shared" si="29"/>
        <v>NO</v>
      </c>
      <c r="X110" s="211" t="str">
        <f t="shared" si="29"/>
        <v>NO</v>
      </c>
      <c r="Y110" s="211" t="str">
        <f t="shared" si="35"/>
        <v>NO</v>
      </c>
      <c r="Z110" s="211" t="str">
        <f t="shared" si="36"/>
        <v>NO</v>
      </c>
      <c r="AA110" s="211" t="str">
        <f t="shared" si="36"/>
        <v>YES</v>
      </c>
      <c r="AB110" s="293" t="str">
        <f t="shared" si="37"/>
        <v>YES</v>
      </c>
      <c r="AC110" s="211" t="str">
        <f t="shared" si="38"/>
        <v>YES</v>
      </c>
      <c r="AD110" s="211" t="str">
        <f t="shared" si="39"/>
        <v>NO</v>
      </c>
      <c r="AE110" s="211" t="str">
        <f t="shared" si="40"/>
        <v>NO</v>
      </c>
      <c r="AF110" s="206"/>
      <c r="AG110" s="206"/>
      <c r="AH110" s="203">
        <f t="shared" si="30"/>
        <v>2.7530999999999999</v>
      </c>
      <c r="AI110" s="203">
        <f t="shared" si="31"/>
        <v>1079.99</v>
      </c>
      <c r="AJ110" s="203">
        <f t="shared" si="32"/>
        <v>965.53380837860573</v>
      </c>
      <c r="AK110" s="203"/>
      <c r="AL110" s="203"/>
      <c r="AM110" s="203"/>
      <c r="AN110" s="207"/>
    </row>
    <row r="111" spans="1:40" s="204" customFormat="1" ht="15">
      <c r="A111" s="280" t="s">
        <v>873</v>
      </c>
      <c r="B111" s="281" t="s">
        <v>881</v>
      </c>
      <c r="C111" s="249">
        <v>899.99</v>
      </c>
      <c r="D111" s="248">
        <v>3.6</v>
      </c>
      <c r="E111" s="250" t="str">
        <f>VLOOKUP(B111,'Northwest Retail Cost Data'!$C$5:$F$275,4,FALSE)</f>
        <v>Front Load</v>
      </c>
      <c r="F111" s="251" t="s">
        <v>846</v>
      </c>
      <c r="G111" s="279">
        <v>3</v>
      </c>
      <c r="H111" s="279">
        <v>3.3</v>
      </c>
      <c r="I111" s="252">
        <f>D111*H111*SFAssumptions!$C$3</f>
        <v>3049.7540039999999</v>
      </c>
      <c r="J111" s="253">
        <f t="shared" si="26"/>
        <v>899.99</v>
      </c>
      <c r="K111" s="254">
        <f t="shared" si="26"/>
        <v>3.6</v>
      </c>
      <c r="L111" s="691">
        <f t="shared" si="27"/>
        <v>2.5701999999999998</v>
      </c>
      <c r="M111" s="691">
        <f t="shared" si="28"/>
        <v>3.4970599999999998</v>
      </c>
      <c r="N111" s="255">
        <v>2012</v>
      </c>
      <c r="O111" s="256">
        <f>C111*VLOOKUP(N111,SFAssumptions!$A$42:$B$51,2,FALSE)</f>
        <v>812.74036307073152</v>
      </c>
      <c r="P111" s="254">
        <f ca="1">O111+((SFAssumptions!$C$8-D111)*$AO$35)</f>
        <v>828.97868053458546</v>
      </c>
      <c r="Q111" s="190" t="str">
        <f>IF(OR(L111="",M111=""),"No",IF(AND(E111="Front Load",L111&gt;='Eff. Standards &amp; Certifications'!$B$21,M111&lt;='Eff. Standards &amp; Certifications'!$C$21),"Consider",IF(AND(E111="Top Load",L111&gt;='Eff. Standards &amp; Certifications'!$B$20,M111&lt;='Eff. Standards &amp; Certifications'!$C$20),"Consider","No")))</f>
        <v>Consider</v>
      </c>
      <c r="R111" s="203"/>
      <c r="S111" s="203"/>
      <c r="T111" s="293" t="str">
        <f t="shared" si="33"/>
        <v>NO</v>
      </c>
      <c r="U111" s="293" t="str">
        <f t="shared" si="33"/>
        <v>YES</v>
      </c>
      <c r="V111" s="293" t="str">
        <f t="shared" si="34"/>
        <v>YES</v>
      </c>
      <c r="W111" s="211" t="str">
        <f t="shared" si="29"/>
        <v>NO</v>
      </c>
      <c r="X111" s="211" t="str">
        <f t="shared" si="29"/>
        <v>NO</v>
      </c>
      <c r="Y111" s="211" t="str">
        <f t="shared" si="35"/>
        <v>NO</v>
      </c>
      <c r="Z111" s="211" t="str">
        <f t="shared" si="36"/>
        <v>NO</v>
      </c>
      <c r="AA111" s="211" t="str">
        <f t="shared" si="36"/>
        <v>YES</v>
      </c>
      <c r="AB111" s="293" t="str">
        <f t="shared" si="37"/>
        <v>YES</v>
      </c>
      <c r="AC111" s="211" t="str">
        <f t="shared" si="38"/>
        <v>YES</v>
      </c>
      <c r="AD111" s="211" t="str">
        <f t="shared" si="39"/>
        <v>NO</v>
      </c>
      <c r="AE111" s="211" t="str">
        <f t="shared" si="40"/>
        <v>NO</v>
      </c>
      <c r="AF111" s="206"/>
      <c r="AG111" s="206"/>
      <c r="AH111" s="203">
        <f t="shared" si="30"/>
        <v>2.5701999999999998</v>
      </c>
      <c r="AI111" s="203">
        <f t="shared" si="31"/>
        <v>899.99</v>
      </c>
      <c r="AJ111" s="203">
        <f t="shared" si="32"/>
        <v>884.63516135321618</v>
      </c>
      <c r="AK111" s="203"/>
      <c r="AL111" s="203"/>
      <c r="AM111" s="203"/>
      <c r="AN111" s="207"/>
    </row>
    <row r="112" spans="1:40" s="204" customFormat="1" ht="15">
      <c r="A112" s="280" t="s">
        <v>459</v>
      </c>
      <c r="B112" s="281">
        <v>41272</v>
      </c>
      <c r="C112" s="249">
        <v>740.59</v>
      </c>
      <c r="D112" s="248">
        <v>3.7</v>
      </c>
      <c r="E112" s="250" t="str">
        <f>VLOOKUP(B112,'Northwest Retail Cost Data'!$C$5:$F$275,4,FALSE)</f>
        <v>Front load</v>
      </c>
      <c r="F112" s="251" t="s">
        <v>846</v>
      </c>
      <c r="G112" s="279">
        <v>3</v>
      </c>
      <c r="H112" s="279">
        <v>3.3</v>
      </c>
      <c r="I112" s="252">
        <f>D112*H112*SFAssumptions!$C$3</f>
        <v>3134.4693929999999</v>
      </c>
      <c r="J112" s="253">
        <f t="shared" si="26"/>
        <v>740.59</v>
      </c>
      <c r="K112" s="254">
        <f t="shared" si="26"/>
        <v>3.7</v>
      </c>
      <c r="L112" s="691">
        <f t="shared" si="27"/>
        <v>2.5701999999999998</v>
      </c>
      <c r="M112" s="691">
        <f t="shared" si="28"/>
        <v>3.4970599999999998</v>
      </c>
      <c r="N112" s="255">
        <v>2012</v>
      </c>
      <c r="O112" s="256">
        <f>C112*VLOOKUP(N112,SFAssumptions!$A$42:$B$51,2,FALSE)</f>
        <v>668.79341491189132</v>
      </c>
      <c r="P112" s="254">
        <f ca="1">O112+((SFAssumptions!$C$8-D112)*$AO$35)</f>
        <v>675.85792003534107</v>
      </c>
      <c r="Q112" s="190" t="str">
        <f>IF(OR(L112="",M112=""),"No",IF(AND(E112="Front Load",L112&gt;='Eff. Standards &amp; Certifications'!$B$21,M112&lt;='Eff. Standards &amp; Certifications'!$C$21),"Consider",IF(AND(E112="Top Load",L112&gt;='Eff. Standards &amp; Certifications'!$B$20,M112&lt;='Eff. Standards &amp; Certifications'!$C$20),"Consider","No")))</f>
        <v>Consider</v>
      </c>
      <c r="R112" s="203"/>
      <c r="S112" s="203"/>
      <c r="T112" s="293" t="str">
        <f t="shared" si="33"/>
        <v>NO</v>
      </c>
      <c r="U112" s="293" t="str">
        <f t="shared" si="33"/>
        <v>YES</v>
      </c>
      <c r="V112" s="293" t="str">
        <f t="shared" si="34"/>
        <v>YES</v>
      </c>
      <c r="W112" s="211" t="str">
        <f t="shared" si="29"/>
        <v>NO</v>
      </c>
      <c r="X112" s="211" t="str">
        <f t="shared" si="29"/>
        <v>NO</v>
      </c>
      <c r="Y112" s="211" t="str">
        <f t="shared" si="35"/>
        <v>NO</v>
      </c>
      <c r="Z112" s="211" t="str">
        <f t="shared" si="36"/>
        <v>NO</v>
      </c>
      <c r="AA112" s="211" t="str">
        <f t="shared" si="36"/>
        <v>YES</v>
      </c>
      <c r="AB112" s="293" t="str">
        <f t="shared" si="37"/>
        <v>YES</v>
      </c>
      <c r="AC112" s="211" t="str">
        <f t="shared" si="38"/>
        <v>YES</v>
      </c>
      <c r="AD112" s="211" t="str">
        <f t="shared" si="39"/>
        <v>NO</v>
      </c>
      <c r="AE112" s="211" t="str">
        <f t="shared" si="40"/>
        <v>NO</v>
      </c>
      <c r="AF112" s="206"/>
      <c r="AG112" s="206"/>
      <c r="AH112" s="203">
        <f t="shared" si="30"/>
        <v>2.5701999999999998</v>
      </c>
      <c r="AI112" s="203">
        <f t="shared" si="31"/>
        <v>740.59</v>
      </c>
      <c r="AJ112" s="203">
        <f t="shared" si="32"/>
        <v>893.80897369362037</v>
      </c>
      <c r="AK112" s="203"/>
      <c r="AL112" s="203"/>
      <c r="AM112" s="203"/>
      <c r="AN112" s="207"/>
    </row>
    <row r="113" spans="1:40" s="204" customFormat="1" ht="15">
      <c r="A113" s="280" t="s">
        <v>459</v>
      </c>
      <c r="B113" s="281">
        <v>41379</v>
      </c>
      <c r="C113" s="249">
        <v>799.99</v>
      </c>
      <c r="D113" s="248">
        <v>3.7</v>
      </c>
      <c r="E113" s="250" t="str">
        <f>VLOOKUP(B113,'Northwest Retail Cost Data'!$C$5:$F$275,4,FALSE)</f>
        <v>Front load</v>
      </c>
      <c r="F113" s="251" t="s">
        <v>846</v>
      </c>
      <c r="G113" s="279">
        <v>3.05</v>
      </c>
      <c r="H113" s="279">
        <v>3.3</v>
      </c>
      <c r="I113" s="252">
        <f>D113*H113*SFAssumptions!$C$3</f>
        <v>3134.4693929999999</v>
      </c>
      <c r="J113" s="253">
        <f t="shared" si="26"/>
        <v>799.99</v>
      </c>
      <c r="K113" s="254">
        <f t="shared" si="26"/>
        <v>3.7</v>
      </c>
      <c r="L113" s="691">
        <f t="shared" si="27"/>
        <v>2.6159249999999998</v>
      </c>
      <c r="M113" s="691">
        <f t="shared" si="28"/>
        <v>3.4970599999999998</v>
      </c>
      <c r="N113" s="255">
        <v>2012</v>
      </c>
      <c r="O113" s="256">
        <f>C113*VLOOKUP(N113,SFAssumptions!$A$42:$B$51,2,FALSE)</f>
        <v>722.43487489078154</v>
      </c>
      <c r="P113" s="254">
        <f ca="1">O113+((SFAssumptions!$C$8-D113)*$AO$35)</f>
        <v>729.49938001423129</v>
      </c>
      <c r="Q113" s="190" t="str">
        <f>IF(OR(L113="",M113=""),"No",IF(AND(E113="Front Load",L113&gt;='Eff. Standards &amp; Certifications'!$B$21,M113&lt;='Eff. Standards &amp; Certifications'!$C$21),"Consider",IF(AND(E113="Top Load",L113&gt;='Eff. Standards &amp; Certifications'!$B$20,M113&lt;='Eff. Standards &amp; Certifications'!$C$20),"Consider","No")))</f>
        <v>Consider</v>
      </c>
      <c r="R113" s="203"/>
      <c r="S113" s="203"/>
      <c r="T113" s="293" t="str">
        <f t="shared" si="33"/>
        <v>NO</v>
      </c>
      <c r="U113" s="293" t="str">
        <f t="shared" si="33"/>
        <v>YES</v>
      </c>
      <c r="V113" s="293" t="str">
        <f t="shared" si="34"/>
        <v>YES</v>
      </c>
      <c r="W113" s="211" t="str">
        <f t="shared" si="29"/>
        <v>NO</v>
      </c>
      <c r="X113" s="211" t="str">
        <f t="shared" si="29"/>
        <v>NO</v>
      </c>
      <c r="Y113" s="211" t="str">
        <f t="shared" si="35"/>
        <v>NO</v>
      </c>
      <c r="Z113" s="211" t="str">
        <f t="shared" si="36"/>
        <v>NO</v>
      </c>
      <c r="AA113" s="211" t="str">
        <f t="shared" si="36"/>
        <v>YES</v>
      </c>
      <c r="AB113" s="293" t="str">
        <f t="shared" si="37"/>
        <v>YES</v>
      </c>
      <c r="AC113" s="211" t="str">
        <f t="shared" si="38"/>
        <v>YES</v>
      </c>
      <c r="AD113" s="211" t="str">
        <f t="shared" si="39"/>
        <v>NO</v>
      </c>
      <c r="AE113" s="211" t="str">
        <f t="shared" si="40"/>
        <v>NO</v>
      </c>
      <c r="AF113" s="206"/>
      <c r="AG113" s="206"/>
      <c r="AH113" s="203">
        <f t="shared" si="30"/>
        <v>2.6159249999999998</v>
      </c>
      <c r="AI113" s="203">
        <f t="shared" si="31"/>
        <v>799.99</v>
      </c>
      <c r="AJ113" s="203">
        <f t="shared" si="32"/>
        <v>904.85982310956365</v>
      </c>
      <c r="AK113" s="203"/>
      <c r="AL113" s="203"/>
      <c r="AM113" s="203"/>
      <c r="AN113" s="207"/>
    </row>
    <row r="114" spans="1:40" s="204" customFormat="1" ht="15">
      <c r="A114" s="280" t="s">
        <v>625</v>
      </c>
      <c r="B114" s="281" t="s">
        <v>926</v>
      </c>
      <c r="C114" s="249">
        <v>799.99</v>
      </c>
      <c r="D114" s="248">
        <v>3.5</v>
      </c>
      <c r="E114" s="250" t="str">
        <f>VLOOKUP(B114,'Northwest Retail Cost Data'!$C$5:$F$275,4,FALSE)</f>
        <v>Front Load</v>
      </c>
      <c r="F114" s="251" t="s">
        <v>846</v>
      </c>
      <c r="G114" s="279">
        <v>2.46</v>
      </c>
      <c r="H114" s="279">
        <v>3.69</v>
      </c>
      <c r="I114" s="252">
        <f>D114*H114*SFAssumptions!$C$3</f>
        <v>3315.4522695000001</v>
      </c>
      <c r="J114" s="253">
        <f t="shared" si="26"/>
        <v>799.99</v>
      </c>
      <c r="K114" s="254">
        <f t="shared" si="26"/>
        <v>3.5</v>
      </c>
      <c r="L114" s="691">
        <f t="shared" si="27"/>
        <v>2.0763699999999998</v>
      </c>
      <c r="M114" s="691">
        <f t="shared" si="28"/>
        <v>3.8964979999999998</v>
      </c>
      <c r="N114" s="255">
        <v>2012</v>
      </c>
      <c r="O114" s="256">
        <f>C114*VLOOKUP(N114,SFAssumptions!$A$42:$B$51,2,FALSE)</f>
        <v>722.43487489078154</v>
      </c>
      <c r="P114" s="254">
        <f ca="1">O114+((SFAssumptions!$C$8-D114)*$AO$35)</f>
        <v>747.84700469503957</v>
      </c>
      <c r="Q114" s="190" t="str">
        <f>IF(OR(L114="",M114=""),"No",IF(AND(E114="Front Load",L114&gt;='Eff. Standards &amp; Certifications'!$B$21,M114&lt;='Eff. Standards &amp; Certifications'!$C$21),"Consider",IF(AND(E114="Top Load",L114&gt;='Eff. Standards &amp; Certifications'!$B$20,M114&lt;='Eff. Standards &amp; Certifications'!$C$20),"Consider","No")))</f>
        <v>Consider</v>
      </c>
      <c r="R114" s="203"/>
      <c r="S114" s="203"/>
      <c r="T114" s="293" t="str">
        <f t="shared" si="33"/>
        <v>NO</v>
      </c>
      <c r="U114" s="293" t="str">
        <f t="shared" si="33"/>
        <v>YES</v>
      </c>
      <c r="V114" s="293" t="str">
        <f t="shared" si="34"/>
        <v>YES</v>
      </c>
      <c r="W114" s="211" t="str">
        <f t="shared" si="29"/>
        <v>NO</v>
      </c>
      <c r="X114" s="211" t="str">
        <f t="shared" si="29"/>
        <v>YES</v>
      </c>
      <c r="Y114" s="211" t="str">
        <f t="shared" si="35"/>
        <v>YES</v>
      </c>
      <c r="Z114" s="211" t="str">
        <f t="shared" si="36"/>
        <v>NO</v>
      </c>
      <c r="AA114" s="211" t="str">
        <f t="shared" si="36"/>
        <v>NO</v>
      </c>
      <c r="AB114" s="293" t="str">
        <f t="shared" si="37"/>
        <v>NO</v>
      </c>
      <c r="AC114" s="211" t="str">
        <f t="shared" si="38"/>
        <v>NO</v>
      </c>
      <c r="AD114" s="211" t="str">
        <f t="shared" si="39"/>
        <v>NO</v>
      </c>
      <c r="AE114" s="211" t="str">
        <f t="shared" si="40"/>
        <v>NO</v>
      </c>
      <c r="AF114" s="206"/>
      <c r="AG114" s="206"/>
      <c r="AH114" s="203">
        <f t="shared" si="30"/>
        <v>2.0763699999999998</v>
      </c>
      <c r="AI114" s="203">
        <f t="shared" si="31"/>
        <v>799.99</v>
      </c>
      <c r="AJ114" s="203">
        <f t="shared" si="32"/>
        <v>753.34397083577016</v>
      </c>
      <c r="AK114" s="203"/>
      <c r="AL114" s="203"/>
      <c r="AM114" s="203"/>
      <c r="AN114" s="207"/>
    </row>
    <row r="115" spans="1:40" s="204" customFormat="1" ht="15">
      <c r="A115" s="280" t="s">
        <v>459</v>
      </c>
      <c r="B115" s="281">
        <v>41372</v>
      </c>
      <c r="C115" s="249">
        <v>799.99</v>
      </c>
      <c r="D115" s="248">
        <v>3.7</v>
      </c>
      <c r="E115" s="250" t="str">
        <f>VLOOKUP(B115,'Northwest Retail Cost Data'!$C$5:$F$275,4,FALSE)</f>
        <v>Front load</v>
      </c>
      <c r="F115" s="251" t="s">
        <v>846</v>
      </c>
      <c r="G115" s="279">
        <v>3.05</v>
      </c>
      <c r="H115" s="279">
        <v>3.3</v>
      </c>
      <c r="I115" s="252">
        <f>D115*H115*SFAssumptions!$C$3</f>
        <v>3134.4693929999999</v>
      </c>
      <c r="J115" s="253">
        <f t="shared" si="26"/>
        <v>799.99</v>
      </c>
      <c r="K115" s="254">
        <f t="shared" si="26"/>
        <v>3.7</v>
      </c>
      <c r="L115" s="691">
        <f t="shared" si="27"/>
        <v>2.6159249999999998</v>
      </c>
      <c r="M115" s="691">
        <f t="shared" si="28"/>
        <v>3.4970599999999998</v>
      </c>
      <c r="N115" s="255">
        <v>2012</v>
      </c>
      <c r="O115" s="256">
        <f>C115*VLOOKUP(N115,SFAssumptions!$A$42:$B$51,2,FALSE)</f>
        <v>722.43487489078154</v>
      </c>
      <c r="P115" s="254">
        <f ca="1">O115+((SFAssumptions!$C$8-D115)*$AO$35)</f>
        <v>729.49938001423129</v>
      </c>
      <c r="Q115" s="190" t="str">
        <f>IF(OR(L115="",M115=""),"No",IF(AND(E115="Front Load",L115&gt;='Eff. Standards &amp; Certifications'!$B$21,M115&lt;='Eff. Standards &amp; Certifications'!$C$21),"Consider",IF(AND(E115="Top Load",L115&gt;='Eff. Standards &amp; Certifications'!$B$20,M115&lt;='Eff. Standards &amp; Certifications'!$C$20),"Consider","No")))</f>
        <v>Consider</v>
      </c>
      <c r="R115" s="203"/>
      <c r="S115" s="203"/>
      <c r="T115" s="293" t="str">
        <f t="shared" si="33"/>
        <v>NO</v>
      </c>
      <c r="U115" s="293" t="str">
        <f t="shared" si="33"/>
        <v>YES</v>
      </c>
      <c r="V115" s="293" t="str">
        <f t="shared" si="34"/>
        <v>YES</v>
      </c>
      <c r="W115" s="211" t="str">
        <f t="shared" si="29"/>
        <v>NO</v>
      </c>
      <c r="X115" s="211" t="str">
        <f t="shared" si="29"/>
        <v>NO</v>
      </c>
      <c r="Y115" s="211" t="str">
        <f t="shared" si="35"/>
        <v>NO</v>
      </c>
      <c r="Z115" s="211" t="str">
        <f t="shared" si="36"/>
        <v>NO</v>
      </c>
      <c r="AA115" s="211" t="str">
        <f t="shared" si="36"/>
        <v>YES</v>
      </c>
      <c r="AB115" s="293" t="str">
        <f t="shared" si="37"/>
        <v>YES</v>
      </c>
      <c r="AC115" s="211" t="str">
        <f t="shared" si="38"/>
        <v>YES</v>
      </c>
      <c r="AD115" s="211" t="str">
        <f t="shared" si="39"/>
        <v>NO</v>
      </c>
      <c r="AE115" s="211" t="str">
        <f t="shared" si="40"/>
        <v>NO</v>
      </c>
      <c r="AF115" s="206"/>
      <c r="AG115" s="206"/>
      <c r="AH115" s="203">
        <f t="shared" si="30"/>
        <v>2.6159249999999998</v>
      </c>
      <c r="AI115" s="203">
        <f t="shared" si="31"/>
        <v>799.99</v>
      </c>
      <c r="AJ115" s="203">
        <f t="shared" si="32"/>
        <v>904.85982310956365</v>
      </c>
      <c r="AK115" s="203"/>
      <c r="AL115" s="203"/>
      <c r="AM115" s="203"/>
      <c r="AN115" s="207"/>
    </row>
    <row r="116" spans="1:40" s="204" customFormat="1" ht="15">
      <c r="A116" s="280" t="s">
        <v>873</v>
      </c>
      <c r="B116" s="281" t="s">
        <v>876</v>
      </c>
      <c r="C116" s="249">
        <v>1259.99</v>
      </c>
      <c r="D116" s="248">
        <v>5.0999999999999996</v>
      </c>
      <c r="E116" s="250" t="str">
        <f>VLOOKUP(B116,'Northwest Retail Cost Data'!$C$5:$F$275,4,FALSE)</f>
        <v>Front Load</v>
      </c>
      <c r="F116" s="251" t="s">
        <v>846</v>
      </c>
      <c r="G116" s="279">
        <v>3.55</v>
      </c>
      <c r="H116" s="279">
        <v>2.95</v>
      </c>
      <c r="I116" s="252">
        <f>D116*H116*SFAssumptions!$C$3</f>
        <v>3862.2515985</v>
      </c>
      <c r="J116" s="253">
        <f t="shared" si="26"/>
        <v>1259.99</v>
      </c>
      <c r="K116" s="254">
        <f t="shared" si="26"/>
        <v>5.0999999999999996</v>
      </c>
      <c r="L116" s="691">
        <f t="shared" si="27"/>
        <v>3.073175</v>
      </c>
      <c r="M116" s="691">
        <f t="shared" si="28"/>
        <v>3.1385900000000002</v>
      </c>
      <c r="N116" s="255">
        <v>2012</v>
      </c>
      <c r="O116" s="256">
        <f>C116*VLOOKUP(N116,SFAssumptions!$A$42:$B$51,2,FALSE)</f>
        <v>1137.8401205185512</v>
      </c>
      <c r="P116" s="254">
        <f ca="1">O116+((SFAssumptions!$C$8-D116)*$AO$35)</f>
        <v>1016.4712528763431</v>
      </c>
      <c r="Q116" s="190" t="str">
        <f>IF(OR(L116="",M116=""),"No",IF(AND(E116="Front Load",L116&gt;='Eff. Standards &amp; Certifications'!$B$21,M116&lt;='Eff. Standards &amp; Certifications'!$C$21),"Consider",IF(AND(E116="Top Load",L116&gt;='Eff. Standards &amp; Certifications'!$B$20,M116&lt;='Eff. Standards &amp; Certifications'!$C$20),"Consider","No")))</f>
        <v>Consider</v>
      </c>
      <c r="R116" s="203"/>
      <c r="S116" s="203"/>
      <c r="T116" s="293" t="str">
        <f t="shared" si="33"/>
        <v>NO</v>
      </c>
      <c r="U116" s="293" t="str">
        <f t="shared" si="33"/>
        <v>YES</v>
      </c>
      <c r="V116" s="293" t="str">
        <f t="shared" si="34"/>
        <v>YES</v>
      </c>
      <c r="W116" s="211" t="str">
        <f t="shared" si="29"/>
        <v>NO</v>
      </c>
      <c r="X116" s="211" t="str">
        <f t="shared" si="29"/>
        <v>NO</v>
      </c>
      <c r="Y116" s="211" t="str">
        <f t="shared" si="35"/>
        <v>NO</v>
      </c>
      <c r="Z116" s="211" t="str">
        <f t="shared" si="36"/>
        <v>NO</v>
      </c>
      <c r="AA116" s="211" t="str">
        <f t="shared" si="36"/>
        <v>YES</v>
      </c>
      <c r="AB116" s="293" t="str">
        <f t="shared" si="37"/>
        <v>YES</v>
      </c>
      <c r="AC116" s="211" t="str">
        <f t="shared" si="38"/>
        <v>NO</v>
      </c>
      <c r="AD116" s="211" t="str">
        <f t="shared" si="39"/>
        <v>NO</v>
      </c>
      <c r="AE116" s="211" t="str">
        <f t="shared" si="40"/>
        <v>YES</v>
      </c>
      <c r="AF116" s="206"/>
      <c r="AG116" s="206"/>
      <c r="AH116" s="203">
        <f t="shared" si="30"/>
        <v>3.073175</v>
      </c>
      <c r="AI116" s="203">
        <f t="shared" si="31"/>
        <v>1259.99</v>
      </c>
      <c r="AJ116" s="203">
        <f t="shared" si="32"/>
        <v>1146.2859761108057</v>
      </c>
      <c r="AK116" s="203"/>
      <c r="AL116" s="203"/>
      <c r="AM116" s="203"/>
      <c r="AN116" s="207"/>
    </row>
    <row r="117" spans="1:40" s="204" customFormat="1" ht="15">
      <c r="A117" s="280" t="s">
        <v>557</v>
      </c>
      <c r="B117" s="281" t="s">
        <v>905</v>
      </c>
      <c r="C117" s="249">
        <v>799.99</v>
      </c>
      <c r="D117" s="248">
        <v>3.5</v>
      </c>
      <c r="E117" s="250" t="str">
        <f>VLOOKUP(B117,'Northwest Retail Cost Data'!$C$5:$F$275,4,FALSE)</f>
        <v>Front Load</v>
      </c>
      <c r="F117" s="251" t="s">
        <v>846</v>
      </c>
      <c r="G117" s="279">
        <v>2.46</v>
      </c>
      <c r="H117" s="279">
        <v>3.69</v>
      </c>
      <c r="I117" s="252">
        <f>D117*H117*SFAssumptions!$C$3</f>
        <v>3315.4522695000001</v>
      </c>
      <c r="J117" s="253">
        <f t="shared" si="26"/>
        <v>799.99</v>
      </c>
      <c r="K117" s="254">
        <f t="shared" si="26"/>
        <v>3.5</v>
      </c>
      <c r="L117" s="691">
        <f t="shared" si="27"/>
        <v>2.0763699999999998</v>
      </c>
      <c r="M117" s="691">
        <f t="shared" si="28"/>
        <v>3.8964979999999998</v>
      </c>
      <c r="N117" s="255">
        <v>2012</v>
      </c>
      <c r="O117" s="256">
        <f>C117*VLOOKUP(N117,SFAssumptions!$A$42:$B$51,2,FALSE)</f>
        <v>722.43487489078154</v>
      </c>
      <c r="P117" s="254">
        <f ca="1">O117+((SFAssumptions!$C$8-D117)*$AO$35)</f>
        <v>747.84700469503957</v>
      </c>
      <c r="Q117" s="190" t="str">
        <f>IF(OR(L117="",M117=""),"No",IF(AND(E117="Front Load",L117&gt;='Eff. Standards &amp; Certifications'!$B$21,M117&lt;='Eff. Standards &amp; Certifications'!$C$21),"Consider",IF(AND(E117="Top Load",L117&gt;='Eff. Standards &amp; Certifications'!$B$20,M117&lt;='Eff. Standards &amp; Certifications'!$C$20),"Consider","No")))</f>
        <v>Consider</v>
      </c>
      <c r="R117" s="203"/>
      <c r="S117" s="203"/>
      <c r="T117" s="293" t="str">
        <f t="shared" si="33"/>
        <v>NO</v>
      </c>
      <c r="U117" s="293" t="str">
        <f t="shared" si="33"/>
        <v>YES</v>
      </c>
      <c r="V117" s="293" t="str">
        <f t="shared" si="34"/>
        <v>YES</v>
      </c>
      <c r="W117" s="211" t="str">
        <f t="shared" si="29"/>
        <v>NO</v>
      </c>
      <c r="X117" s="211" t="str">
        <f t="shared" si="29"/>
        <v>YES</v>
      </c>
      <c r="Y117" s="211" t="str">
        <f t="shared" si="35"/>
        <v>YES</v>
      </c>
      <c r="Z117" s="211" t="str">
        <f t="shared" si="36"/>
        <v>NO</v>
      </c>
      <c r="AA117" s="211" t="str">
        <f t="shared" si="36"/>
        <v>NO</v>
      </c>
      <c r="AB117" s="293" t="str">
        <f t="shared" si="37"/>
        <v>NO</v>
      </c>
      <c r="AC117" s="211" t="str">
        <f t="shared" si="38"/>
        <v>NO</v>
      </c>
      <c r="AD117" s="211" t="str">
        <f t="shared" si="39"/>
        <v>NO</v>
      </c>
      <c r="AE117" s="211" t="str">
        <f t="shared" si="40"/>
        <v>NO</v>
      </c>
      <c r="AF117" s="206"/>
      <c r="AG117" s="206"/>
      <c r="AH117" s="203">
        <f t="shared" si="30"/>
        <v>2.0763699999999998</v>
      </c>
      <c r="AI117" s="203">
        <f t="shared" si="31"/>
        <v>799.99</v>
      </c>
      <c r="AJ117" s="203">
        <f t="shared" si="32"/>
        <v>753.34397083577016</v>
      </c>
      <c r="AK117" s="203"/>
      <c r="AL117" s="203"/>
      <c r="AM117" s="203"/>
      <c r="AN117" s="207"/>
    </row>
    <row r="118" spans="1:40" s="204" customFormat="1" ht="15">
      <c r="A118" s="280" t="s">
        <v>597</v>
      </c>
      <c r="B118" s="281" t="s">
        <v>943</v>
      </c>
      <c r="C118" s="249">
        <v>799.99</v>
      </c>
      <c r="D118" s="248">
        <v>3.5</v>
      </c>
      <c r="E118" s="250" t="str">
        <f>VLOOKUP(B118,'Northwest Retail Cost Data'!$C$5:$F$275,4,FALSE)</f>
        <v>Front load</v>
      </c>
      <c r="F118" s="251" t="s">
        <v>846</v>
      </c>
      <c r="G118" s="279">
        <v>2.5</v>
      </c>
      <c r="H118" s="279">
        <v>3.3</v>
      </c>
      <c r="I118" s="252">
        <f>D118*H118*SFAssumptions!$C$3</f>
        <v>2965.0386149999999</v>
      </c>
      <c r="J118" s="253">
        <f t="shared" si="26"/>
        <v>799.99</v>
      </c>
      <c r="K118" s="254">
        <f t="shared" si="26"/>
        <v>3.5</v>
      </c>
      <c r="L118" s="691">
        <f t="shared" si="27"/>
        <v>2.1129499999999997</v>
      </c>
      <c r="M118" s="691">
        <f t="shared" si="28"/>
        <v>3.4970599999999998</v>
      </c>
      <c r="N118" s="255">
        <v>2012</v>
      </c>
      <c r="O118" s="256">
        <f>C118*VLOOKUP(N118,SFAssumptions!$A$42:$B$51,2,FALSE)</f>
        <v>722.43487489078154</v>
      </c>
      <c r="P118" s="254">
        <f ca="1">O118+((SFAssumptions!$C$8-D118)*$AO$35)</f>
        <v>747.84700469503957</v>
      </c>
      <c r="Q118" s="190" t="str">
        <f>IF(OR(L118="",M118=""),"No",IF(AND(E118="Front Load",L118&gt;='Eff. Standards &amp; Certifications'!$B$21,M118&lt;='Eff. Standards &amp; Certifications'!$C$21),"Consider",IF(AND(E118="Top Load",L118&gt;='Eff. Standards &amp; Certifications'!$B$20,M118&lt;='Eff. Standards &amp; Certifications'!$C$20),"Consider","No")))</f>
        <v>Consider</v>
      </c>
      <c r="R118" s="203"/>
      <c r="S118" s="203"/>
      <c r="T118" s="293" t="str">
        <f t="shared" si="33"/>
        <v>NO</v>
      </c>
      <c r="U118" s="293" t="str">
        <f t="shared" si="33"/>
        <v>YES</v>
      </c>
      <c r="V118" s="293" t="str">
        <f t="shared" si="34"/>
        <v>YES</v>
      </c>
      <c r="W118" s="211" t="str">
        <f t="shared" si="29"/>
        <v>NO</v>
      </c>
      <c r="X118" s="211" t="str">
        <f t="shared" si="29"/>
        <v>YES</v>
      </c>
      <c r="Y118" s="211" t="str">
        <f t="shared" si="35"/>
        <v>YES</v>
      </c>
      <c r="Z118" s="211" t="str">
        <f t="shared" si="36"/>
        <v>NO</v>
      </c>
      <c r="AA118" s="211" t="str">
        <f t="shared" si="36"/>
        <v>NO</v>
      </c>
      <c r="AB118" s="293" t="str">
        <f t="shared" si="37"/>
        <v>NO</v>
      </c>
      <c r="AC118" s="211" t="str">
        <f t="shared" si="38"/>
        <v>NO</v>
      </c>
      <c r="AD118" s="211" t="str">
        <f t="shared" si="39"/>
        <v>NO</v>
      </c>
      <c r="AE118" s="211" t="str">
        <f t="shared" si="40"/>
        <v>NO</v>
      </c>
      <c r="AF118" s="206"/>
      <c r="AG118" s="206"/>
      <c r="AH118" s="203">
        <f t="shared" si="30"/>
        <v>2.1129499999999997</v>
      </c>
      <c r="AI118" s="203">
        <f t="shared" si="31"/>
        <v>799.99</v>
      </c>
      <c r="AJ118" s="203">
        <f t="shared" si="32"/>
        <v>764.95285485337922</v>
      </c>
      <c r="AK118" s="203"/>
      <c r="AL118" s="203"/>
      <c r="AM118" s="203"/>
      <c r="AN118" s="207"/>
    </row>
    <row r="119" spans="1:40" s="204" customFormat="1" ht="15">
      <c r="A119" s="280" t="s">
        <v>597</v>
      </c>
      <c r="B119" s="281" t="s">
        <v>944</v>
      </c>
      <c r="C119" s="249">
        <v>1199.99</v>
      </c>
      <c r="D119" s="248">
        <v>4</v>
      </c>
      <c r="E119" s="250" t="str">
        <f>VLOOKUP(B119,'Northwest Retail Cost Data'!$C$5:$F$275,4,FALSE)</f>
        <v>Front load</v>
      </c>
      <c r="F119" s="251" t="s">
        <v>846</v>
      </c>
      <c r="G119" s="279">
        <v>3.35</v>
      </c>
      <c r="H119" s="279">
        <v>2.9</v>
      </c>
      <c r="I119" s="252">
        <f>D119*H119*SFAssumptions!$C$3</f>
        <v>2977.87428</v>
      </c>
      <c r="J119" s="253">
        <f t="shared" si="26"/>
        <v>1199.99</v>
      </c>
      <c r="K119" s="254">
        <f t="shared" si="26"/>
        <v>4</v>
      </c>
      <c r="L119" s="691">
        <f t="shared" si="27"/>
        <v>2.8902749999999999</v>
      </c>
      <c r="M119" s="691">
        <f t="shared" si="28"/>
        <v>3.08738</v>
      </c>
      <c r="N119" s="255">
        <v>2012</v>
      </c>
      <c r="O119" s="256">
        <f>C119*VLOOKUP(N119,SFAssumptions!$A$42:$B$51,2,FALSE)</f>
        <v>1083.6568276105813</v>
      </c>
      <c r="P119" s="254">
        <f ca="1">O119+((SFAssumptions!$C$8-D119)*$AO$35)</f>
        <v>1063.1998957128187</v>
      </c>
      <c r="Q119" s="190" t="str">
        <f>IF(OR(L119="",M119=""),"No",IF(AND(E119="Front Load",L119&gt;='Eff. Standards &amp; Certifications'!$B$21,M119&lt;='Eff. Standards &amp; Certifications'!$C$21),"Consider",IF(AND(E119="Top Load",L119&gt;='Eff. Standards &amp; Certifications'!$B$20,M119&lt;='Eff. Standards &amp; Certifications'!$C$20),"Consider","No")))</f>
        <v>Consider</v>
      </c>
      <c r="R119" s="203"/>
      <c r="S119" s="203"/>
      <c r="T119" s="293" t="str">
        <f t="shared" si="33"/>
        <v>NO</v>
      </c>
      <c r="U119" s="293" t="str">
        <f t="shared" si="33"/>
        <v>YES</v>
      </c>
      <c r="V119" s="293" t="str">
        <f t="shared" si="34"/>
        <v>YES</v>
      </c>
      <c r="W119" s="211" t="str">
        <f t="shared" si="29"/>
        <v>NO</v>
      </c>
      <c r="X119" s="211" t="str">
        <f t="shared" si="29"/>
        <v>NO</v>
      </c>
      <c r="Y119" s="211" t="str">
        <f t="shared" si="35"/>
        <v>NO</v>
      </c>
      <c r="Z119" s="211" t="str">
        <f t="shared" si="36"/>
        <v>NO</v>
      </c>
      <c r="AA119" s="211" t="str">
        <f t="shared" si="36"/>
        <v>YES</v>
      </c>
      <c r="AB119" s="293" t="str">
        <f t="shared" si="37"/>
        <v>YES</v>
      </c>
      <c r="AC119" s="211" t="str">
        <f t="shared" si="38"/>
        <v>NO</v>
      </c>
      <c r="AD119" s="211" t="str">
        <f t="shared" si="39"/>
        <v>YES</v>
      </c>
      <c r="AE119" s="211" t="str">
        <f t="shared" si="40"/>
        <v>NO</v>
      </c>
      <c r="AF119" s="206"/>
      <c r="AG119" s="206"/>
      <c r="AH119" s="203">
        <f t="shared" si="30"/>
        <v>2.8902749999999999</v>
      </c>
      <c r="AI119" s="203">
        <f t="shared" si="31"/>
        <v>1199.99</v>
      </c>
      <c r="AJ119" s="203">
        <f t="shared" si="32"/>
        <v>1001.5255407134657</v>
      </c>
      <c r="AK119" s="203"/>
      <c r="AL119" s="203"/>
      <c r="AM119" s="203"/>
      <c r="AN119" s="207"/>
    </row>
    <row r="120" spans="1:40" s="204" customFormat="1" ht="15">
      <c r="A120" s="280" t="s">
        <v>557</v>
      </c>
      <c r="B120" s="281" t="s">
        <v>945</v>
      </c>
      <c r="C120" s="249">
        <v>1199.99</v>
      </c>
      <c r="D120" s="248">
        <v>4.3</v>
      </c>
      <c r="E120" s="250" t="str">
        <f>VLOOKUP(B120,'Northwest Retail Cost Data'!$C$5:$F$275,4,FALSE)</f>
        <v>Front load</v>
      </c>
      <c r="F120" s="251" t="s">
        <v>846</v>
      </c>
      <c r="G120" s="279">
        <v>3</v>
      </c>
      <c r="H120" s="279">
        <v>2.484</v>
      </c>
      <c r="I120" s="252">
        <f>D120*H120*SFAssumptions!$C$3</f>
        <v>2742.0060999599996</v>
      </c>
      <c r="J120" s="253">
        <f t="shared" si="26"/>
        <v>1199.99</v>
      </c>
      <c r="K120" s="254">
        <f t="shared" si="26"/>
        <v>4.3</v>
      </c>
      <c r="L120" s="691">
        <f t="shared" si="27"/>
        <v>2.5701999999999998</v>
      </c>
      <c r="M120" s="691">
        <f t="shared" si="28"/>
        <v>2.6613128000000001</v>
      </c>
      <c r="N120" s="255">
        <v>2012</v>
      </c>
      <c r="O120" s="256">
        <f>C120*VLOOKUP(N120,SFAssumptions!$A$42:$B$51,2,FALSE)</f>
        <v>1083.6568276105813</v>
      </c>
      <c r="P120" s="254">
        <f ca="1">O120+((SFAssumptions!$C$8-D120)*$AO$35)</f>
        <v>1035.6784586916062</v>
      </c>
      <c r="Q120" s="190" t="str">
        <f>IF(OR(L120="",M120=""),"No",IF(AND(E120="Front Load",L120&gt;='Eff. Standards &amp; Certifications'!$B$21,M120&lt;='Eff. Standards &amp; Certifications'!$C$21),"Consider",IF(AND(E120="Top Load",L120&gt;='Eff. Standards &amp; Certifications'!$B$20,M120&lt;='Eff. Standards &amp; Certifications'!$C$20),"Consider","No")))</f>
        <v>Consider</v>
      </c>
      <c r="R120" s="203"/>
      <c r="S120" s="203"/>
      <c r="T120" s="293" t="str">
        <f t="shared" si="33"/>
        <v>NO</v>
      </c>
      <c r="U120" s="293" t="str">
        <f t="shared" si="33"/>
        <v>YES</v>
      </c>
      <c r="V120" s="293" t="str">
        <f t="shared" si="34"/>
        <v>YES</v>
      </c>
      <c r="W120" s="211" t="str">
        <f t="shared" si="29"/>
        <v>NO</v>
      </c>
      <c r="X120" s="211" t="str">
        <f t="shared" si="29"/>
        <v>NO</v>
      </c>
      <c r="Y120" s="211" t="str">
        <f t="shared" si="35"/>
        <v>NO</v>
      </c>
      <c r="Z120" s="211" t="str">
        <f t="shared" si="36"/>
        <v>NO</v>
      </c>
      <c r="AA120" s="211" t="str">
        <f t="shared" si="36"/>
        <v>YES</v>
      </c>
      <c r="AB120" s="293" t="str">
        <f t="shared" si="37"/>
        <v>YES</v>
      </c>
      <c r="AC120" s="211" t="str">
        <f t="shared" si="38"/>
        <v>YES</v>
      </c>
      <c r="AD120" s="211" t="str">
        <f t="shared" si="39"/>
        <v>NO</v>
      </c>
      <c r="AE120" s="211" t="str">
        <f t="shared" si="40"/>
        <v>NO</v>
      </c>
      <c r="AF120" s="206"/>
      <c r="AG120" s="206"/>
      <c r="AH120" s="203">
        <f t="shared" si="30"/>
        <v>2.5701999999999998</v>
      </c>
      <c r="AI120" s="203">
        <f t="shared" si="31"/>
        <v>1199.99</v>
      </c>
      <c r="AJ120" s="203">
        <f t="shared" si="32"/>
        <v>954.64378327358668</v>
      </c>
      <c r="AK120" s="203"/>
      <c r="AL120" s="203"/>
      <c r="AM120" s="203"/>
      <c r="AN120" s="207"/>
    </row>
    <row r="121" spans="1:40" s="204" customFormat="1" ht="15">
      <c r="A121" s="280" t="s">
        <v>873</v>
      </c>
      <c r="B121" s="281" t="s">
        <v>877</v>
      </c>
      <c r="C121" s="249">
        <v>929.99</v>
      </c>
      <c r="D121" s="248">
        <v>2.2999999999999998</v>
      </c>
      <c r="E121" s="250" t="str">
        <f>VLOOKUP(B121,'Northwest Retail Cost Data'!$C$5:$F$275,4,FALSE)</f>
        <v>Front Load</v>
      </c>
      <c r="F121" s="251" t="s">
        <v>846</v>
      </c>
      <c r="G121" s="279">
        <v>2.4</v>
      </c>
      <c r="H121" s="279">
        <v>4.4000000000000004</v>
      </c>
      <c r="I121" s="252">
        <f>D121*H121*SFAssumptions!$C$3</f>
        <v>2597.938596</v>
      </c>
      <c r="J121" s="253">
        <f t="shared" si="26"/>
        <v>929.99</v>
      </c>
      <c r="K121" s="254">
        <f t="shared" si="26"/>
        <v>2.2999999999999998</v>
      </c>
      <c r="L121" s="691">
        <f t="shared" si="27"/>
        <v>2.0214999999999996</v>
      </c>
      <c r="M121" s="691">
        <f t="shared" si="28"/>
        <v>4.6236800000000011</v>
      </c>
      <c r="N121" s="255">
        <v>2012</v>
      </c>
      <c r="O121" s="256">
        <f>C121*VLOOKUP(N121,SFAssumptions!$A$42:$B$51,2,FALSE)</f>
        <v>839.83200952471645</v>
      </c>
      <c r="P121" s="254">
        <f ca="1">O121+((SFAssumptions!$C$8-D121)*$AO$35)</f>
        <v>975.32988741382405</v>
      </c>
      <c r="Q121" s="190" t="str">
        <f>IF(OR(L121="",M121=""),"No",IF(AND(E121="Front Load",L121&gt;='Eff. Standards &amp; Certifications'!$B$21,M121&lt;='Eff. Standards &amp; Certifications'!$C$21),"Consider",IF(AND(E121="Top Load",L121&gt;='Eff. Standards &amp; Certifications'!$B$20,M121&lt;='Eff. Standards &amp; Certifications'!$C$20),"Consider","No")))</f>
        <v>Consider</v>
      </c>
      <c r="R121" s="203"/>
      <c r="S121" s="203"/>
      <c r="T121" s="293" t="str">
        <f t="shared" si="33"/>
        <v>NO</v>
      </c>
      <c r="U121" s="293" t="str">
        <f t="shared" si="33"/>
        <v>YES</v>
      </c>
      <c r="V121" s="293" t="str">
        <f t="shared" si="34"/>
        <v>YES</v>
      </c>
      <c r="W121" s="211" t="str">
        <f t="shared" si="29"/>
        <v>NO</v>
      </c>
      <c r="X121" s="211" t="str">
        <f t="shared" si="29"/>
        <v>YES</v>
      </c>
      <c r="Y121" s="211" t="str">
        <f t="shared" si="35"/>
        <v>YES</v>
      </c>
      <c r="Z121" s="211" t="str">
        <f t="shared" si="36"/>
        <v>NO</v>
      </c>
      <c r="AA121" s="211" t="str">
        <f t="shared" si="36"/>
        <v>NO</v>
      </c>
      <c r="AB121" s="293" t="str">
        <f t="shared" si="37"/>
        <v>NO</v>
      </c>
      <c r="AC121" s="211" t="str">
        <f t="shared" si="38"/>
        <v>NO</v>
      </c>
      <c r="AD121" s="211" t="str">
        <f t="shared" si="39"/>
        <v>NO</v>
      </c>
      <c r="AE121" s="211" t="str">
        <f t="shared" si="40"/>
        <v>NO</v>
      </c>
      <c r="AF121" s="206"/>
      <c r="AG121" s="206"/>
      <c r="AH121" s="203">
        <f t="shared" si="30"/>
        <v>2.0214999999999996</v>
      </c>
      <c r="AI121" s="203">
        <f t="shared" si="31"/>
        <v>929.99</v>
      </c>
      <c r="AJ121" s="203">
        <f t="shared" si="32"/>
        <v>624.9576516973101</v>
      </c>
      <c r="AK121" s="203"/>
      <c r="AL121" s="203"/>
      <c r="AM121" s="203"/>
      <c r="AN121" s="207"/>
    </row>
    <row r="122" spans="1:40" s="204" customFormat="1" ht="15">
      <c r="A122" s="280" t="s">
        <v>873</v>
      </c>
      <c r="B122" s="281" t="s">
        <v>880</v>
      </c>
      <c r="C122" s="249">
        <v>999.99</v>
      </c>
      <c r="D122" s="248">
        <v>3.6</v>
      </c>
      <c r="E122" s="250" t="str">
        <f>VLOOKUP(B122,'Northwest Retail Cost Data'!$C$5:$F$275,4,FALSE)</f>
        <v>Front Load</v>
      </c>
      <c r="F122" s="251" t="s">
        <v>846</v>
      </c>
      <c r="G122" s="279">
        <v>3</v>
      </c>
      <c r="H122" s="279">
        <v>3.3</v>
      </c>
      <c r="I122" s="252">
        <f>D122*H122*SFAssumptions!$C$3</f>
        <v>3049.7540039999999</v>
      </c>
      <c r="J122" s="253">
        <f t="shared" si="26"/>
        <v>999.99</v>
      </c>
      <c r="K122" s="254">
        <f t="shared" si="26"/>
        <v>3.6</v>
      </c>
      <c r="L122" s="691">
        <f t="shared" si="27"/>
        <v>2.5701999999999998</v>
      </c>
      <c r="M122" s="691">
        <f t="shared" si="28"/>
        <v>3.4970599999999998</v>
      </c>
      <c r="N122" s="255">
        <v>2012</v>
      </c>
      <c r="O122" s="256">
        <f>C122*VLOOKUP(N122,SFAssumptions!$A$42:$B$51,2,FALSE)</f>
        <v>903.04585125068149</v>
      </c>
      <c r="P122" s="254">
        <f ca="1">O122+((SFAssumptions!$C$8-D122)*$AO$35)</f>
        <v>919.28416871453544</v>
      </c>
      <c r="Q122" s="190" t="str">
        <f>IF(OR(L122="",M122=""),"No",IF(AND(E122="Front Load",L122&gt;='Eff. Standards &amp; Certifications'!$B$21,M122&lt;='Eff. Standards &amp; Certifications'!$C$21),"Consider",IF(AND(E122="Top Load",L122&gt;='Eff. Standards &amp; Certifications'!$B$20,M122&lt;='Eff. Standards &amp; Certifications'!$C$20),"Consider","No")))</f>
        <v>Consider</v>
      </c>
      <c r="R122" s="203"/>
      <c r="S122" s="203"/>
      <c r="T122" s="293" t="str">
        <f t="shared" si="33"/>
        <v>NO</v>
      </c>
      <c r="U122" s="293" t="str">
        <f t="shared" si="33"/>
        <v>YES</v>
      </c>
      <c r="V122" s="293" t="str">
        <f t="shared" si="34"/>
        <v>YES</v>
      </c>
      <c r="W122" s="211" t="str">
        <f t="shared" si="29"/>
        <v>NO</v>
      </c>
      <c r="X122" s="211" t="str">
        <f t="shared" si="29"/>
        <v>NO</v>
      </c>
      <c r="Y122" s="211" t="str">
        <f t="shared" si="35"/>
        <v>NO</v>
      </c>
      <c r="Z122" s="211" t="str">
        <f t="shared" si="36"/>
        <v>NO</v>
      </c>
      <c r="AA122" s="211" t="str">
        <f t="shared" si="36"/>
        <v>YES</v>
      </c>
      <c r="AB122" s="293" t="str">
        <f t="shared" si="37"/>
        <v>YES</v>
      </c>
      <c r="AC122" s="211" t="str">
        <f t="shared" si="38"/>
        <v>YES</v>
      </c>
      <c r="AD122" s="211" t="str">
        <f t="shared" si="39"/>
        <v>NO</v>
      </c>
      <c r="AE122" s="211" t="str">
        <f t="shared" si="40"/>
        <v>NO</v>
      </c>
      <c r="AF122" s="206"/>
      <c r="AG122" s="206"/>
      <c r="AH122" s="203">
        <f t="shared" si="30"/>
        <v>2.5701999999999998</v>
      </c>
      <c r="AI122" s="203">
        <f t="shared" si="31"/>
        <v>999.99</v>
      </c>
      <c r="AJ122" s="203">
        <f t="shared" si="32"/>
        <v>884.63516135321618</v>
      </c>
      <c r="AK122" s="203"/>
      <c r="AL122" s="203"/>
      <c r="AM122" s="203"/>
      <c r="AN122" s="207"/>
    </row>
    <row r="123" spans="1:40" s="204" customFormat="1" ht="15">
      <c r="A123" s="280" t="s">
        <v>557</v>
      </c>
      <c r="B123" s="281" t="s">
        <v>946</v>
      </c>
      <c r="C123" s="249">
        <v>1299.99</v>
      </c>
      <c r="D123" s="248">
        <v>4.3</v>
      </c>
      <c r="E123" s="250" t="str">
        <f>VLOOKUP(B123,'Northwest Retail Cost Data'!$C$5:$F$275,4,FALSE)</f>
        <v>Front load</v>
      </c>
      <c r="F123" s="251" t="s">
        <v>846</v>
      </c>
      <c r="G123" s="279">
        <v>3</v>
      </c>
      <c r="H123" s="279">
        <v>2.484</v>
      </c>
      <c r="I123" s="252">
        <f>D123*H123*SFAssumptions!$C$3</f>
        <v>2742.0060999599996</v>
      </c>
      <c r="J123" s="253">
        <f t="shared" si="26"/>
        <v>1299.99</v>
      </c>
      <c r="K123" s="254">
        <f t="shared" si="26"/>
        <v>4.3</v>
      </c>
      <c r="L123" s="691">
        <f t="shared" si="27"/>
        <v>2.5701999999999998</v>
      </c>
      <c r="M123" s="691">
        <f t="shared" si="28"/>
        <v>2.6613128000000001</v>
      </c>
      <c r="N123" s="255">
        <v>2012</v>
      </c>
      <c r="O123" s="256">
        <f>C123*VLOOKUP(N123,SFAssumptions!$A$42:$B$51,2,FALSE)</f>
        <v>1173.9623157905312</v>
      </c>
      <c r="P123" s="254">
        <f ca="1">O123+((SFAssumptions!$C$8-D123)*$AO$35)</f>
        <v>1125.9839468715561</v>
      </c>
      <c r="Q123" s="190" t="str">
        <f>IF(OR(L123="",M123=""),"No",IF(AND(E123="Front Load",L123&gt;='Eff. Standards &amp; Certifications'!$B$21,M123&lt;='Eff. Standards &amp; Certifications'!$C$21),"Consider",IF(AND(E123="Top Load",L123&gt;='Eff. Standards &amp; Certifications'!$B$20,M123&lt;='Eff. Standards &amp; Certifications'!$C$20),"Consider","No")))</f>
        <v>Consider</v>
      </c>
      <c r="R123" s="203"/>
      <c r="S123" s="203"/>
      <c r="T123" s="293" t="str">
        <f t="shared" si="33"/>
        <v>NO</v>
      </c>
      <c r="U123" s="293" t="str">
        <f t="shared" si="33"/>
        <v>YES</v>
      </c>
      <c r="V123" s="293" t="str">
        <f t="shared" si="34"/>
        <v>YES</v>
      </c>
      <c r="W123" s="211" t="str">
        <f t="shared" si="29"/>
        <v>NO</v>
      </c>
      <c r="X123" s="211" t="str">
        <f t="shared" si="29"/>
        <v>NO</v>
      </c>
      <c r="Y123" s="211" t="str">
        <f t="shared" si="35"/>
        <v>NO</v>
      </c>
      <c r="Z123" s="211" t="str">
        <f t="shared" si="36"/>
        <v>NO</v>
      </c>
      <c r="AA123" s="211" t="str">
        <f t="shared" si="36"/>
        <v>YES</v>
      </c>
      <c r="AB123" s="293" t="str">
        <f t="shared" si="37"/>
        <v>YES</v>
      </c>
      <c r="AC123" s="211" t="str">
        <f t="shared" si="38"/>
        <v>YES</v>
      </c>
      <c r="AD123" s="211" t="str">
        <f t="shared" si="39"/>
        <v>NO</v>
      </c>
      <c r="AE123" s="211" t="str">
        <f t="shared" si="40"/>
        <v>NO</v>
      </c>
      <c r="AF123" s="206"/>
      <c r="AG123" s="206"/>
      <c r="AH123" s="203">
        <f t="shared" si="30"/>
        <v>2.5701999999999998</v>
      </c>
      <c r="AI123" s="203">
        <f t="shared" si="31"/>
        <v>1299.99</v>
      </c>
      <c r="AJ123" s="203">
        <f t="shared" si="32"/>
        <v>954.64378327358668</v>
      </c>
      <c r="AK123" s="203"/>
      <c r="AL123" s="203"/>
      <c r="AM123" s="203"/>
      <c r="AN123" s="207"/>
    </row>
    <row r="124" spans="1:40" s="204" customFormat="1" ht="15">
      <c r="A124" s="280" t="s">
        <v>844</v>
      </c>
      <c r="B124" s="281" t="s">
        <v>947</v>
      </c>
      <c r="C124" s="249">
        <v>1029.99</v>
      </c>
      <c r="D124" s="248">
        <v>4.0999999999999996</v>
      </c>
      <c r="E124" s="250" t="str">
        <f>VLOOKUP(B124,'Northwest Retail Cost Data'!$C$5:$F$275,4,FALSE)</f>
        <v>Front load</v>
      </c>
      <c r="F124" s="251" t="s">
        <v>846</v>
      </c>
      <c r="G124" s="282">
        <v>3.1</v>
      </c>
      <c r="H124" s="282">
        <v>2.7</v>
      </c>
      <c r="I124" s="252">
        <f>D124*H124*SFAssumptions!$C$3</f>
        <v>2841.8162310000002</v>
      </c>
      <c r="J124" s="253">
        <f t="shared" si="26"/>
        <v>1029.99</v>
      </c>
      <c r="K124" s="254">
        <f t="shared" si="26"/>
        <v>4.0999999999999996</v>
      </c>
      <c r="L124" s="691">
        <f t="shared" si="27"/>
        <v>2.6616499999999998</v>
      </c>
      <c r="M124" s="691">
        <f t="shared" si="28"/>
        <v>2.8825400000000001</v>
      </c>
      <c r="N124" s="255">
        <v>2012</v>
      </c>
      <c r="O124" s="256">
        <f>C124*VLOOKUP(N124,SFAssumptions!$A$42:$B$51,2,FALSE)</f>
        <v>930.13749770466643</v>
      </c>
      <c r="P124" s="254">
        <f ca="1">O124+((SFAssumptions!$C$8-D124)*$AO$35)</f>
        <v>900.50675346649973</v>
      </c>
      <c r="Q124" s="190" t="str">
        <f>IF(OR(L124="",M124=""),"No",IF(AND(E124="Front Load",L124&gt;='Eff. Standards &amp; Certifications'!$B$21,M124&lt;='Eff. Standards &amp; Certifications'!$C$21),"Consider",IF(AND(E124="Top Load",L124&gt;='Eff. Standards &amp; Certifications'!$B$20,M124&lt;='Eff. Standards &amp; Certifications'!$C$20),"Consider","No")))</f>
        <v>Consider</v>
      </c>
      <c r="R124" s="203"/>
      <c r="S124" s="203"/>
      <c r="T124" s="293" t="str">
        <f t="shared" si="33"/>
        <v>NO</v>
      </c>
      <c r="U124" s="293" t="str">
        <f t="shared" si="33"/>
        <v>YES</v>
      </c>
      <c r="V124" s="293" t="str">
        <f t="shared" si="34"/>
        <v>YES</v>
      </c>
      <c r="W124" s="211" t="str">
        <f t="shared" si="29"/>
        <v>NO</v>
      </c>
      <c r="X124" s="211" t="str">
        <f t="shared" si="29"/>
        <v>NO</v>
      </c>
      <c r="Y124" s="211" t="str">
        <f t="shared" si="35"/>
        <v>NO</v>
      </c>
      <c r="Z124" s="211" t="str">
        <f t="shared" si="36"/>
        <v>NO</v>
      </c>
      <c r="AA124" s="211" t="str">
        <f t="shared" si="36"/>
        <v>YES</v>
      </c>
      <c r="AB124" s="293" t="str">
        <f t="shared" si="37"/>
        <v>YES</v>
      </c>
      <c r="AC124" s="211" t="str">
        <f t="shared" si="38"/>
        <v>YES</v>
      </c>
      <c r="AD124" s="211" t="str">
        <f t="shared" si="39"/>
        <v>NO</v>
      </c>
      <c r="AE124" s="211" t="str">
        <f t="shared" si="40"/>
        <v>NO</v>
      </c>
      <c r="AF124" s="206"/>
      <c r="AG124" s="206"/>
      <c r="AH124" s="203">
        <f t="shared" si="30"/>
        <v>2.6616499999999998</v>
      </c>
      <c r="AI124" s="203">
        <f t="shared" si="31"/>
        <v>1029.99</v>
      </c>
      <c r="AJ124" s="203">
        <f t="shared" si="32"/>
        <v>956.8646980176685</v>
      </c>
      <c r="AK124" s="203"/>
      <c r="AL124" s="203"/>
      <c r="AM124" s="203"/>
      <c r="AN124" s="207"/>
    </row>
    <row r="125" spans="1:40" s="204" customFormat="1" ht="15">
      <c r="A125" s="280" t="s">
        <v>942</v>
      </c>
      <c r="B125" s="281">
        <v>41542</v>
      </c>
      <c r="C125" s="249">
        <v>1099.8800000000001</v>
      </c>
      <c r="D125" s="248">
        <v>4.3</v>
      </c>
      <c r="E125" s="250" t="str">
        <f>VLOOKUP(B125,'Northwest Retail Cost Data'!$C$5:$F$275,4,FALSE)</f>
        <v>Front load</v>
      </c>
      <c r="F125" s="251" t="s">
        <v>846</v>
      </c>
      <c r="G125" s="279">
        <v>3.4</v>
      </c>
      <c r="H125" s="279">
        <v>2.8</v>
      </c>
      <c r="I125" s="252">
        <f>D125*H125*SFAssumptions!$C$3</f>
        <v>3090.8281319999996</v>
      </c>
      <c r="J125" s="253">
        <f t="shared" si="26"/>
        <v>1099.8800000000001</v>
      </c>
      <c r="K125" s="254">
        <f t="shared" si="26"/>
        <v>4.3</v>
      </c>
      <c r="L125" s="691">
        <f t="shared" si="27"/>
        <v>2.9359999999999999</v>
      </c>
      <c r="M125" s="691">
        <f t="shared" si="28"/>
        <v>2.9849599999999996</v>
      </c>
      <c r="N125" s="255">
        <v>2012</v>
      </c>
      <c r="O125" s="256">
        <f>C125*VLOOKUP(N125,SFAssumptions!$A$42:$B$51,2,FALSE)</f>
        <v>993.25200339363357</v>
      </c>
      <c r="P125" s="254">
        <f ca="1">O125+((SFAssumptions!$C$8-D125)*$AO$35)</f>
        <v>945.27363447465859</v>
      </c>
      <c r="Q125" s="190" t="str">
        <f>IF(OR(L125="",M125=""),"No",IF(AND(E125="Front Load",L125&gt;='Eff. Standards &amp; Certifications'!$B$21,M125&lt;='Eff. Standards &amp; Certifications'!$C$21),"Consider",IF(AND(E125="Top Load",L125&gt;='Eff. Standards &amp; Certifications'!$B$20,M125&lt;='Eff. Standards &amp; Certifications'!$C$20),"Consider","No")))</f>
        <v>Consider</v>
      </c>
      <c r="R125" s="203"/>
      <c r="S125" s="203"/>
      <c r="T125" s="293" t="str">
        <f t="shared" si="33"/>
        <v>NO</v>
      </c>
      <c r="U125" s="293" t="str">
        <f t="shared" si="33"/>
        <v>YES</v>
      </c>
      <c r="V125" s="293" t="str">
        <f t="shared" si="34"/>
        <v>YES</v>
      </c>
      <c r="W125" s="211" t="str">
        <f t="shared" si="29"/>
        <v>NO</v>
      </c>
      <c r="X125" s="211" t="str">
        <f t="shared" si="29"/>
        <v>NO</v>
      </c>
      <c r="Y125" s="211" t="str">
        <f t="shared" si="35"/>
        <v>NO</v>
      </c>
      <c r="Z125" s="211" t="str">
        <f t="shared" si="36"/>
        <v>NO</v>
      </c>
      <c r="AA125" s="211" t="str">
        <f t="shared" si="36"/>
        <v>YES</v>
      </c>
      <c r="AB125" s="293" t="str">
        <f t="shared" si="37"/>
        <v>YES</v>
      </c>
      <c r="AC125" s="211" t="str">
        <f t="shared" si="38"/>
        <v>NO</v>
      </c>
      <c r="AD125" s="211" t="str">
        <f t="shared" si="39"/>
        <v>NO</v>
      </c>
      <c r="AE125" s="211" t="str">
        <f t="shared" si="40"/>
        <v>YES</v>
      </c>
      <c r="AF125" s="206"/>
      <c r="AG125" s="206"/>
      <c r="AH125" s="203">
        <f t="shared" si="30"/>
        <v>2.9359999999999999</v>
      </c>
      <c r="AI125" s="203">
        <f t="shared" si="31"/>
        <v>1099.8800000000001</v>
      </c>
      <c r="AJ125" s="203">
        <f t="shared" si="32"/>
        <v>1040.807623172379</v>
      </c>
      <c r="AK125" s="203"/>
      <c r="AL125" s="203"/>
      <c r="AM125" s="203"/>
      <c r="AN125" s="207"/>
    </row>
    <row r="126" spans="1:40" s="204" customFormat="1" ht="15">
      <c r="A126" s="280" t="s">
        <v>625</v>
      </c>
      <c r="B126" s="281" t="s">
        <v>909</v>
      </c>
      <c r="C126" s="249">
        <v>712.49</v>
      </c>
      <c r="D126" s="248">
        <v>2</v>
      </c>
      <c r="E126" s="250" t="str">
        <f>VLOOKUP(B126,'Northwest Retail Cost Data'!$C$5:$F$275,4,FALSE)</f>
        <v>Front Load</v>
      </c>
      <c r="F126" s="251" t="s">
        <v>846</v>
      </c>
      <c r="G126" s="279">
        <v>2.0499999999999998</v>
      </c>
      <c r="H126" s="279">
        <v>5.8</v>
      </c>
      <c r="I126" s="252">
        <f>D126*H126*SFAssumptions!$C$3</f>
        <v>2977.87428</v>
      </c>
      <c r="J126" s="253">
        <f t="shared" si="26"/>
        <v>712.49</v>
      </c>
      <c r="K126" s="254">
        <f t="shared" si="26"/>
        <v>2</v>
      </c>
      <c r="L126" s="691">
        <f t="shared" si="27"/>
        <v>1.7014249999999997</v>
      </c>
      <c r="M126" s="691">
        <f t="shared" si="28"/>
        <v>6.0575600000000005</v>
      </c>
      <c r="N126" s="255">
        <v>2012</v>
      </c>
      <c r="O126" s="256">
        <f>C126*VLOOKUP(N126,SFAssumptions!$A$42:$B$51,2,FALSE)</f>
        <v>643.41757273332541</v>
      </c>
      <c r="P126" s="254">
        <f ca="1">O126+((SFAssumptions!$C$8-D126)*$AO$35)</f>
        <v>806.43688764364549</v>
      </c>
      <c r="Q126" s="190" t="str">
        <f>IF(OR(L126="",M126=""),"No",IF(AND(E126="Front Load",L126&gt;='Eff. Standards &amp; Certifications'!$B$21,M126&lt;='Eff. Standards &amp; Certifications'!$C$21),"Consider",IF(AND(E126="Top Load",L126&gt;='Eff. Standards &amp; Certifications'!$B$20,M126&lt;='Eff. Standards &amp; Certifications'!$C$20),"Consider","No")))</f>
        <v>No</v>
      </c>
      <c r="R126" s="203"/>
      <c r="S126" s="203"/>
      <c r="T126" s="293" t="str">
        <f t="shared" si="33"/>
        <v>NO</v>
      </c>
      <c r="U126" s="293" t="str">
        <f t="shared" si="33"/>
        <v>NO</v>
      </c>
      <c r="V126" s="293" t="str">
        <f t="shared" si="34"/>
        <v>NO</v>
      </c>
      <c r="W126" s="211" t="str">
        <f t="shared" si="29"/>
        <v>NO</v>
      </c>
      <c r="X126" s="211" t="str">
        <f t="shared" si="29"/>
        <v>NO</v>
      </c>
      <c r="Y126" s="211" t="str">
        <f t="shared" si="35"/>
        <v>NO</v>
      </c>
      <c r="Z126" s="211" t="str">
        <f t="shared" si="36"/>
        <v>NO</v>
      </c>
      <c r="AA126" s="211" t="str">
        <f t="shared" si="36"/>
        <v>NO</v>
      </c>
      <c r="AB126" s="293" t="str">
        <f t="shared" si="37"/>
        <v>NO</v>
      </c>
      <c r="AC126" s="211" t="str">
        <f t="shared" si="38"/>
        <v>NO</v>
      </c>
      <c r="AD126" s="211" t="str">
        <f t="shared" si="39"/>
        <v>NO</v>
      </c>
      <c r="AE126" s="211" t="str">
        <f t="shared" si="40"/>
        <v>NO</v>
      </c>
      <c r="AF126" s="206"/>
      <c r="AG126" s="206"/>
      <c r="AH126" s="203">
        <f t="shared" si="30"/>
        <v>1.7014249999999997</v>
      </c>
      <c r="AI126" s="203">
        <f t="shared" si="31"/>
        <v>712.49</v>
      </c>
      <c r="AJ126" s="203">
        <f t="shared" si="32"/>
        <v>510.14312445988929</v>
      </c>
      <c r="AK126" s="203"/>
      <c r="AL126" s="203"/>
      <c r="AM126" s="203"/>
      <c r="AN126" s="207"/>
    </row>
    <row r="127" spans="1:40" s="204" customFormat="1" ht="15">
      <c r="A127" s="280" t="s">
        <v>942</v>
      </c>
      <c r="B127" s="281">
        <v>41532</v>
      </c>
      <c r="C127" s="249">
        <v>999.98</v>
      </c>
      <c r="D127" s="248">
        <v>4.3</v>
      </c>
      <c r="E127" s="250" t="str">
        <f>VLOOKUP(B127,'Northwest Retail Cost Data'!$C$5:$F$275,4,FALSE)</f>
        <v>Front load</v>
      </c>
      <c r="F127" s="251" t="s">
        <v>846</v>
      </c>
      <c r="G127" s="279">
        <v>3.4</v>
      </c>
      <c r="H127" s="279">
        <v>2.9</v>
      </c>
      <c r="I127" s="252">
        <f>D127*H127*SFAssumptions!$C$3</f>
        <v>3201.2148509999997</v>
      </c>
      <c r="J127" s="253">
        <f t="shared" si="26"/>
        <v>999.98</v>
      </c>
      <c r="K127" s="254">
        <f t="shared" si="26"/>
        <v>4.3</v>
      </c>
      <c r="L127" s="691">
        <f t="shared" si="27"/>
        <v>2.9359999999999999</v>
      </c>
      <c r="M127" s="691">
        <f t="shared" si="28"/>
        <v>3.08738</v>
      </c>
      <c r="N127" s="255">
        <v>2012</v>
      </c>
      <c r="O127" s="256">
        <f>C127*VLOOKUP(N127,SFAssumptions!$A$42:$B$51,2,FALSE)</f>
        <v>903.03682070186346</v>
      </c>
      <c r="P127" s="254">
        <f ca="1">O127+((SFAssumptions!$C$8-D127)*$AO$35)</f>
        <v>855.05845178288848</v>
      </c>
      <c r="Q127" s="190" t="str">
        <f>IF(OR(L127="",M127=""),"No",IF(AND(E127="Front Load",L127&gt;='Eff. Standards &amp; Certifications'!$B$21,M127&lt;='Eff. Standards &amp; Certifications'!$C$21),"Consider",IF(AND(E127="Top Load",L127&gt;='Eff. Standards &amp; Certifications'!$B$20,M127&lt;='Eff. Standards &amp; Certifications'!$C$20),"Consider","No")))</f>
        <v>Consider</v>
      </c>
      <c r="R127" s="203"/>
      <c r="S127" s="203"/>
      <c r="T127" s="293" t="str">
        <f t="shared" si="33"/>
        <v>NO</v>
      </c>
      <c r="U127" s="293" t="str">
        <f t="shared" si="33"/>
        <v>YES</v>
      </c>
      <c r="V127" s="293" t="str">
        <f t="shared" si="34"/>
        <v>YES</v>
      </c>
      <c r="W127" s="211" t="str">
        <f t="shared" si="29"/>
        <v>NO</v>
      </c>
      <c r="X127" s="211" t="str">
        <f t="shared" si="29"/>
        <v>NO</v>
      </c>
      <c r="Y127" s="211" t="str">
        <f t="shared" si="35"/>
        <v>NO</v>
      </c>
      <c r="Z127" s="211" t="str">
        <f t="shared" si="36"/>
        <v>NO</v>
      </c>
      <c r="AA127" s="211" t="str">
        <f t="shared" si="36"/>
        <v>YES</v>
      </c>
      <c r="AB127" s="293" t="str">
        <f t="shared" si="37"/>
        <v>YES</v>
      </c>
      <c r="AC127" s="211" t="str">
        <f t="shared" si="38"/>
        <v>NO</v>
      </c>
      <c r="AD127" s="211" t="str">
        <f t="shared" si="39"/>
        <v>NO</v>
      </c>
      <c r="AE127" s="211" t="str">
        <f t="shared" si="40"/>
        <v>YES</v>
      </c>
      <c r="AF127" s="206"/>
      <c r="AG127" s="206"/>
      <c r="AH127" s="203">
        <f t="shared" si="30"/>
        <v>2.9359999999999999</v>
      </c>
      <c r="AI127" s="203">
        <f t="shared" si="31"/>
        <v>999.98</v>
      </c>
      <c r="AJ127" s="203">
        <f t="shared" si="32"/>
        <v>1040.0978271506215</v>
      </c>
      <c r="AK127" s="203"/>
      <c r="AL127" s="203"/>
      <c r="AM127" s="203"/>
      <c r="AN127" s="207"/>
    </row>
    <row r="128" spans="1:40" s="204" customFormat="1" ht="15">
      <c r="A128" s="280" t="s">
        <v>415</v>
      </c>
      <c r="B128" s="281" t="s">
        <v>416</v>
      </c>
      <c r="C128" s="249">
        <v>949.99</v>
      </c>
      <c r="D128" s="248">
        <v>2.2000000000000002</v>
      </c>
      <c r="E128" s="250" t="str">
        <f>VLOOKUP(B128,'Northwest Retail Cost Data'!$C$5:$F$275,4,FALSE)</f>
        <v>Front load</v>
      </c>
      <c r="F128" s="251" t="s">
        <v>846</v>
      </c>
      <c r="G128" s="279">
        <v>2.0499999999999998</v>
      </c>
      <c r="H128" s="279">
        <v>4.8</v>
      </c>
      <c r="I128" s="252">
        <f>D128*H128*SFAssumptions!$C$3</f>
        <v>2710.8924480000001</v>
      </c>
      <c r="J128" s="253">
        <f t="shared" si="26"/>
        <v>949.99</v>
      </c>
      <c r="K128" s="254">
        <f t="shared" si="26"/>
        <v>2.2000000000000002</v>
      </c>
      <c r="L128" s="691">
        <f t="shared" si="27"/>
        <v>1.7014249999999997</v>
      </c>
      <c r="M128" s="691">
        <f t="shared" si="28"/>
        <v>5.0333600000000001</v>
      </c>
      <c r="N128" s="255">
        <v>2012</v>
      </c>
      <c r="O128" s="256">
        <f>C128*VLOOKUP(N128,SFAssumptions!$A$42:$B$51,2,FALSE)</f>
        <v>857.89310716070645</v>
      </c>
      <c r="P128" s="254">
        <f ca="1">O128+((SFAssumptions!$C$8-D128)*$AO$35)</f>
        <v>1002.5647973902182</v>
      </c>
      <c r="Q128" s="190" t="str">
        <f>IF(OR(L128="",M128=""),"No",IF(AND(E128="Front Load",L128&gt;='Eff. Standards &amp; Certifications'!$B$21,M128&lt;='Eff. Standards &amp; Certifications'!$C$21),"Consider",IF(AND(E128="Top Load",L128&gt;='Eff. Standards &amp; Certifications'!$B$20,M128&lt;='Eff. Standards &amp; Certifications'!$C$20),"Consider","No")))</f>
        <v>No</v>
      </c>
      <c r="R128" s="203"/>
      <c r="S128" s="203"/>
      <c r="T128" s="293" t="str">
        <f t="shared" si="33"/>
        <v>NO</v>
      </c>
      <c r="U128" s="293" t="str">
        <f t="shared" si="33"/>
        <v>NO</v>
      </c>
      <c r="V128" s="293" t="str">
        <f t="shared" si="34"/>
        <v>NO</v>
      </c>
      <c r="W128" s="211" t="str">
        <f t="shared" si="29"/>
        <v>NO</v>
      </c>
      <c r="X128" s="211" t="str">
        <f t="shared" si="29"/>
        <v>NO</v>
      </c>
      <c r="Y128" s="211" t="str">
        <f t="shared" si="35"/>
        <v>NO</v>
      </c>
      <c r="Z128" s="211" t="str">
        <f t="shared" si="36"/>
        <v>NO</v>
      </c>
      <c r="AA128" s="211" t="str">
        <f t="shared" si="36"/>
        <v>NO</v>
      </c>
      <c r="AB128" s="293" t="str">
        <f t="shared" si="37"/>
        <v>NO</v>
      </c>
      <c r="AC128" s="211" t="str">
        <f t="shared" si="38"/>
        <v>NO</v>
      </c>
      <c r="AD128" s="211" t="str">
        <f t="shared" si="39"/>
        <v>NO</v>
      </c>
      <c r="AE128" s="211" t="str">
        <f t="shared" si="40"/>
        <v>NO</v>
      </c>
      <c r="AF128" s="206"/>
      <c r="AG128" s="206"/>
      <c r="AH128" s="203">
        <f t="shared" si="30"/>
        <v>1.7014249999999997</v>
      </c>
      <c r="AI128" s="203">
        <f t="shared" si="31"/>
        <v>949.99</v>
      </c>
      <c r="AJ128" s="203">
        <f t="shared" si="32"/>
        <v>535.58870935827292</v>
      </c>
      <c r="AK128" s="203"/>
      <c r="AL128" s="203"/>
      <c r="AM128" s="203"/>
      <c r="AN128" s="207"/>
    </row>
    <row r="129" spans="1:40" s="204" customFormat="1" ht="15">
      <c r="A129" s="280" t="s">
        <v>597</v>
      </c>
      <c r="B129" s="281" t="s">
        <v>948</v>
      </c>
      <c r="C129" s="249">
        <v>1499.99</v>
      </c>
      <c r="D129" s="248">
        <v>4.3</v>
      </c>
      <c r="E129" s="250" t="str">
        <f>VLOOKUP(B129,'Northwest Retail Cost Data'!$C$5:$F$275,4,FALSE)</f>
        <v>Front load</v>
      </c>
      <c r="F129" s="251" t="s">
        <v>846</v>
      </c>
      <c r="G129" s="279">
        <v>3.32</v>
      </c>
      <c r="H129" s="279">
        <v>2.9</v>
      </c>
      <c r="I129" s="252">
        <f>D129*H129*SFAssumptions!$C$3</f>
        <v>3201.2148509999997</v>
      </c>
      <c r="J129" s="253">
        <f t="shared" si="26"/>
        <v>1499.99</v>
      </c>
      <c r="K129" s="254">
        <f t="shared" si="26"/>
        <v>4.3</v>
      </c>
      <c r="L129" s="691">
        <f t="shared" si="27"/>
        <v>2.8628399999999994</v>
      </c>
      <c r="M129" s="691">
        <f t="shared" si="28"/>
        <v>3.08738</v>
      </c>
      <c r="N129" s="255">
        <v>2012</v>
      </c>
      <c r="O129" s="256">
        <f>C129*VLOOKUP(N129,SFAssumptions!$A$42:$B$51,2,FALSE)</f>
        <v>1354.5732921504311</v>
      </c>
      <c r="P129" s="254">
        <f ca="1">O129+((SFAssumptions!$C$8-D129)*$AO$35)</f>
        <v>1306.5949232314561</v>
      </c>
      <c r="Q129" s="190" t="str">
        <f>IF(OR(L129="",M129=""),"No",IF(AND(E129="Front Load",L129&gt;='Eff. Standards &amp; Certifications'!$B$21,M129&lt;='Eff. Standards &amp; Certifications'!$C$21),"Consider",IF(AND(E129="Top Load",L129&gt;='Eff. Standards &amp; Certifications'!$B$20,M129&lt;='Eff. Standards &amp; Certifications'!$C$20),"Consider","No")))</f>
        <v>Consider</v>
      </c>
      <c r="R129" s="203"/>
      <c r="S129" s="203"/>
      <c r="T129" s="293" t="str">
        <f t="shared" si="33"/>
        <v>NO</v>
      </c>
      <c r="U129" s="293" t="str">
        <f t="shared" si="33"/>
        <v>YES</v>
      </c>
      <c r="V129" s="293" t="str">
        <f t="shared" si="34"/>
        <v>YES</v>
      </c>
      <c r="W129" s="211" t="str">
        <f t="shared" si="29"/>
        <v>NO</v>
      </c>
      <c r="X129" s="211" t="str">
        <f t="shared" si="29"/>
        <v>NO</v>
      </c>
      <c r="Y129" s="211" t="str">
        <f t="shared" si="35"/>
        <v>NO</v>
      </c>
      <c r="Z129" s="211" t="str">
        <f t="shared" si="36"/>
        <v>NO</v>
      </c>
      <c r="AA129" s="211" t="str">
        <f t="shared" si="36"/>
        <v>YES</v>
      </c>
      <c r="AB129" s="293" t="str">
        <f t="shared" si="37"/>
        <v>YES</v>
      </c>
      <c r="AC129" s="211" t="str">
        <f t="shared" si="38"/>
        <v>NO</v>
      </c>
      <c r="AD129" s="211" t="str">
        <f t="shared" si="39"/>
        <v>YES</v>
      </c>
      <c r="AE129" s="211" t="str">
        <f t="shared" si="40"/>
        <v>NO</v>
      </c>
      <c r="AF129" s="206"/>
      <c r="AG129" s="206"/>
      <c r="AH129" s="203">
        <f t="shared" si="30"/>
        <v>2.8628399999999994</v>
      </c>
      <c r="AI129" s="203">
        <f t="shared" si="31"/>
        <v>1499.99</v>
      </c>
      <c r="AJ129" s="203">
        <f t="shared" si="32"/>
        <v>1022.416468085112</v>
      </c>
      <c r="AK129" s="203"/>
      <c r="AL129" s="203"/>
      <c r="AM129" s="203"/>
      <c r="AN129" s="207"/>
    </row>
    <row r="130" spans="1:40" s="204" customFormat="1" ht="15">
      <c r="A130" s="280" t="s">
        <v>597</v>
      </c>
      <c r="B130" s="281" t="s">
        <v>949</v>
      </c>
      <c r="C130" s="249">
        <v>1399.99</v>
      </c>
      <c r="D130" s="248">
        <v>4.3</v>
      </c>
      <c r="E130" s="250" t="str">
        <f>VLOOKUP(B130,'Northwest Retail Cost Data'!$C$5:$F$275,4,FALSE)</f>
        <v>Front load</v>
      </c>
      <c r="F130" s="251" t="s">
        <v>846</v>
      </c>
      <c r="G130" s="279">
        <v>3.32</v>
      </c>
      <c r="H130" s="279">
        <v>2.9</v>
      </c>
      <c r="I130" s="252">
        <f>D130*H130*SFAssumptions!$C$3</f>
        <v>3201.2148509999997</v>
      </c>
      <c r="J130" s="253">
        <f t="shared" si="26"/>
        <v>1399.99</v>
      </c>
      <c r="K130" s="254">
        <f t="shared" si="26"/>
        <v>4.3</v>
      </c>
      <c r="L130" s="691">
        <f t="shared" si="27"/>
        <v>2.8628399999999994</v>
      </c>
      <c r="M130" s="691">
        <f t="shared" si="28"/>
        <v>3.08738</v>
      </c>
      <c r="N130" s="255">
        <v>2012</v>
      </c>
      <c r="O130" s="256">
        <f>C130*VLOOKUP(N130,SFAssumptions!$A$42:$B$51,2,FALSE)</f>
        <v>1264.2678039704813</v>
      </c>
      <c r="P130" s="254">
        <f ca="1">O130+((SFAssumptions!$C$8-D130)*$AO$35)</f>
        <v>1216.2894350515062</v>
      </c>
      <c r="Q130" s="190" t="str">
        <f>IF(OR(L130="",M130=""),"No",IF(AND(E130="Front Load",L130&gt;='Eff. Standards &amp; Certifications'!$B$21,M130&lt;='Eff. Standards &amp; Certifications'!$C$21),"Consider",IF(AND(E130="Top Load",L130&gt;='Eff. Standards &amp; Certifications'!$B$20,M130&lt;='Eff. Standards &amp; Certifications'!$C$20),"Consider","No")))</f>
        <v>Consider</v>
      </c>
      <c r="R130" s="203"/>
      <c r="S130" s="203"/>
      <c r="T130" s="293" t="str">
        <f t="shared" si="33"/>
        <v>NO</v>
      </c>
      <c r="U130" s="293" t="str">
        <f t="shared" si="33"/>
        <v>YES</v>
      </c>
      <c r="V130" s="293" t="str">
        <f t="shared" si="34"/>
        <v>YES</v>
      </c>
      <c r="W130" s="211" t="str">
        <f t="shared" si="29"/>
        <v>NO</v>
      </c>
      <c r="X130" s="211" t="str">
        <f t="shared" si="29"/>
        <v>NO</v>
      </c>
      <c r="Y130" s="211" t="str">
        <f t="shared" si="35"/>
        <v>NO</v>
      </c>
      <c r="Z130" s="211" t="str">
        <f t="shared" si="36"/>
        <v>NO</v>
      </c>
      <c r="AA130" s="211" t="str">
        <f t="shared" si="36"/>
        <v>YES</v>
      </c>
      <c r="AB130" s="293" t="str">
        <f t="shared" si="37"/>
        <v>YES</v>
      </c>
      <c r="AC130" s="211" t="str">
        <f t="shared" si="38"/>
        <v>NO</v>
      </c>
      <c r="AD130" s="211" t="str">
        <f t="shared" si="39"/>
        <v>YES</v>
      </c>
      <c r="AE130" s="211" t="str">
        <f t="shared" si="40"/>
        <v>NO</v>
      </c>
      <c r="AF130" s="206"/>
      <c r="AG130" s="206"/>
      <c r="AH130" s="203">
        <f t="shared" si="30"/>
        <v>2.8628399999999994</v>
      </c>
      <c r="AI130" s="203">
        <f t="shared" si="31"/>
        <v>1399.99</v>
      </c>
      <c r="AJ130" s="203">
        <f t="shared" si="32"/>
        <v>1022.416468085112</v>
      </c>
      <c r="AK130" s="203"/>
      <c r="AL130" s="203"/>
      <c r="AM130" s="203"/>
      <c r="AN130" s="207"/>
    </row>
    <row r="131" spans="1:40" s="204" customFormat="1" ht="15">
      <c r="A131" s="280" t="s">
        <v>557</v>
      </c>
      <c r="B131" s="281" t="s">
        <v>900</v>
      </c>
      <c r="C131" s="249">
        <v>1299.99</v>
      </c>
      <c r="D131" s="248">
        <v>4.3</v>
      </c>
      <c r="E131" s="250" t="str">
        <f>VLOOKUP(B131,'Northwest Retail Cost Data'!$C$5:$F$275,4,FALSE)</f>
        <v>Front Load</v>
      </c>
      <c r="F131" s="251" t="s">
        <v>846</v>
      </c>
      <c r="G131" s="279">
        <v>3</v>
      </c>
      <c r="H131" s="279">
        <v>2.484</v>
      </c>
      <c r="I131" s="252">
        <f>D131*H131*SFAssumptions!$C$3</f>
        <v>2742.0060999599996</v>
      </c>
      <c r="J131" s="253">
        <f t="shared" si="26"/>
        <v>1299.99</v>
      </c>
      <c r="K131" s="254">
        <f t="shared" si="26"/>
        <v>4.3</v>
      </c>
      <c r="L131" s="691">
        <f t="shared" si="27"/>
        <v>2.5701999999999998</v>
      </c>
      <c r="M131" s="691">
        <f t="shared" si="28"/>
        <v>2.6613128000000001</v>
      </c>
      <c r="N131" s="255">
        <v>2012</v>
      </c>
      <c r="O131" s="256">
        <f>C131*VLOOKUP(N131,SFAssumptions!$A$42:$B$51,2,FALSE)</f>
        <v>1173.9623157905312</v>
      </c>
      <c r="P131" s="254">
        <f ca="1">O131+((SFAssumptions!$C$8-D131)*$AO$35)</f>
        <v>1125.9839468715561</v>
      </c>
      <c r="Q131" s="190" t="str">
        <f>IF(OR(L131="",M131=""),"No",IF(AND(E131="Front Load",L131&gt;='Eff. Standards &amp; Certifications'!$B$21,M131&lt;='Eff. Standards &amp; Certifications'!$C$21),"Consider",IF(AND(E131="Top Load",L131&gt;='Eff. Standards &amp; Certifications'!$B$20,M131&lt;='Eff. Standards &amp; Certifications'!$C$20),"Consider","No")))</f>
        <v>Consider</v>
      </c>
      <c r="R131" s="203"/>
      <c r="S131" s="203"/>
      <c r="T131" s="293" t="str">
        <f t="shared" si="33"/>
        <v>NO</v>
      </c>
      <c r="U131" s="293" t="str">
        <f t="shared" si="33"/>
        <v>YES</v>
      </c>
      <c r="V131" s="293" t="str">
        <f t="shared" si="34"/>
        <v>YES</v>
      </c>
      <c r="W131" s="211" t="str">
        <f t="shared" si="29"/>
        <v>NO</v>
      </c>
      <c r="X131" s="211" t="str">
        <f t="shared" si="29"/>
        <v>NO</v>
      </c>
      <c r="Y131" s="211" t="str">
        <f t="shared" si="35"/>
        <v>NO</v>
      </c>
      <c r="Z131" s="211" t="str">
        <f t="shared" si="36"/>
        <v>NO</v>
      </c>
      <c r="AA131" s="211" t="str">
        <f t="shared" si="36"/>
        <v>YES</v>
      </c>
      <c r="AB131" s="293" t="str">
        <f t="shared" si="37"/>
        <v>YES</v>
      </c>
      <c r="AC131" s="211" t="str">
        <f t="shared" si="38"/>
        <v>YES</v>
      </c>
      <c r="AD131" s="211" t="str">
        <f t="shared" si="39"/>
        <v>NO</v>
      </c>
      <c r="AE131" s="211" t="str">
        <f t="shared" si="40"/>
        <v>NO</v>
      </c>
      <c r="AF131" s="206"/>
      <c r="AG131" s="206"/>
      <c r="AH131" s="203">
        <f t="shared" si="30"/>
        <v>2.5701999999999998</v>
      </c>
      <c r="AI131" s="203">
        <f t="shared" si="31"/>
        <v>1299.99</v>
      </c>
      <c r="AJ131" s="203">
        <f t="shared" si="32"/>
        <v>954.64378327358668</v>
      </c>
      <c r="AK131" s="203"/>
      <c r="AL131" s="203"/>
      <c r="AM131" s="203"/>
      <c r="AN131" s="207"/>
    </row>
    <row r="132" spans="1:40" s="204" customFormat="1" ht="15">
      <c r="A132" s="280" t="s">
        <v>625</v>
      </c>
      <c r="B132" s="281" t="s">
        <v>950</v>
      </c>
      <c r="C132" s="249">
        <v>1299.99</v>
      </c>
      <c r="D132" s="248">
        <v>4.3</v>
      </c>
      <c r="E132" s="250" t="str">
        <f>VLOOKUP(B132,'Northwest Retail Cost Data'!$C$5:$F$275,4,FALSE)</f>
        <v>Front load</v>
      </c>
      <c r="F132" s="251" t="s">
        <v>846</v>
      </c>
      <c r="G132" s="279">
        <v>3.0019999999999998</v>
      </c>
      <c r="H132" s="279">
        <v>2.7829999999999999</v>
      </c>
      <c r="I132" s="252">
        <f>D132*H132*SFAssumptions!$C$3</f>
        <v>3072.0623897699998</v>
      </c>
      <c r="J132" s="253">
        <f t="shared" si="26"/>
        <v>1299.99</v>
      </c>
      <c r="K132" s="254">
        <f t="shared" si="26"/>
        <v>4.3</v>
      </c>
      <c r="L132" s="691">
        <f t="shared" si="27"/>
        <v>2.5720289999999997</v>
      </c>
      <c r="M132" s="691">
        <f t="shared" si="28"/>
        <v>2.9675485999999998</v>
      </c>
      <c r="N132" s="255">
        <v>2012</v>
      </c>
      <c r="O132" s="256">
        <f>C132*VLOOKUP(N132,SFAssumptions!$A$42:$B$51,2,FALSE)</f>
        <v>1173.9623157905312</v>
      </c>
      <c r="P132" s="254">
        <f ca="1">O132+((SFAssumptions!$C$8-D132)*$AO$35)</f>
        <v>1125.9839468715561</v>
      </c>
      <c r="Q132" s="190" t="str">
        <f>IF(OR(L132="",M132=""),"No",IF(AND(E132="Front Load",L132&gt;='Eff. Standards &amp; Certifications'!$B$21,M132&lt;='Eff. Standards &amp; Certifications'!$C$21),"Consider",IF(AND(E132="Top Load",L132&gt;='Eff. Standards &amp; Certifications'!$B$20,M132&lt;='Eff. Standards &amp; Certifications'!$C$20),"Consider","No")))</f>
        <v>Consider</v>
      </c>
      <c r="R132" s="203"/>
      <c r="S132" s="203"/>
      <c r="T132" s="293" t="str">
        <f t="shared" si="33"/>
        <v>NO</v>
      </c>
      <c r="U132" s="293" t="str">
        <f t="shared" si="33"/>
        <v>YES</v>
      </c>
      <c r="V132" s="293" t="str">
        <f t="shared" si="34"/>
        <v>YES</v>
      </c>
      <c r="W132" s="211" t="str">
        <f t="shared" si="29"/>
        <v>NO</v>
      </c>
      <c r="X132" s="211" t="str">
        <f t="shared" si="29"/>
        <v>NO</v>
      </c>
      <c r="Y132" s="211" t="str">
        <f t="shared" si="35"/>
        <v>NO</v>
      </c>
      <c r="Z132" s="211" t="str">
        <f t="shared" si="36"/>
        <v>NO</v>
      </c>
      <c r="AA132" s="211" t="str">
        <f t="shared" si="36"/>
        <v>YES</v>
      </c>
      <c r="AB132" s="293" t="str">
        <f t="shared" si="37"/>
        <v>YES</v>
      </c>
      <c r="AC132" s="211" t="str">
        <f t="shared" si="38"/>
        <v>YES</v>
      </c>
      <c r="AD132" s="211" t="str">
        <f t="shared" si="39"/>
        <v>NO</v>
      </c>
      <c r="AE132" s="211" t="str">
        <f t="shared" si="40"/>
        <v>NO</v>
      </c>
      <c r="AF132" s="206"/>
      <c r="AG132" s="206"/>
      <c r="AH132" s="203">
        <f t="shared" si="30"/>
        <v>2.5720289999999997</v>
      </c>
      <c r="AI132" s="203">
        <f t="shared" si="31"/>
        <v>1299.99</v>
      </c>
      <c r="AJ132" s="203">
        <f t="shared" si="32"/>
        <v>952.96352714516934</v>
      </c>
      <c r="AK132" s="203"/>
      <c r="AL132" s="203"/>
      <c r="AM132" s="203"/>
      <c r="AN132" s="207"/>
    </row>
    <row r="133" spans="1:40" s="204" customFormat="1" ht="15">
      <c r="A133" s="280" t="s">
        <v>844</v>
      </c>
      <c r="B133" s="281" t="s">
        <v>951</v>
      </c>
      <c r="C133" s="249">
        <v>1472.49</v>
      </c>
      <c r="D133" s="248">
        <v>4.4000000000000004</v>
      </c>
      <c r="E133" s="250" t="str">
        <f>VLOOKUP(B133,'Northwest Retail Cost Data'!$C$5:$F$275,4,FALSE)</f>
        <v>Front load</v>
      </c>
      <c r="F133" s="251" t="s">
        <v>846</v>
      </c>
      <c r="G133" s="282">
        <v>3.29</v>
      </c>
      <c r="H133" s="282">
        <v>2.8</v>
      </c>
      <c r="I133" s="252">
        <f>D133*H133*SFAssumptions!$C$3</f>
        <v>3162.707856</v>
      </c>
      <c r="J133" s="253">
        <f t="shared" si="26"/>
        <v>1472.49</v>
      </c>
      <c r="K133" s="254">
        <f t="shared" si="26"/>
        <v>4.4000000000000004</v>
      </c>
      <c r="L133" s="691">
        <f t="shared" si="27"/>
        <v>2.8354049999999997</v>
      </c>
      <c r="M133" s="691">
        <f t="shared" si="28"/>
        <v>2.9849599999999996</v>
      </c>
      <c r="N133" s="255">
        <v>2012</v>
      </c>
      <c r="O133" s="256">
        <f>C133*VLOOKUP(N133,SFAssumptions!$A$42:$B$51,2,FALSE)</f>
        <v>1329.739282900945</v>
      </c>
      <c r="P133" s="254">
        <f ca="1">O133+((SFAssumptions!$C$8-D133)*$AO$35)</f>
        <v>1272.5871016415658</v>
      </c>
      <c r="Q133" s="190" t="str">
        <f>IF(OR(L133="",M133=""),"No",IF(AND(E133="Front Load",L133&gt;='Eff. Standards &amp; Certifications'!$B$21,M133&lt;='Eff. Standards &amp; Certifications'!$C$21),"Consider",IF(AND(E133="Top Load",L133&gt;='Eff. Standards &amp; Certifications'!$B$20,M133&lt;='Eff. Standards &amp; Certifications'!$C$20),"Consider","No")))</f>
        <v>Consider</v>
      </c>
      <c r="R133" s="203"/>
      <c r="S133" s="203"/>
      <c r="T133" s="293" t="str">
        <f t="shared" si="33"/>
        <v>NO</v>
      </c>
      <c r="U133" s="293" t="str">
        <f t="shared" si="33"/>
        <v>YES</v>
      </c>
      <c r="V133" s="293" t="str">
        <f t="shared" si="34"/>
        <v>YES</v>
      </c>
      <c r="W133" s="211" t="str">
        <f t="shared" si="29"/>
        <v>NO</v>
      </c>
      <c r="X133" s="211" t="str">
        <f t="shared" si="29"/>
        <v>NO</v>
      </c>
      <c r="Y133" s="211" t="str">
        <f t="shared" si="35"/>
        <v>NO</v>
      </c>
      <c r="Z133" s="211" t="str">
        <f t="shared" si="36"/>
        <v>NO</v>
      </c>
      <c r="AA133" s="211" t="str">
        <f t="shared" si="36"/>
        <v>YES</v>
      </c>
      <c r="AB133" s="293" t="str">
        <f t="shared" si="37"/>
        <v>YES</v>
      </c>
      <c r="AC133" s="211" t="str">
        <f t="shared" si="38"/>
        <v>NO</v>
      </c>
      <c r="AD133" s="211" t="str">
        <f t="shared" si="39"/>
        <v>YES</v>
      </c>
      <c r="AE133" s="211" t="str">
        <f t="shared" si="40"/>
        <v>NO</v>
      </c>
      <c r="AF133" s="206"/>
      <c r="AG133" s="206"/>
      <c r="AH133" s="203">
        <f t="shared" si="30"/>
        <v>2.8354049999999997</v>
      </c>
      <c r="AI133" s="203">
        <f t="shared" si="31"/>
        <v>1472.49</v>
      </c>
      <c r="AJ133" s="203">
        <f t="shared" si="32"/>
        <v>1025.6695667977078</v>
      </c>
      <c r="AK133" s="203"/>
      <c r="AL133" s="203"/>
      <c r="AM133" s="203"/>
      <c r="AN133" s="207"/>
    </row>
    <row r="134" spans="1:40" s="204" customFormat="1" ht="15">
      <c r="A134" s="280" t="s">
        <v>873</v>
      </c>
      <c r="B134" s="281" t="s">
        <v>952</v>
      </c>
      <c r="C134" s="249">
        <v>1349.99</v>
      </c>
      <c r="D134" s="248">
        <v>5.0999999999999996</v>
      </c>
      <c r="E134" s="250" t="str">
        <f>VLOOKUP(B134,'Northwest Retail Cost Data'!$C$5:$F$275,4,FALSE)</f>
        <v>Front load</v>
      </c>
      <c r="F134" s="251" t="s">
        <v>846</v>
      </c>
      <c r="G134" s="279">
        <v>3.55</v>
      </c>
      <c r="H134" s="279">
        <v>2.95</v>
      </c>
      <c r="I134" s="252">
        <f>D134*H134*SFAssumptions!$C$3</f>
        <v>3862.2515985</v>
      </c>
      <c r="J134" s="253">
        <f t="shared" si="26"/>
        <v>1349.99</v>
      </c>
      <c r="K134" s="254">
        <f t="shared" si="26"/>
        <v>5.0999999999999996</v>
      </c>
      <c r="L134" s="691">
        <f t="shared" si="27"/>
        <v>3.073175</v>
      </c>
      <c r="M134" s="691">
        <f t="shared" si="28"/>
        <v>3.1385900000000002</v>
      </c>
      <c r="N134" s="255">
        <v>2012</v>
      </c>
      <c r="O134" s="256">
        <f>C134*VLOOKUP(N134,SFAssumptions!$A$42:$B$51,2,FALSE)</f>
        <v>1219.1150598805064</v>
      </c>
      <c r="P134" s="254">
        <f ca="1">O134+((SFAssumptions!$C$8-D134)*$AO$35)</f>
        <v>1097.7461922382984</v>
      </c>
      <c r="Q134" s="190" t="str">
        <f>IF(OR(L134="",M134=""),"No",IF(AND(E134="Front Load",L134&gt;='Eff. Standards &amp; Certifications'!$B$21,M134&lt;='Eff. Standards &amp; Certifications'!$C$21),"Consider",IF(AND(E134="Top Load",L134&gt;='Eff. Standards &amp; Certifications'!$B$20,M134&lt;='Eff. Standards &amp; Certifications'!$C$20),"Consider","No")))</f>
        <v>Consider</v>
      </c>
      <c r="R134" s="203"/>
      <c r="S134" s="203"/>
      <c r="T134" s="293" t="str">
        <f t="shared" si="33"/>
        <v>NO</v>
      </c>
      <c r="U134" s="293" t="str">
        <f t="shared" si="33"/>
        <v>YES</v>
      </c>
      <c r="V134" s="293" t="str">
        <f t="shared" si="34"/>
        <v>YES</v>
      </c>
      <c r="W134" s="211" t="str">
        <f t="shared" si="29"/>
        <v>NO</v>
      </c>
      <c r="X134" s="211" t="str">
        <f t="shared" si="29"/>
        <v>NO</v>
      </c>
      <c r="Y134" s="211" t="str">
        <f t="shared" si="35"/>
        <v>NO</v>
      </c>
      <c r="Z134" s="211" t="str">
        <f t="shared" si="36"/>
        <v>NO</v>
      </c>
      <c r="AA134" s="211" t="str">
        <f t="shared" si="36"/>
        <v>YES</v>
      </c>
      <c r="AB134" s="293" t="str">
        <f t="shared" si="37"/>
        <v>YES</v>
      </c>
      <c r="AC134" s="211" t="str">
        <f t="shared" si="38"/>
        <v>NO</v>
      </c>
      <c r="AD134" s="211" t="str">
        <f t="shared" si="39"/>
        <v>NO</v>
      </c>
      <c r="AE134" s="211" t="str">
        <f t="shared" si="40"/>
        <v>YES</v>
      </c>
      <c r="AF134" s="206"/>
      <c r="AG134" s="206"/>
      <c r="AH134" s="203">
        <f t="shared" si="30"/>
        <v>3.073175</v>
      </c>
      <c r="AI134" s="203">
        <f t="shared" si="31"/>
        <v>1349.99</v>
      </c>
      <c r="AJ134" s="203">
        <f t="shared" si="32"/>
        <v>1146.2859761108057</v>
      </c>
      <c r="AK134" s="203"/>
      <c r="AL134" s="203"/>
      <c r="AM134" s="203"/>
      <c r="AN134" s="207"/>
    </row>
    <row r="135" spans="1:40" s="204" customFormat="1" ht="15">
      <c r="A135" s="280" t="s">
        <v>625</v>
      </c>
      <c r="B135" s="281" t="s">
        <v>928</v>
      </c>
      <c r="C135" s="249">
        <v>899.99</v>
      </c>
      <c r="D135" s="248">
        <v>3.8</v>
      </c>
      <c r="E135" s="250" t="str">
        <f>VLOOKUP(B135,'Northwest Retail Cost Data'!$C$5:$F$275,4,FALSE)</f>
        <v>Front Load</v>
      </c>
      <c r="F135" s="251" t="s">
        <v>846</v>
      </c>
      <c r="G135" s="279">
        <v>2.4300000000000002</v>
      </c>
      <c r="H135" s="279">
        <v>3.4289999999999998</v>
      </c>
      <c r="I135" s="252">
        <f>D135*H135*SFAssumptions!$C$3</f>
        <v>3345.0256416599996</v>
      </c>
      <c r="J135" s="253">
        <f t="shared" si="26"/>
        <v>899.99</v>
      </c>
      <c r="K135" s="254">
        <f t="shared" si="26"/>
        <v>3.8</v>
      </c>
      <c r="L135" s="691">
        <f t="shared" si="27"/>
        <v>2.0489350000000002</v>
      </c>
      <c r="M135" s="691">
        <f t="shared" si="28"/>
        <v>3.6291817999999996</v>
      </c>
      <c r="N135" s="255">
        <v>2012</v>
      </c>
      <c r="O135" s="256">
        <f>C135*VLOOKUP(N135,SFAssumptions!$A$42:$B$51,2,FALSE)</f>
        <v>812.74036307073152</v>
      </c>
      <c r="P135" s="254">
        <f ca="1">O135+((SFAssumptions!$C$8-D135)*$AO$35)</f>
        <v>810.63105585377718</v>
      </c>
      <c r="Q135" s="190" t="str">
        <f>IF(OR(L135="",M135=""),"No",IF(AND(E135="Front Load",L135&gt;='Eff. Standards &amp; Certifications'!$B$21,M135&lt;='Eff. Standards &amp; Certifications'!$C$21),"Consider",IF(AND(E135="Top Load",L135&gt;='Eff. Standards &amp; Certifications'!$B$20,M135&lt;='Eff. Standards &amp; Certifications'!$C$20),"Consider","No")))</f>
        <v>Consider</v>
      </c>
      <c r="R135" s="203"/>
      <c r="S135" s="203"/>
      <c r="T135" s="293" t="str">
        <f t="shared" si="33"/>
        <v>NO</v>
      </c>
      <c r="U135" s="293" t="str">
        <f t="shared" si="33"/>
        <v>YES</v>
      </c>
      <c r="V135" s="293" t="str">
        <f t="shared" si="34"/>
        <v>YES</v>
      </c>
      <c r="W135" s="211" t="str">
        <f t="shared" si="29"/>
        <v>NO</v>
      </c>
      <c r="X135" s="211" t="str">
        <f t="shared" si="29"/>
        <v>YES</v>
      </c>
      <c r="Y135" s="211" t="str">
        <f t="shared" si="35"/>
        <v>YES</v>
      </c>
      <c r="Z135" s="211" t="str">
        <f t="shared" si="36"/>
        <v>NO</v>
      </c>
      <c r="AA135" s="211" t="str">
        <f t="shared" si="36"/>
        <v>NO</v>
      </c>
      <c r="AB135" s="293" t="str">
        <f t="shared" si="37"/>
        <v>NO</v>
      </c>
      <c r="AC135" s="211" t="str">
        <f t="shared" si="38"/>
        <v>NO</v>
      </c>
      <c r="AD135" s="211" t="str">
        <f t="shared" si="39"/>
        <v>NO</v>
      </c>
      <c r="AE135" s="211" t="str">
        <f t="shared" si="40"/>
        <v>NO</v>
      </c>
      <c r="AF135" s="206"/>
      <c r="AG135" s="206"/>
      <c r="AH135" s="203">
        <f t="shared" si="30"/>
        <v>2.0489350000000002</v>
      </c>
      <c r="AI135" s="203">
        <f t="shared" si="31"/>
        <v>899.99</v>
      </c>
      <c r="AJ135" s="203">
        <f t="shared" si="32"/>
        <v>776.08746582420395</v>
      </c>
      <c r="AK135" s="203"/>
      <c r="AL135" s="203"/>
      <c r="AM135" s="203"/>
      <c r="AN135" s="207"/>
    </row>
    <row r="136" spans="1:40" s="204" customFormat="1" ht="15">
      <c r="A136" s="280" t="s">
        <v>557</v>
      </c>
      <c r="B136" s="281" t="s">
        <v>953</v>
      </c>
      <c r="C136" s="249">
        <v>1299.99</v>
      </c>
      <c r="D136" s="248">
        <v>4.3</v>
      </c>
      <c r="E136" s="250" t="str">
        <f>VLOOKUP(B136,'Northwest Retail Cost Data'!$C$5:$F$275,4,FALSE)</f>
        <v>Front load</v>
      </c>
      <c r="F136" s="251" t="s">
        <v>846</v>
      </c>
      <c r="G136" s="279">
        <v>3.0019999999999998</v>
      </c>
      <c r="H136" s="279">
        <v>2.7829999999999999</v>
      </c>
      <c r="I136" s="252">
        <f>D136*H136*SFAssumptions!$C$3</f>
        <v>3072.0623897699998</v>
      </c>
      <c r="J136" s="253">
        <f t="shared" si="26"/>
        <v>1299.99</v>
      </c>
      <c r="K136" s="254">
        <f t="shared" si="26"/>
        <v>4.3</v>
      </c>
      <c r="L136" s="691">
        <f t="shared" si="27"/>
        <v>2.5720289999999997</v>
      </c>
      <c r="M136" s="691">
        <f t="shared" si="28"/>
        <v>2.9675485999999998</v>
      </c>
      <c r="N136" s="255">
        <v>2012</v>
      </c>
      <c r="O136" s="256">
        <f>C136*VLOOKUP(N136,SFAssumptions!$A$42:$B$51,2,FALSE)</f>
        <v>1173.9623157905312</v>
      </c>
      <c r="P136" s="254">
        <f ca="1">O136+((SFAssumptions!$C$8-D136)*$AO$35)</f>
        <v>1125.9839468715561</v>
      </c>
      <c r="Q136" s="190" t="str">
        <f>IF(OR(L136="",M136=""),"No",IF(AND(E136="Front Load",L136&gt;='Eff. Standards &amp; Certifications'!$B$21,M136&lt;='Eff. Standards &amp; Certifications'!$C$21),"Consider",IF(AND(E136="Top Load",L136&gt;='Eff. Standards &amp; Certifications'!$B$20,M136&lt;='Eff. Standards &amp; Certifications'!$C$20),"Consider","No")))</f>
        <v>Consider</v>
      </c>
      <c r="R136" s="203"/>
      <c r="S136" s="203"/>
      <c r="T136" s="293" t="str">
        <f t="shared" si="33"/>
        <v>NO</v>
      </c>
      <c r="U136" s="293" t="str">
        <f t="shared" si="33"/>
        <v>YES</v>
      </c>
      <c r="V136" s="293" t="str">
        <f t="shared" si="34"/>
        <v>YES</v>
      </c>
      <c r="W136" s="211" t="str">
        <f t="shared" si="29"/>
        <v>NO</v>
      </c>
      <c r="X136" s="211" t="str">
        <f t="shared" si="29"/>
        <v>NO</v>
      </c>
      <c r="Y136" s="211" t="str">
        <f t="shared" si="35"/>
        <v>NO</v>
      </c>
      <c r="Z136" s="211" t="str">
        <f t="shared" si="36"/>
        <v>NO</v>
      </c>
      <c r="AA136" s="211" t="str">
        <f t="shared" si="36"/>
        <v>YES</v>
      </c>
      <c r="AB136" s="293" t="str">
        <f t="shared" si="37"/>
        <v>YES</v>
      </c>
      <c r="AC136" s="211" t="str">
        <f t="shared" si="38"/>
        <v>YES</v>
      </c>
      <c r="AD136" s="211" t="str">
        <f t="shared" si="39"/>
        <v>NO</v>
      </c>
      <c r="AE136" s="211" t="str">
        <f t="shared" si="40"/>
        <v>NO</v>
      </c>
      <c r="AF136" s="206"/>
      <c r="AG136" s="206"/>
      <c r="AH136" s="203">
        <f t="shared" si="30"/>
        <v>2.5720289999999997</v>
      </c>
      <c r="AI136" s="203">
        <f t="shared" si="31"/>
        <v>1299.99</v>
      </c>
      <c r="AJ136" s="203">
        <f t="shared" si="32"/>
        <v>952.96352714516934</v>
      </c>
      <c r="AK136" s="203"/>
      <c r="AL136" s="203"/>
      <c r="AM136" s="203"/>
      <c r="AN136" s="207"/>
    </row>
    <row r="137" spans="1:40" s="204" customFormat="1" ht="15">
      <c r="A137" s="280" t="s">
        <v>942</v>
      </c>
      <c r="B137" s="281">
        <v>41549</v>
      </c>
      <c r="C137" s="249">
        <v>1299.8800000000001</v>
      </c>
      <c r="D137" s="248">
        <v>4.3</v>
      </c>
      <c r="E137" s="250" t="str">
        <f>VLOOKUP(B137,'Northwest Retail Cost Data'!$C$5:$F$275,4,FALSE)</f>
        <v>Front load</v>
      </c>
      <c r="F137" s="251" t="s">
        <v>846</v>
      </c>
      <c r="G137" s="279">
        <v>3.4</v>
      </c>
      <c r="H137" s="279">
        <v>2.8</v>
      </c>
      <c r="I137" s="252">
        <f>D137*H137*SFAssumptions!$C$3</f>
        <v>3090.8281319999996</v>
      </c>
      <c r="J137" s="253">
        <f t="shared" si="26"/>
        <v>1299.8800000000001</v>
      </c>
      <c r="K137" s="254">
        <f t="shared" si="26"/>
        <v>4.3</v>
      </c>
      <c r="L137" s="691">
        <f t="shared" si="27"/>
        <v>2.9359999999999999</v>
      </c>
      <c r="M137" s="691">
        <f t="shared" si="28"/>
        <v>2.9849599999999996</v>
      </c>
      <c r="N137" s="255">
        <v>2012</v>
      </c>
      <c r="O137" s="256">
        <f>C137*VLOOKUP(N137,SFAssumptions!$A$42:$B$51,2,FALSE)</f>
        <v>1173.8629797535334</v>
      </c>
      <c r="P137" s="254">
        <f ca="1">O137+((SFAssumptions!$C$8-D137)*$AO$35)</f>
        <v>1125.8846108345583</v>
      </c>
      <c r="Q137" s="190" t="str">
        <f>IF(OR(L137="",M137=""),"No",IF(AND(E137="Front Load",L137&gt;='Eff. Standards &amp; Certifications'!$B$21,M137&lt;='Eff. Standards &amp; Certifications'!$C$21),"Consider",IF(AND(E137="Top Load",L137&gt;='Eff. Standards &amp; Certifications'!$B$20,M137&lt;='Eff. Standards &amp; Certifications'!$C$20),"Consider","No")))</f>
        <v>Consider</v>
      </c>
      <c r="R137" s="203"/>
      <c r="S137" s="203"/>
      <c r="T137" s="293" t="str">
        <f t="shared" si="33"/>
        <v>NO</v>
      </c>
      <c r="U137" s="293" t="str">
        <f t="shared" si="33"/>
        <v>YES</v>
      </c>
      <c r="V137" s="293" t="str">
        <f t="shared" si="34"/>
        <v>YES</v>
      </c>
      <c r="W137" s="211" t="str">
        <f t="shared" si="29"/>
        <v>NO</v>
      </c>
      <c r="X137" s="211" t="str">
        <f t="shared" si="29"/>
        <v>NO</v>
      </c>
      <c r="Y137" s="211" t="str">
        <f t="shared" si="35"/>
        <v>NO</v>
      </c>
      <c r="Z137" s="211" t="str">
        <f t="shared" si="36"/>
        <v>NO</v>
      </c>
      <c r="AA137" s="211" t="str">
        <f t="shared" si="36"/>
        <v>YES</v>
      </c>
      <c r="AB137" s="293" t="str">
        <f t="shared" si="37"/>
        <v>YES</v>
      </c>
      <c r="AC137" s="211" t="str">
        <f t="shared" si="38"/>
        <v>NO</v>
      </c>
      <c r="AD137" s="211" t="str">
        <f t="shared" si="39"/>
        <v>NO</v>
      </c>
      <c r="AE137" s="211" t="str">
        <f t="shared" si="40"/>
        <v>YES</v>
      </c>
      <c r="AF137" s="206"/>
      <c r="AG137" s="206"/>
      <c r="AH137" s="203">
        <f t="shared" si="30"/>
        <v>2.9359999999999999</v>
      </c>
      <c r="AI137" s="203">
        <f t="shared" si="31"/>
        <v>1299.8800000000001</v>
      </c>
      <c r="AJ137" s="203">
        <f t="shared" si="32"/>
        <v>1040.807623172379</v>
      </c>
      <c r="AK137" s="203"/>
      <c r="AL137" s="203"/>
      <c r="AM137" s="203"/>
      <c r="AN137" s="207"/>
    </row>
    <row r="138" spans="1:40" s="204" customFormat="1" ht="15">
      <c r="A138" s="280" t="s">
        <v>597</v>
      </c>
      <c r="B138" s="281" t="s">
        <v>954</v>
      </c>
      <c r="C138" s="249">
        <v>1099.99</v>
      </c>
      <c r="D138" s="248">
        <v>4</v>
      </c>
      <c r="E138" s="250" t="str">
        <f>VLOOKUP(B138,'Northwest Retail Cost Data'!$C$5:$F$275,4,FALSE)</f>
        <v>Front load</v>
      </c>
      <c r="F138" s="251" t="s">
        <v>846</v>
      </c>
      <c r="G138" s="279">
        <v>3.35</v>
      </c>
      <c r="H138" s="279">
        <v>2.9</v>
      </c>
      <c r="I138" s="252">
        <f>D138*H138*SFAssumptions!$C$3</f>
        <v>2977.87428</v>
      </c>
      <c r="J138" s="253">
        <f t="shared" si="26"/>
        <v>1099.99</v>
      </c>
      <c r="K138" s="254">
        <f t="shared" si="26"/>
        <v>4</v>
      </c>
      <c r="L138" s="691">
        <f t="shared" si="27"/>
        <v>2.8902749999999999</v>
      </c>
      <c r="M138" s="691">
        <f t="shared" si="28"/>
        <v>3.08738</v>
      </c>
      <c r="N138" s="255">
        <v>2012</v>
      </c>
      <c r="O138" s="256">
        <f>C138*VLOOKUP(N138,SFAssumptions!$A$42:$B$51,2,FALSE)</f>
        <v>993.35133943063136</v>
      </c>
      <c r="P138" s="254">
        <f ca="1">O138+((SFAssumptions!$C$8-D138)*$AO$35)</f>
        <v>972.89440753286874</v>
      </c>
      <c r="Q138" s="190" t="str">
        <f>IF(OR(L138="",M138=""),"No",IF(AND(E138="Front Load",L138&gt;='Eff. Standards &amp; Certifications'!$B$21,M138&lt;='Eff. Standards &amp; Certifications'!$C$21),"Consider",IF(AND(E138="Top Load",L138&gt;='Eff. Standards &amp; Certifications'!$B$20,M138&lt;='Eff. Standards &amp; Certifications'!$C$20),"Consider","No")))</f>
        <v>Consider</v>
      </c>
      <c r="R138" s="203"/>
      <c r="S138" s="203"/>
      <c r="T138" s="293" t="str">
        <f t="shared" si="33"/>
        <v>NO</v>
      </c>
      <c r="U138" s="293" t="str">
        <f t="shared" si="33"/>
        <v>YES</v>
      </c>
      <c r="V138" s="293" t="str">
        <f t="shared" si="34"/>
        <v>YES</v>
      </c>
      <c r="W138" s="211" t="str">
        <f t="shared" si="29"/>
        <v>NO</v>
      </c>
      <c r="X138" s="211" t="str">
        <f t="shared" si="29"/>
        <v>NO</v>
      </c>
      <c r="Y138" s="211" t="str">
        <f t="shared" si="35"/>
        <v>NO</v>
      </c>
      <c r="Z138" s="211" t="str">
        <f t="shared" si="36"/>
        <v>NO</v>
      </c>
      <c r="AA138" s="211" t="str">
        <f t="shared" si="36"/>
        <v>YES</v>
      </c>
      <c r="AB138" s="293" t="str">
        <f t="shared" si="37"/>
        <v>YES</v>
      </c>
      <c r="AC138" s="211" t="str">
        <f t="shared" si="38"/>
        <v>NO</v>
      </c>
      <c r="AD138" s="211" t="str">
        <f t="shared" si="39"/>
        <v>YES</v>
      </c>
      <c r="AE138" s="211" t="str">
        <f t="shared" si="40"/>
        <v>NO</v>
      </c>
      <c r="AF138" s="206"/>
      <c r="AG138" s="206"/>
      <c r="AH138" s="203">
        <f t="shared" si="30"/>
        <v>2.8902749999999999</v>
      </c>
      <c r="AI138" s="203">
        <f t="shared" si="31"/>
        <v>1099.99</v>
      </c>
      <c r="AJ138" s="203">
        <f t="shared" si="32"/>
        <v>1001.5255407134657</v>
      </c>
      <c r="AK138" s="203"/>
      <c r="AL138" s="203"/>
      <c r="AM138" s="203"/>
      <c r="AN138" s="207"/>
    </row>
    <row r="139" spans="1:40" s="204" customFormat="1" ht="15">
      <c r="A139" s="280" t="s">
        <v>597</v>
      </c>
      <c r="B139" s="281" t="s">
        <v>955</v>
      </c>
      <c r="C139" s="249">
        <v>899.99</v>
      </c>
      <c r="D139" s="248">
        <v>3.6</v>
      </c>
      <c r="E139" s="250" t="str">
        <f>VLOOKUP(B139,'Northwest Retail Cost Data'!$C$5:$F$275,4,FALSE)</f>
        <v>Front load</v>
      </c>
      <c r="F139" s="251" t="s">
        <v>846</v>
      </c>
      <c r="G139" s="282">
        <v>3.13</v>
      </c>
      <c r="H139" s="282">
        <v>3</v>
      </c>
      <c r="I139" s="252">
        <f>D139*H139*SFAssumptions!$C$3</f>
        <v>2772.5036400000004</v>
      </c>
      <c r="J139" s="253">
        <f t="shared" si="26"/>
        <v>899.99</v>
      </c>
      <c r="K139" s="254">
        <f t="shared" si="26"/>
        <v>3.6</v>
      </c>
      <c r="L139" s="691">
        <f t="shared" si="27"/>
        <v>2.6890849999999995</v>
      </c>
      <c r="M139" s="691">
        <f t="shared" si="28"/>
        <v>3.1898</v>
      </c>
      <c r="N139" s="255">
        <v>2012</v>
      </c>
      <c r="O139" s="256">
        <f>C139*VLOOKUP(N139,SFAssumptions!$A$42:$B$51,2,FALSE)</f>
        <v>812.74036307073152</v>
      </c>
      <c r="P139" s="254">
        <f ca="1">O139+((SFAssumptions!$C$8-D139)*$AO$35)</f>
        <v>828.97868053458546</v>
      </c>
      <c r="Q139" s="190" t="str">
        <f>IF(OR(L139="",M139=""),"No",IF(AND(E139="Front Load",L139&gt;='Eff. Standards &amp; Certifications'!$B$21,M139&lt;='Eff. Standards &amp; Certifications'!$C$21),"Consider",IF(AND(E139="Top Load",L139&gt;='Eff. Standards &amp; Certifications'!$B$20,M139&lt;='Eff. Standards &amp; Certifications'!$C$20),"Consider","No")))</f>
        <v>Consider</v>
      </c>
      <c r="R139" s="203"/>
      <c r="S139" s="203"/>
      <c r="T139" s="293" t="str">
        <f t="shared" si="33"/>
        <v>NO</v>
      </c>
      <c r="U139" s="293" t="str">
        <f t="shared" si="33"/>
        <v>YES</v>
      </c>
      <c r="V139" s="293" t="str">
        <f t="shared" si="34"/>
        <v>YES</v>
      </c>
      <c r="W139" s="211" t="str">
        <f t="shared" si="29"/>
        <v>NO</v>
      </c>
      <c r="X139" s="211" t="str">
        <f t="shared" si="29"/>
        <v>NO</v>
      </c>
      <c r="Y139" s="211" t="str">
        <f t="shared" si="35"/>
        <v>NO</v>
      </c>
      <c r="Z139" s="211" t="str">
        <f t="shared" si="36"/>
        <v>NO</v>
      </c>
      <c r="AA139" s="211" t="str">
        <f t="shared" si="36"/>
        <v>YES</v>
      </c>
      <c r="AB139" s="293" t="str">
        <f t="shared" si="37"/>
        <v>YES</v>
      </c>
      <c r="AC139" s="211" t="str">
        <f t="shared" si="38"/>
        <v>YES</v>
      </c>
      <c r="AD139" s="211" t="str">
        <f t="shared" si="39"/>
        <v>NO</v>
      </c>
      <c r="AE139" s="211" t="str">
        <f t="shared" si="40"/>
        <v>NO</v>
      </c>
      <c r="AF139" s="206"/>
      <c r="AG139" s="206"/>
      <c r="AH139" s="203">
        <f t="shared" si="30"/>
        <v>2.6890849999999995</v>
      </c>
      <c r="AI139" s="203">
        <f t="shared" si="31"/>
        <v>899.99</v>
      </c>
      <c r="AJ139" s="203">
        <f t="shared" si="32"/>
        <v>915.49675789994126</v>
      </c>
      <c r="AK139" s="203"/>
      <c r="AL139" s="203"/>
      <c r="AM139" s="203"/>
      <c r="AN139" s="207"/>
    </row>
    <row r="140" spans="1:40" s="204" customFormat="1" ht="15">
      <c r="A140" s="280" t="s">
        <v>844</v>
      </c>
      <c r="B140" s="281" t="s">
        <v>956</v>
      </c>
      <c r="C140" s="249">
        <v>1299.99</v>
      </c>
      <c r="D140" s="248">
        <v>4.3</v>
      </c>
      <c r="E140" s="250" t="str">
        <f>VLOOKUP(B140,'Northwest Retail Cost Data'!$C$5:$F$275,4,FALSE)</f>
        <v>Front load</v>
      </c>
      <c r="F140" s="251" t="s">
        <v>846</v>
      </c>
      <c r="G140" s="279">
        <v>3.33</v>
      </c>
      <c r="H140" s="279">
        <v>2.8</v>
      </c>
      <c r="I140" s="252">
        <f>D140*H140*SFAssumptions!$C$3</f>
        <v>3090.8281319999996</v>
      </c>
      <c r="J140" s="253">
        <f t="shared" si="26"/>
        <v>1299.99</v>
      </c>
      <c r="K140" s="254">
        <f t="shared" si="26"/>
        <v>4.3</v>
      </c>
      <c r="L140" s="691">
        <f t="shared" si="27"/>
        <v>2.8719849999999996</v>
      </c>
      <c r="M140" s="691">
        <f t="shared" si="28"/>
        <v>2.9849599999999996</v>
      </c>
      <c r="N140" s="255">
        <v>2012</v>
      </c>
      <c r="O140" s="256">
        <f>C140*VLOOKUP(N140,SFAssumptions!$A$42:$B$51,2,FALSE)</f>
        <v>1173.9623157905312</v>
      </c>
      <c r="P140" s="254">
        <f ca="1">O140+((SFAssumptions!$C$8-D140)*$AO$35)</f>
        <v>1125.9839468715561</v>
      </c>
      <c r="Q140" s="190" t="str">
        <f>IF(OR(L140="",M140=""),"No",IF(AND(E140="Front Load",L140&gt;='Eff. Standards &amp; Certifications'!$B$21,M140&lt;='Eff. Standards &amp; Certifications'!$C$21),"Consider",IF(AND(E140="Top Load",L140&gt;='Eff. Standards &amp; Certifications'!$B$20,M140&lt;='Eff. Standards &amp; Certifications'!$C$20),"Consider","No")))</f>
        <v>Consider</v>
      </c>
      <c r="R140" s="203"/>
      <c r="S140" s="203"/>
      <c r="T140" s="293" t="str">
        <f t="shared" si="33"/>
        <v>NO</v>
      </c>
      <c r="U140" s="293" t="str">
        <f t="shared" si="33"/>
        <v>YES</v>
      </c>
      <c r="V140" s="293" t="str">
        <f t="shared" si="34"/>
        <v>YES</v>
      </c>
      <c r="W140" s="211" t="str">
        <f t="shared" si="29"/>
        <v>NO</v>
      </c>
      <c r="X140" s="211" t="str">
        <f t="shared" si="29"/>
        <v>NO</v>
      </c>
      <c r="Y140" s="211" t="str">
        <f t="shared" si="35"/>
        <v>NO</v>
      </c>
      <c r="Z140" s="211" t="str">
        <f t="shared" si="36"/>
        <v>NO</v>
      </c>
      <c r="AA140" s="211" t="str">
        <f t="shared" si="36"/>
        <v>YES</v>
      </c>
      <c r="AB140" s="293" t="str">
        <f t="shared" si="37"/>
        <v>YES</v>
      </c>
      <c r="AC140" s="211" t="str">
        <f t="shared" si="38"/>
        <v>NO</v>
      </c>
      <c r="AD140" s="211" t="str">
        <f t="shared" si="39"/>
        <v>YES</v>
      </c>
      <c r="AE140" s="211" t="str">
        <f t="shared" si="40"/>
        <v>NO</v>
      </c>
      <c r="AF140" s="206"/>
      <c r="AG140" s="206"/>
      <c r="AH140" s="203">
        <f t="shared" si="30"/>
        <v>2.8719849999999996</v>
      </c>
      <c r="AI140" s="203">
        <f t="shared" si="31"/>
        <v>1299.99</v>
      </c>
      <c r="AJ140" s="203">
        <f t="shared" si="32"/>
        <v>1025.3364339900581</v>
      </c>
      <c r="AK140" s="203"/>
      <c r="AL140" s="203"/>
      <c r="AM140" s="203"/>
      <c r="AN140" s="207"/>
    </row>
    <row r="141" spans="1:40" s="204" customFormat="1" ht="15">
      <c r="A141" s="280" t="s">
        <v>597</v>
      </c>
      <c r="B141" s="281" t="s">
        <v>957</v>
      </c>
      <c r="C141" s="249">
        <v>1399.99</v>
      </c>
      <c r="D141" s="248">
        <v>4.3</v>
      </c>
      <c r="E141" s="250" t="str">
        <f>VLOOKUP(B141,'Northwest Retail Cost Data'!$C$5:$F$275,4,FALSE)</f>
        <v>Front load</v>
      </c>
      <c r="F141" s="251" t="s">
        <v>846</v>
      </c>
      <c r="G141" s="282">
        <v>3.32</v>
      </c>
      <c r="H141" s="282">
        <v>2.9</v>
      </c>
      <c r="I141" s="252">
        <f>D141*H141*SFAssumptions!$C$3</f>
        <v>3201.2148509999997</v>
      </c>
      <c r="J141" s="253">
        <f t="shared" si="26"/>
        <v>1399.99</v>
      </c>
      <c r="K141" s="254">
        <f t="shared" si="26"/>
        <v>4.3</v>
      </c>
      <c r="L141" s="691">
        <f t="shared" si="27"/>
        <v>2.8628399999999994</v>
      </c>
      <c r="M141" s="691">
        <f t="shared" si="28"/>
        <v>3.08738</v>
      </c>
      <c r="N141" s="255">
        <v>2012</v>
      </c>
      <c r="O141" s="256">
        <f>C141*VLOOKUP(N141,SFAssumptions!$A$42:$B$51,2,FALSE)</f>
        <v>1264.2678039704813</v>
      </c>
      <c r="P141" s="254">
        <f ca="1">O141+((SFAssumptions!$C$8-D141)*$AO$35)</f>
        <v>1216.2894350515062</v>
      </c>
      <c r="Q141" s="190" t="str">
        <f>IF(OR(L141="",M141=""),"No",IF(AND(E141="Front Load",L141&gt;='Eff. Standards &amp; Certifications'!$B$21,M141&lt;='Eff. Standards &amp; Certifications'!$C$21),"Consider",IF(AND(E141="Top Load",L141&gt;='Eff. Standards &amp; Certifications'!$B$20,M141&lt;='Eff. Standards &amp; Certifications'!$C$20),"Consider","No")))</f>
        <v>Consider</v>
      </c>
      <c r="R141" s="203"/>
      <c r="S141" s="203"/>
      <c r="T141" s="293" t="str">
        <f t="shared" si="33"/>
        <v>NO</v>
      </c>
      <c r="U141" s="293" t="str">
        <f t="shared" si="33"/>
        <v>YES</v>
      </c>
      <c r="V141" s="293" t="str">
        <f t="shared" si="34"/>
        <v>YES</v>
      </c>
      <c r="W141" s="211" t="str">
        <f t="shared" si="29"/>
        <v>NO</v>
      </c>
      <c r="X141" s="211" t="str">
        <f t="shared" si="29"/>
        <v>NO</v>
      </c>
      <c r="Y141" s="211" t="str">
        <f t="shared" si="35"/>
        <v>NO</v>
      </c>
      <c r="Z141" s="211" t="str">
        <f t="shared" si="36"/>
        <v>NO</v>
      </c>
      <c r="AA141" s="211" t="str">
        <f t="shared" si="36"/>
        <v>YES</v>
      </c>
      <c r="AB141" s="293" t="str">
        <f t="shared" si="37"/>
        <v>YES</v>
      </c>
      <c r="AC141" s="211" t="str">
        <f t="shared" si="38"/>
        <v>NO</v>
      </c>
      <c r="AD141" s="211" t="str">
        <f t="shared" si="39"/>
        <v>YES</v>
      </c>
      <c r="AE141" s="211" t="str">
        <f t="shared" si="40"/>
        <v>NO</v>
      </c>
      <c r="AF141" s="206"/>
      <c r="AG141" s="206"/>
      <c r="AH141" s="203">
        <f t="shared" si="30"/>
        <v>2.8628399999999994</v>
      </c>
      <c r="AI141" s="203">
        <f t="shared" si="31"/>
        <v>1399.99</v>
      </c>
      <c r="AJ141" s="203">
        <f t="shared" si="32"/>
        <v>1022.416468085112</v>
      </c>
      <c r="AK141" s="203"/>
      <c r="AL141" s="203"/>
      <c r="AM141" s="203"/>
      <c r="AN141" s="207"/>
    </row>
    <row r="142" spans="1:40" s="204" customFormat="1" ht="15">
      <c r="A142" s="280" t="s">
        <v>844</v>
      </c>
      <c r="B142" s="281" t="s">
        <v>958</v>
      </c>
      <c r="C142" s="249">
        <v>1234.99</v>
      </c>
      <c r="D142" s="248">
        <v>4.4000000000000004</v>
      </c>
      <c r="E142" s="250" t="str">
        <f>VLOOKUP(B142,'Northwest Retail Cost Data'!$C$5:$F$275,4,FALSE)</f>
        <v>Front load</v>
      </c>
      <c r="F142" s="251" t="s">
        <v>846</v>
      </c>
      <c r="G142" s="282">
        <v>3.29</v>
      </c>
      <c r="H142" s="282">
        <v>2.8</v>
      </c>
      <c r="I142" s="252">
        <f>D142*H142*SFAssumptions!$C$3</f>
        <v>3162.707856</v>
      </c>
      <c r="J142" s="253">
        <f t="shared" si="26"/>
        <v>1234.99</v>
      </c>
      <c r="K142" s="254">
        <f t="shared" si="26"/>
        <v>4.4000000000000004</v>
      </c>
      <c r="L142" s="691">
        <f t="shared" si="27"/>
        <v>2.8354049999999997</v>
      </c>
      <c r="M142" s="691">
        <f t="shared" si="28"/>
        <v>2.9849599999999996</v>
      </c>
      <c r="N142" s="255">
        <v>2012</v>
      </c>
      <c r="O142" s="256">
        <f>C142*VLOOKUP(N142,SFAssumptions!$A$42:$B$51,2,FALSE)</f>
        <v>1115.2637484735637</v>
      </c>
      <c r="P142" s="254">
        <f ca="1">O142+((SFAssumptions!$C$8-D142)*$AO$35)</f>
        <v>1058.1115672141846</v>
      </c>
      <c r="Q142" s="190" t="str">
        <f>IF(OR(L142="",M142=""),"No",IF(AND(E142="Front Load",L142&gt;='Eff. Standards &amp; Certifications'!$B$21,M142&lt;='Eff. Standards &amp; Certifications'!$C$21),"Consider",IF(AND(E142="Top Load",L142&gt;='Eff. Standards &amp; Certifications'!$B$20,M142&lt;='Eff. Standards &amp; Certifications'!$C$20),"Consider","No")))</f>
        <v>Consider</v>
      </c>
      <c r="R142" s="203"/>
      <c r="S142" s="203"/>
      <c r="T142" s="293" t="str">
        <f t="shared" si="33"/>
        <v>NO</v>
      </c>
      <c r="U142" s="293" t="str">
        <f t="shared" si="33"/>
        <v>YES</v>
      </c>
      <c r="V142" s="293" t="str">
        <f t="shared" si="34"/>
        <v>YES</v>
      </c>
      <c r="W142" s="211" t="str">
        <f t="shared" si="29"/>
        <v>NO</v>
      </c>
      <c r="X142" s="211" t="str">
        <f t="shared" si="29"/>
        <v>NO</v>
      </c>
      <c r="Y142" s="211" t="str">
        <f t="shared" si="35"/>
        <v>NO</v>
      </c>
      <c r="Z142" s="211" t="str">
        <f t="shared" si="36"/>
        <v>NO</v>
      </c>
      <c r="AA142" s="211" t="str">
        <f t="shared" si="36"/>
        <v>YES</v>
      </c>
      <c r="AB142" s="293" t="str">
        <f t="shared" si="37"/>
        <v>YES</v>
      </c>
      <c r="AC142" s="211" t="str">
        <f t="shared" si="38"/>
        <v>NO</v>
      </c>
      <c r="AD142" s="211" t="str">
        <f t="shared" si="39"/>
        <v>YES</v>
      </c>
      <c r="AE142" s="211" t="str">
        <f t="shared" si="40"/>
        <v>NO</v>
      </c>
      <c r="AF142" s="206"/>
      <c r="AG142" s="206"/>
      <c r="AH142" s="203">
        <f t="shared" si="30"/>
        <v>2.8354049999999997</v>
      </c>
      <c r="AI142" s="203">
        <f t="shared" si="31"/>
        <v>1234.99</v>
      </c>
      <c r="AJ142" s="203">
        <f t="shared" si="32"/>
        <v>1025.6695667977078</v>
      </c>
      <c r="AK142" s="203"/>
      <c r="AL142" s="203"/>
      <c r="AM142" s="203"/>
      <c r="AN142" s="207"/>
    </row>
    <row r="143" spans="1:40" s="204" customFormat="1" ht="15">
      <c r="A143" s="280" t="s">
        <v>557</v>
      </c>
      <c r="B143" s="281" t="s">
        <v>901</v>
      </c>
      <c r="C143" s="249">
        <v>1219.99</v>
      </c>
      <c r="D143" s="248">
        <v>4.3</v>
      </c>
      <c r="E143" s="250" t="str">
        <f>VLOOKUP(B143,'Northwest Retail Cost Data'!$C$5:$F$275,4,FALSE)</f>
        <v>Front Load</v>
      </c>
      <c r="F143" s="251" t="s">
        <v>846</v>
      </c>
      <c r="G143" s="279">
        <v>3.0019999999999998</v>
      </c>
      <c r="H143" s="279">
        <v>2.7829999999999999</v>
      </c>
      <c r="I143" s="252">
        <f>D143*H143*SFAssumptions!$C$3</f>
        <v>3072.0623897699998</v>
      </c>
      <c r="J143" s="253">
        <f t="shared" si="26"/>
        <v>1219.99</v>
      </c>
      <c r="K143" s="254">
        <f t="shared" si="26"/>
        <v>4.3</v>
      </c>
      <c r="L143" s="691">
        <f t="shared" si="27"/>
        <v>2.5720289999999997</v>
      </c>
      <c r="M143" s="691">
        <f t="shared" si="28"/>
        <v>2.9675485999999998</v>
      </c>
      <c r="N143" s="255">
        <v>2012</v>
      </c>
      <c r="O143" s="256">
        <f>C143*VLOOKUP(N143,SFAssumptions!$A$42:$B$51,2,FALSE)</f>
        <v>1101.7179252465714</v>
      </c>
      <c r="P143" s="254">
        <f ca="1">O143+((SFAssumptions!$C$8-D143)*$AO$35)</f>
        <v>1053.7395563275963</v>
      </c>
      <c r="Q143" s="190" t="str">
        <f>IF(OR(L143="",M143=""),"No",IF(AND(E143="Front Load",L143&gt;='Eff. Standards &amp; Certifications'!$B$21,M143&lt;='Eff. Standards &amp; Certifications'!$C$21),"Consider",IF(AND(E143="Top Load",L143&gt;='Eff. Standards &amp; Certifications'!$B$20,M143&lt;='Eff. Standards &amp; Certifications'!$C$20),"Consider","No")))</f>
        <v>Consider</v>
      </c>
      <c r="R143" s="203"/>
      <c r="S143" s="203"/>
      <c r="T143" s="293" t="str">
        <f t="shared" si="33"/>
        <v>NO</v>
      </c>
      <c r="U143" s="293" t="str">
        <f t="shared" si="33"/>
        <v>YES</v>
      </c>
      <c r="V143" s="293" t="str">
        <f t="shared" si="34"/>
        <v>YES</v>
      </c>
      <c r="W143" s="211" t="str">
        <f t="shared" si="29"/>
        <v>NO</v>
      </c>
      <c r="X143" s="211" t="str">
        <f t="shared" si="29"/>
        <v>NO</v>
      </c>
      <c r="Y143" s="211" t="str">
        <f t="shared" si="35"/>
        <v>NO</v>
      </c>
      <c r="Z143" s="211" t="str">
        <f t="shared" si="36"/>
        <v>NO</v>
      </c>
      <c r="AA143" s="211" t="str">
        <f t="shared" si="36"/>
        <v>YES</v>
      </c>
      <c r="AB143" s="293" t="str">
        <f t="shared" si="37"/>
        <v>YES</v>
      </c>
      <c r="AC143" s="211" t="str">
        <f t="shared" si="38"/>
        <v>YES</v>
      </c>
      <c r="AD143" s="211" t="str">
        <f t="shared" si="39"/>
        <v>NO</v>
      </c>
      <c r="AE143" s="211" t="str">
        <f t="shared" si="40"/>
        <v>NO</v>
      </c>
      <c r="AF143" s="206"/>
      <c r="AG143" s="206"/>
      <c r="AH143" s="203">
        <f t="shared" si="30"/>
        <v>2.5720289999999997</v>
      </c>
      <c r="AI143" s="203">
        <f t="shared" si="31"/>
        <v>1219.99</v>
      </c>
      <c r="AJ143" s="203">
        <f t="shared" si="32"/>
        <v>952.96352714516934</v>
      </c>
      <c r="AK143" s="203"/>
      <c r="AL143" s="203"/>
      <c r="AM143" s="203"/>
      <c r="AN143" s="207"/>
    </row>
    <row r="144" spans="1:40" s="204" customFormat="1" ht="15">
      <c r="A144" s="280" t="s">
        <v>625</v>
      </c>
      <c r="B144" s="281" t="s">
        <v>959</v>
      </c>
      <c r="C144" s="249">
        <v>1299.99</v>
      </c>
      <c r="D144" s="248">
        <v>4.3</v>
      </c>
      <c r="E144" s="250" t="str">
        <f>VLOOKUP(B144,'Northwest Retail Cost Data'!$C$5:$F$275,4,FALSE)</f>
        <v>Front load</v>
      </c>
      <c r="F144" s="251" t="s">
        <v>846</v>
      </c>
      <c r="G144" s="279">
        <v>3</v>
      </c>
      <c r="H144" s="279">
        <v>2.48</v>
      </c>
      <c r="I144" s="252">
        <f>D144*H144*SFAssumptions!$C$3</f>
        <v>2737.5906312000002</v>
      </c>
      <c r="J144" s="253">
        <f t="shared" si="26"/>
        <v>1299.99</v>
      </c>
      <c r="K144" s="254">
        <f t="shared" si="26"/>
        <v>4.3</v>
      </c>
      <c r="L144" s="691">
        <f t="shared" si="27"/>
        <v>2.5701999999999998</v>
      </c>
      <c r="M144" s="691">
        <f t="shared" si="28"/>
        <v>2.657216</v>
      </c>
      <c r="N144" s="255">
        <v>2012</v>
      </c>
      <c r="O144" s="256">
        <f>C144*VLOOKUP(N144,SFAssumptions!$A$42:$B$51,2,FALSE)</f>
        <v>1173.9623157905312</v>
      </c>
      <c r="P144" s="254">
        <f ca="1">O144+((SFAssumptions!$C$8-D144)*$AO$35)</f>
        <v>1125.9839468715561</v>
      </c>
      <c r="Q144" s="190" t="str">
        <f>IF(OR(L144="",M144=""),"No",IF(AND(E144="Front Load",L144&gt;='Eff. Standards &amp; Certifications'!$B$21,M144&lt;='Eff. Standards &amp; Certifications'!$C$21),"Consider",IF(AND(E144="Top Load",L144&gt;='Eff. Standards &amp; Certifications'!$B$20,M144&lt;='Eff. Standards &amp; Certifications'!$C$20),"Consider","No")))</f>
        <v>Consider</v>
      </c>
      <c r="R144" s="203"/>
      <c r="S144" s="203"/>
      <c r="T144" s="293" t="str">
        <f t="shared" si="33"/>
        <v>NO</v>
      </c>
      <c r="U144" s="293" t="str">
        <f t="shared" si="33"/>
        <v>YES</v>
      </c>
      <c r="V144" s="293" t="str">
        <f t="shared" si="34"/>
        <v>YES</v>
      </c>
      <c r="W144" s="211" t="str">
        <f t="shared" si="29"/>
        <v>NO</v>
      </c>
      <c r="X144" s="211" t="str">
        <f t="shared" si="29"/>
        <v>NO</v>
      </c>
      <c r="Y144" s="211" t="str">
        <f t="shared" si="35"/>
        <v>NO</v>
      </c>
      <c r="Z144" s="211" t="str">
        <f t="shared" si="36"/>
        <v>NO</v>
      </c>
      <c r="AA144" s="211" t="str">
        <f t="shared" si="36"/>
        <v>YES</v>
      </c>
      <c r="AB144" s="293" t="str">
        <f t="shared" si="37"/>
        <v>YES</v>
      </c>
      <c r="AC144" s="211" t="str">
        <f t="shared" si="38"/>
        <v>YES</v>
      </c>
      <c r="AD144" s="211" t="str">
        <f t="shared" si="39"/>
        <v>NO</v>
      </c>
      <c r="AE144" s="211" t="str">
        <f t="shared" si="40"/>
        <v>NO</v>
      </c>
      <c r="AF144" s="206"/>
      <c r="AG144" s="206"/>
      <c r="AH144" s="203">
        <f t="shared" si="30"/>
        <v>2.5701999999999998</v>
      </c>
      <c r="AI144" s="203">
        <f t="shared" si="31"/>
        <v>1299.99</v>
      </c>
      <c r="AJ144" s="203">
        <f t="shared" si="32"/>
        <v>954.67217511445699</v>
      </c>
      <c r="AK144" s="203"/>
      <c r="AL144" s="203"/>
      <c r="AM144" s="203"/>
      <c r="AN144" s="207"/>
    </row>
    <row r="145" spans="1:40" s="204" customFormat="1" ht="15">
      <c r="A145" s="280" t="s">
        <v>844</v>
      </c>
      <c r="B145" s="281" t="s">
        <v>845</v>
      </c>
      <c r="C145" s="249">
        <v>1139.05</v>
      </c>
      <c r="D145" s="248">
        <v>4.3</v>
      </c>
      <c r="E145" s="250" t="str">
        <f>VLOOKUP(B145,'Northwest Retail Cost Data'!$C$5:$F$275,4,FALSE)</f>
        <v>Front Load</v>
      </c>
      <c r="F145" s="251" t="s">
        <v>846</v>
      </c>
      <c r="G145" s="279">
        <v>3.3</v>
      </c>
      <c r="H145" s="279">
        <v>2.8</v>
      </c>
      <c r="I145" s="252">
        <f>D145*H145*SFAssumptions!$C$3</f>
        <v>3090.8281319999996</v>
      </c>
      <c r="J145" s="253">
        <f t="shared" si="26"/>
        <v>1139.05</v>
      </c>
      <c r="K145" s="254">
        <f t="shared" si="26"/>
        <v>4.3</v>
      </c>
      <c r="L145" s="691">
        <f t="shared" si="27"/>
        <v>2.8445499999999999</v>
      </c>
      <c r="M145" s="691">
        <f t="shared" si="28"/>
        <v>2.9849599999999996</v>
      </c>
      <c r="N145" s="255">
        <v>2012</v>
      </c>
      <c r="O145" s="256">
        <f>C145*VLOOKUP(N145,SFAssumptions!$A$42:$B$51,2,FALSE)</f>
        <v>1028.6246631137199</v>
      </c>
      <c r="P145" s="254">
        <f ca="1">O145+((SFAssumptions!$C$8-D145)*$AO$35)</f>
        <v>980.64629419474488</v>
      </c>
      <c r="Q145" s="190" t="str">
        <f>IF(OR(L145="",M145=""),"No",IF(AND(E145="Front Load",L145&gt;='Eff. Standards &amp; Certifications'!$B$21,M145&lt;='Eff. Standards &amp; Certifications'!$C$21),"Consider",IF(AND(E145="Top Load",L145&gt;='Eff. Standards &amp; Certifications'!$B$20,M145&lt;='Eff. Standards &amp; Certifications'!$C$20),"Consider","No")))</f>
        <v>Consider</v>
      </c>
      <c r="R145" s="203"/>
      <c r="S145" s="203"/>
      <c r="T145" s="293" t="str">
        <f t="shared" si="33"/>
        <v>NO</v>
      </c>
      <c r="U145" s="293" t="str">
        <f t="shared" si="33"/>
        <v>YES</v>
      </c>
      <c r="V145" s="293" t="str">
        <f t="shared" si="34"/>
        <v>YES</v>
      </c>
      <c r="W145" s="211" t="str">
        <f t="shared" si="29"/>
        <v>NO</v>
      </c>
      <c r="X145" s="211" t="str">
        <f t="shared" si="29"/>
        <v>NO</v>
      </c>
      <c r="Y145" s="211" t="str">
        <f t="shared" si="35"/>
        <v>NO</v>
      </c>
      <c r="Z145" s="211" t="str">
        <f t="shared" si="36"/>
        <v>NO</v>
      </c>
      <c r="AA145" s="211" t="str">
        <f t="shared" si="36"/>
        <v>YES</v>
      </c>
      <c r="AB145" s="293" t="str">
        <f t="shared" si="37"/>
        <v>YES</v>
      </c>
      <c r="AC145" s="211" t="str">
        <f t="shared" si="38"/>
        <v>NO</v>
      </c>
      <c r="AD145" s="211" t="str">
        <f t="shared" si="39"/>
        <v>YES</v>
      </c>
      <c r="AE145" s="211" t="str">
        <f t="shared" si="40"/>
        <v>NO</v>
      </c>
      <c r="AF145" s="206"/>
      <c r="AG145" s="206"/>
      <c r="AH145" s="203">
        <f t="shared" si="30"/>
        <v>2.8445499999999999</v>
      </c>
      <c r="AI145" s="203">
        <f t="shared" si="31"/>
        <v>1139.05</v>
      </c>
      <c r="AJ145" s="203">
        <f t="shared" si="32"/>
        <v>1018.7059243404925</v>
      </c>
      <c r="AK145" s="203"/>
      <c r="AL145" s="203"/>
      <c r="AM145" s="203"/>
      <c r="AN145" s="207"/>
    </row>
    <row r="146" spans="1:40" s="204" customFormat="1" ht="15">
      <c r="A146" s="280" t="s">
        <v>597</v>
      </c>
      <c r="B146" s="281" t="s">
        <v>960</v>
      </c>
      <c r="C146" s="249">
        <v>999.99</v>
      </c>
      <c r="D146" s="248">
        <v>3.9</v>
      </c>
      <c r="E146" s="250" t="str">
        <f>VLOOKUP(B146,'Northwest Retail Cost Data'!$C$5:$F$275,4,FALSE)</f>
        <v>Front load</v>
      </c>
      <c r="F146" s="251" t="s">
        <v>846</v>
      </c>
      <c r="G146" s="279">
        <v>3.35</v>
      </c>
      <c r="H146" s="279">
        <v>2.9</v>
      </c>
      <c r="I146" s="252">
        <f>D146*H146*SFAssumptions!$C$3</f>
        <v>2903.4274229999996</v>
      </c>
      <c r="J146" s="253">
        <f t="shared" si="26"/>
        <v>999.99</v>
      </c>
      <c r="K146" s="254">
        <f t="shared" si="26"/>
        <v>3.9</v>
      </c>
      <c r="L146" s="691">
        <f t="shared" si="27"/>
        <v>2.8902749999999999</v>
      </c>
      <c r="M146" s="691">
        <f t="shared" si="28"/>
        <v>3.08738</v>
      </c>
      <c r="N146" s="255">
        <v>2012</v>
      </c>
      <c r="O146" s="256">
        <f>C146*VLOOKUP(N146,SFAssumptions!$A$42:$B$51,2,FALSE)</f>
        <v>903.04585125068149</v>
      </c>
      <c r="P146" s="254">
        <f ca="1">O146+((SFAssumptions!$C$8-D146)*$AO$35)</f>
        <v>891.76273169332296</v>
      </c>
      <c r="Q146" s="190" t="str">
        <f>IF(OR(L146="",M146=""),"No",IF(AND(E146="Front Load",L146&gt;='Eff. Standards &amp; Certifications'!$B$21,M146&lt;='Eff. Standards &amp; Certifications'!$C$21),"Consider",IF(AND(E146="Top Load",L146&gt;='Eff. Standards &amp; Certifications'!$B$20,M146&lt;='Eff. Standards &amp; Certifications'!$C$20),"Consider","No")))</f>
        <v>Consider</v>
      </c>
      <c r="R146" s="203"/>
      <c r="S146" s="203"/>
      <c r="T146" s="293" t="str">
        <f t="shared" si="33"/>
        <v>NO</v>
      </c>
      <c r="U146" s="293" t="str">
        <f t="shared" si="33"/>
        <v>YES</v>
      </c>
      <c r="V146" s="293" t="str">
        <f t="shared" si="34"/>
        <v>YES</v>
      </c>
      <c r="W146" s="211" t="str">
        <f t="shared" si="29"/>
        <v>NO</v>
      </c>
      <c r="X146" s="211" t="str">
        <f t="shared" si="29"/>
        <v>NO</v>
      </c>
      <c r="Y146" s="211" t="str">
        <f t="shared" si="35"/>
        <v>NO</v>
      </c>
      <c r="Z146" s="211" t="str">
        <f t="shared" si="36"/>
        <v>NO</v>
      </c>
      <c r="AA146" s="211" t="str">
        <f t="shared" si="36"/>
        <v>YES</v>
      </c>
      <c r="AB146" s="293" t="str">
        <f t="shared" si="37"/>
        <v>YES</v>
      </c>
      <c r="AC146" s="211" t="str">
        <f t="shared" si="38"/>
        <v>NO</v>
      </c>
      <c r="AD146" s="211" t="str">
        <f t="shared" si="39"/>
        <v>YES</v>
      </c>
      <c r="AE146" s="211" t="str">
        <f t="shared" si="40"/>
        <v>NO</v>
      </c>
      <c r="AF146" s="206"/>
      <c r="AG146" s="206"/>
      <c r="AH146" s="203">
        <f t="shared" si="30"/>
        <v>2.8902749999999999</v>
      </c>
      <c r="AI146" s="203">
        <f t="shared" si="31"/>
        <v>999.99</v>
      </c>
      <c r="AJ146" s="203">
        <f t="shared" si="32"/>
        <v>992.35172837306163</v>
      </c>
      <c r="AK146" s="203"/>
      <c r="AL146" s="203"/>
      <c r="AM146" s="203"/>
      <c r="AN146" s="207"/>
    </row>
    <row r="147" spans="1:40" s="204" customFormat="1" ht="15">
      <c r="A147" s="248" t="s">
        <v>557</v>
      </c>
      <c r="B147" s="281" t="s">
        <v>907</v>
      </c>
      <c r="C147" s="249">
        <v>999.99</v>
      </c>
      <c r="D147" s="248">
        <v>3.9</v>
      </c>
      <c r="E147" s="250" t="str">
        <f>VLOOKUP(B147,'Northwest Retail Cost Data'!$C$5:$F$275,4,FALSE)</f>
        <v>Front Load</v>
      </c>
      <c r="F147" s="251" t="s">
        <v>846</v>
      </c>
      <c r="G147" s="279">
        <v>2.4569999999999999</v>
      </c>
      <c r="H147" s="279">
        <v>2.94</v>
      </c>
      <c r="I147" s="252">
        <f>D147*H147*SFAssumptions!$C$3</f>
        <v>2943.4746977999998</v>
      </c>
      <c r="J147" s="253">
        <f t="shared" si="26"/>
        <v>999.99</v>
      </c>
      <c r="K147" s="254">
        <f t="shared" si="26"/>
        <v>3.9</v>
      </c>
      <c r="L147" s="691">
        <f t="shared" si="27"/>
        <v>2.0736264999999996</v>
      </c>
      <c r="M147" s="691">
        <f t="shared" si="28"/>
        <v>3.1283479999999999</v>
      </c>
      <c r="N147" s="255">
        <v>2012</v>
      </c>
      <c r="O147" s="256">
        <f>C147*VLOOKUP(N147,SFAssumptions!$A$42:$B$51,2,FALSE)</f>
        <v>903.04585125068149</v>
      </c>
      <c r="P147" s="254">
        <f ca="1">O147+((SFAssumptions!$C$8-D147)*$AO$35)</f>
        <v>891.76273169332296</v>
      </c>
      <c r="Q147" s="190" t="str">
        <f>IF(OR(L147="",M147=""),"No",IF(AND(E147="Front Load",L147&gt;='Eff. Standards &amp; Certifications'!$B$21,M147&lt;='Eff. Standards &amp; Certifications'!$C$21),"Consider",IF(AND(E147="Top Load",L147&gt;='Eff. Standards &amp; Certifications'!$B$20,M147&lt;='Eff. Standards &amp; Certifications'!$C$20),"Consider","No")))</f>
        <v>Consider</v>
      </c>
      <c r="R147" s="203"/>
      <c r="S147" s="203"/>
      <c r="T147" s="293" t="str">
        <f t="shared" si="33"/>
        <v>NO</v>
      </c>
      <c r="U147" s="293" t="str">
        <f t="shared" si="33"/>
        <v>YES</v>
      </c>
      <c r="V147" s="293" t="str">
        <f t="shared" si="34"/>
        <v>YES</v>
      </c>
      <c r="W147" s="211" t="str">
        <f t="shared" si="29"/>
        <v>NO</v>
      </c>
      <c r="X147" s="211" t="str">
        <f t="shared" si="29"/>
        <v>YES</v>
      </c>
      <c r="Y147" s="211" t="str">
        <f t="shared" si="35"/>
        <v>YES</v>
      </c>
      <c r="Z147" s="211" t="str">
        <f t="shared" si="36"/>
        <v>NO</v>
      </c>
      <c r="AA147" s="211" t="str">
        <f t="shared" si="36"/>
        <v>NO</v>
      </c>
      <c r="AB147" s="293" t="str">
        <f t="shared" si="37"/>
        <v>NO</v>
      </c>
      <c r="AC147" s="211" t="str">
        <f t="shared" si="38"/>
        <v>NO</v>
      </c>
      <c r="AD147" s="211" t="str">
        <f t="shared" si="39"/>
        <v>NO</v>
      </c>
      <c r="AE147" s="211" t="str">
        <f t="shared" si="40"/>
        <v>NO</v>
      </c>
      <c r="AF147" s="206"/>
      <c r="AG147" s="206"/>
      <c r="AH147" s="203">
        <f t="shared" si="30"/>
        <v>2.0736264999999996</v>
      </c>
      <c r="AI147" s="203">
        <f t="shared" si="31"/>
        <v>999.99</v>
      </c>
      <c r="AJ147" s="203">
        <f t="shared" si="32"/>
        <v>794.6996393956116</v>
      </c>
      <c r="AK147" s="203"/>
      <c r="AL147" s="203"/>
      <c r="AM147" s="203"/>
      <c r="AN147" s="207"/>
    </row>
    <row r="148" spans="1:40" s="204" customFormat="1" ht="15">
      <c r="A148" s="248" t="s">
        <v>625</v>
      </c>
      <c r="B148" s="281" t="s">
        <v>923</v>
      </c>
      <c r="C148" s="249">
        <v>809.99</v>
      </c>
      <c r="D148" s="248">
        <v>3.5</v>
      </c>
      <c r="E148" s="250" t="str">
        <f>VLOOKUP(B148,'Northwest Retail Cost Data'!$C$5:$F$275,4,FALSE)</f>
        <v>Front Load</v>
      </c>
      <c r="F148" s="251" t="s">
        <v>846</v>
      </c>
      <c r="G148" s="279">
        <v>2.46</v>
      </c>
      <c r="H148" s="279">
        <v>3.69</v>
      </c>
      <c r="I148" s="252">
        <f>D148*H148*SFAssumptions!$C$3</f>
        <v>3315.4522695000001</v>
      </c>
      <c r="J148" s="253">
        <f t="shared" si="26"/>
        <v>809.99</v>
      </c>
      <c r="K148" s="254">
        <f t="shared" si="26"/>
        <v>3.5</v>
      </c>
      <c r="L148" s="691">
        <f t="shared" si="27"/>
        <v>2.0763699999999998</v>
      </c>
      <c r="M148" s="691">
        <f t="shared" si="28"/>
        <v>3.8964979999999998</v>
      </c>
      <c r="N148" s="255">
        <v>2012</v>
      </c>
      <c r="O148" s="256">
        <f>C148*VLOOKUP(N148,SFAssumptions!$A$42:$B$51,2,FALSE)</f>
        <v>731.4654237087766</v>
      </c>
      <c r="P148" s="254">
        <f ca="1">O148+((SFAssumptions!$C$8-D148)*$AO$35)</f>
        <v>756.87755351303463</v>
      </c>
      <c r="Q148" s="190" t="str">
        <f>IF(OR(L148="",M148=""),"No",IF(AND(E148="Front Load",L148&gt;='Eff. Standards &amp; Certifications'!$B$21,M148&lt;='Eff. Standards &amp; Certifications'!$C$21),"Consider",IF(AND(E148="Top Load",L148&gt;='Eff. Standards &amp; Certifications'!$B$20,M148&lt;='Eff. Standards &amp; Certifications'!$C$20),"Consider","No")))</f>
        <v>Consider</v>
      </c>
      <c r="R148" s="203"/>
      <c r="S148" s="203"/>
      <c r="T148" s="293" t="str">
        <f t="shared" si="33"/>
        <v>NO</v>
      </c>
      <c r="U148" s="293" t="str">
        <f t="shared" si="33"/>
        <v>YES</v>
      </c>
      <c r="V148" s="293" t="str">
        <f t="shared" si="34"/>
        <v>YES</v>
      </c>
      <c r="W148" s="211" t="str">
        <f t="shared" si="29"/>
        <v>NO</v>
      </c>
      <c r="X148" s="211" t="str">
        <f t="shared" si="29"/>
        <v>YES</v>
      </c>
      <c r="Y148" s="211" t="str">
        <f t="shared" si="35"/>
        <v>YES</v>
      </c>
      <c r="Z148" s="211" t="str">
        <f t="shared" si="36"/>
        <v>NO</v>
      </c>
      <c r="AA148" s="211" t="str">
        <f t="shared" si="36"/>
        <v>NO</v>
      </c>
      <c r="AB148" s="293" t="str">
        <f t="shared" si="37"/>
        <v>NO</v>
      </c>
      <c r="AC148" s="211" t="str">
        <f t="shared" si="38"/>
        <v>NO</v>
      </c>
      <c r="AD148" s="211" t="str">
        <f t="shared" si="39"/>
        <v>NO</v>
      </c>
      <c r="AE148" s="211" t="str">
        <f t="shared" si="40"/>
        <v>NO</v>
      </c>
      <c r="AF148" s="206"/>
      <c r="AG148" s="206"/>
      <c r="AH148" s="203">
        <f t="shared" si="30"/>
        <v>2.0763699999999998</v>
      </c>
      <c r="AI148" s="203">
        <f t="shared" si="31"/>
        <v>809.99</v>
      </c>
      <c r="AJ148" s="203">
        <f t="shared" si="32"/>
        <v>753.34397083577016</v>
      </c>
      <c r="AK148" s="203"/>
      <c r="AL148" s="203"/>
      <c r="AM148" s="203"/>
      <c r="AN148" s="207"/>
    </row>
    <row r="149" spans="1:40" s="204" customFormat="1" ht="15">
      <c r="A149" s="248" t="s">
        <v>625</v>
      </c>
      <c r="B149" s="281" t="s">
        <v>921</v>
      </c>
      <c r="C149" s="249">
        <v>999.99</v>
      </c>
      <c r="D149" s="248">
        <v>3.8</v>
      </c>
      <c r="E149" s="250" t="str">
        <f>VLOOKUP(B149,'Northwest Retail Cost Data'!$C$5:$F$275,4,FALSE)</f>
        <v>Front Load</v>
      </c>
      <c r="F149" s="251" t="s">
        <v>846</v>
      </c>
      <c r="G149" s="279">
        <v>2.4300000000000002</v>
      </c>
      <c r="H149" s="279">
        <v>3.4289999999999998</v>
      </c>
      <c r="I149" s="252">
        <f>D149*H149*SFAssumptions!$C$3</f>
        <v>3345.0256416599996</v>
      </c>
      <c r="J149" s="253">
        <f t="shared" si="26"/>
        <v>999.99</v>
      </c>
      <c r="K149" s="254">
        <f t="shared" si="26"/>
        <v>3.8</v>
      </c>
      <c r="L149" s="691">
        <f t="shared" si="27"/>
        <v>2.0489350000000002</v>
      </c>
      <c r="M149" s="691">
        <f t="shared" si="28"/>
        <v>3.6291817999999996</v>
      </c>
      <c r="N149" s="255">
        <v>2012</v>
      </c>
      <c r="O149" s="256">
        <f>C149*VLOOKUP(N149,SFAssumptions!$A$42:$B$51,2,FALSE)</f>
        <v>903.04585125068149</v>
      </c>
      <c r="P149" s="254">
        <f ca="1">O149+((SFAssumptions!$C$8-D149)*$AO$35)</f>
        <v>900.93654403372716</v>
      </c>
      <c r="Q149" s="190" t="str">
        <f>IF(OR(L149="",M149=""),"No",IF(AND(E149="Front Load",L149&gt;='Eff. Standards &amp; Certifications'!$B$21,M149&lt;='Eff. Standards &amp; Certifications'!$C$21),"Consider",IF(AND(E149="Top Load",L149&gt;='Eff. Standards &amp; Certifications'!$B$20,M149&lt;='Eff. Standards &amp; Certifications'!$C$20),"Consider","No")))</f>
        <v>Consider</v>
      </c>
      <c r="R149" s="203"/>
      <c r="S149" s="203"/>
      <c r="T149" s="293" t="str">
        <f t="shared" si="33"/>
        <v>NO</v>
      </c>
      <c r="U149" s="293" t="str">
        <f t="shared" si="33"/>
        <v>YES</v>
      </c>
      <c r="V149" s="293" t="str">
        <f t="shared" si="34"/>
        <v>YES</v>
      </c>
      <c r="W149" s="211" t="str">
        <f t="shared" si="29"/>
        <v>NO</v>
      </c>
      <c r="X149" s="211" t="str">
        <f t="shared" si="29"/>
        <v>YES</v>
      </c>
      <c r="Y149" s="211" t="str">
        <f t="shared" si="35"/>
        <v>YES</v>
      </c>
      <c r="Z149" s="211" t="str">
        <f t="shared" si="36"/>
        <v>NO</v>
      </c>
      <c r="AA149" s="211" t="str">
        <f t="shared" si="36"/>
        <v>NO</v>
      </c>
      <c r="AB149" s="293" t="str">
        <f t="shared" si="37"/>
        <v>NO</v>
      </c>
      <c r="AC149" s="211" t="str">
        <f t="shared" si="38"/>
        <v>NO</v>
      </c>
      <c r="AD149" s="211" t="str">
        <f t="shared" si="39"/>
        <v>NO</v>
      </c>
      <c r="AE149" s="211" t="str">
        <f t="shared" si="40"/>
        <v>NO</v>
      </c>
      <c r="AF149" s="206"/>
      <c r="AG149" s="206"/>
      <c r="AH149" s="203">
        <f t="shared" si="30"/>
        <v>2.0489350000000002</v>
      </c>
      <c r="AI149" s="203">
        <f t="shared" si="31"/>
        <v>999.99</v>
      </c>
      <c r="AJ149" s="203">
        <f t="shared" si="32"/>
        <v>776.08746582420395</v>
      </c>
      <c r="AK149" s="203"/>
      <c r="AL149" s="203"/>
      <c r="AM149" s="203"/>
      <c r="AN149" s="207"/>
    </row>
    <row r="150" spans="1:40" s="204" customFormat="1" ht="15">
      <c r="A150" s="280" t="s">
        <v>844</v>
      </c>
      <c r="B150" s="281" t="s">
        <v>848</v>
      </c>
      <c r="C150" s="283">
        <v>849.99</v>
      </c>
      <c r="D150" s="280">
        <v>4.0999999999999996</v>
      </c>
      <c r="E150" s="250" t="str">
        <f>VLOOKUP(B150,'Northwest Retail Cost Data'!$C$5:$F$275,4,FALSE)</f>
        <v>Front Load</v>
      </c>
      <c r="F150" s="251" t="s">
        <v>846</v>
      </c>
      <c r="G150" s="284">
        <v>3.1</v>
      </c>
      <c r="H150" s="284">
        <v>2.7</v>
      </c>
      <c r="I150" s="252">
        <f>D150*H150*SFAssumptions!$C$3</f>
        <v>2841.8162310000002</v>
      </c>
      <c r="J150" s="253">
        <f t="shared" si="26"/>
        <v>849.99</v>
      </c>
      <c r="K150" s="254">
        <f t="shared" si="26"/>
        <v>4.0999999999999996</v>
      </c>
      <c r="L150" s="691">
        <f t="shared" si="27"/>
        <v>2.6616499999999998</v>
      </c>
      <c r="M150" s="691">
        <f t="shared" si="28"/>
        <v>2.8825400000000001</v>
      </c>
      <c r="N150" s="255">
        <v>2012</v>
      </c>
      <c r="O150" s="256">
        <f>C150*VLOOKUP(N150,SFAssumptions!$A$42:$B$51,2,FALSE)</f>
        <v>767.58761898075659</v>
      </c>
      <c r="P150" s="254">
        <f ca="1">O150+((SFAssumptions!$C$8-D150)*$AO$35)</f>
        <v>737.95687474258989</v>
      </c>
      <c r="Q150" s="190" t="str">
        <f>IF(OR(L150="",M150=""),"No",IF(AND(E150="Front Load",L150&gt;='Eff. Standards &amp; Certifications'!$B$21,M150&lt;='Eff. Standards &amp; Certifications'!$C$21),"Consider",IF(AND(E150="Top Load",L150&gt;='Eff. Standards &amp; Certifications'!$B$20,M150&lt;='Eff. Standards &amp; Certifications'!$C$20),"Consider","No")))</f>
        <v>Consider</v>
      </c>
      <c r="R150" s="203"/>
      <c r="S150" s="203"/>
      <c r="T150" s="293" t="str">
        <f t="shared" si="33"/>
        <v>NO</v>
      </c>
      <c r="U150" s="293" t="str">
        <f t="shared" si="33"/>
        <v>YES</v>
      </c>
      <c r="V150" s="293" t="str">
        <f t="shared" si="34"/>
        <v>YES</v>
      </c>
      <c r="W150" s="211" t="str">
        <f t="shared" si="29"/>
        <v>NO</v>
      </c>
      <c r="X150" s="211" t="str">
        <f t="shared" si="29"/>
        <v>NO</v>
      </c>
      <c r="Y150" s="211" t="str">
        <f t="shared" si="35"/>
        <v>NO</v>
      </c>
      <c r="Z150" s="211" t="str">
        <f t="shared" si="36"/>
        <v>NO</v>
      </c>
      <c r="AA150" s="211" t="str">
        <f t="shared" si="36"/>
        <v>YES</v>
      </c>
      <c r="AB150" s="293" t="str">
        <f t="shared" si="37"/>
        <v>YES</v>
      </c>
      <c r="AC150" s="211" t="str">
        <f t="shared" si="38"/>
        <v>YES</v>
      </c>
      <c r="AD150" s="211" t="str">
        <f t="shared" si="39"/>
        <v>NO</v>
      </c>
      <c r="AE150" s="211" t="str">
        <f t="shared" si="40"/>
        <v>NO</v>
      </c>
      <c r="AF150" s="206"/>
      <c r="AG150" s="206"/>
      <c r="AH150" s="203">
        <f t="shared" si="30"/>
        <v>2.6616499999999998</v>
      </c>
      <c r="AI150" s="203">
        <f t="shared" si="31"/>
        <v>849.99</v>
      </c>
      <c r="AJ150" s="203">
        <f t="shared" si="32"/>
        <v>956.8646980176685</v>
      </c>
      <c r="AK150" s="203"/>
      <c r="AL150" s="203"/>
      <c r="AM150" s="203"/>
      <c r="AN150" s="207"/>
    </row>
    <row r="151" spans="1:40" s="204" customFormat="1" ht="15">
      <c r="A151" s="280" t="s">
        <v>459</v>
      </c>
      <c r="B151" s="281" t="s">
        <v>961</v>
      </c>
      <c r="C151" s="283">
        <v>411.59</v>
      </c>
      <c r="D151" s="285">
        <v>3.4</v>
      </c>
      <c r="E151" s="250" t="str">
        <f>VLOOKUP(B151,'Northwest Retail Cost Data'!$C$5:$F$275,4,FALSE)</f>
        <v>Top Load</v>
      </c>
      <c r="F151" s="251" t="s">
        <v>846</v>
      </c>
      <c r="G151" s="285">
        <v>2.75</v>
      </c>
      <c r="H151" s="285">
        <v>3.7</v>
      </c>
      <c r="I151" s="252">
        <f>D151*H151*SFAssumptions!$C$3</f>
        <v>3229.4533139999999</v>
      </c>
      <c r="J151" s="253">
        <f t="shared" si="26"/>
        <v>411.59</v>
      </c>
      <c r="K151" s="254">
        <f t="shared" si="26"/>
        <v>3.4</v>
      </c>
      <c r="L151" s="691">
        <f t="shared" si="27"/>
        <v>2.3062</v>
      </c>
      <c r="M151" s="691">
        <f t="shared" si="28"/>
        <v>4.18703</v>
      </c>
      <c r="N151" s="255">
        <v>2012</v>
      </c>
      <c r="O151" s="256">
        <f>C151*VLOOKUP(N151,SFAssumptions!$A$42:$B$51,2,FALSE)</f>
        <v>371.68835879985596</v>
      </c>
      <c r="P151" s="254">
        <f ca="1">O151+((SFAssumptions!$C$8-D151)*$AO$35)</f>
        <v>406.27430094451813</v>
      </c>
      <c r="Q151" s="190" t="str">
        <f>IF(OR(L151="",M151=""),"No",IF(AND(E151="Front Load",L151&gt;='Eff. Standards &amp; Certifications'!$B$21,M151&lt;='Eff. Standards &amp; Certifications'!$C$21),"Consider",IF(AND(E151="Top Load",L151&gt;='Eff. Standards &amp; Certifications'!$B$20,M151&lt;='Eff. Standards &amp; Certifications'!$C$20),"Consider","No")))</f>
        <v>Consider</v>
      </c>
      <c r="R151" s="203"/>
      <c r="S151" s="203"/>
      <c r="T151" s="293" t="str">
        <f t="shared" si="33"/>
        <v>YES</v>
      </c>
      <c r="U151" s="293" t="str">
        <f t="shared" si="33"/>
        <v>NO</v>
      </c>
      <c r="V151" s="293" t="str">
        <f t="shared" si="34"/>
        <v>YES</v>
      </c>
      <c r="W151" s="211" t="str">
        <f t="shared" si="29"/>
        <v>NO</v>
      </c>
      <c r="X151" s="211" t="str">
        <f t="shared" si="29"/>
        <v>NO</v>
      </c>
      <c r="Y151" s="211" t="str">
        <f t="shared" si="35"/>
        <v>NO</v>
      </c>
      <c r="Z151" s="211" t="str">
        <f t="shared" si="36"/>
        <v>YES</v>
      </c>
      <c r="AA151" s="211" t="str">
        <f t="shared" si="36"/>
        <v>NO</v>
      </c>
      <c r="AB151" s="293" t="str">
        <f t="shared" si="37"/>
        <v>YES</v>
      </c>
      <c r="AC151" s="211" t="str">
        <f t="shared" si="38"/>
        <v>NO</v>
      </c>
      <c r="AD151" s="211" t="str">
        <f t="shared" si="39"/>
        <v>NO</v>
      </c>
      <c r="AE151" s="211" t="str">
        <f t="shared" si="40"/>
        <v>NO</v>
      </c>
      <c r="AF151" s="206"/>
      <c r="AG151" s="206"/>
      <c r="AH151" s="203">
        <f t="shared" si="30"/>
        <v>2.3062</v>
      </c>
      <c r="AI151" s="203">
        <f t="shared" si="31"/>
        <v>411.59</v>
      </c>
      <c r="AJ151" s="203">
        <f t="shared" si="32"/>
        <v>797.70217192979192</v>
      </c>
      <c r="AK151" s="203"/>
      <c r="AL151" s="203"/>
      <c r="AM151" s="203"/>
      <c r="AN151" s="207"/>
    </row>
    <row r="152" spans="1:40" s="204" customFormat="1" ht="15">
      <c r="A152" s="280" t="s">
        <v>873</v>
      </c>
      <c r="B152" s="281" t="s">
        <v>886</v>
      </c>
      <c r="C152" s="283">
        <v>999.99</v>
      </c>
      <c r="D152" s="285">
        <v>4.7</v>
      </c>
      <c r="E152" s="250" t="str">
        <f>VLOOKUP(B152,'Northwest Retail Cost Data'!$C$5:$F$275,4,FALSE)</f>
        <v>Top Load</v>
      </c>
      <c r="F152" s="251" t="s">
        <v>846</v>
      </c>
      <c r="G152" s="285">
        <v>2.75</v>
      </c>
      <c r="H152" s="285">
        <v>3.7</v>
      </c>
      <c r="I152" s="252">
        <f>D152*H152*SFAssumptions!$C$3</f>
        <v>4464.2442870000004</v>
      </c>
      <c r="J152" s="253">
        <f t="shared" si="26"/>
        <v>999.99</v>
      </c>
      <c r="K152" s="254">
        <f t="shared" si="26"/>
        <v>4.7</v>
      </c>
      <c r="L152" s="691">
        <f t="shared" si="27"/>
        <v>2.3062</v>
      </c>
      <c r="M152" s="691">
        <f t="shared" si="28"/>
        <v>4.18703</v>
      </c>
      <c r="N152" s="255">
        <v>2012</v>
      </c>
      <c r="O152" s="256">
        <f>C152*VLOOKUP(N152,SFAssumptions!$A$42:$B$51,2,FALSE)</f>
        <v>903.04585125068149</v>
      </c>
      <c r="P152" s="254">
        <f ca="1">O152+((SFAssumptions!$C$8-D152)*$AO$35)</f>
        <v>818.37223297008995</v>
      </c>
      <c r="Q152" s="190" t="str">
        <f>IF(OR(L152="",M152=""),"No",IF(AND(E152="Front Load",L152&gt;='Eff. Standards &amp; Certifications'!$B$21,M152&lt;='Eff. Standards &amp; Certifications'!$C$21),"Consider",IF(AND(E152="Top Load",L152&gt;='Eff. Standards &amp; Certifications'!$B$20,M152&lt;='Eff. Standards &amp; Certifications'!$C$20),"Consider","No")))</f>
        <v>Consider</v>
      </c>
      <c r="R152" s="203"/>
      <c r="S152" s="203"/>
      <c r="T152" s="293" t="str">
        <f t="shared" si="33"/>
        <v>YES</v>
      </c>
      <c r="U152" s="293" t="str">
        <f t="shared" si="33"/>
        <v>NO</v>
      </c>
      <c r="V152" s="293" t="str">
        <f t="shared" si="34"/>
        <v>YES</v>
      </c>
      <c r="W152" s="211" t="str">
        <f t="shared" si="29"/>
        <v>NO</v>
      </c>
      <c r="X152" s="211" t="str">
        <f t="shared" si="29"/>
        <v>NO</v>
      </c>
      <c r="Y152" s="211" t="str">
        <f t="shared" si="35"/>
        <v>NO</v>
      </c>
      <c r="Z152" s="211" t="str">
        <f t="shared" si="36"/>
        <v>YES</v>
      </c>
      <c r="AA152" s="211" t="str">
        <f t="shared" si="36"/>
        <v>NO</v>
      </c>
      <c r="AB152" s="293" t="str">
        <f t="shared" si="37"/>
        <v>YES</v>
      </c>
      <c r="AC152" s="211" t="str">
        <f t="shared" si="38"/>
        <v>NO</v>
      </c>
      <c r="AD152" s="211" t="str">
        <f t="shared" si="39"/>
        <v>NO</v>
      </c>
      <c r="AE152" s="211" t="str">
        <f t="shared" si="40"/>
        <v>NO</v>
      </c>
      <c r="AF152" s="206"/>
      <c r="AG152" s="206"/>
      <c r="AH152" s="203">
        <f t="shared" si="30"/>
        <v>2.3062</v>
      </c>
      <c r="AI152" s="203">
        <f t="shared" si="31"/>
        <v>999.99</v>
      </c>
      <c r="AJ152" s="203">
        <f t="shared" si="32"/>
        <v>916.96173235504557</v>
      </c>
      <c r="AK152" s="203"/>
      <c r="AL152" s="203"/>
      <c r="AM152" s="203"/>
      <c r="AN152" s="207"/>
    </row>
    <row r="153" spans="1:40" s="204" customFormat="1" ht="15">
      <c r="A153" s="280" t="s">
        <v>557</v>
      </c>
      <c r="B153" s="281" t="s">
        <v>889</v>
      </c>
      <c r="C153" s="283">
        <v>899.99</v>
      </c>
      <c r="D153" s="285">
        <v>4.5999999999999996</v>
      </c>
      <c r="E153" s="250" t="str">
        <f>VLOOKUP(B153,'Northwest Retail Cost Data'!$C$5:$F$275,4,FALSE)</f>
        <v>Top Load</v>
      </c>
      <c r="F153" s="251" t="s">
        <v>846</v>
      </c>
      <c r="G153" s="285">
        <v>2.57</v>
      </c>
      <c r="H153" s="285">
        <v>3.88</v>
      </c>
      <c r="I153" s="252">
        <f>D153*H153*SFAssumptions!$C$3</f>
        <v>4581.8189783999997</v>
      </c>
      <c r="J153" s="253">
        <f t="shared" si="26"/>
        <v>899.99</v>
      </c>
      <c r="K153" s="254">
        <f t="shared" si="26"/>
        <v>4.5999999999999996</v>
      </c>
      <c r="L153" s="691">
        <f t="shared" si="27"/>
        <v>2.1279999999999997</v>
      </c>
      <c r="M153" s="691">
        <f t="shared" si="28"/>
        <v>4.3650320000000002</v>
      </c>
      <c r="N153" s="255">
        <v>2012</v>
      </c>
      <c r="O153" s="256">
        <f>C153*VLOOKUP(N153,SFAssumptions!$A$42:$B$51,2,FALSE)</f>
        <v>812.74036307073152</v>
      </c>
      <c r="P153" s="254">
        <f ca="1">O153+((SFAssumptions!$C$8-D153)*$AO$35)</f>
        <v>737.24055713054418</v>
      </c>
      <c r="Q153" s="190" t="str">
        <f>IF(OR(L153="",M153=""),"No",IF(AND(E153="Front Load",L153&gt;='Eff. Standards &amp; Certifications'!$B$21,M153&lt;='Eff. Standards &amp; Certifications'!$C$21),"Consider",IF(AND(E153="Top Load",L153&gt;='Eff. Standards &amp; Certifications'!$B$20,M153&lt;='Eff. Standards &amp; Certifications'!$C$20),"Consider","No")))</f>
        <v>Consider</v>
      </c>
      <c r="R153" s="203"/>
      <c r="S153" s="203"/>
      <c r="T153" s="293" t="str">
        <f t="shared" si="33"/>
        <v>YES</v>
      </c>
      <c r="U153" s="293" t="str">
        <f t="shared" si="33"/>
        <v>NO</v>
      </c>
      <c r="V153" s="293" t="str">
        <f t="shared" si="34"/>
        <v>YES</v>
      </c>
      <c r="W153" s="211" t="str">
        <f t="shared" si="29"/>
        <v>YES</v>
      </c>
      <c r="X153" s="211" t="str">
        <f t="shared" si="29"/>
        <v>NO</v>
      </c>
      <c r="Y153" s="211" t="str">
        <f t="shared" si="35"/>
        <v>YES</v>
      </c>
      <c r="Z153" s="211" t="str">
        <f t="shared" si="36"/>
        <v>NO</v>
      </c>
      <c r="AA153" s="211" t="str">
        <f t="shared" si="36"/>
        <v>NO</v>
      </c>
      <c r="AB153" s="293" t="str">
        <f t="shared" si="37"/>
        <v>NO</v>
      </c>
      <c r="AC153" s="211" t="str">
        <f t="shared" si="38"/>
        <v>NO</v>
      </c>
      <c r="AD153" s="211" t="str">
        <f t="shared" si="39"/>
        <v>NO</v>
      </c>
      <c r="AE153" s="211" t="str">
        <f t="shared" si="40"/>
        <v>NO</v>
      </c>
      <c r="AF153" s="206"/>
      <c r="AG153" s="206"/>
      <c r="AH153" s="203">
        <f t="shared" si="30"/>
        <v>2.1279999999999997</v>
      </c>
      <c r="AI153" s="203">
        <f t="shared" si="31"/>
        <v>899.99</v>
      </c>
      <c r="AJ153" s="203">
        <f t="shared" si="32"/>
        <v>863.48682353803156</v>
      </c>
      <c r="AK153" s="203"/>
      <c r="AL153" s="203"/>
      <c r="AM153" s="203"/>
      <c r="AN153" s="207"/>
    </row>
    <row r="154" spans="1:40" s="204" customFormat="1" ht="15">
      <c r="A154" s="280" t="s">
        <v>625</v>
      </c>
      <c r="B154" s="281" t="s">
        <v>917</v>
      </c>
      <c r="C154" s="283">
        <v>599.99</v>
      </c>
      <c r="D154" s="285">
        <v>3.6</v>
      </c>
      <c r="E154" s="250" t="str">
        <f>VLOOKUP(B154,'Northwest Retail Cost Data'!$C$5:$F$275,4,FALSE)</f>
        <v>Top Load</v>
      </c>
      <c r="F154" s="251" t="s">
        <v>846</v>
      </c>
      <c r="G154" s="285">
        <v>2.4409999999999998</v>
      </c>
      <c r="H154" s="285">
        <v>3.84</v>
      </c>
      <c r="I154" s="252">
        <f>D154*H154*SFAssumptions!$C$3</f>
        <v>3548.8046592000001</v>
      </c>
      <c r="J154" s="253">
        <f t="shared" si="26"/>
        <v>599.99</v>
      </c>
      <c r="K154" s="254">
        <f t="shared" si="26"/>
        <v>3.6</v>
      </c>
      <c r="L154" s="691">
        <f t="shared" si="27"/>
        <v>2.0002899999999997</v>
      </c>
      <c r="M154" s="691">
        <f t="shared" si="28"/>
        <v>4.3254760000000001</v>
      </c>
      <c r="N154" s="255">
        <v>2012</v>
      </c>
      <c r="O154" s="256">
        <f>C154*VLOOKUP(N154,SFAssumptions!$A$42:$B$51,2,FALSE)</f>
        <v>541.82389853088171</v>
      </c>
      <c r="P154" s="254">
        <f ca="1">O154+((SFAssumptions!$C$8-D154)*$AO$35)</f>
        <v>558.06221599473565</v>
      </c>
      <c r="Q154" s="190" t="str">
        <f>IF(OR(L154="",M154=""),"No",IF(AND(E154="Front Load",L154&gt;='Eff. Standards &amp; Certifications'!$B$21,M154&lt;='Eff. Standards &amp; Certifications'!$C$21),"Consider",IF(AND(E154="Top Load",L154&gt;='Eff. Standards &amp; Certifications'!$B$20,M154&lt;='Eff. Standards &amp; Certifications'!$C$20),"Consider","No")))</f>
        <v>Consider</v>
      </c>
      <c r="R154" s="203"/>
      <c r="S154" s="203"/>
      <c r="T154" s="293" t="str">
        <f t="shared" si="33"/>
        <v>YES</v>
      </c>
      <c r="U154" s="293" t="str">
        <f t="shared" si="33"/>
        <v>NO</v>
      </c>
      <c r="V154" s="293" t="str">
        <f t="shared" si="34"/>
        <v>YES</v>
      </c>
      <c r="W154" s="211" t="str">
        <f t="shared" si="29"/>
        <v>YES</v>
      </c>
      <c r="X154" s="211" t="str">
        <f t="shared" si="29"/>
        <v>NO</v>
      </c>
      <c r="Y154" s="211" t="str">
        <f t="shared" si="35"/>
        <v>YES</v>
      </c>
      <c r="Z154" s="211" t="str">
        <f t="shared" si="36"/>
        <v>NO</v>
      </c>
      <c r="AA154" s="211" t="str">
        <f t="shared" si="36"/>
        <v>NO</v>
      </c>
      <c r="AB154" s="293" t="str">
        <f t="shared" si="37"/>
        <v>NO</v>
      </c>
      <c r="AC154" s="211" t="str">
        <f t="shared" si="38"/>
        <v>NO</v>
      </c>
      <c r="AD154" s="211" t="str">
        <f t="shared" si="39"/>
        <v>NO</v>
      </c>
      <c r="AE154" s="211" t="str">
        <f t="shared" si="40"/>
        <v>NO</v>
      </c>
      <c r="AF154" s="206"/>
      <c r="AG154" s="206"/>
      <c r="AH154" s="203">
        <f t="shared" si="30"/>
        <v>2.0002899999999997</v>
      </c>
      <c r="AI154" s="203">
        <f t="shared" si="31"/>
        <v>599.99</v>
      </c>
      <c r="AJ154" s="203">
        <f t="shared" si="32"/>
        <v>741.15779248743843</v>
      </c>
      <c r="AK154" s="203"/>
      <c r="AL154" s="203"/>
      <c r="AM154" s="203"/>
      <c r="AN154" s="207"/>
    </row>
    <row r="155" spans="1:40" s="204" customFormat="1" ht="15">
      <c r="A155" s="280" t="s">
        <v>459</v>
      </c>
      <c r="B155" s="281">
        <v>20022</v>
      </c>
      <c r="C155" s="283">
        <v>299.99</v>
      </c>
      <c r="D155" s="285">
        <v>3.4</v>
      </c>
      <c r="E155" s="250" t="str">
        <f>VLOOKUP(B155,'Northwest Retail Cost Data'!$C$5:$F$275,4,FALSE)</f>
        <v>Top Load</v>
      </c>
      <c r="F155" s="251" t="s">
        <v>846</v>
      </c>
      <c r="G155" s="284">
        <v>1.39</v>
      </c>
      <c r="H155" s="284">
        <v>8.9</v>
      </c>
      <c r="I155" s="252">
        <f>D155*H155*SFAssumptions!$C$3</f>
        <v>7768.1444580000007</v>
      </c>
      <c r="J155" s="253">
        <f t="shared" si="26"/>
        <v>299.99</v>
      </c>
      <c r="K155" s="254">
        <f t="shared" si="26"/>
        <v>3.4</v>
      </c>
      <c r="L155" s="691">
        <f t="shared" si="27"/>
        <v>0.95979999999999988</v>
      </c>
      <c r="M155" s="691">
        <f t="shared" si="28"/>
        <v>9.3293100000000013</v>
      </c>
      <c r="N155" s="255">
        <v>2012</v>
      </c>
      <c r="O155" s="256">
        <f>C155*VLOOKUP(N155,SFAssumptions!$A$42:$B$51,2,FALSE)</f>
        <v>270.90743399103184</v>
      </c>
      <c r="P155" s="254">
        <f ca="1">O155+((SFAssumptions!$C$8-D155)*$AO$35)</f>
        <v>305.49337613569401</v>
      </c>
      <c r="Q155" s="190" t="str">
        <f>IF(OR(L155="",M155=""),"No",IF(AND(E155="Front Load",L155&gt;='Eff. Standards &amp; Certifications'!$B$21,M155&lt;='Eff. Standards &amp; Certifications'!$C$21),"Consider",IF(AND(E155="Top Load",L155&gt;='Eff. Standards &amp; Certifications'!$B$20,M155&lt;='Eff. Standards &amp; Certifications'!$C$20),"Consider","No")))</f>
        <v>No</v>
      </c>
      <c r="R155" s="203"/>
      <c r="S155" s="203"/>
      <c r="T155" s="293" t="str">
        <f t="shared" si="33"/>
        <v>NO</v>
      </c>
      <c r="U155" s="293" t="str">
        <f t="shared" si="33"/>
        <v>NO</v>
      </c>
      <c r="V155" s="293" t="str">
        <f t="shared" si="34"/>
        <v>NO</v>
      </c>
      <c r="W155" s="211" t="str">
        <f t="shared" si="29"/>
        <v>NO</v>
      </c>
      <c r="X155" s="211" t="str">
        <f t="shared" si="29"/>
        <v>NO</v>
      </c>
      <c r="Y155" s="211" t="str">
        <f t="shared" si="35"/>
        <v>NO</v>
      </c>
      <c r="Z155" s="211" t="str">
        <f t="shared" si="36"/>
        <v>NO</v>
      </c>
      <c r="AA155" s="211" t="str">
        <f t="shared" si="36"/>
        <v>NO</v>
      </c>
      <c r="AB155" s="293" t="str">
        <f t="shared" si="37"/>
        <v>NO</v>
      </c>
      <c r="AC155" s="211" t="str">
        <f t="shared" si="38"/>
        <v>NO</v>
      </c>
      <c r="AD155" s="211" t="str">
        <f t="shared" si="39"/>
        <v>NO</v>
      </c>
      <c r="AE155" s="211" t="str">
        <f t="shared" si="40"/>
        <v>NO</v>
      </c>
      <c r="AF155" s="206"/>
      <c r="AG155" s="206"/>
      <c r="AH155" s="203">
        <f t="shared" si="30"/>
        <v>0.95979999999999988</v>
      </c>
      <c r="AI155" s="203">
        <f t="shared" si="31"/>
        <v>299.99</v>
      </c>
      <c r="AJ155" s="203">
        <f t="shared" si="32"/>
        <v>436.6660180987293</v>
      </c>
      <c r="AK155" s="203"/>
      <c r="AL155" s="203"/>
      <c r="AM155" s="203"/>
      <c r="AN155" s="207"/>
    </row>
    <row r="156" spans="1:40" s="204" customFormat="1" ht="15">
      <c r="A156" s="280" t="s">
        <v>459</v>
      </c>
      <c r="B156" s="281">
        <v>31512</v>
      </c>
      <c r="C156" s="283">
        <v>599.99</v>
      </c>
      <c r="D156" s="285">
        <v>4.7</v>
      </c>
      <c r="E156" s="250" t="str">
        <f>VLOOKUP(B156,'Northwest Retail Cost Data'!$C$5:$F$275,4,FALSE)</f>
        <v>Top Load</v>
      </c>
      <c r="F156" s="251" t="s">
        <v>846</v>
      </c>
      <c r="G156" s="285">
        <v>2.75</v>
      </c>
      <c r="H156" s="285">
        <v>3.68</v>
      </c>
      <c r="I156" s="252">
        <f>D156*H156*SFAssumptions!$C$3</f>
        <v>4440.1132368000008</v>
      </c>
      <c r="J156" s="253">
        <f t="shared" si="26"/>
        <v>599.99</v>
      </c>
      <c r="K156" s="254">
        <f t="shared" si="26"/>
        <v>4.7</v>
      </c>
      <c r="L156" s="691">
        <f t="shared" si="27"/>
        <v>2.3062</v>
      </c>
      <c r="M156" s="691">
        <f t="shared" si="28"/>
        <v>4.1672520000000004</v>
      </c>
      <c r="N156" s="255">
        <v>2012</v>
      </c>
      <c r="O156" s="256">
        <f>C156*VLOOKUP(N156,SFAssumptions!$A$42:$B$51,2,FALSE)</f>
        <v>541.82389853088171</v>
      </c>
      <c r="P156" s="254">
        <f ca="1">O156+((SFAssumptions!$C$8-D156)*$AO$35)</f>
        <v>457.15028025029011</v>
      </c>
      <c r="Q156" s="190" t="str">
        <f>IF(OR(L156="",M156=""),"No",IF(AND(E156="Front Load",L156&gt;='Eff. Standards &amp; Certifications'!$B$21,M156&lt;='Eff. Standards &amp; Certifications'!$C$21),"Consider",IF(AND(E156="Top Load",L156&gt;='Eff. Standards &amp; Certifications'!$B$20,M156&lt;='Eff. Standards &amp; Certifications'!$C$20),"Consider","No")))</f>
        <v>Consider</v>
      </c>
      <c r="R156" s="203"/>
      <c r="S156" s="203"/>
      <c r="T156" s="293" t="str">
        <f t="shared" si="33"/>
        <v>YES</v>
      </c>
      <c r="U156" s="293" t="str">
        <f t="shared" si="33"/>
        <v>NO</v>
      </c>
      <c r="V156" s="293" t="str">
        <f t="shared" si="34"/>
        <v>YES</v>
      </c>
      <c r="W156" s="211" t="str">
        <f t="shared" si="29"/>
        <v>NO</v>
      </c>
      <c r="X156" s="211" t="str">
        <f t="shared" si="29"/>
        <v>NO</v>
      </c>
      <c r="Y156" s="211" t="str">
        <f t="shared" si="35"/>
        <v>NO</v>
      </c>
      <c r="Z156" s="211" t="str">
        <f t="shared" si="36"/>
        <v>YES</v>
      </c>
      <c r="AA156" s="211" t="str">
        <f t="shared" si="36"/>
        <v>NO</v>
      </c>
      <c r="AB156" s="293" t="str">
        <f t="shared" si="37"/>
        <v>YES</v>
      </c>
      <c r="AC156" s="211" t="str">
        <f t="shared" si="38"/>
        <v>NO</v>
      </c>
      <c r="AD156" s="211" t="str">
        <f t="shared" si="39"/>
        <v>NO</v>
      </c>
      <c r="AE156" s="211" t="str">
        <f t="shared" si="40"/>
        <v>NO</v>
      </c>
      <c r="AF156" s="206"/>
      <c r="AG156" s="206"/>
      <c r="AH156" s="203">
        <f t="shared" si="30"/>
        <v>2.3062</v>
      </c>
      <c r="AI156" s="203">
        <f t="shared" si="31"/>
        <v>599.99</v>
      </c>
      <c r="AJ156" s="203">
        <f t="shared" si="32"/>
        <v>917.0987988041602</v>
      </c>
      <c r="AK156" s="203"/>
      <c r="AL156" s="203"/>
      <c r="AM156" s="203"/>
      <c r="AN156" s="207"/>
    </row>
    <row r="157" spans="1:40" s="204" customFormat="1" ht="15">
      <c r="A157" s="280" t="s">
        <v>489</v>
      </c>
      <c r="B157" s="281" t="s">
        <v>962</v>
      </c>
      <c r="C157" s="283">
        <v>359.99</v>
      </c>
      <c r="D157" s="285">
        <v>3.5</v>
      </c>
      <c r="E157" s="250" t="str">
        <f>VLOOKUP(B157,'Northwest Retail Cost Data'!$C$5:$F$275,4,FALSE)</f>
        <v>Top Load</v>
      </c>
      <c r="F157" s="251" t="s">
        <v>846</v>
      </c>
      <c r="G157" s="285">
        <v>1.26</v>
      </c>
      <c r="H157" s="285">
        <v>9.5</v>
      </c>
      <c r="I157" s="252">
        <f>D157*H157*SFAssumptions!$C$3</f>
        <v>8535.7172250000003</v>
      </c>
      <c r="J157" s="253">
        <f t="shared" si="26"/>
        <v>359.99</v>
      </c>
      <c r="K157" s="254">
        <f t="shared" si="26"/>
        <v>3.5</v>
      </c>
      <c r="L157" s="691">
        <f t="shared" si="27"/>
        <v>0.83110000000000006</v>
      </c>
      <c r="M157" s="691">
        <f t="shared" si="28"/>
        <v>9.9226500000000009</v>
      </c>
      <c r="N157" s="255">
        <v>2012</v>
      </c>
      <c r="O157" s="256">
        <f>C157*VLOOKUP(N157,SFAssumptions!$A$42:$B$51,2,FALSE)</f>
        <v>325.09072689900182</v>
      </c>
      <c r="P157" s="254">
        <f ca="1">O157+((SFAssumptions!$C$8-D157)*$AO$35)</f>
        <v>350.50285670325985</v>
      </c>
      <c r="Q157" s="190" t="str">
        <f>IF(OR(L157="",M157=""),"No",IF(AND(E157="Front Load",L157&gt;='Eff. Standards &amp; Certifications'!$B$21,M157&lt;='Eff. Standards &amp; Certifications'!$C$21),"Consider",IF(AND(E157="Top Load",L157&gt;='Eff. Standards &amp; Certifications'!$B$20,M157&lt;='Eff. Standards &amp; Certifications'!$C$20),"Consider","No")))</f>
        <v>No</v>
      </c>
      <c r="R157" s="203"/>
      <c r="S157" s="203"/>
      <c r="T157" s="293" t="str">
        <f t="shared" si="33"/>
        <v>NO</v>
      </c>
      <c r="U157" s="293" t="str">
        <f t="shared" si="33"/>
        <v>NO</v>
      </c>
      <c r="V157" s="293" t="str">
        <f t="shared" si="34"/>
        <v>NO</v>
      </c>
      <c r="W157" s="211" t="str">
        <f t="shared" si="29"/>
        <v>NO</v>
      </c>
      <c r="X157" s="211" t="str">
        <f t="shared" si="29"/>
        <v>NO</v>
      </c>
      <c r="Y157" s="211" t="str">
        <f t="shared" si="35"/>
        <v>NO</v>
      </c>
      <c r="Z157" s="211" t="str">
        <f t="shared" si="36"/>
        <v>NO</v>
      </c>
      <c r="AA157" s="211" t="str">
        <f t="shared" si="36"/>
        <v>NO</v>
      </c>
      <c r="AB157" s="293" t="str">
        <f t="shared" si="37"/>
        <v>NO</v>
      </c>
      <c r="AC157" s="211" t="str">
        <f t="shared" si="38"/>
        <v>NO</v>
      </c>
      <c r="AD157" s="211" t="str">
        <f t="shared" si="39"/>
        <v>NO</v>
      </c>
      <c r="AE157" s="211" t="str">
        <f t="shared" si="40"/>
        <v>NO</v>
      </c>
      <c r="AF157" s="206"/>
      <c r="AG157" s="206"/>
      <c r="AH157" s="203">
        <f t="shared" si="30"/>
        <v>0.83110000000000006</v>
      </c>
      <c r="AI157" s="203">
        <f t="shared" si="31"/>
        <v>359.99</v>
      </c>
      <c r="AJ157" s="203">
        <f t="shared" si="32"/>
        <v>410.62353254072138</v>
      </c>
      <c r="AK157" s="203"/>
      <c r="AL157" s="203"/>
      <c r="AM157" s="203"/>
      <c r="AN157" s="207"/>
    </row>
    <row r="158" spans="1:40" s="204" customFormat="1" ht="15">
      <c r="A158" s="280" t="s">
        <v>459</v>
      </c>
      <c r="B158" s="281">
        <v>21302</v>
      </c>
      <c r="C158" s="283">
        <v>499.99</v>
      </c>
      <c r="D158" s="285">
        <v>3.6</v>
      </c>
      <c r="E158" s="250" t="str">
        <f>VLOOKUP(B158,'Northwest Retail Cost Data'!$C$5:$F$275,4,FALSE)</f>
        <v>Top Load</v>
      </c>
      <c r="F158" s="251" t="s">
        <v>846</v>
      </c>
      <c r="G158" s="284">
        <v>2.48</v>
      </c>
      <c r="H158" s="284">
        <v>3.6</v>
      </c>
      <c r="I158" s="252">
        <f>D158*H158*SFAssumptions!$C$3</f>
        <v>3327.0043680000003</v>
      </c>
      <c r="J158" s="253">
        <f t="shared" ref="J158:K221" si="41">C158</f>
        <v>499.99</v>
      </c>
      <c r="K158" s="254">
        <f t="shared" si="41"/>
        <v>3.6</v>
      </c>
      <c r="L158" s="691">
        <f t="shared" ref="L158:L221" si="42">IF($G158="","",IF($E158="Front Load",G158*slope_FrontLoad_MEF+int_FrontLoad_MEF,IF($E158="Top Load",G158*slope_TopLoad_MEF+int_TopLoad_MEF,"")))</f>
        <v>2.0388999999999999</v>
      </c>
      <c r="M158" s="691">
        <f t="shared" ref="M158:M221" si="43">IF($H158="","",IF($E158="Front Load",H158*slope_FrontLoad_WF+int_FrontLoad_WF,IF($E158="Top Load",H158*slope_TopLoad_WF+int_TopLoad_WF,"")))</f>
        <v>4.0881400000000001</v>
      </c>
      <c r="N158" s="255">
        <v>2012</v>
      </c>
      <c r="O158" s="256">
        <f>C158*VLOOKUP(N158,SFAssumptions!$A$42:$B$51,2,FALSE)</f>
        <v>451.51841035093173</v>
      </c>
      <c r="P158" s="254">
        <f ca="1">O158+((SFAssumptions!$C$8-D158)*$AO$35)</f>
        <v>467.75672781478562</v>
      </c>
      <c r="Q158" s="190" t="str">
        <f>IF(OR(L158="",M158=""),"No",IF(AND(E158="Front Load",L158&gt;='Eff. Standards &amp; Certifications'!$B$21,M158&lt;='Eff. Standards &amp; Certifications'!$C$21),"Consider",IF(AND(E158="Top Load",L158&gt;='Eff. Standards &amp; Certifications'!$B$20,M158&lt;='Eff. Standards &amp; Certifications'!$C$20),"Consider","No")))</f>
        <v>Consider</v>
      </c>
      <c r="R158" s="203"/>
      <c r="S158" s="203"/>
      <c r="T158" s="293" t="str">
        <f t="shared" si="33"/>
        <v>YES</v>
      </c>
      <c r="U158" s="293" t="str">
        <f t="shared" si="33"/>
        <v>NO</v>
      </c>
      <c r="V158" s="293" t="str">
        <f t="shared" si="34"/>
        <v>YES</v>
      </c>
      <c r="W158" s="211" t="str">
        <f t="shared" ref="W158:X221" si="44">IF(AND($Q158="Consider",$E158=W$26,$L158&gt;=Z$6,$M158&lt;=Z$9),"NO",IF(AND($Q158="Consider",$E158=W$26,$L158&gt;=W$6,$M158&lt;=W$9),"YES","NO"))</f>
        <v>YES</v>
      </c>
      <c r="X158" s="211" t="str">
        <f t="shared" si="44"/>
        <v>NO</v>
      </c>
      <c r="Y158" s="211" t="str">
        <f t="shared" si="35"/>
        <v>YES</v>
      </c>
      <c r="Z158" s="211" t="str">
        <f t="shared" si="36"/>
        <v>NO</v>
      </c>
      <c r="AA158" s="211" t="str">
        <f t="shared" si="36"/>
        <v>NO</v>
      </c>
      <c r="AB158" s="293" t="str">
        <f t="shared" si="37"/>
        <v>NO</v>
      </c>
      <c r="AC158" s="211" t="str">
        <f t="shared" si="38"/>
        <v>NO</v>
      </c>
      <c r="AD158" s="211" t="str">
        <f t="shared" si="39"/>
        <v>NO</v>
      </c>
      <c r="AE158" s="211" t="str">
        <f t="shared" si="40"/>
        <v>NO</v>
      </c>
      <c r="AF158" s="206"/>
      <c r="AG158" s="206"/>
      <c r="AH158" s="203">
        <f t="shared" ref="AH158:AH221" si="45">L158</f>
        <v>2.0388999999999999</v>
      </c>
      <c r="AI158" s="203">
        <f t="shared" ref="AI158:AI221" si="46">C158</f>
        <v>499.99</v>
      </c>
      <c r="AJ158" s="203">
        <f t="shared" ref="AJ158:AJ221" si="47">$AP$35+D158*$AO$35+L158*$AN$35+M158*$AM$35</f>
        <v>752.13388120430591</v>
      </c>
      <c r="AK158" s="203"/>
      <c r="AL158" s="203"/>
      <c r="AM158" s="203"/>
      <c r="AN158" s="207"/>
    </row>
    <row r="159" spans="1:40" s="204" customFormat="1" ht="15">
      <c r="A159" s="280" t="s">
        <v>459</v>
      </c>
      <c r="B159" s="281">
        <v>26002</v>
      </c>
      <c r="C159" s="283">
        <v>617.24</v>
      </c>
      <c r="D159" s="285">
        <v>3.6</v>
      </c>
      <c r="E159" s="250" t="str">
        <f>VLOOKUP(B159,'Northwest Retail Cost Data'!$C$5:$F$275,4,FALSE)</f>
        <v>Top Load</v>
      </c>
      <c r="F159" s="251" t="s">
        <v>846</v>
      </c>
      <c r="G159" s="284">
        <v>2.4500000000000002</v>
      </c>
      <c r="H159" s="284">
        <v>3.6</v>
      </c>
      <c r="I159" s="252">
        <f>D159*H159*SFAssumptions!$C$3</f>
        <v>3327.0043680000003</v>
      </c>
      <c r="J159" s="253">
        <f t="shared" si="41"/>
        <v>617.24</v>
      </c>
      <c r="K159" s="254">
        <f t="shared" si="41"/>
        <v>3.6</v>
      </c>
      <c r="L159" s="691">
        <f t="shared" si="42"/>
        <v>2.0091999999999999</v>
      </c>
      <c r="M159" s="691">
        <f t="shared" si="43"/>
        <v>4.0881400000000001</v>
      </c>
      <c r="N159" s="255">
        <v>2012</v>
      </c>
      <c r="O159" s="256">
        <f>C159*VLOOKUP(N159,SFAssumptions!$A$42:$B$51,2,FALSE)</f>
        <v>557.40159524192302</v>
      </c>
      <c r="P159" s="254">
        <f ca="1">O159+((SFAssumptions!$C$8-D159)*$AO$35)</f>
        <v>573.63991270577696</v>
      </c>
      <c r="Q159" s="190" t="str">
        <f>IF(OR(L159="",M159=""),"No",IF(AND(E159="Front Load",L159&gt;='Eff. Standards &amp; Certifications'!$B$21,M159&lt;='Eff. Standards &amp; Certifications'!$C$21),"Consider",IF(AND(E159="Top Load",L159&gt;='Eff. Standards &amp; Certifications'!$B$20,M159&lt;='Eff. Standards &amp; Certifications'!$C$20),"Consider","No")))</f>
        <v>Consider</v>
      </c>
      <c r="R159" s="203"/>
      <c r="S159" s="203"/>
      <c r="T159" s="293" t="str">
        <f t="shared" ref="T159:U222" si="48">IF(AND($L159&gt;=T$6,$L159&lt;=T$7,$M159&gt;=T$8,$M159&lt;=T$9,$M159&gt;0,$E159=T$26,$Q159="Consider"),"YES","NO")</f>
        <v>YES</v>
      </c>
      <c r="U159" s="293" t="str">
        <f t="shared" si="48"/>
        <v>NO</v>
      </c>
      <c r="V159" s="293" t="str">
        <f t="shared" ref="V159:V222" si="49">IF(OR(T159="YES",U159="YES"),"YES","NO")</f>
        <v>YES</v>
      </c>
      <c r="W159" s="211" t="str">
        <f t="shared" si="44"/>
        <v>YES</v>
      </c>
      <c r="X159" s="211" t="str">
        <f t="shared" si="44"/>
        <v>NO</v>
      </c>
      <c r="Y159" s="211" t="str">
        <f t="shared" ref="Y159:Y222" si="50">IF(OR(W159="YES",X159="YES"),"YES","NO")</f>
        <v>YES</v>
      </c>
      <c r="Z159" s="211" t="str">
        <f t="shared" ref="Z159:AA222" si="51">IF(AND($Q159="Consider",$E159=Z$26,$L159&gt;=Z$6,$M159&lt;=Z$9),"YES","NO")</f>
        <v>NO</v>
      </c>
      <c r="AA159" s="211" t="str">
        <f t="shared" si="51"/>
        <v>NO</v>
      </c>
      <c r="AB159" s="293" t="str">
        <f t="shared" ref="AB159:AB222" si="52">IF(OR(Z159="YES",AA159="YES"),"YES","NO")</f>
        <v>NO</v>
      </c>
      <c r="AC159" s="211" t="str">
        <f t="shared" ref="AC159:AC222" si="53">IF(AND($Q159="Consider",$L159&gt;=AE$6,$M159&lt;=AE$9),"NO",IF(AND($Q159="Consider",$L159&gt;=AD$6,$M159&lt;=AD$9),"NO",IF(AND($Q159="Consider",$L159&gt;=AC$6,$M159&lt;=AC$9),"YES","NO")))</f>
        <v>NO</v>
      </c>
      <c r="AD159" s="211" t="str">
        <f t="shared" ref="AD159:AD222" si="54">IF(AND($Q159="Consider",$L159&gt;=AE$6,$M159&lt;=AE$9),"NO",IF(AND($Q159="Consider",$L159&gt;=AD$6,$M159&lt;=AD$9),"YES","NO"))</f>
        <v>NO</v>
      </c>
      <c r="AE159" s="211" t="str">
        <f t="shared" ref="AE159:AE222" si="55">IF(AND($Q159="Consider",$L159&gt;=AE$6,$M159&lt;=AE$9),"YES","NO")</f>
        <v>NO</v>
      </c>
      <c r="AF159" s="206"/>
      <c r="AG159" s="206"/>
      <c r="AH159" s="203">
        <f t="shared" si="45"/>
        <v>2.0091999999999999</v>
      </c>
      <c r="AI159" s="203">
        <f t="shared" si="46"/>
        <v>617.24</v>
      </c>
      <c r="AJ159" s="203">
        <f t="shared" si="47"/>
        <v>744.95596479854294</v>
      </c>
      <c r="AK159" s="203"/>
      <c r="AL159" s="203"/>
      <c r="AM159" s="203"/>
      <c r="AN159" s="207"/>
    </row>
    <row r="160" spans="1:40" s="204" customFormat="1" ht="15">
      <c r="A160" s="280" t="s">
        <v>852</v>
      </c>
      <c r="B160" s="281" t="s">
        <v>963</v>
      </c>
      <c r="C160" s="283">
        <v>467.49</v>
      </c>
      <c r="D160" s="285">
        <v>3.9</v>
      </c>
      <c r="E160" s="250" t="str">
        <f>VLOOKUP(B160,'Northwest Retail Cost Data'!$C$5:$F$275,4,FALSE)</f>
        <v>Top Load</v>
      </c>
      <c r="F160" s="251" t="s">
        <v>846</v>
      </c>
      <c r="G160" s="285">
        <v>1.26</v>
      </c>
      <c r="H160" s="285">
        <v>9.5</v>
      </c>
      <c r="I160" s="252">
        <f>D160*H160*SFAssumptions!$C$3</f>
        <v>9511.2277649999996</v>
      </c>
      <c r="J160" s="253">
        <f t="shared" si="41"/>
        <v>467.49</v>
      </c>
      <c r="K160" s="254">
        <f t="shared" si="41"/>
        <v>3.9</v>
      </c>
      <c r="L160" s="691">
        <f t="shared" si="42"/>
        <v>0.83110000000000006</v>
      </c>
      <c r="M160" s="691">
        <f t="shared" si="43"/>
        <v>9.9226500000000009</v>
      </c>
      <c r="N160" s="255">
        <v>2012</v>
      </c>
      <c r="O160" s="256">
        <f>C160*VLOOKUP(N160,SFAssumptions!$A$42:$B$51,2,FALSE)</f>
        <v>422.169126692448</v>
      </c>
      <c r="P160" s="254">
        <f ca="1">O160+((SFAssumptions!$C$8-D160)*$AO$35)</f>
        <v>410.88600713508953</v>
      </c>
      <c r="Q160" s="190" t="str">
        <f>IF(OR(L160="",M160=""),"No",IF(AND(E160="Front Load",L160&gt;='Eff. Standards &amp; Certifications'!$B$21,M160&lt;='Eff. Standards &amp; Certifications'!$C$21),"Consider",IF(AND(E160="Top Load",L160&gt;='Eff. Standards &amp; Certifications'!$B$20,M160&lt;='Eff. Standards &amp; Certifications'!$C$20),"Consider","No")))</f>
        <v>No</v>
      </c>
      <c r="R160" s="203"/>
      <c r="S160" s="203"/>
      <c r="T160" s="293" t="str">
        <f t="shared" si="48"/>
        <v>NO</v>
      </c>
      <c r="U160" s="293" t="str">
        <f t="shared" si="48"/>
        <v>NO</v>
      </c>
      <c r="V160" s="293" t="str">
        <f t="shared" si="49"/>
        <v>NO</v>
      </c>
      <c r="W160" s="211" t="str">
        <f t="shared" si="44"/>
        <v>NO</v>
      </c>
      <c r="X160" s="211" t="str">
        <f t="shared" si="44"/>
        <v>NO</v>
      </c>
      <c r="Y160" s="211" t="str">
        <f t="shared" si="50"/>
        <v>NO</v>
      </c>
      <c r="Z160" s="211" t="str">
        <f t="shared" si="51"/>
        <v>NO</v>
      </c>
      <c r="AA160" s="211" t="str">
        <f t="shared" si="51"/>
        <v>NO</v>
      </c>
      <c r="AB160" s="293" t="str">
        <f t="shared" si="52"/>
        <v>NO</v>
      </c>
      <c r="AC160" s="211" t="str">
        <f t="shared" si="53"/>
        <v>NO</v>
      </c>
      <c r="AD160" s="211" t="str">
        <f t="shared" si="54"/>
        <v>NO</v>
      </c>
      <c r="AE160" s="211" t="str">
        <f t="shared" si="55"/>
        <v>NO</v>
      </c>
      <c r="AF160" s="206"/>
      <c r="AG160" s="206"/>
      <c r="AH160" s="203">
        <f t="shared" si="45"/>
        <v>0.83110000000000006</v>
      </c>
      <c r="AI160" s="203">
        <f t="shared" si="46"/>
        <v>467.49</v>
      </c>
      <c r="AJ160" s="203">
        <f t="shared" si="47"/>
        <v>447.31878190233795</v>
      </c>
      <c r="AK160" s="203"/>
      <c r="AL160" s="203"/>
      <c r="AM160" s="203"/>
      <c r="AN160" s="207"/>
    </row>
    <row r="161" spans="1:40" s="204" customFormat="1" ht="15">
      <c r="A161" s="280" t="s">
        <v>873</v>
      </c>
      <c r="B161" s="281" t="s">
        <v>885</v>
      </c>
      <c r="C161" s="283">
        <v>749.99</v>
      </c>
      <c r="D161" s="285">
        <v>3.7</v>
      </c>
      <c r="E161" s="250" t="str">
        <f>VLOOKUP(B161,'Northwest Retail Cost Data'!$C$5:$F$275,4,FALSE)</f>
        <v>Top Load</v>
      </c>
      <c r="F161" s="251" t="s">
        <v>846</v>
      </c>
      <c r="G161" s="285">
        <v>2.41</v>
      </c>
      <c r="H161" s="285">
        <v>3.9</v>
      </c>
      <c r="I161" s="252">
        <f>D161*H161*SFAssumptions!$C$3</f>
        <v>3704.3729189999999</v>
      </c>
      <c r="J161" s="253">
        <f t="shared" si="41"/>
        <v>749.99</v>
      </c>
      <c r="K161" s="254">
        <f t="shared" si="41"/>
        <v>3.7</v>
      </c>
      <c r="L161" s="691">
        <f t="shared" si="42"/>
        <v>1.9695999999999998</v>
      </c>
      <c r="M161" s="691">
        <f t="shared" si="43"/>
        <v>4.3848099999999999</v>
      </c>
      <c r="N161" s="255">
        <v>2012</v>
      </c>
      <c r="O161" s="256">
        <f>C161*VLOOKUP(N161,SFAssumptions!$A$42:$B$51,2,FALSE)</f>
        <v>677.28213080080661</v>
      </c>
      <c r="P161" s="254">
        <f ca="1">O161+((SFAssumptions!$C$8-D161)*$AO$35)</f>
        <v>684.34663592425636</v>
      </c>
      <c r="Q161" s="190" t="str">
        <f>IF(OR(L161="",M161=""),"No",IF(AND(E161="Front Load",L161&gt;='Eff. Standards &amp; Certifications'!$B$21,M161&lt;='Eff. Standards &amp; Certifications'!$C$21),"Consider",IF(AND(E161="Top Load",L161&gt;='Eff. Standards &amp; Certifications'!$B$20,M161&lt;='Eff. Standards &amp; Certifications'!$C$20),"Consider","No")))</f>
        <v>Consider</v>
      </c>
      <c r="R161" s="203"/>
      <c r="S161" s="203"/>
      <c r="T161" s="293" t="str">
        <f t="shared" si="48"/>
        <v>YES</v>
      </c>
      <c r="U161" s="293" t="str">
        <f t="shared" si="48"/>
        <v>NO</v>
      </c>
      <c r="V161" s="293" t="str">
        <f t="shared" si="49"/>
        <v>YES</v>
      </c>
      <c r="W161" s="211" t="str">
        <f t="shared" si="44"/>
        <v>YES</v>
      </c>
      <c r="X161" s="211" t="str">
        <f t="shared" si="44"/>
        <v>NO</v>
      </c>
      <c r="Y161" s="211" t="str">
        <f t="shared" si="50"/>
        <v>YES</v>
      </c>
      <c r="Z161" s="211" t="str">
        <f t="shared" si="51"/>
        <v>NO</v>
      </c>
      <c r="AA161" s="211" t="str">
        <f t="shared" si="51"/>
        <v>NO</v>
      </c>
      <c r="AB161" s="293" t="str">
        <f t="shared" si="52"/>
        <v>NO</v>
      </c>
      <c r="AC161" s="211" t="str">
        <f t="shared" si="53"/>
        <v>NO</v>
      </c>
      <c r="AD161" s="211" t="str">
        <f t="shared" si="54"/>
        <v>NO</v>
      </c>
      <c r="AE161" s="211" t="str">
        <f t="shared" si="55"/>
        <v>NO</v>
      </c>
      <c r="AF161" s="206"/>
      <c r="AG161" s="206"/>
      <c r="AH161" s="203">
        <f t="shared" si="45"/>
        <v>1.9695999999999998</v>
      </c>
      <c r="AI161" s="203">
        <f t="shared" si="46"/>
        <v>749.99</v>
      </c>
      <c r="AJ161" s="203">
        <f t="shared" si="47"/>
        <v>742.50322519454357</v>
      </c>
      <c r="AK161" s="203"/>
      <c r="AL161" s="203"/>
      <c r="AM161" s="203"/>
      <c r="AN161" s="207"/>
    </row>
    <row r="162" spans="1:40" s="204" customFormat="1" ht="15">
      <c r="A162" s="280" t="s">
        <v>852</v>
      </c>
      <c r="B162" s="281" t="s">
        <v>868</v>
      </c>
      <c r="C162" s="283">
        <v>549.99</v>
      </c>
      <c r="D162" s="285">
        <v>3.9</v>
      </c>
      <c r="E162" s="250" t="str">
        <f>VLOOKUP(B162,'Northwest Retail Cost Data'!$C$5:$F$275,4,FALSE)</f>
        <v>Top Load</v>
      </c>
      <c r="F162" s="251" t="s">
        <v>846</v>
      </c>
      <c r="G162" s="285">
        <v>2</v>
      </c>
      <c r="H162" s="285">
        <v>6</v>
      </c>
      <c r="I162" s="252">
        <f>D162*H162*SFAssumptions!$C$3</f>
        <v>6007.0912199999993</v>
      </c>
      <c r="J162" s="253">
        <f t="shared" si="41"/>
        <v>549.99</v>
      </c>
      <c r="K162" s="254">
        <f t="shared" si="41"/>
        <v>3.9</v>
      </c>
      <c r="L162" s="691">
        <f t="shared" si="42"/>
        <v>1.5636999999999999</v>
      </c>
      <c r="M162" s="691">
        <f t="shared" si="43"/>
        <v>6.4615</v>
      </c>
      <c r="N162" s="255">
        <v>2012</v>
      </c>
      <c r="O162" s="256">
        <f>C162*VLOOKUP(N162,SFAssumptions!$A$42:$B$51,2,FALSE)</f>
        <v>496.67115444090672</v>
      </c>
      <c r="P162" s="254">
        <f ca="1">O162+((SFAssumptions!$C$8-D162)*$AO$35)</f>
        <v>485.38803488354824</v>
      </c>
      <c r="Q162" s="190" t="str">
        <f>IF(OR(L162="",M162=""),"No",IF(AND(E162="Front Load",L162&gt;='Eff. Standards &amp; Certifications'!$B$21,M162&lt;='Eff. Standards &amp; Certifications'!$C$21),"Consider",IF(AND(E162="Top Load",L162&gt;='Eff. Standards &amp; Certifications'!$B$20,M162&lt;='Eff. Standards &amp; Certifications'!$C$20),"Consider","No")))</f>
        <v>Consider</v>
      </c>
      <c r="R162" s="203"/>
      <c r="S162" s="203"/>
      <c r="T162" s="293" t="str">
        <f t="shared" si="48"/>
        <v>YES</v>
      </c>
      <c r="U162" s="293" t="str">
        <f t="shared" si="48"/>
        <v>NO</v>
      </c>
      <c r="V162" s="293" t="str">
        <f t="shared" si="49"/>
        <v>YES</v>
      </c>
      <c r="W162" s="211" t="str">
        <f t="shared" si="44"/>
        <v>YES</v>
      </c>
      <c r="X162" s="211" t="str">
        <f t="shared" si="44"/>
        <v>NO</v>
      </c>
      <c r="Y162" s="211" t="str">
        <f t="shared" si="50"/>
        <v>YES</v>
      </c>
      <c r="Z162" s="211" t="str">
        <f t="shared" si="51"/>
        <v>NO</v>
      </c>
      <c r="AA162" s="211" t="str">
        <f t="shared" si="51"/>
        <v>NO</v>
      </c>
      <c r="AB162" s="293" t="str">
        <f t="shared" si="52"/>
        <v>NO</v>
      </c>
      <c r="AC162" s="211" t="str">
        <f t="shared" si="53"/>
        <v>NO</v>
      </c>
      <c r="AD162" s="211" t="str">
        <f t="shared" si="54"/>
        <v>NO</v>
      </c>
      <c r="AE162" s="211" t="str">
        <f t="shared" si="55"/>
        <v>NO</v>
      </c>
      <c r="AF162" s="206"/>
      <c r="AG162" s="206"/>
      <c r="AH162" s="203">
        <f t="shared" si="45"/>
        <v>1.5636999999999999</v>
      </c>
      <c r="AI162" s="203">
        <f t="shared" si="46"/>
        <v>549.99</v>
      </c>
      <c r="AJ162" s="203">
        <f t="shared" si="47"/>
        <v>648.36068183955365</v>
      </c>
      <c r="AK162" s="203"/>
      <c r="AL162" s="203"/>
      <c r="AM162" s="203"/>
      <c r="AN162" s="207"/>
    </row>
    <row r="163" spans="1:40" s="204" customFormat="1" ht="15">
      <c r="A163" s="280" t="s">
        <v>625</v>
      </c>
      <c r="B163" s="281" t="s">
        <v>919</v>
      </c>
      <c r="C163" s="283">
        <v>749.99</v>
      </c>
      <c r="D163" s="285">
        <v>4.5999999999999996</v>
      </c>
      <c r="E163" s="250" t="str">
        <f>VLOOKUP(B163,'Northwest Retail Cost Data'!$C$5:$F$275,4,FALSE)</f>
        <v>Top Load</v>
      </c>
      <c r="F163" s="251" t="s">
        <v>846</v>
      </c>
      <c r="G163" s="285">
        <v>2.65</v>
      </c>
      <c r="H163" s="285">
        <v>3.71</v>
      </c>
      <c r="I163" s="252">
        <f>D163*H163*SFAssumptions!$C$3</f>
        <v>4381.0691778</v>
      </c>
      <c r="J163" s="253">
        <f t="shared" si="41"/>
        <v>749.99</v>
      </c>
      <c r="K163" s="254">
        <f t="shared" si="41"/>
        <v>4.5999999999999996</v>
      </c>
      <c r="L163" s="691">
        <f t="shared" si="42"/>
        <v>2.2071999999999998</v>
      </c>
      <c r="M163" s="691">
        <f t="shared" si="43"/>
        <v>4.1969190000000003</v>
      </c>
      <c r="N163" s="255">
        <v>2012</v>
      </c>
      <c r="O163" s="256">
        <f>C163*VLOOKUP(N163,SFAssumptions!$A$42:$B$51,2,FALSE)</f>
        <v>677.28213080080661</v>
      </c>
      <c r="P163" s="254">
        <f ca="1">O163+((SFAssumptions!$C$8-D163)*$AO$35)</f>
        <v>601.78232486061916</v>
      </c>
      <c r="Q163" s="190" t="str">
        <f>IF(OR(L163="",M163=""),"No",IF(AND(E163="Front Load",L163&gt;='Eff. Standards &amp; Certifications'!$B$21,M163&lt;='Eff. Standards &amp; Certifications'!$C$21),"Consider",IF(AND(E163="Top Load",L163&gt;='Eff. Standards &amp; Certifications'!$B$20,M163&lt;='Eff. Standards &amp; Certifications'!$C$20),"Consider","No")))</f>
        <v>Consider</v>
      </c>
      <c r="R163" s="203"/>
      <c r="S163" s="203"/>
      <c r="T163" s="293" t="str">
        <f t="shared" si="48"/>
        <v>YES</v>
      </c>
      <c r="U163" s="293" t="str">
        <f t="shared" si="48"/>
        <v>NO</v>
      </c>
      <c r="V163" s="293" t="str">
        <f t="shared" si="49"/>
        <v>YES</v>
      </c>
      <c r="W163" s="211" t="str">
        <f t="shared" si="44"/>
        <v>NO</v>
      </c>
      <c r="X163" s="211" t="str">
        <f t="shared" si="44"/>
        <v>NO</v>
      </c>
      <c r="Y163" s="211" t="str">
        <f t="shared" si="50"/>
        <v>NO</v>
      </c>
      <c r="Z163" s="211" t="str">
        <f t="shared" si="51"/>
        <v>YES</v>
      </c>
      <c r="AA163" s="211" t="str">
        <f t="shared" si="51"/>
        <v>NO</v>
      </c>
      <c r="AB163" s="293" t="str">
        <f t="shared" si="52"/>
        <v>YES</v>
      </c>
      <c r="AC163" s="211" t="str">
        <f t="shared" si="53"/>
        <v>NO</v>
      </c>
      <c r="AD163" s="211" t="str">
        <f t="shared" si="54"/>
        <v>NO</v>
      </c>
      <c r="AE163" s="211" t="str">
        <f t="shared" si="55"/>
        <v>NO</v>
      </c>
      <c r="AF163" s="206"/>
      <c r="AG163" s="206"/>
      <c r="AH163" s="203">
        <f t="shared" si="45"/>
        <v>2.2071999999999998</v>
      </c>
      <c r="AI163" s="203">
        <f t="shared" si="46"/>
        <v>749.99</v>
      </c>
      <c r="AJ163" s="203">
        <f t="shared" si="47"/>
        <v>883.79299877087396</v>
      </c>
      <c r="AK163" s="203"/>
      <c r="AL163" s="203"/>
      <c r="AM163" s="203"/>
      <c r="AN163" s="207"/>
    </row>
    <row r="164" spans="1:40" s="204" customFormat="1" ht="15">
      <c r="A164" s="280" t="s">
        <v>459</v>
      </c>
      <c r="B164" s="281">
        <v>28002</v>
      </c>
      <c r="C164" s="283">
        <v>705.24</v>
      </c>
      <c r="D164" s="285">
        <v>3.6</v>
      </c>
      <c r="E164" s="250" t="str">
        <f>VLOOKUP(B164,'Northwest Retail Cost Data'!$C$5:$F$275,4,FALSE)</f>
        <v>Top Load</v>
      </c>
      <c r="F164" s="251" t="s">
        <v>846</v>
      </c>
      <c r="G164" s="284">
        <v>2.4500000000000002</v>
      </c>
      <c r="H164" s="284">
        <v>3.6</v>
      </c>
      <c r="I164" s="252">
        <f>D164*H164*SFAssumptions!$C$3</f>
        <v>3327.0043680000003</v>
      </c>
      <c r="J164" s="253">
        <f t="shared" si="41"/>
        <v>705.24</v>
      </c>
      <c r="K164" s="254">
        <f t="shared" si="41"/>
        <v>3.6</v>
      </c>
      <c r="L164" s="691">
        <f t="shared" si="42"/>
        <v>2.0091999999999999</v>
      </c>
      <c r="M164" s="691">
        <f t="shared" si="43"/>
        <v>4.0881400000000001</v>
      </c>
      <c r="N164" s="255">
        <v>2012</v>
      </c>
      <c r="O164" s="256">
        <f>C164*VLOOKUP(N164,SFAssumptions!$A$42:$B$51,2,FALSE)</f>
        <v>636.87042484027904</v>
      </c>
      <c r="P164" s="254">
        <f ca="1">O164+((SFAssumptions!$C$8-D164)*$AO$35)</f>
        <v>653.10874230413299</v>
      </c>
      <c r="Q164" s="190" t="str">
        <f>IF(OR(L164="",M164=""),"No",IF(AND(E164="Front Load",L164&gt;='Eff. Standards &amp; Certifications'!$B$21,M164&lt;='Eff. Standards &amp; Certifications'!$C$21),"Consider",IF(AND(E164="Top Load",L164&gt;='Eff. Standards &amp; Certifications'!$B$20,M164&lt;='Eff. Standards &amp; Certifications'!$C$20),"Consider","No")))</f>
        <v>Consider</v>
      </c>
      <c r="R164" s="203"/>
      <c r="S164" s="203"/>
      <c r="T164" s="293" t="str">
        <f t="shared" si="48"/>
        <v>YES</v>
      </c>
      <c r="U164" s="293" t="str">
        <f t="shared" si="48"/>
        <v>NO</v>
      </c>
      <c r="V164" s="293" t="str">
        <f t="shared" si="49"/>
        <v>YES</v>
      </c>
      <c r="W164" s="211" t="str">
        <f t="shared" si="44"/>
        <v>YES</v>
      </c>
      <c r="X164" s="211" t="str">
        <f t="shared" si="44"/>
        <v>NO</v>
      </c>
      <c r="Y164" s="211" t="str">
        <f t="shared" si="50"/>
        <v>YES</v>
      </c>
      <c r="Z164" s="211" t="str">
        <f t="shared" si="51"/>
        <v>NO</v>
      </c>
      <c r="AA164" s="211" t="str">
        <f t="shared" si="51"/>
        <v>NO</v>
      </c>
      <c r="AB164" s="293" t="str">
        <f t="shared" si="52"/>
        <v>NO</v>
      </c>
      <c r="AC164" s="211" t="str">
        <f t="shared" si="53"/>
        <v>NO</v>
      </c>
      <c r="AD164" s="211" t="str">
        <f t="shared" si="54"/>
        <v>NO</v>
      </c>
      <c r="AE164" s="211" t="str">
        <f t="shared" si="55"/>
        <v>NO</v>
      </c>
      <c r="AF164" s="206"/>
      <c r="AG164" s="206"/>
      <c r="AH164" s="203">
        <f t="shared" si="45"/>
        <v>2.0091999999999999</v>
      </c>
      <c r="AI164" s="203">
        <f t="shared" si="46"/>
        <v>705.24</v>
      </c>
      <c r="AJ164" s="203">
        <f t="shared" si="47"/>
        <v>744.95596479854294</v>
      </c>
      <c r="AK164" s="203"/>
      <c r="AL164" s="203"/>
      <c r="AM164" s="203"/>
      <c r="AN164" s="207"/>
    </row>
    <row r="165" spans="1:40" s="204" customFormat="1" ht="15">
      <c r="A165" s="280" t="s">
        <v>625</v>
      </c>
      <c r="B165" s="281" t="s">
        <v>935</v>
      </c>
      <c r="C165" s="283">
        <v>499.99</v>
      </c>
      <c r="D165" s="285">
        <v>3.4</v>
      </c>
      <c r="E165" s="250" t="str">
        <f>VLOOKUP(B165,'Northwest Retail Cost Data'!$C$5:$F$275,4,FALSE)</f>
        <v>Top Load</v>
      </c>
      <c r="F165" s="251" t="s">
        <v>846</v>
      </c>
      <c r="G165" s="284">
        <v>1.41</v>
      </c>
      <c r="H165" s="284">
        <v>8.6</v>
      </c>
      <c r="I165" s="252">
        <f>D165*H165*SFAssumptions!$C$3</f>
        <v>7506.2968919999994</v>
      </c>
      <c r="J165" s="253">
        <f t="shared" si="41"/>
        <v>499.99</v>
      </c>
      <c r="K165" s="254">
        <f t="shared" si="41"/>
        <v>3.4</v>
      </c>
      <c r="L165" s="691">
        <f t="shared" si="42"/>
        <v>0.97959999999999992</v>
      </c>
      <c r="M165" s="691">
        <f t="shared" si="43"/>
        <v>9.0326400000000007</v>
      </c>
      <c r="N165" s="255">
        <v>2012</v>
      </c>
      <c r="O165" s="256">
        <f>C165*VLOOKUP(N165,SFAssumptions!$A$42:$B$51,2,FALSE)</f>
        <v>451.51841035093173</v>
      </c>
      <c r="P165" s="254">
        <f ca="1">O165+((SFAssumptions!$C$8-D165)*$AO$35)</f>
        <v>486.1043524955939</v>
      </c>
      <c r="Q165" s="190" t="str">
        <f>IF(OR(L165="",M165=""),"No",IF(AND(E165="Front Load",L165&gt;='Eff. Standards &amp; Certifications'!$B$21,M165&lt;='Eff. Standards &amp; Certifications'!$C$21),"Consider",IF(AND(E165="Top Load",L165&gt;='Eff. Standards &amp; Certifications'!$B$20,M165&lt;='Eff. Standards &amp; Certifications'!$C$20),"Consider","No")))</f>
        <v>No</v>
      </c>
      <c r="R165" s="203"/>
      <c r="S165" s="203"/>
      <c r="T165" s="293" t="str">
        <f t="shared" si="48"/>
        <v>NO</v>
      </c>
      <c r="U165" s="293" t="str">
        <f t="shared" si="48"/>
        <v>NO</v>
      </c>
      <c r="V165" s="293" t="str">
        <f t="shared" si="49"/>
        <v>NO</v>
      </c>
      <c r="W165" s="211" t="str">
        <f t="shared" si="44"/>
        <v>NO</v>
      </c>
      <c r="X165" s="211" t="str">
        <f t="shared" si="44"/>
        <v>NO</v>
      </c>
      <c r="Y165" s="211" t="str">
        <f t="shared" si="50"/>
        <v>NO</v>
      </c>
      <c r="Z165" s="211" t="str">
        <f t="shared" si="51"/>
        <v>NO</v>
      </c>
      <c r="AA165" s="211" t="str">
        <f t="shared" si="51"/>
        <v>NO</v>
      </c>
      <c r="AB165" s="293" t="str">
        <f t="shared" si="52"/>
        <v>NO</v>
      </c>
      <c r="AC165" s="211" t="str">
        <f t="shared" si="53"/>
        <v>NO</v>
      </c>
      <c r="AD165" s="211" t="str">
        <f t="shared" si="54"/>
        <v>NO</v>
      </c>
      <c r="AE165" s="211" t="str">
        <f t="shared" si="55"/>
        <v>NO</v>
      </c>
      <c r="AF165" s="206"/>
      <c r="AG165" s="206"/>
      <c r="AH165" s="203">
        <f t="shared" si="45"/>
        <v>0.97959999999999992</v>
      </c>
      <c r="AI165" s="203">
        <f t="shared" si="46"/>
        <v>499.99</v>
      </c>
      <c r="AJ165" s="203">
        <f t="shared" si="47"/>
        <v>443.50729243929089</v>
      </c>
      <c r="AK165" s="203"/>
      <c r="AL165" s="203"/>
      <c r="AM165" s="203"/>
      <c r="AN165" s="207"/>
    </row>
    <row r="166" spans="1:40" s="204" customFormat="1" ht="15">
      <c r="A166" s="280" t="s">
        <v>852</v>
      </c>
      <c r="B166" s="281" t="s">
        <v>930</v>
      </c>
      <c r="C166" s="283">
        <v>403.2</v>
      </c>
      <c r="D166" s="285">
        <v>3.7</v>
      </c>
      <c r="E166" s="250" t="str">
        <f>VLOOKUP(B166,'Northwest Retail Cost Data'!$C$5:$F$275,4,FALSE)</f>
        <v>Top Load</v>
      </c>
      <c r="F166" s="251" t="s">
        <v>846</v>
      </c>
      <c r="G166" s="285">
        <v>1.26</v>
      </c>
      <c r="H166" s="285">
        <v>9.5</v>
      </c>
      <c r="I166" s="252">
        <f>D166*H166*SFAssumptions!$C$3</f>
        <v>9023.472495</v>
      </c>
      <c r="J166" s="253">
        <f t="shared" si="41"/>
        <v>403.2</v>
      </c>
      <c r="K166" s="254">
        <f t="shared" si="41"/>
        <v>3.7</v>
      </c>
      <c r="L166" s="691">
        <f t="shared" si="42"/>
        <v>0.83110000000000006</v>
      </c>
      <c r="M166" s="691">
        <f t="shared" si="43"/>
        <v>9.9226500000000009</v>
      </c>
      <c r="N166" s="255">
        <v>2012</v>
      </c>
      <c r="O166" s="256">
        <f>C166*VLOOKUP(N166,SFAssumptions!$A$42:$B$51,2,FALSE)</f>
        <v>364.11172834155815</v>
      </c>
      <c r="P166" s="254">
        <f ca="1">O166+((SFAssumptions!$C$8-D166)*$AO$35)</f>
        <v>371.1762334650079</v>
      </c>
      <c r="Q166" s="190" t="str">
        <f>IF(OR(L166="",M166=""),"No",IF(AND(E166="Front Load",L166&gt;='Eff. Standards &amp; Certifications'!$B$21,M166&lt;='Eff. Standards &amp; Certifications'!$C$21),"Consider",IF(AND(E166="Top Load",L166&gt;='Eff. Standards &amp; Certifications'!$B$20,M166&lt;='Eff. Standards &amp; Certifications'!$C$20),"Consider","No")))</f>
        <v>No</v>
      </c>
      <c r="R166" s="203"/>
      <c r="S166" s="203"/>
      <c r="T166" s="293" t="str">
        <f t="shared" si="48"/>
        <v>NO</v>
      </c>
      <c r="U166" s="293" t="str">
        <f t="shared" si="48"/>
        <v>NO</v>
      </c>
      <c r="V166" s="293" t="str">
        <f t="shared" si="49"/>
        <v>NO</v>
      </c>
      <c r="W166" s="211" t="str">
        <f t="shared" si="44"/>
        <v>NO</v>
      </c>
      <c r="X166" s="211" t="str">
        <f t="shared" si="44"/>
        <v>NO</v>
      </c>
      <c r="Y166" s="211" t="str">
        <f t="shared" si="50"/>
        <v>NO</v>
      </c>
      <c r="Z166" s="211" t="str">
        <f t="shared" si="51"/>
        <v>NO</v>
      </c>
      <c r="AA166" s="211" t="str">
        <f t="shared" si="51"/>
        <v>NO</v>
      </c>
      <c r="AB166" s="293" t="str">
        <f t="shared" si="52"/>
        <v>NO</v>
      </c>
      <c r="AC166" s="211" t="str">
        <f t="shared" si="53"/>
        <v>NO</v>
      </c>
      <c r="AD166" s="211" t="str">
        <f t="shared" si="54"/>
        <v>NO</v>
      </c>
      <c r="AE166" s="211" t="str">
        <f t="shared" si="55"/>
        <v>NO</v>
      </c>
      <c r="AF166" s="206"/>
      <c r="AG166" s="206"/>
      <c r="AH166" s="203">
        <f t="shared" si="45"/>
        <v>0.83110000000000006</v>
      </c>
      <c r="AI166" s="203">
        <f t="shared" si="46"/>
        <v>403.2</v>
      </c>
      <c r="AJ166" s="203">
        <f t="shared" si="47"/>
        <v>428.97115722152967</v>
      </c>
      <c r="AK166" s="203"/>
      <c r="AL166" s="203"/>
      <c r="AM166" s="203"/>
      <c r="AN166" s="207"/>
    </row>
    <row r="167" spans="1:40" s="204" customFormat="1" ht="15">
      <c r="A167" s="280" t="s">
        <v>459</v>
      </c>
      <c r="B167" s="281">
        <v>21252</v>
      </c>
      <c r="C167" s="283">
        <v>399.99</v>
      </c>
      <c r="D167" s="285">
        <v>3.4</v>
      </c>
      <c r="E167" s="250" t="str">
        <f>VLOOKUP(B167,'Northwest Retail Cost Data'!$C$5:$F$275,4,FALSE)</f>
        <v>Top Load</v>
      </c>
      <c r="F167" s="251" t="s">
        <v>846</v>
      </c>
      <c r="G167" s="286">
        <v>2.04</v>
      </c>
      <c r="H167" s="286">
        <v>5.9</v>
      </c>
      <c r="I167" s="252">
        <f>D167*H167*SFAssumptions!$C$3</f>
        <v>5149.6687980000006</v>
      </c>
      <c r="J167" s="253">
        <f t="shared" si="41"/>
        <v>399.99</v>
      </c>
      <c r="K167" s="254">
        <f t="shared" si="41"/>
        <v>3.4</v>
      </c>
      <c r="L167" s="691">
        <f t="shared" si="42"/>
        <v>1.6032999999999999</v>
      </c>
      <c r="M167" s="691">
        <f t="shared" si="43"/>
        <v>6.362610000000001</v>
      </c>
      <c r="N167" s="255">
        <v>2012</v>
      </c>
      <c r="O167" s="256">
        <f>C167*VLOOKUP(N167,SFAssumptions!$A$42:$B$51,2,FALSE)</f>
        <v>361.21292217098181</v>
      </c>
      <c r="P167" s="254">
        <f ca="1">O167+((SFAssumptions!$C$8-D167)*$AO$35)</f>
        <v>395.79886431564398</v>
      </c>
      <c r="Q167" s="190" t="str">
        <f>IF(OR(L167="",M167=""),"No",IF(AND(E167="Front Load",L167&gt;='Eff. Standards &amp; Certifications'!$B$21,M167&lt;='Eff. Standards &amp; Certifications'!$C$21),"Consider",IF(AND(E167="Top Load",L167&gt;='Eff. Standards &amp; Certifications'!$B$20,M167&lt;='Eff. Standards &amp; Certifications'!$C$20),"Consider","No")))</f>
        <v>Consider</v>
      </c>
      <c r="R167" s="203"/>
      <c r="S167" s="203"/>
      <c r="T167" s="293" t="str">
        <f t="shared" si="48"/>
        <v>YES</v>
      </c>
      <c r="U167" s="293" t="str">
        <f t="shared" si="48"/>
        <v>NO</v>
      </c>
      <c r="V167" s="293" t="str">
        <f t="shared" si="49"/>
        <v>YES</v>
      </c>
      <c r="W167" s="211" t="str">
        <f t="shared" si="44"/>
        <v>YES</v>
      </c>
      <c r="X167" s="211" t="str">
        <f t="shared" si="44"/>
        <v>NO</v>
      </c>
      <c r="Y167" s="211" t="str">
        <f t="shared" si="50"/>
        <v>YES</v>
      </c>
      <c r="Z167" s="211" t="str">
        <f t="shared" si="51"/>
        <v>NO</v>
      </c>
      <c r="AA167" s="211" t="str">
        <f t="shared" si="51"/>
        <v>NO</v>
      </c>
      <c r="AB167" s="293" t="str">
        <f t="shared" si="52"/>
        <v>NO</v>
      </c>
      <c r="AC167" s="211" t="str">
        <f t="shared" si="53"/>
        <v>NO</v>
      </c>
      <c r="AD167" s="211" t="str">
        <f t="shared" si="54"/>
        <v>NO</v>
      </c>
      <c r="AE167" s="211" t="str">
        <f t="shared" si="55"/>
        <v>NO</v>
      </c>
      <c r="AF167" s="206"/>
      <c r="AG167" s="206"/>
      <c r="AH167" s="203">
        <f t="shared" si="45"/>
        <v>1.6032999999999999</v>
      </c>
      <c r="AI167" s="203">
        <f t="shared" si="46"/>
        <v>399.99</v>
      </c>
      <c r="AJ167" s="203">
        <f t="shared" si="47"/>
        <v>612.74750759079018</v>
      </c>
      <c r="AK167" s="203"/>
      <c r="AL167" s="203"/>
      <c r="AM167" s="203"/>
      <c r="AN167" s="207"/>
    </row>
    <row r="168" spans="1:40" s="204" customFormat="1" ht="15">
      <c r="A168" s="280" t="s">
        <v>942</v>
      </c>
      <c r="B168" s="281">
        <v>29272</v>
      </c>
      <c r="C168" s="283">
        <v>899.88</v>
      </c>
      <c r="D168" s="285">
        <v>4.5</v>
      </c>
      <c r="E168" s="250" t="str">
        <f>VLOOKUP(B168,'Northwest Retail Cost Data'!$C$5:$F$275,4,FALSE)</f>
        <v>Top Load</v>
      </c>
      <c r="F168" s="251" t="s">
        <v>846</v>
      </c>
      <c r="G168" s="285">
        <v>2.41</v>
      </c>
      <c r="H168" s="285">
        <v>4</v>
      </c>
      <c r="I168" s="252">
        <f>D168*H168*SFAssumptions!$C$3</f>
        <v>4620.8393999999998</v>
      </c>
      <c r="J168" s="253">
        <f t="shared" si="41"/>
        <v>899.88</v>
      </c>
      <c r="K168" s="254">
        <f t="shared" si="41"/>
        <v>4.5</v>
      </c>
      <c r="L168" s="691">
        <f t="shared" si="42"/>
        <v>1.9695999999999998</v>
      </c>
      <c r="M168" s="691">
        <f t="shared" si="43"/>
        <v>4.4836999999999998</v>
      </c>
      <c r="N168" s="255">
        <v>2012</v>
      </c>
      <c r="O168" s="256">
        <f>C168*VLOOKUP(N168,SFAssumptions!$A$42:$B$51,2,FALSE)</f>
        <v>812.64102703373351</v>
      </c>
      <c r="P168" s="254">
        <f ca="1">O168+((SFAssumptions!$C$8-D168)*$AO$35)</f>
        <v>746.31503343395025</v>
      </c>
      <c r="Q168" s="190" t="str">
        <f>IF(OR(L168="",M168=""),"No",IF(AND(E168="Front Load",L168&gt;='Eff. Standards &amp; Certifications'!$B$21,M168&lt;='Eff. Standards &amp; Certifications'!$C$21),"Consider",IF(AND(E168="Top Load",L168&gt;='Eff. Standards &amp; Certifications'!$B$20,M168&lt;='Eff. Standards &amp; Certifications'!$C$20),"Consider","No")))</f>
        <v>Consider</v>
      </c>
      <c r="R168" s="203"/>
      <c r="S168" s="203"/>
      <c r="T168" s="293" t="str">
        <f t="shared" si="48"/>
        <v>YES</v>
      </c>
      <c r="U168" s="293" t="str">
        <f t="shared" si="48"/>
        <v>NO</v>
      </c>
      <c r="V168" s="293" t="str">
        <f t="shared" si="49"/>
        <v>YES</v>
      </c>
      <c r="W168" s="211" t="str">
        <f t="shared" si="44"/>
        <v>YES</v>
      </c>
      <c r="X168" s="211" t="str">
        <f t="shared" si="44"/>
        <v>NO</v>
      </c>
      <c r="Y168" s="211" t="str">
        <f t="shared" si="50"/>
        <v>YES</v>
      </c>
      <c r="Z168" s="211" t="str">
        <f t="shared" si="51"/>
        <v>NO</v>
      </c>
      <c r="AA168" s="211" t="str">
        <f t="shared" si="51"/>
        <v>NO</v>
      </c>
      <c r="AB168" s="293" t="str">
        <f t="shared" si="52"/>
        <v>NO</v>
      </c>
      <c r="AC168" s="211" t="str">
        <f t="shared" si="53"/>
        <v>NO</v>
      </c>
      <c r="AD168" s="211" t="str">
        <f t="shared" si="54"/>
        <v>NO</v>
      </c>
      <c r="AE168" s="211" t="str">
        <f t="shared" si="55"/>
        <v>NO</v>
      </c>
      <c r="AF168" s="206"/>
      <c r="AG168" s="206"/>
      <c r="AH168" s="203">
        <f t="shared" si="45"/>
        <v>1.9695999999999998</v>
      </c>
      <c r="AI168" s="203">
        <f t="shared" si="46"/>
        <v>899.88</v>
      </c>
      <c r="AJ168" s="203">
        <f t="shared" si="47"/>
        <v>815.20839167220322</v>
      </c>
      <c r="AK168" s="203"/>
      <c r="AL168" s="203"/>
      <c r="AM168" s="203"/>
      <c r="AN168" s="207"/>
    </row>
    <row r="169" spans="1:40" s="204" customFormat="1" ht="15">
      <c r="A169" s="280" t="s">
        <v>852</v>
      </c>
      <c r="B169" s="281" t="s">
        <v>865</v>
      </c>
      <c r="C169" s="283">
        <v>499.99</v>
      </c>
      <c r="D169" s="285">
        <v>3.9</v>
      </c>
      <c r="E169" s="250" t="str">
        <f>VLOOKUP(B169,'Northwest Retail Cost Data'!$C$5:$F$275,4,FALSE)</f>
        <v>Top Load</v>
      </c>
      <c r="F169" s="251" t="s">
        <v>846</v>
      </c>
      <c r="G169" s="285">
        <v>2</v>
      </c>
      <c r="H169" s="285">
        <v>6</v>
      </c>
      <c r="I169" s="252">
        <f>D169*H169*SFAssumptions!$C$3</f>
        <v>6007.0912199999993</v>
      </c>
      <c r="J169" s="253">
        <f t="shared" si="41"/>
        <v>499.99</v>
      </c>
      <c r="K169" s="254">
        <f t="shared" si="41"/>
        <v>3.9</v>
      </c>
      <c r="L169" s="691">
        <f t="shared" si="42"/>
        <v>1.5636999999999999</v>
      </c>
      <c r="M169" s="691">
        <f t="shared" si="43"/>
        <v>6.4615</v>
      </c>
      <c r="N169" s="255">
        <v>2012</v>
      </c>
      <c r="O169" s="256">
        <f>C169*VLOOKUP(N169,SFAssumptions!$A$42:$B$51,2,FALSE)</f>
        <v>451.51841035093173</v>
      </c>
      <c r="P169" s="254">
        <f ca="1">O169+((SFAssumptions!$C$8-D169)*$AO$35)</f>
        <v>440.23529079357326</v>
      </c>
      <c r="Q169" s="190" t="str">
        <f>IF(OR(L169="",M169=""),"No",IF(AND(E169="Front Load",L169&gt;='Eff. Standards &amp; Certifications'!$B$21,M169&lt;='Eff. Standards &amp; Certifications'!$C$21),"Consider",IF(AND(E169="Top Load",L169&gt;='Eff. Standards &amp; Certifications'!$B$20,M169&lt;='Eff. Standards &amp; Certifications'!$C$20),"Consider","No")))</f>
        <v>Consider</v>
      </c>
      <c r="R169" s="203"/>
      <c r="S169" s="203"/>
      <c r="T169" s="293" t="str">
        <f t="shared" si="48"/>
        <v>YES</v>
      </c>
      <c r="U169" s="293" t="str">
        <f t="shared" si="48"/>
        <v>NO</v>
      </c>
      <c r="V169" s="293" t="str">
        <f t="shared" si="49"/>
        <v>YES</v>
      </c>
      <c r="W169" s="211" t="str">
        <f t="shared" si="44"/>
        <v>YES</v>
      </c>
      <c r="X169" s="211" t="str">
        <f t="shared" si="44"/>
        <v>NO</v>
      </c>
      <c r="Y169" s="211" t="str">
        <f t="shared" si="50"/>
        <v>YES</v>
      </c>
      <c r="Z169" s="211" t="str">
        <f t="shared" si="51"/>
        <v>NO</v>
      </c>
      <c r="AA169" s="211" t="str">
        <f t="shared" si="51"/>
        <v>NO</v>
      </c>
      <c r="AB169" s="293" t="str">
        <f t="shared" si="52"/>
        <v>NO</v>
      </c>
      <c r="AC169" s="211" t="str">
        <f t="shared" si="53"/>
        <v>NO</v>
      </c>
      <c r="AD169" s="211" t="str">
        <f t="shared" si="54"/>
        <v>NO</v>
      </c>
      <c r="AE169" s="211" t="str">
        <f t="shared" si="55"/>
        <v>NO</v>
      </c>
      <c r="AF169" s="206"/>
      <c r="AG169" s="206"/>
      <c r="AH169" s="203">
        <f t="shared" si="45"/>
        <v>1.5636999999999999</v>
      </c>
      <c r="AI169" s="203">
        <f t="shared" si="46"/>
        <v>499.99</v>
      </c>
      <c r="AJ169" s="203">
        <f t="shared" si="47"/>
        <v>648.36068183955365</v>
      </c>
      <c r="AK169" s="203"/>
      <c r="AL169" s="203"/>
      <c r="AM169" s="203"/>
      <c r="AN169" s="207"/>
    </row>
    <row r="170" spans="1:40" s="204" customFormat="1" ht="15">
      <c r="A170" s="280" t="s">
        <v>625</v>
      </c>
      <c r="B170" s="281" t="s">
        <v>964</v>
      </c>
      <c r="C170" s="283">
        <v>749.99</v>
      </c>
      <c r="D170" s="285">
        <v>3.6</v>
      </c>
      <c r="E170" s="250" t="str">
        <f>VLOOKUP(B170,'Northwest Retail Cost Data'!$C$5:$F$275,4,FALSE)</f>
        <v>Top Load</v>
      </c>
      <c r="F170" s="251" t="s">
        <v>846</v>
      </c>
      <c r="G170" s="285">
        <v>2.4409999999999998</v>
      </c>
      <c r="H170" s="285">
        <v>3.84</v>
      </c>
      <c r="I170" s="252">
        <f>D170*H170*SFAssumptions!$C$3</f>
        <v>3548.8046592000001</v>
      </c>
      <c r="J170" s="253">
        <f t="shared" si="41"/>
        <v>749.99</v>
      </c>
      <c r="K170" s="254">
        <f t="shared" si="41"/>
        <v>3.6</v>
      </c>
      <c r="L170" s="691">
        <f t="shared" si="42"/>
        <v>2.0002899999999997</v>
      </c>
      <c r="M170" s="691">
        <f t="shared" si="43"/>
        <v>4.3254760000000001</v>
      </c>
      <c r="N170" s="255">
        <v>2012</v>
      </c>
      <c r="O170" s="256">
        <f>C170*VLOOKUP(N170,SFAssumptions!$A$42:$B$51,2,FALSE)</f>
        <v>677.28213080080661</v>
      </c>
      <c r="P170" s="254">
        <f ca="1">O170+((SFAssumptions!$C$8-D170)*$AO$35)</f>
        <v>693.52044826466056</v>
      </c>
      <c r="Q170" s="190" t="str">
        <f>IF(OR(L170="",M170=""),"No",IF(AND(E170="Front Load",L170&gt;='Eff. Standards &amp; Certifications'!$B$21,M170&lt;='Eff. Standards &amp; Certifications'!$C$21),"Consider",IF(AND(E170="Top Load",L170&gt;='Eff. Standards &amp; Certifications'!$B$20,M170&lt;='Eff. Standards &amp; Certifications'!$C$20),"Consider","No")))</f>
        <v>Consider</v>
      </c>
      <c r="R170" s="203"/>
      <c r="S170" s="203"/>
      <c r="T170" s="293" t="str">
        <f t="shared" si="48"/>
        <v>YES</v>
      </c>
      <c r="U170" s="293" t="str">
        <f t="shared" si="48"/>
        <v>NO</v>
      </c>
      <c r="V170" s="293" t="str">
        <f t="shared" si="49"/>
        <v>YES</v>
      </c>
      <c r="W170" s="211" t="str">
        <f t="shared" si="44"/>
        <v>YES</v>
      </c>
      <c r="X170" s="211" t="str">
        <f t="shared" si="44"/>
        <v>NO</v>
      </c>
      <c r="Y170" s="211" t="str">
        <f t="shared" si="50"/>
        <v>YES</v>
      </c>
      <c r="Z170" s="211" t="str">
        <f t="shared" si="51"/>
        <v>NO</v>
      </c>
      <c r="AA170" s="211" t="str">
        <f t="shared" si="51"/>
        <v>NO</v>
      </c>
      <c r="AB170" s="293" t="str">
        <f t="shared" si="52"/>
        <v>NO</v>
      </c>
      <c r="AC170" s="211" t="str">
        <f t="shared" si="53"/>
        <v>NO</v>
      </c>
      <c r="AD170" s="211" t="str">
        <f t="shared" si="54"/>
        <v>NO</v>
      </c>
      <c r="AE170" s="211" t="str">
        <f t="shared" si="55"/>
        <v>NO</v>
      </c>
      <c r="AF170" s="206"/>
      <c r="AG170" s="206"/>
      <c r="AH170" s="203">
        <f t="shared" si="45"/>
        <v>2.0002899999999997</v>
      </c>
      <c r="AI170" s="203">
        <f t="shared" si="46"/>
        <v>749.99</v>
      </c>
      <c r="AJ170" s="203">
        <f t="shared" si="47"/>
        <v>741.15779248743843</v>
      </c>
      <c r="AK170" s="203"/>
      <c r="AL170" s="203"/>
      <c r="AM170" s="203"/>
      <c r="AN170" s="207"/>
    </row>
    <row r="171" spans="1:40" s="204" customFormat="1" ht="15">
      <c r="A171" s="280" t="s">
        <v>597</v>
      </c>
      <c r="B171" s="281" t="s">
        <v>965</v>
      </c>
      <c r="C171" s="283">
        <v>899.99</v>
      </c>
      <c r="D171" s="285">
        <v>4.5</v>
      </c>
      <c r="E171" s="250" t="str">
        <f>VLOOKUP(B171,'Northwest Retail Cost Data'!$C$5:$F$275,4,FALSE)</f>
        <v>Top Load</v>
      </c>
      <c r="F171" s="251" t="s">
        <v>846</v>
      </c>
      <c r="G171" s="285">
        <v>2.4500000000000002</v>
      </c>
      <c r="H171" s="285">
        <v>3.55</v>
      </c>
      <c r="I171" s="252">
        <f>D171*H171*SFAssumptions!$C$3</f>
        <v>4100.9949674999998</v>
      </c>
      <c r="J171" s="253">
        <f t="shared" si="41"/>
        <v>899.99</v>
      </c>
      <c r="K171" s="254">
        <f t="shared" si="41"/>
        <v>4.5</v>
      </c>
      <c r="L171" s="691">
        <f t="shared" si="42"/>
        <v>2.0091999999999999</v>
      </c>
      <c r="M171" s="691">
        <f t="shared" si="43"/>
        <v>4.0386949999999997</v>
      </c>
      <c r="N171" s="255">
        <v>2012</v>
      </c>
      <c r="O171" s="256">
        <f>C171*VLOOKUP(N171,SFAssumptions!$A$42:$B$51,2,FALSE)</f>
        <v>812.74036307073152</v>
      </c>
      <c r="P171" s="254">
        <f ca="1">O171+((SFAssumptions!$C$8-D171)*$AO$35)</f>
        <v>746.41436947094826</v>
      </c>
      <c r="Q171" s="190" t="str">
        <f>IF(OR(L171="",M171=""),"No",IF(AND(E171="Front Load",L171&gt;='Eff. Standards &amp; Certifications'!$B$21,M171&lt;='Eff. Standards &amp; Certifications'!$C$21),"Consider",IF(AND(E171="Top Load",L171&gt;='Eff. Standards &amp; Certifications'!$B$20,M171&lt;='Eff. Standards &amp; Certifications'!$C$20),"Consider","No")))</f>
        <v>Consider</v>
      </c>
      <c r="R171" s="203"/>
      <c r="S171" s="203"/>
      <c r="T171" s="293" t="str">
        <f t="shared" si="48"/>
        <v>YES</v>
      </c>
      <c r="U171" s="293" t="str">
        <f t="shared" si="48"/>
        <v>NO</v>
      </c>
      <c r="V171" s="293" t="str">
        <f t="shared" si="49"/>
        <v>YES</v>
      </c>
      <c r="W171" s="211" t="str">
        <f t="shared" si="44"/>
        <v>YES</v>
      </c>
      <c r="X171" s="211" t="str">
        <f t="shared" si="44"/>
        <v>NO</v>
      </c>
      <c r="Y171" s="211" t="str">
        <f t="shared" si="50"/>
        <v>YES</v>
      </c>
      <c r="Z171" s="211" t="str">
        <f t="shared" si="51"/>
        <v>NO</v>
      </c>
      <c r="AA171" s="211" t="str">
        <f t="shared" si="51"/>
        <v>NO</v>
      </c>
      <c r="AB171" s="293" t="str">
        <f t="shared" si="52"/>
        <v>NO</v>
      </c>
      <c r="AC171" s="211" t="str">
        <f t="shared" si="53"/>
        <v>NO</v>
      </c>
      <c r="AD171" s="211" t="str">
        <f t="shared" si="54"/>
        <v>NO</v>
      </c>
      <c r="AE171" s="211" t="str">
        <f t="shared" si="55"/>
        <v>NO</v>
      </c>
      <c r="AF171" s="206"/>
      <c r="AG171" s="206"/>
      <c r="AH171" s="203">
        <f t="shared" si="45"/>
        <v>2.0091999999999999</v>
      </c>
      <c r="AI171" s="203">
        <f t="shared" si="46"/>
        <v>899.99</v>
      </c>
      <c r="AJ171" s="203">
        <f t="shared" si="47"/>
        <v>827.8629419849666</v>
      </c>
      <c r="AK171" s="203"/>
      <c r="AL171" s="203"/>
      <c r="AM171" s="203"/>
      <c r="AN171" s="207"/>
    </row>
    <row r="172" spans="1:40" s="204" customFormat="1" ht="15">
      <c r="A172" s="280" t="s">
        <v>625</v>
      </c>
      <c r="B172" s="281" t="s">
        <v>911</v>
      </c>
      <c r="C172" s="283">
        <v>649.99</v>
      </c>
      <c r="D172" s="285">
        <v>3.6</v>
      </c>
      <c r="E172" s="250" t="str">
        <f>VLOOKUP(B172,'Northwest Retail Cost Data'!$C$5:$F$275,4,FALSE)</f>
        <v>Top Load</v>
      </c>
      <c r="F172" s="251" t="s">
        <v>846</v>
      </c>
      <c r="G172" s="285">
        <v>2.4750000000000001</v>
      </c>
      <c r="H172" s="285">
        <v>3.6379999999999999</v>
      </c>
      <c r="I172" s="252">
        <f>D172*H172*SFAssumptions!$C$3</f>
        <v>3362.1227474400002</v>
      </c>
      <c r="J172" s="253">
        <f t="shared" si="41"/>
        <v>649.99</v>
      </c>
      <c r="K172" s="254">
        <f t="shared" si="41"/>
        <v>3.6</v>
      </c>
      <c r="L172" s="691">
        <f t="shared" si="42"/>
        <v>2.0339499999999999</v>
      </c>
      <c r="M172" s="691">
        <f t="shared" si="43"/>
        <v>4.1257181999999997</v>
      </c>
      <c r="N172" s="255">
        <v>2012</v>
      </c>
      <c r="O172" s="256">
        <f>C172*VLOOKUP(N172,SFAssumptions!$A$42:$B$51,2,FALSE)</f>
        <v>586.97664262085664</v>
      </c>
      <c r="P172" s="254">
        <f ca="1">O172+((SFAssumptions!$C$8-D172)*$AO$35)</f>
        <v>603.21496008471058</v>
      </c>
      <c r="Q172" s="190" t="str">
        <f>IF(OR(L172="",M172=""),"No",IF(AND(E172="Front Load",L172&gt;='Eff. Standards &amp; Certifications'!$B$21,M172&lt;='Eff. Standards &amp; Certifications'!$C$21),"Consider",IF(AND(E172="Top Load",L172&gt;='Eff. Standards &amp; Certifications'!$B$20,M172&lt;='Eff. Standards &amp; Certifications'!$C$20),"Consider","No")))</f>
        <v>Consider</v>
      </c>
      <c r="R172" s="203"/>
      <c r="S172" s="203"/>
      <c r="T172" s="293" t="str">
        <f t="shared" si="48"/>
        <v>YES</v>
      </c>
      <c r="U172" s="293" t="str">
        <f t="shared" si="48"/>
        <v>NO</v>
      </c>
      <c r="V172" s="293" t="str">
        <f t="shared" si="49"/>
        <v>YES</v>
      </c>
      <c r="W172" s="211" t="str">
        <f t="shared" si="44"/>
        <v>YES</v>
      </c>
      <c r="X172" s="211" t="str">
        <f t="shared" si="44"/>
        <v>NO</v>
      </c>
      <c r="Y172" s="211" t="str">
        <f t="shared" si="50"/>
        <v>YES</v>
      </c>
      <c r="Z172" s="211" t="str">
        <f t="shared" si="51"/>
        <v>NO</v>
      </c>
      <c r="AA172" s="211" t="str">
        <f t="shared" si="51"/>
        <v>NO</v>
      </c>
      <c r="AB172" s="293" t="str">
        <f t="shared" si="52"/>
        <v>NO</v>
      </c>
      <c r="AC172" s="211" t="str">
        <f t="shared" si="53"/>
        <v>NO</v>
      </c>
      <c r="AD172" s="211" t="str">
        <f t="shared" si="54"/>
        <v>NO</v>
      </c>
      <c r="AE172" s="211" t="str">
        <f t="shared" si="55"/>
        <v>NO</v>
      </c>
      <c r="AF172" s="206"/>
      <c r="AG172" s="206"/>
      <c r="AH172" s="203">
        <f t="shared" si="45"/>
        <v>2.0339499999999999</v>
      </c>
      <c r="AI172" s="203">
        <f t="shared" si="46"/>
        <v>649.99</v>
      </c>
      <c r="AJ172" s="203">
        <f t="shared" si="47"/>
        <v>750.67713555002774</v>
      </c>
      <c r="AK172" s="203"/>
      <c r="AL172" s="203"/>
      <c r="AM172" s="203"/>
      <c r="AN172" s="207"/>
    </row>
    <row r="173" spans="1:40" s="204" customFormat="1" ht="15">
      <c r="A173" s="280" t="s">
        <v>873</v>
      </c>
      <c r="B173" s="281" t="s">
        <v>884</v>
      </c>
      <c r="C173" s="283">
        <v>989.99</v>
      </c>
      <c r="D173" s="285">
        <v>4.7</v>
      </c>
      <c r="E173" s="250" t="str">
        <f>VLOOKUP(B173,'Northwest Retail Cost Data'!$C$5:$F$275,4,FALSE)</f>
        <v>Top Load</v>
      </c>
      <c r="F173" s="251" t="s">
        <v>846</v>
      </c>
      <c r="G173" s="285">
        <v>2.75</v>
      </c>
      <c r="H173" s="285">
        <v>3.7</v>
      </c>
      <c r="I173" s="252">
        <f>D173*H173*SFAssumptions!$C$3</f>
        <v>4464.2442870000004</v>
      </c>
      <c r="J173" s="253">
        <f t="shared" si="41"/>
        <v>989.99</v>
      </c>
      <c r="K173" s="254">
        <f t="shared" si="41"/>
        <v>4.7</v>
      </c>
      <c r="L173" s="691">
        <f t="shared" si="42"/>
        <v>2.3062</v>
      </c>
      <c r="M173" s="691">
        <f t="shared" si="43"/>
        <v>4.18703</v>
      </c>
      <c r="N173" s="255">
        <v>2012</v>
      </c>
      <c r="O173" s="256">
        <f>C173*VLOOKUP(N173,SFAssumptions!$A$42:$B$51,2,FALSE)</f>
        <v>894.01530243268644</v>
      </c>
      <c r="P173" s="254">
        <f ca="1">O173+((SFAssumptions!$C$8-D173)*$AO$35)</f>
        <v>809.3416841520949</v>
      </c>
      <c r="Q173" s="190" t="str">
        <f>IF(OR(L173="",M173=""),"No",IF(AND(E173="Front Load",L173&gt;='Eff. Standards &amp; Certifications'!$B$21,M173&lt;='Eff. Standards &amp; Certifications'!$C$21),"Consider",IF(AND(E173="Top Load",L173&gt;='Eff. Standards &amp; Certifications'!$B$20,M173&lt;='Eff. Standards &amp; Certifications'!$C$20),"Consider","No")))</f>
        <v>Consider</v>
      </c>
      <c r="R173" s="203"/>
      <c r="S173" s="203"/>
      <c r="T173" s="293" t="str">
        <f t="shared" si="48"/>
        <v>YES</v>
      </c>
      <c r="U173" s="293" t="str">
        <f t="shared" si="48"/>
        <v>NO</v>
      </c>
      <c r="V173" s="293" t="str">
        <f t="shared" si="49"/>
        <v>YES</v>
      </c>
      <c r="W173" s="211" t="str">
        <f t="shared" si="44"/>
        <v>NO</v>
      </c>
      <c r="X173" s="211" t="str">
        <f t="shared" si="44"/>
        <v>NO</v>
      </c>
      <c r="Y173" s="211" t="str">
        <f t="shared" si="50"/>
        <v>NO</v>
      </c>
      <c r="Z173" s="211" t="str">
        <f t="shared" si="51"/>
        <v>YES</v>
      </c>
      <c r="AA173" s="211" t="str">
        <f t="shared" si="51"/>
        <v>NO</v>
      </c>
      <c r="AB173" s="293" t="str">
        <f t="shared" si="52"/>
        <v>YES</v>
      </c>
      <c r="AC173" s="211" t="str">
        <f t="shared" si="53"/>
        <v>NO</v>
      </c>
      <c r="AD173" s="211" t="str">
        <f t="shared" si="54"/>
        <v>NO</v>
      </c>
      <c r="AE173" s="211" t="str">
        <f t="shared" si="55"/>
        <v>NO</v>
      </c>
      <c r="AF173" s="206"/>
      <c r="AG173" s="206"/>
      <c r="AH173" s="203">
        <f t="shared" si="45"/>
        <v>2.3062</v>
      </c>
      <c r="AI173" s="203">
        <f t="shared" si="46"/>
        <v>989.99</v>
      </c>
      <c r="AJ173" s="203">
        <f t="shared" si="47"/>
        <v>916.96173235504557</v>
      </c>
      <c r="AK173" s="203"/>
      <c r="AL173" s="203"/>
      <c r="AM173" s="203"/>
      <c r="AN173" s="207"/>
    </row>
    <row r="174" spans="1:40" s="204" customFormat="1" ht="15">
      <c r="A174" s="280" t="s">
        <v>557</v>
      </c>
      <c r="B174" s="281" t="s">
        <v>897</v>
      </c>
      <c r="C174" s="283">
        <v>649.99</v>
      </c>
      <c r="D174" s="285">
        <v>3.6</v>
      </c>
      <c r="E174" s="250" t="str">
        <f>VLOOKUP(B174,'Northwest Retail Cost Data'!$C$5:$F$275,4,FALSE)</f>
        <v>Top Load</v>
      </c>
      <c r="F174" s="251" t="s">
        <v>846</v>
      </c>
      <c r="G174" s="285">
        <v>2.4750000000000001</v>
      </c>
      <c r="H174" s="285">
        <v>3.6379999999999999</v>
      </c>
      <c r="I174" s="252">
        <f>D174*H174*SFAssumptions!$C$3</f>
        <v>3362.1227474400002</v>
      </c>
      <c r="J174" s="253">
        <f t="shared" si="41"/>
        <v>649.99</v>
      </c>
      <c r="K174" s="254">
        <f t="shared" si="41"/>
        <v>3.6</v>
      </c>
      <c r="L174" s="691">
        <f t="shared" si="42"/>
        <v>2.0339499999999999</v>
      </c>
      <c r="M174" s="691">
        <f t="shared" si="43"/>
        <v>4.1257181999999997</v>
      </c>
      <c r="N174" s="255">
        <v>2012</v>
      </c>
      <c r="O174" s="256">
        <f>C174*VLOOKUP(N174,SFAssumptions!$A$42:$B$51,2,FALSE)</f>
        <v>586.97664262085664</v>
      </c>
      <c r="P174" s="254">
        <f ca="1">O174+((SFAssumptions!$C$8-D174)*$AO$35)</f>
        <v>603.21496008471058</v>
      </c>
      <c r="Q174" s="190" t="str">
        <f>IF(OR(L174="",M174=""),"No",IF(AND(E174="Front Load",L174&gt;='Eff. Standards &amp; Certifications'!$B$21,M174&lt;='Eff. Standards &amp; Certifications'!$C$21),"Consider",IF(AND(E174="Top Load",L174&gt;='Eff. Standards &amp; Certifications'!$B$20,M174&lt;='Eff. Standards &amp; Certifications'!$C$20),"Consider","No")))</f>
        <v>Consider</v>
      </c>
      <c r="R174" s="203"/>
      <c r="S174" s="203"/>
      <c r="T174" s="293" t="str">
        <f t="shared" si="48"/>
        <v>YES</v>
      </c>
      <c r="U174" s="293" t="str">
        <f t="shared" si="48"/>
        <v>NO</v>
      </c>
      <c r="V174" s="293" t="str">
        <f t="shared" si="49"/>
        <v>YES</v>
      </c>
      <c r="W174" s="211" t="str">
        <f t="shared" si="44"/>
        <v>YES</v>
      </c>
      <c r="X174" s="211" t="str">
        <f t="shared" si="44"/>
        <v>NO</v>
      </c>
      <c r="Y174" s="211" t="str">
        <f t="shared" si="50"/>
        <v>YES</v>
      </c>
      <c r="Z174" s="211" t="str">
        <f t="shared" si="51"/>
        <v>NO</v>
      </c>
      <c r="AA174" s="211" t="str">
        <f t="shared" si="51"/>
        <v>NO</v>
      </c>
      <c r="AB174" s="293" t="str">
        <f t="shared" si="52"/>
        <v>NO</v>
      </c>
      <c r="AC174" s="211" t="str">
        <f t="shared" si="53"/>
        <v>NO</v>
      </c>
      <c r="AD174" s="211" t="str">
        <f t="shared" si="54"/>
        <v>NO</v>
      </c>
      <c r="AE174" s="211" t="str">
        <f t="shared" si="55"/>
        <v>NO</v>
      </c>
      <c r="AF174" s="206"/>
      <c r="AG174" s="206"/>
      <c r="AH174" s="203">
        <f t="shared" si="45"/>
        <v>2.0339499999999999</v>
      </c>
      <c r="AI174" s="203">
        <f t="shared" si="46"/>
        <v>649.99</v>
      </c>
      <c r="AJ174" s="203">
        <f t="shared" si="47"/>
        <v>750.67713555002774</v>
      </c>
      <c r="AK174" s="203"/>
      <c r="AL174" s="203"/>
      <c r="AM174" s="203"/>
      <c r="AN174" s="207"/>
    </row>
    <row r="175" spans="1:40" s="204" customFormat="1" ht="15">
      <c r="A175" s="280" t="s">
        <v>966</v>
      </c>
      <c r="B175" s="281" t="s">
        <v>967</v>
      </c>
      <c r="C175" s="283">
        <v>999.99</v>
      </c>
      <c r="D175" s="285">
        <v>4.5</v>
      </c>
      <c r="E175" s="250" t="str">
        <f>VLOOKUP(B175,'Northwest Retail Cost Data'!$C$5:$F$275,4,FALSE)</f>
        <v>Top Load</v>
      </c>
      <c r="F175" s="251" t="s">
        <v>846</v>
      </c>
      <c r="G175" s="285">
        <v>2.21</v>
      </c>
      <c r="H175" s="285">
        <v>4.49</v>
      </c>
      <c r="I175" s="252">
        <f>D175*H175*SFAssumptions!$C$3</f>
        <v>5186.8922265000001</v>
      </c>
      <c r="J175" s="253">
        <f t="shared" si="41"/>
        <v>999.99</v>
      </c>
      <c r="K175" s="254">
        <f t="shared" si="41"/>
        <v>4.5</v>
      </c>
      <c r="L175" s="691">
        <f t="shared" si="42"/>
        <v>1.7715999999999998</v>
      </c>
      <c r="M175" s="691">
        <f t="shared" si="43"/>
        <v>4.968261</v>
      </c>
      <c r="N175" s="255">
        <v>2012</v>
      </c>
      <c r="O175" s="256">
        <f>C175*VLOOKUP(N175,SFAssumptions!$A$42:$B$51,2,FALSE)</f>
        <v>903.04585125068149</v>
      </c>
      <c r="P175" s="254">
        <f ca="1">O175+((SFAssumptions!$C$8-D175)*$AO$35)</f>
        <v>836.71985765089823</v>
      </c>
      <c r="Q175" s="190" t="str">
        <f>IF(OR(L175="",M175=""),"No",IF(AND(E175="Front Load",L175&gt;='Eff. Standards &amp; Certifications'!$B$21,M175&lt;='Eff. Standards &amp; Certifications'!$C$21),"Consider",IF(AND(E175="Top Load",L175&gt;='Eff. Standards &amp; Certifications'!$B$20,M175&lt;='Eff. Standards &amp; Certifications'!$C$20),"Consider","No")))</f>
        <v>Consider</v>
      </c>
      <c r="R175" s="203"/>
      <c r="S175" s="203"/>
      <c r="T175" s="293" t="str">
        <f t="shared" si="48"/>
        <v>YES</v>
      </c>
      <c r="U175" s="293" t="str">
        <f t="shared" si="48"/>
        <v>NO</v>
      </c>
      <c r="V175" s="293" t="str">
        <f t="shared" si="49"/>
        <v>YES</v>
      </c>
      <c r="W175" s="211" t="str">
        <f t="shared" si="44"/>
        <v>YES</v>
      </c>
      <c r="X175" s="211" t="str">
        <f t="shared" si="44"/>
        <v>NO</v>
      </c>
      <c r="Y175" s="211" t="str">
        <f t="shared" si="50"/>
        <v>YES</v>
      </c>
      <c r="Z175" s="211" t="str">
        <f t="shared" si="51"/>
        <v>NO</v>
      </c>
      <c r="AA175" s="211" t="str">
        <f t="shared" si="51"/>
        <v>NO</v>
      </c>
      <c r="AB175" s="293" t="str">
        <f t="shared" si="52"/>
        <v>NO</v>
      </c>
      <c r="AC175" s="211" t="str">
        <f t="shared" si="53"/>
        <v>NO</v>
      </c>
      <c r="AD175" s="211" t="str">
        <f t="shared" si="54"/>
        <v>NO</v>
      </c>
      <c r="AE175" s="211" t="str">
        <f t="shared" si="55"/>
        <v>NO</v>
      </c>
      <c r="AF175" s="206"/>
      <c r="AG175" s="206"/>
      <c r="AH175" s="203">
        <f t="shared" si="45"/>
        <v>1.7715999999999998</v>
      </c>
      <c r="AI175" s="203">
        <f t="shared" si="46"/>
        <v>999.99</v>
      </c>
      <c r="AJ175" s="203">
        <f t="shared" si="47"/>
        <v>763.99748763047455</v>
      </c>
      <c r="AK175" s="203"/>
      <c r="AL175" s="203"/>
      <c r="AM175" s="203"/>
      <c r="AN175" s="207"/>
    </row>
    <row r="176" spans="1:40" s="204" customFormat="1" ht="15">
      <c r="A176" s="280" t="s">
        <v>597</v>
      </c>
      <c r="B176" s="281" t="s">
        <v>968</v>
      </c>
      <c r="C176" s="283">
        <v>849.99</v>
      </c>
      <c r="D176" s="285">
        <v>4.5</v>
      </c>
      <c r="E176" s="250" t="str">
        <f>VLOOKUP(B176,'Northwest Retail Cost Data'!$C$5:$F$275,4,FALSE)</f>
        <v>Top Load</v>
      </c>
      <c r="F176" s="251" t="s">
        <v>846</v>
      </c>
      <c r="G176" s="285">
        <v>2.6</v>
      </c>
      <c r="H176" s="285">
        <v>3.55</v>
      </c>
      <c r="I176" s="252">
        <f>D176*H176*SFAssumptions!$C$3</f>
        <v>4100.9949674999998</v>
      </c>
      <c r="J176" s="253">
        <f t="shared" si="41"/>
        <v>849.99</v>
      </c>
      <c r="K176" s="254">
        <f t="shared" si="41"/>
        <v>4.5</v>
      </c>
      <c r="L176" s="691">
        <f t="shared" si="42"/>
        <v>2.1576999999999997</v>
      </c>
      <c r="M176" s="691">
        <f t="shared" si="43"/>
        <v>4.0386949999999997</v>
      </c>
      <c r="N176" s="255">
        <v>2012</v>
      </c>
      <c r="O176" s="256">
        <f>C176*VLOOKUP(N176,SFAssumptions!$A$42:$B$51,2,FALSE)</f>
        <v>767.58761898075659</v>
      </c>
      <c r="P176" s="254">
        <f ca="1">O176+((SFAssumptions!$C$8-D176)*$AO$35)</f>
        <v>701.26162538097333</v>
      </c>
      <c r="Q176" s="190" t="str">
        <f>IF(OR(L176="",M176=""),"No",IF(AND(E176="Front Load",L176&gt;='Eff. Standards &amp; Certifications'!$B$21,M176&lt;='Eff. Standards &amp; Certifications'!$C$21),"Consider",IF(AND(E176="Top Load",L176&gt;='Eff. Standards &amp; Certifications'!$B$20,M176&lt;='Eff. Standards &amp; Certifications'!$C$20),"Consider","No")))</f>
        <v>Consider</v>
      </c>
      <c r="R176" s="203"/>
      <c r="S176" s="203"/>
      <c r="T176" s="293" t="str">
        <f t="shared" si="48"/>
        <v>YES</v>
      </c>
      <c r="U176" s="293" t="str">
        <f t="shared" si="48"/>
        <v>NO</v>
      </c>
      <c r="V176" s="293" t="str">
        <f t="shared" si="49"/>
        <v>YES</v>
      </c>
      <c r="W176" s="211" t="str">
        <f t="shared" si="44"/>
        <v>NO</v>
      </c>
      <c r="X176" s="211" t="str">
        <f t="shared" si="44"/>
        <v>NO</v>
      </c>
      <c r="Y176" s="211" t="str">
        <f t="shared" si="50"/>
        <v>NO</v>
      </c>
      <c r="Z176" s="211" t="str">
        <f t="shared" si="51"/>
        <v>YES</v>
      </c>
      <c r="AA176" s="211" t="str">
        <f t="shared" si="51"/>
        <v>NO</v>
      </c>
      <c r="AB176" s="293" t="str">
        <f t="shared" si="52"/>
        <v>YES</v>
      </c>
      <c r="AC176" s="211" t="str">
        <f t="shared" si="53"/>
        <v>NO</v>
      </c>
      <c r="AD176" s="211" t="str">
        <f t="shared" si="54"/>
        <v>NO</v>
      </c>
      <c r="AE176" s="211" t="str">
        <f t="shared" si="55"/>
        <v>NO</v>
      </c>
      <c r="AF176" s="206"/>
      <c r="AG176" s="206"/>
      <c r="AH176" s="203">
        <f t="shared" si="45"/>
        <v>2.1576999999999997</v>
      </c>
      <c r="AI176" s="203">
        <f t="shared" si="46"/>
        <v>849.99</v>
      </c>
      <c r="AJ176" s="203">
        <f t="shared" si="47"/>
        <v>863.75252401378179</v>
      </c>
      <c r="AK176" s="203"/>
      <c r="AL176" s="203"/>
      <c r="AM176" s="203"/>
      <c r="AN176" s="207"/>
    </row>
    <row r="177" spans="1:40" s="204" customFormat="1" ht="15">
      <c r="A177" s="280" t="s">
        <v>557</v>
      </c>
      <c r="B177" s="281" t="s">
        <v>893</v>
      </c>
      <c r="C177" s="283">
        <v>899.99</v>
      </c>
      <c r="D177" s="285">
        <v>4.5999999999999996</v>
      </c>
      <c r="E177" s="250" t="str">
        <f>VLOOKUP(B177,'Northwest Retail Cost Data'!$C$5:$F$275,4,FALSE)</f>
        <v>Top Load</v>
      </c>
      <c r="F177" s="251" t="s">
        <v>846</v>
      </c>
      <c r="G177" s="285">
        <v>2.61</v>
      </c>
      <c r="H177" s="285">
        <v>3.69</v>
      </c>
      <c r="I177" s="252">
        <f>D177*H177*SFAssumptions!$C$3</f>
        <v>4357.4515541999999</v>
      </c>
      <c r="J177" s="253">
        <f t="shared" si="41"/>
        <v>899.99</v>
      </c>
      <c r="K177" s="254">
        <f t="shared" si="41"/>
        <v>4.5999999999999996</v>
      </c>
      <c r="L177" s="691">
        <f t="shared" si="42"/>
        <v>2.1675999999999997</v>
      </c>
      <c r="M177" s="691">
        <f t="shared" si="43"/>
        <v>4.1771409999999998</v>
      </c>
      <c r="N177" s="255">
        <v>2012</v>
      </c>
      <c r="O177" s="256">
        <f>C177*VLOOKUP(N177,SFAssumptions!$A$42:$B$51,2,FALSE)</f>
        <v>812.74036307073152</v>
      </c>
      <c r="P177" s="254">
        <f ca="1">O177+((SFAssumptions!$C$8-D177)*$AO$35)</f>
        <v>737.24055713054418</v>
      </c>
      <c r="Q177" s="190" t="str">
        <f>IF(OR(L177="",M177=""),"No",IF(AND(E177="Front Load",L177&gt;='Eff. Standards &amp; Certifications'!$B$21,M177&lt;='Eff. Standards &amp; Certifications'!$C$21),"Consider",IF(AND(E177="Top Load",L177&gt;='Eff. Standards &amp; Certifications'!$B$20,M177&lt;='Eff. Standards &amp; Certifications'!$C$20),"Consider","No")))</f>
        <v>Consider</v>
      </c>
      <c r="R177" s="203"/>
      <c r="S177" s="203"/>
      <c r="T177" s="293" t="str">
        <f t="shared" si="48"/>
        <v>YES</v>
      </c>
      <c r="U177" s="293" t="str">
        <f t="shared" si="48"/>
        <v>NO</v>
      </c>
      <c r="V177" s="293" t="str">
        <f t="shared" si="49"/>
        <v>YES</v>
      </c>
      <c r="W177" s="211" t="str">
        <f t="shared" si="44"/>
        <v>NO</v>
      </c>
      <c r="X177" s="211" t="str">
        <f t="shared" si="44"/>
        <v>NO</v>
      </c>
      <c r="Y177" s="211" t="str">
        <f t="shared" si="50"/>
        <v>NO</v>
      </c>
      <c r="Z177" s="211" t="str">
        <f t="shared" si="51"/>
        <v>YES</v>
      </c>
      <c r="AA177" s="211" t="str">
        <f t="shared" si="51"/>
        <v>NO</v>
      </c>
      <c r="AB177" s="293" t="str">
        <f t="shared" si="52"/>
        <v>YES</v>
      </c>
      <c r="AC177" s="211" t="str">
        <f t="shared" si="53"/>
        <v>NO</v>
      </c>
      <c r="AD177" s="211" t="str">
        <f t="shared" si="54"/>
        <v>NO</v>
      </c>
      <c r="AE177" s="211" t="str">
        <f t="shared" si="55"/>
        <v>NO</v>
      </c>
      <c r="AF177" s="206"/>
      <c r="AG177" s="206"/>
      <c r="AH177" s="203">
        <f t="shared" si="45"/>
        <v>2.1675999999999997</v>
      </c>
      <c r="AI177" s="203">
        <f t="shared" si="46"/>
        <v>899.99</v>
      </c>
      <c r="AJ177" s="203">
        <f t="shared" si="47"/>
        <v>874.35951001230455</v>
      </c>
      <c r="AK177" s="203"/>
      <c r="AL177" s="203"/>
      <c r="AM177" s="203"/>
      <c r="AN177" s="207"/>
    </row>
    <row r="178" spans="1:40" s="204" customFormat="1" ht="15">
      <c r="A178" s="280" t="s">
        <v>942</v>
      </c>
      <c r="B178" s="281">
        <v>31523</v>
      </c>
      <c r="C178" s="283">
        <v>1058.24</v>
      </c>
      <c r="D178" s="285">
        <v>4.7</v>
      </c>
      <c r="E178" s="250" t="str">
        <f>VLOOKUP(B178,'Northwest Retail Cost Data'!$C$5:$F$275,4,FALSE)</f>
        <v>Top Load</v>
      </c>
      <c r="F178" s="251" t="s">
        <v>846</v>
      </c>
      <c r="G178" s="285">
        <v>2.75</v>
      </c>
      <c r="H178" s="285">
        <v>3.68</v>
      </c>
      <c r="I178" s="252">
        <f>D178*H178*SFAssumptions!$C$3</f>
        <v>4440.1132368000008</v>
      </c>
      <c r="J178" s="253">
        <f t="shared" si="41"/>
        <v>1058.24</v>
      </c>
      <c r="K178" s="254">
        <f t="shared" si="41"/>
        <v>4.7</v>
      </c>
      <c r="L178" s="691">
        <f t="shared" si="42"/>
        <v>2.3062</v>
      </c>
      <c r="M178" s="691">
        <f t="shared" si="43"/>
        <v>4.1672520000000004</v>
      </c>
      <c r="N178" s="255">
        <v>2012</v>
      </c>
      <c r="O178" s="256">
        <f>C178*VLOOKUP(N178,SFAssumptions!$A$42:$B$51,2,FALSE)</f>
        <v>955.64879811550225</v>
      </c>
      <c r="P178" s="254">
        <f ca="1">O178+((SFAssumptions!$C$8-D178)*$AO$35)</f>
        <v>870.9751798349107</v>
      </c>
      <c r="Q178" s="190" t="str">
        <f>IF(OR(L178="",M178=""),"No",IF(AND(E178="Front Load",L178&gt;='Eff. Standards &amp; Certifications'!$B$21,M178&lt;='Eff. Standards &amp; Certifications'!$C$21),"Consider",IF(AND(E178="Top Load",L178&gt;='Eff. Standards &amp; Certifications'!$B$20,M178&lt;='Eff. Standards &amp; Certifications'!$C$20),"Consider","No")))</f>
        <v>Consider</v>
      </c>
      <c r="R178" s="203"/>
      <c r="S178" s="203"/>
      <c r="T178" s="293" t="str">
        <f t="shared" si="48"/>
        <v>YES</v>
      </c>
      <c r="U178" s="293" t="str">
        <f t="shared" si="48"/>
        <v>NO</v>
      </c>
      <c r="V178" s="293" t="str">
        <f t="shared" si="49"/>
        <v>YES</v>
      </c>
      <c r="W178" s="211" t="str">
        <f t="shared" si="44"/>
        <v>NO</v>
      </c>
      <c r="X178" s="211" t="str">
        <f t="shared" si="44"/>
        <v>NO</v>
      </c>
      <c r="Y178" s="211" t="str">
        <f t="shared" si="50"/>
        <v>NO</v>
      </c>
      <c r="Z178" s="211" t="str">
        <f t="shared" si="51"/>
        <v>YES</v>
      </c>
      <c r="AA178" s="211" t="str">
        <f t="shared" si="51"/>
        <v>NO</v>
      </c>
      <c r="AB178" s="293" t="str">
        <f t="shared" si="52"/>
        <v>YES</v>
      </c>
      <c r="AC178" s="211" t="str">
        <f t="shared" si="53"/>
        <v>NO</v>
      </c>
      <c r="AD178" s="211" t="str">
        <f t="shared" si="54"/>
        <v>NO</v>
      </c>
      <c r="AE178" s="211" t="str">
        <f t="shared" si="55"/>
        <v>NO</v>
      </c>
      <c r="AF178" s="206"/>
      <c r="AG178" s="206"/>
      <c r="AH178" s="203">
        <f t="shared" si="45"/>
        <v>2.3062</v>
      </c>
      <c r="AI178" s="203">
        <f t="shared" si="46"/>
        <v>1058.24</v>
      </c>
      <c r="AJ178" s="203">
        <f t="shared" si="47"/>
        <v>917.0987988041602</v>
      </c>
      <c r="AK178" s="203"/>
      <c r="AL178" s="203"/>
      <c r="AM178" s="203"/>
      <c r="AN178" s="207"/>
    </row>
    <row r="179" spans="1:40" s="204" customFormat="1" ht="15">
      <c r="A179" s="280" t="s">
        <v>625</v>
      </c>
      <c r="B179" s="281" t="s">
        <v>915</v>
      </c>
      <c r="C179" s="283">
        <v>989.99</v>
      </c>
      <c r="D179" s="285">
        <v>4.5999999999999996</v>
      </c>
      <c r="E179" s="250" t="str">
        <f>VLOOKUP(B179,'Northwest Retail Cost Data'!$C$5:$F$275,4,FALSE)</f>
        <v>Top Load</v>
      </c>
      <c r="F179" s="251" t="s">
        <v>846</v>
      </c>
      <c r="G179" s="285">
        <v>2.65</v>
      </c>
      <c r="H179" s="285">
        <v>3.71</v>
      </c>
      <c r="I179" s="252">
        <f>D179*H179*SFAssumptions!$C$3</f>
        <v>4381.0691778</v>
      </c>
      <c r="J179" s="253">
        <f t="shared" si="41"/>
        <v>989.99</v>
      </c>
      <c r="K179" s="254">
        <f t="shared" si="41"/>
        <v>4.5999999999999996</v>
      </c>
      <c r="L179" s="691">
        <f t="shared" si="42"/>
        <v>2.2071999999999998</v>
      </c>
      <c r="M179" s="691">
        <f t="shared" si="43"/>
        <v>4.1969190000000003</v>
      </c>
      <c r="N179" s="255">
        <v>2012</v>
      </c>
      <c r="O179" s="256">
        <f>C179*VLOOKUP(N179,SFAssumptions!$A$42:$B$51,2,FALSE)</f>
        <v>894.01530243268644</v>
      </c>
      <c r="P179" s="254">
        <f ca="1">O179+((SFAssumptions!$C$8-D179)*$AO$35)</f>
        <v>818.5154964924991</v>
      </c>
      <c r="Q179" s="190" t="str">
        <f>IF(OR(L179="",M179=""),"No",IF(AND(E179="Front Load",L179&gt;='Eff. Standards &amp; Certifications'!$B$21,M179&lt;='Eff. Standards &amp; Certifications'!$C$21),"Consider",IF(AND(E179="Top Load",L179&gt;='Eff. Standards &amp; Certifications'!$B$20,M179&lt;='Eff. Standards &amp; Certifications'!$C$20),"Consider","No")))</f>
        <v>Consider</v>
      </c>
      <c r="R179" s="203"/>
      <c r="S179" s="203"/>
      <c r="T179" s="293" t="str">
        <f t="shared" si="48"/>
        <v>YES</v>
      </c>
      <c r="U179" s="293" t="str">
        <f t="shared" si="48"/>
        <v>NO</v>
      </c>
      <c r="V179" s="293" t="str">
        <f t="shared" si="49"/>
        <v>YES</v>
      </c>
      <c r="W179" s="211" t="str">
        <f t="shared" si="44"/>
        <v>NO</v>
      </c>
      <c r="X179" s="211" t="str">
        <f t="shared" si="44"/>
        <v>NO</v>
      </c>
      <c r="Y179" s="211" t="str">
        <f t="shared" si="50"/>
        <v>NO</v>
      </c>
      <c r="Z179" s="211" t="str">
        <f t="shared" si="51"/>
        <v>YES</v>
      </c>
      <c r="AA179" s="211" t="str">
        <f t="shared" si="51"/>
        <v>NO</v>
      </c>
      <c r="AB179" s="293" t="str">
        <f t="shared" si="52"/>
        <v>YES</v>
      </c>
      <c r="AC179" s="211" t="str">
        <f t="shared" si="53"/>
        <v>NO</v>
      </c>
      <c r="AD179" s="211" t="str">
        <f t="shared" si="54"/>
        <v>NO</v>
      </c>
      <c r="AE179" s="211" t="str">
        <f t="shared" si="55"/>
        <v>NO</v>
      </c>
      <c r="AF179" s="206"/>
      <c r="AG179" s="206"/>
      <c r="AH179" s="203">
        <f t="shared" si="45"/>
        <v>2.2071999999999998</v>
      </c>
      <c r="AI179" s="203">
        <f t="shared" si="46"/>
        <v>989.99</v>
      </c>
      <c r="AJ179" s="203">
        <f t="shared" si="47"/>
        <v>883.79299877087396</v>
      </c>
      <c r="AK179" s="203"/>
      <c r="AL179" s="203"/>
      <c r="AM179" s="203"/>
      <c r="AN179" s="207"/>
    </row>
    <row r="180" spans="1:40" s="204" customFormat="1" ht="15">
      <c r="A180" s="280" t="s">
        <v>597</v>
      </c>
      <c r="B180" s="281" t="s">
        <v>969</v>
      </c>
      <c r="C180" s="283">
        <v>999.99</v>
      </c>
      <c r="D180" s="285">
        <v>4.8</v>
      </c>
      <c r="E180" s="250" t="str">
        <f>VLOOKUP(B180,'Northwest Retail Cost Data'!$C$5:$F$275,4,FALSE)</f>
        <v>Top Load</v>
      </c>
      <c r="F180" s="251" t="s">
        <v>846</v>
      </c>
      <c r="G180" s="285">
        <v>2.4</v>
      </c>
      <c r="H180" s="285">
        <v>4</v>
      </c>
      <c r="I180" s="252">
        <f>D180*H180*SFAssumptions!$C$3</f>
        <v>4928.8953599999995</v>
      </c>
      <c r="J180" s="253">
        <f t="shared" si="41"/>
        <v>999.99</v>
      </c>
      <c r="K180" s="254">
        <f t="shared" si="41"/>
        <v>4.8</v>
      </c>
      <c r="L180" s="691">
        <f t="shared" si="42"/>
        <v>1.9596999999999998</v>
      </c>
      <c r="M180" s="691">
        <f t="shared" si="43"/>
        <v>4.4836999999999998</v>
      </c>
      <c r="N180" s="255">
        <v>2012</v>
      </c>
      <c r="O180" s="256">
        <f>C180*VLOOKUP(N180,SFAssumptions!$A$42:$B$51,2,FALSE)</f>
        <v>903.04585125068149</v>
      </c>
      <c r="P180" s="254">
        <f ca="1">O180+((SFAssumptions!$C$8-D180)*$AO$35)</f>
        <v>809.19842062968587</v>
      </c>
      <c r="Q180" s="190" t="str">
        <f>IF(OR(L180="",M180=""),"No",IF(AND(E180="Front Load",L180&gt;='Eff. Standards &amp; Certifications'!$B$21,M180&lt;='Eff. Standards &amp; Certifications'!$C$21),"Consider",IF(AND(E180="Top Load",L180&gt;='Eff. Standards &amp; Certifications'!$B$20,M180&lt;='Eff. Standards &amp; Certifications'!$C$20),"Consider","No")))</f>
        <v>Consider</v>
      </c>
      <c r="R180" s="203"/>
      <c r="S180" s="203"/>
      <c r="T180" s="293" t="str">
        <f t="shared" si="48"/>
        <v>YES</v>
      </c>
      <c r="U180" s="293" t="str">
        <f t="shared" si="48"/>
        <v>NO</v>
      </c>
      <c r="V180" s="293" t="str">
        <f t="shared" si="49"/>
        <v>YES</v>
      </c>
      <c r="W180" s="211" t="str">
        <f t="shared" si="44"/>
        <v>YES</v>
      </c>
      <c r="X180" s="211" t="str">
        <f t="shared" si="44"/>
        <v>NO</v>
      </c>
      <c r="Y180" s="211" t="str">
        <f t="shared" si="50"/>
        <v>YES</v>
      </c>
      <c r="Z180" s="211" t="str">
        <f t="shared" si="51"/>
        <v>NO</v>
      </c>
      <c r="AA180" s="211" t="str">
        <f t="shared" si="51"/>
        <v>NO</v>
      </c>
      <c r="AB180" s="293" t="str">
        <f t="shared" si="52"/>
        <v>NO</v>
      </c>
      <c r="AC180" s="211" t="str">
        <f t="shared" si="53"/>
        <v>NO</v>
      </c>
      <c r="AD180" s="211" t="str">
        <f t="shared" si="54"/>
        <v>NO</v>
      </c>
      <c r="AE180" s="211" t="str">
        <f t="shared" si="55"/>
        <v>NO</v>
      </c>
      <c r="AF180" s="206"/>
      <c r="AG180" s="206"/>
      <c r="AH180" s="203">
        <f t="shared" si="45"/>
        <v>1.9596999999999998</v>
      </c>
      <c r="AI180" s="203">
        <f t="shared" si="46"/>
        <v>999.99</v>
      </c>
      <c r="AJ180" s="203">
        <f t="shared" si="47"/>
        <v>840.33718989149463</v>
      </c>
      <c r="AK180" s="203"/>
      <c r="AL180" s="203"/>
      <c r="AM180" s="203"/>
      <c r="AN180" s="207"/>
    </row>
    <row r="181" spans="1:40" s="204" customFormat="1" ht="15">
      <c r="A181" s="280" t="s">
        <v>597</v>
      </c>
      <c r="B181" s="281" t="s">
        <v>970</v>
      </c>
      <c r="C181" s="283">
        <v>699.99</v>
      </c>
      <c r="D181" s="285">
        <v>4</v>
      </c>
      <c r="E181" s="250" t="str">
        <f>VLOOKUP(B181,'Northwest Retail Cost Data'!$C$5:$F$275,4,FALSE)</f>
        <v>Top Load</v>
      </c>
      <c r="F181" s="251" t="s">
        <v>846</v>
      </c>
      <c r="G181" s="285">
        <v>2.41</v>
      </c>
      <c r="H181" s="285">
        <v>3.7</v>
      </c>
      <c r="I181" s="252">
        <f>D181*H181*SFAssumptions!$C$3</f>
        <v>3799.3568400000004</v>
      </c>
      <c r="J181" s="253">
        <f t="shared" si="41"/>
        <v>699.99</v>
      </c>
      <c r="K181" s="254">
        <f t="shared" si="41"/>
        <v>4</v>
      </c>
      <c r="L181" s="691">
        <f t="shared" si="42"/>
        <v>1.9695999999999998</v>
      </c>
      <c r="M181" s="691">
        <f t="shared" si="43"/>
        <v>4.18703</v>
      </c>
      <c r="N181" s="255">
        <v>2012</v>
      </c>
      <c r="O181" s="256">
        <f>C181*VLOOKUP(N181,SFAssumptions!$A$42:$B$51,2,FALSE)</f>
        <v>632.12938671083157</v>
      </c>
      <c r="P181" s="254">
        <f ca="1">O181+((SFAssumptions!$C$8-D181)*$AO$35)</f>
        <v>611.67245481306895</v>
      </c>
      <c r="Q181" s="190" t="str">
        <f>IF(OR(L181="",M181=""),"No",IF(AND(E181="Front Load",L181&gt;='Eff. Standards &amp; Certifications'!$B$21,M181&lt;='Eff. Standards &amp; Certifications'!$C$21),"Consider",IF(AND(E181="Top Load",L181&gt;='Eff. Standards &amp; Certifications'!$B$20,M181&lt;='Eff. Standards &amp; Certifications'!$C$20),"Consider","No")))</f>
        <v>Consider</v>
      </c>
      <c r="R181" s="203"/>
      <c r="S181" s="203"/>
      <c r="T181" s="293" t="str">
        <f t="shared" si="48"/>
        <v>YES</v>
      </c>
      <c r="U181" s="293" t="str">
        <f t="shared" si="48"/>
        <v>NO</v>
      </c>
      <c r="V181" s="293" t="str">
        <f t="shared" si="49"/>
        <v>YES</v>
      </c>
      <c r="W181" s="211" t="str">
        <f t="shared" si="44"/>
        <v>YES</v>
      </c>
      <c r="X181" s="211" t="str">
        <f t="shared" si="44"/>
        <v>NO</v>
      </c>
      <c r="Y181" s="211" t="str">
        <f t="shared" si="50"/>
        <v>YES</v>
      </c>
      <c r="Z181" s="211" t="str">
        <f t="shared" si="51"/>
        <v>NO</v>
      </c>
      <c r="AA181" s="211" t="str">
        <f t="shared" si="51"/>
        <v>NO</v>
      </c>
      <c r="AB181" s="293" t="str">
        <f t="shared" si="52"/>
        <v>NO</v>
      </c>
      <c r="AC181" s="211" t="str">
        <f t="shared" si="53"/>
        <v>NO</v>
      </c>
      <c r="AD181" s="211" t="str">
        <f t="shared" si="54"/>
        <v>NO</v>
      </c>
      <c r="AE181" s="211" t="str">
        <f t="shared" si="55"/>
        <v>NO</v>
      </c>
      <c r="AF181" s="206"/>
      <c r="AG181" s="206"/>
      <c r="AH181" s="203">
        <f t="shared" si="45"/>
        <v>1.9695999999999998</v>
      </c>
      <c r="AI181" s="203">
        <f t="shared" si="46"/>
        <v>699.99</v>
      </c>
      <c r="AJ181" s="203">
        <f t="shared" si="47"/>
        <v>771.3953267069021</v>
      </c>
      <c r="AK181" s="203"/>
      <c r="AL181" s="203"/>
      <c r="AM181" s="203"/>
      <c r="AN181" s="207"/>
    </row>
    <row r="182" spans="1:40" s="204" customFormat="1" ht="15">
      <c r="A182" s="280" t="s">
        <v>942</v>
      </c>
      <c r="B182" s="281">
        <v>31522</v>
      </c>
      <c r="C182" s="283">
        <v>970.49</v>
      </c>
      <c r="D182" s="285">
        <v>4.7</v>
      </c>
      <c r="E182" s="250" t="str">
        <f>VLOOKUP(B182,'Northwest Retail Cost Data'!$C$5:$F$275,4,FALSE)</f>
        <v>Top Load</v>
      </c>
      <c r="F182" s="251" t="s">
        <v>846</v>
      </c>
      <c r="G182" s="285">
        <v>2.75</v>
      </c>
      <c r="H182" s="285">
        <v>3.68</v>
      </c>
      <c r="I182" s="252">
        <f>D182*H182*SFAssumptions!$C$3</f>
        <v>4440.1132368000008</v>
      </c>
      <c r="J182" s="253">
        <f t="shared" si="41"/>
        <v>970.49</v>
      </c>
      <c r="K182" s="254">
        <f t="shared" si="41"/>
        <v>4.7</v>
      </c>
      <c r="L182" s="691">
        <f t="shared" si="42"/>
        <v>2.3062</v>
      </c>
      <c r="M182" s="691">
        <f t="shared" si="43"/>
        <v>4.1672520000000004</v>
      </c>
      <c r="N182" s="255">
        <v>2012</v>
      </c>
      <c r="O182" s="256">
        <f>C182*VLOOKUP(N182,SFAssumptions!$A$42:$B$51,2,FALSE)</f>
        <v>876.40573223759623</v>
      </c>
      <c r="P182" s="254">
        <f ca="1">O182+((SFAssumptions!$C$8-D182)*$AO$35)</f>
        <v>791.73211395700469</v>
      </c>
      <c r="Q182" s="190" t="str">
        <f>IF(OR(L182="",M182=""),"No",IF(AND(E182="Front Load",L182&gt;='Eff. Standards &amp; Certifications'!$B$21,M182&lt;='Eff. Standards &amp; Certifications'!$C$21),"Consider",IF(AND(E182="Top Load",L182&gt;='Eff. Standards &amp; Certifications'!$B$20,M182&lt;='Eff. Standards &amp; Certifications'!$C$20),"Consider","No")))</f>
        <v>Consider</v>
      </c>
      <c r="R182" s="203"/>
      <c r="S182" s="203"/>
      <c r="T182" s="293" t="str">
        <f t="shared" si="48"/>
        <v>YES</v>
      </c>
      <c r="U182" s="293" t="str">
        <f t="shared" si="48"/>
        <v>NO</v>
      </c>
      <c r="V182" s="293" t="str">
        <f t="shared" si="49"/>
        <v>YES</v>
      </c>
      <c r="W182" s="211" t="str">
        <f t="shared" si="44"/>
        <v>NO</v>
      </c>
      <c r="X182" s="211" t="str">
        <f t="shared" si="44"/>
        <v>NO</v>
      </c>
      <c r="Y182" s="211" t="str">
        <f t="shared" si="50"/>
        <v>NO</v>
      </c>
      <c r="Z182" s="211" t="str">
        <f t="shared" si="51"/>
        <v>YES</v>
      </c>
      <c r="AA182" s="211" t="str">
        <f t="shared" si="51"/>
        <v>NO</v>
      </c>
      <c r="AB182" s="293" t="str">
        <f t="shared" si="52"/>
        <v>YES</v>
      </c>
      <c r="AC182" s="211" t="str">
        <f t="shared" si="53"/>
        <v>NO</v>
      </c>
      <c r="AD182" s="211" t="str">
        <f t="shared" si="54"/>
        <v>NO</v>
      </c>
      <c r="AE182" s="211" t="str">
        <f t="shared" si="55"/>
        <v>NO</v>
      </c>
      <c r="AF182" s="206"/>
      <c r="AG182" s="206"/>
      <c r="AH182" s="203">
        <f t="shared" si="45"/>
        <v>2.3062</v>
      </c>
      <c r="AI182" s="203">
        <f t="shared" si="46"/>
        <v>970.49</v>
      </c>
      <c r="AJ182" s="203">
        <f t="shared" si="47"/>
        <v>917.0987988041602</v>
      </c>
      <c r="AK182" s="203"/>
      <c r="AL182" s="203"/>
      <c r="AM182" s="203"/>
      <c r="AN182" s="207"/>
    </row>
    <row r="183" spans="1:40" s="204" customFormat="1" ht="15">
      <c r="A183" s="280" t="s">
        <v>557</v>
      </c>
      <c r="B183" s="281" t="s">
        <v>971</v>
      </c>
      <c r="C183" s="283">
        <v>849.99</v>
      </c>
      <c r="D183" s="285">
        <v>3.6</v>
      </c>
      <c r="E183" s="250" t="str">
        <f>VLOOKUP(B183,'Northwest Retail Cost Data'!$C$5:$F$275,4,FALSE)</f>
        <v>Top Load</v>
      </c>
      <c r="F183" s="251" t="s">
        <v>846</v>
      </c>
      <c r="G183" s="285">
        <v>2.4580000000000002</v>
      </c>
      <c r="H183" s="285">
        <v>3.6179999999999999</v>
      </c>
      <c r="I183" s="252">
        <f>D183*H183*SFAssumptions!$C$3</f>
        <v>3343.6393898399997</v>
      </c>
      <c r="J183" s="253">
        <f t="shared" si="41"/>
        <v>849.99</v>
      </c>
      <c r="K183" s="254">
        <f t="shared" si="41"/>
        <v>3.6</v>
      </c>
      <c r="L183" s="691">
        <f t="shared" si="42"/>
        <v>2.0171200000000002</v>
      </c>
      <c r="M183" s="691">
        <f t="shared" si="43"/>
        <v>4.1059402</v>
      </c>
      <c r="N183" s="255">
        <v>2012</v>
      </c>
      <c r="O183" s="256">
        <f>C183*VLOOKUP(N183,SFAssumptions!$A$42:$B$51,2,FALSE)</f>
        <v>767.58761898075659</v>
      </c>
      <c r="P183" s="254">
        <f ca="1">O183+((SFAssumptions!$C$8-D183)*$AO$35)</f>
        <v>783.82593644461053</v>
      </c>
      <c r="Q183" s="190" t="str">
        <f>IF(OR(L183="",M183=""),"No",IF(AND(E183="Front Load",L183&gt;='Eff. Standards &amp; Certifications'!$B$21,M183&lt;='Eff. Standards &amp; Certifications'!$C$21),"Consider",IF(AND(E183="Top Load",L183&gt;='Eff. Standards &amp; Certifications'!$B$20,M183&lt;='Eff. Standards &amp; Certifications'!$C$20),"Consider","No")))</f>
        <v>Consider</v>
      </c>
      <c r="R183" s="203"/>
      <c r="S183" s="203"/>
      <c r="T183" s="293" t="str">
        <f t="shared" si="48"/>
        <v>YES</v>
      </c>
      <c r="U183" s="293" t="str">
        <f t="shared" si="48"/>
        <v>NO</v>
      </c>
      <c r="V183" s="293" t="str">
        <f t="shared" si="49"/>
        <v>YES</v>
      </c>
      <c r="W183" s="211" t="str">
        <f t="shared" si="44"/>
        <v>YES</v>
      </c>
      <c r="X183" s="211" t="str">
        <f t="shared" si="44"/>
        <v>NO</v>
      </c>
      <c r="Y183" s="211" t="str">
        <f t="shared" si="50"/>
        <v>YES</v>
      </c>
      <c r="Z183" s="211" t="str">
        <f t="shared" si="51"/>
        <v>NO</v>
      </c>
      <c r="AA183" s="211" t="str">
        <f t="shared" si="51"/>
        <v>NO</v>
      </c>
      <c r="AB183" s="293" t="str">
        <f t="shared" si="52"/>
        <v>NO</v>
      </c>
      <c r="AC183" s="211" t="str">
        <f t="shared" si="53"/>
        <v>NO</v>
      </c>
      <c r="AD183" s="211" t="str">
        <f t="shared" si="54"/>
        <v>NO</v>
      </c>
      <c r="AE183" s="211" t="str">
        <f t="shared" si="55"/>
        <v>NO</v>
      </c>
      <c r="AF183" s="206"/>
      <c r="AG183" s="206"/>
      <c r="AH183" s="203">
        <f t="shared" si="45"/>
        <v>2.0171200000000002</v>
      </c>
      <c r="AI183" s="203">
        <f t="shared" si="46"/>
        <v>849.99</v>
      </c>
      <c r="AJ183" s="203">
        <f t="shared" si="47"/>
        <v>746.74671603587672</v>
      </c>
      <c r="AK183" s="203"/>
      <c r="AL183" s="203"/>
      <c r="AM183" s="203"/>
      <c r="AN183" s="207"/>
    </row>
    <row r="184" spans="1:40" s="204" customFormat="1" ht="15">
      <c r="A184" s="280" t="s">
        <v>597</v>
      </c>
      <c r="B184" s="281" t="s">
        <v>972</v>
      </c>
      <c r="C184" s="283">
        <v>649.99</v>
      </c>
      <c r="D184" s="285">
        <v>4.2</v>
      </c>
      <c r="E184" s="250" t="str">
        <f>VLOOKUP(B184,'Northwest Retail Cost Data'!$C$5:$F$275,4,FALSE)</f>
        <v>Top Load</v>
      </c>
      <c r="F184" s="251" t="s">
        <v>846</v>
      </c>
      <c r="G184" s="285">
        <v>2.4500000000000002</v>
      </c>
      <c r="H184" s="285">
        <v>3.55</v>
      </c>
      <c r="I184" s="252">
        <f>D184*H184*SFAssumptions!$C$3</f>
        <v>3827.5953030000001</v>
      </c>
      <c r="J184" s="253">
        <f t="shared" si="41"/>
        <v>649.99</v>
      </c>
      <c r="K184" s="254">
        <f t="shared" si="41"/>
        <v>4.2</v>
      </c>
      <c r="L184" s="691">
        <f t="shared" si="42"/>
        <v>2.0091999999999999</v>
      </c>
      <c r="M184" s="691">
        <f t="shared" si="43"/>
        <v>4.0386949999999997</v>
      </c>
      <c r="N184" s="255">
        <v>2012</v>
      </c>
      <c r="O184" s="256">
        <f>C184*VLOOKUP(N184,SFAssumptions!$A$42:$B$51,2,FALSE)</f>
        <v>586.97664262085664</v>
      </c>
      <c r="P184" s="254">
        <f ca="1">O184+((SFAssumptions!$C$8-D184)*$AO$35)</f>
        <v>548.17208604228574</v>
      </c>
      <c r="Q184" s="190" t="str">
        <f>IF(OR(L184="",M184=""),"No",IF(AND(E184="Front Load",L184&gt;='Eff. Standards &amp; Certifications'!$B$21,M184&lt;='Eff. Standards &amp; Certifications'!$C$21),"Consider",IF(AND(E184="Top Load",L184&gt;='Eff. Standards &amp; Certifications'!$B$20,M184&lt;='Eff. Standards &amp; Certifications'!$C$20),"Consider","No")))</f>
        <v>Consider</v>
      </c>
      <c r="R184" s="203"/>
      <c r="S184" s="203"/>
      <c r="T184" s="293" t="str">
        <f t="shared" si="48"/>
        <v>YES</v>
      </c>
      <c r="U184" s="293" t="str">
        <f t="shared" si="48"/>
        <v>NO</v>
      </c>
      <c r="V184" s="293" t="str">
        <f t="shared" si="49"/>
        <v>YES</v>
      </c>
      <c r="W184" s="211" t="str">
        <f t="shared" si="44"/>
        <v>YES</v>
      </c>
      <c r="X184" s="211" t="str">
        <f t="shared" si="44"/>
        <v>NO</v>
      </c>
      <c r="Y184" s="211" t="str">
        <f t="shared" si="50"/>
        <v>YES</v>
      </c>
      <c r="Z184" s="211" t="str">
        <f t="shared" si="51"/>
        <v>NO</v>
      </c>
      <c r="AA184" s="211" t="str">
        <f t="shared" si="51"/>
        <v>NO</v>
      </c>
      <c r="AB184" s="293" t="str">
        <f t="shared" si="52"/>
        <v>NO</v>
      </c>
      <c r="AC184" s="211" t="str">
        <f t="shared" si="53"/>
        <v>NO</v>
      </c>
      <c r="AD184" s="211" t="str">
        <f t="shared" si="54"/>
        <v>NO</v>
      </c>
      <c r="AE184" s="211" t="str">
        <f t="shared" si="55"/>
        <v>NO</v>
      </c>
      <c r="AF184" s="206"/>
      <c r="AG184" s="206"/>
      <c r="AH184" s="203">
        <f t="shared" si="45"/>
        <v>2.0091999999999999</v>
      </c>
      <c r="AI184" s="203">
        <f t="shared" si="46"/>
        <v>649.99</v>
      </c>
      <c r="AJ184" s="203">
        <f t="shared" si="47"/>
        <v>800.34150496375423</v>
      </c>
      <c r="AK184" s="203"/>
      <c r="AL184" s="203"/>
      <c r="AM184" s="203"/>
      <c r="AN184" s="207"/>
    </row>
    <row r="185" spans="1:40" s="204" customFormat="1" ht="15">
      <c r="A185" s="280" t="s">
        <v>888</v>
      </c>
      <c r="B185" s="281" t="s">
        <v>891</v>
      </c>
      <c r="C185" s="283">
        <v>989.99</v>
      </c>
      <c r="D185" s="285">
        <v>4.5999999999999996</v>
      </c>
      <c r="E185" s="250" t="str">
        <f>VLOOKUP(B185,'Northwest Retail Cost Data'!$C$5:$F$275,4,FALSE)</f>
        <v>Top Load</v>
      </c>
      <c r="F185" s="251" t="s">
        <v>846</v>
      </c>
      <c r="G185" s="285">
        <v>2.57</v>
      </c>
      <c r="H185" s="285">
        <v>3.88</v>
      </c>
      <c r="I185" s="252">
        <f>D185*H185*SFAssumptions!$C$3</f>
        <v>4581.8189783999997</v>
      </c>
      <c r="J185" s="253">
        <f t="shared" si="41"/>
        <v>989.99</v>
      </c>
      <c r="K185" s="254">
        <f t="shared" si="41"/>
        <v>4.5999999999999996</v>
      </c>
      <c r="L185" s="691">
        <f t="shared" si="42"/>
        <v>2.1279999999999997</v>
      </c>
      <c r="M185" s="691">
        <f t="shared" si="43"/>
        <v>4.3650320000000002</v>
      </c>
      <c r="N185" s="255">
        <v>2012</v>
      </c>
      <c r="O185" s="256">
        <f>C185*VLOOKUP(N185,SFAssumptions!$A$42:$B$51,2,FALSE)</f>
        <v>894.01530243268644</v>
      </c>
      <c r="P185" s="254">
        <f ca="1">O185+((SFAssumptions!$C$8-D185)*$AO$35)</f>
        <v>818.5154964924991</v>
      </c>
      <c r="Q185" s="190" t="str">
        <f>IF(OR(L185="",M185=""),"No",IF(AND(E185="Front Load",L185&gt;='Eff. Standards &amp; Certifications'!$B$21,M185&lt;='Eff. Standards &amp; Certifications'!$C$21),"Consider",IF(AND(E185="Top Load",L185&gt;='Eff. Standards &amp; Certifications'!$B$20,M185&lt;='Eff. Standards &amp; Certifications'!$C$20),"Consider","No")))</f>
        <v>Consider</v>
      </c>
      <c r="R185" s="203"/>
      <c r="S185" s="203"/>
      <c r="T185" s="293" t="str">
        <f t="shared" si="48"/>
        <v>YES</v>
      </c>
      <c r="U185" s="293" t="str">
        <f t="shared" si="48"/>
        <v>NO</v>
      </c>
      <c r="V185" s="293" t="str">
        <f t="shared" si="49"/>
        <v>YES</v>
      </c>
      <c r="W185" s="211" t="str">
        <f t="shared" si="44"/>
        <v>YES</v>
      </c>
      <c r="X185" s="211" t="str">
        <f t="shared" si="44"/>
        <v>NO</v>
      </c>
      <c r="Y185" s="211" t="str">
        <f t="shared" si="50"/>
        <v>YES</v>
      </c>
      <c r="Z185" s="211" t="str">
        <f t="shared" si="51"/>
        <v>NO</v>
      </c>
      <c r="AA185" s="211" t="str">
        <f t="shared" si="51"/>
        <v>NO</v>
      </c>
      <c r="AB185" s="293" t="str">
        <f t="shared" si="52"/>
        <v>NO</v>
      </c>
      <c r="AC185" s="211" t="str">
        <f t="shared" si="53"/>
        <v>NO</v>
      </c>
      <c r="AD185" s="211" t="str">
        <f t="shared" si="54"/>
        <v>NO</v>
      </c>
      <c r="AE185" s="211" t="str">
        <f t="shared" si="55"/>
        <v>NO</v>
      </c>
      <c r="AF185" s="206"/>
      <c r="AG185" s="206"/>
      <c r="AH185" s="203">
        <f t="shared" si="45"/>
        <v>2.1279999999999997</v>
      </c>
      <c r="AI185" s="203">
        <f t="shared" si="46"/>
        <v>989.99</v>
      </c>
      <c r="AJ185" s="203">
        <f t="shared" si="47"/>
        <v>863.48682353803156</v>
      </c>
      <c r="AK185" s="203"/>
      <c r="AL185" s="203"/>
      <c r="AM185" s="203"/>
      <c r="AN185" s="207"/>
    </row>
    <row r="186" spans="1:40" s="204" customFormat="1" ht="15">
      <c r="A186" s="280" t="s">
        <v>852</v>
      </c>
      <c r="B186" s="281" t="s">
        <v>973</v>
      </c>
      <c r="C186" s="283">
        <v>479.99</v>
      </c>
      <c r="D186" s="285">
        <v>3.7</v>
      </c>
      <c r="E186" s="250" t="str">
        <f>VLOOKUP(B186,'Northwest Retail Cost Data'!$C$5:$F$275,4,FALSE)</f>
        <v>Top Load</v>
      </c>
      <c r="F186" s="251" t="s">
        <v>846</v>
      </c>
      <c r="G186" s="285">
        <v>1.26</v>
      </c>
      <c r="H186" s="285">
        <v>9.5</v>
      </c>
      <c r="I186" s="252">
        <f>D186*H186*SFAssumptions!$C$3</f>
        <v>9023.472495</v>
      </c>
      <c r="J186" s="253">
        <f t="shared" si="41"/>
        <v>479.99</v>
      </c>
      <c r="K186" s="254">
        <f t="shared" si="41"/>
        <v>3.7</v>
      </c>
      <c r="L186" s="691">
        <f t="shared" si="42"/>
        <v>0.83110000000000006</v>
      </c>
      <c r="M186" s="691">
        <f t="shared" si="43"/>
        <v>9.9226500000000009</v>
      </c>
      <c r="N186" s="255">
        <v>2012</v>
      </c>
      <c r="O186" s="256">
        <f>C186*VLOOKUP(N186,SFAssumptions!$A$42:$B$51,2,FALSE)</f>
        <v>433.45731271494174</v>
      </c>
      <c r="P186" s="254">
        <f ca="1">O186+((SFAssumptions!$C$8-D186)*$AO$35)</f>
        <v>440.52181783839148</v>
      </c>
      <c r="Q186" s="190" t="str">
        <f>IF(OR(L186="",M186=""),"No",IF(AND(E186="Front Load",L186&gt;='Eff. Standards &amp; Certifications'!$B$21,M186&lt;='Eff. Standards &amp; Certifications'!$C$21),"Consider",IF(AND(E186="Top Load",L186&gt;='Eff. Standards &amp; Certifications'!$B$20,M186&lt;='Eff. Standards &amp; Certifications'!$C$20),"Consider","No")))</f>
        <v>No</v>
      </c>
      <c r="R186" s="203"/>
      <c r="S186" s="203"/>
      <c r="T186" s="293" t="str">
        <f t="shared" si="48"/>
        <v>NO</v>
      </c>
      <c r="U186" s="293" t="str">
        <f t="shared" si="48"/>
        <v>NO</v>
      </c>
      <c r="V186" s="293" t="str">
        <f t="shared" si="49"/>
        <v>NO</v>
      </c>
      <c r="W186" s="211" t="str">
        <f t="shared" si="44"/>
        <v>NO</v>
      </c>
      <c r="X186" s="211" t="str">
        <f t="shared" si="44"/>
        <v>NO</v>
      </c>
      <c r="Y186" s="211" t="str">
        <f t="shared" si="50"/>
        <v>NO</v>
      </c>
      <c r="Z186" s="211" t="str">
        <f t="shared" si="51"/>
        <v>NO</v>
      </c>
      <c r="AA186" s="211" t="str">
        <f t="shared" si="51"/>
        <v>NO</v>
      </c>
      <c r="AB186" s="293" t="str">
        <f t="shared" si="52"/>
        <v>NO</v>
      </c>
      <c r="AC186" s="211" t="str">
        <f t="shared" si="53"/>
        <v>NO</v>
      </c>
      <c r="AD186" s="211" t="str">
        <f t="shared" si="54"/>
        <v>NO</v>
      </c>
      <c r="AE186" s="211" t="str">
        <f t="shared" si="55"/>
        <v>NO</v>
      </c>
      <c r="AF186" s="206"/>
      <c r="AG186" s="206"/>
      <c r="AH186" s="203">
        <f t="shared" si="45"/>
        <v>0.83110000000000006</v>
      </c>
      <c r="AI186" s="203">
        <f t="shared" si="46"/>
        <v>479.99</v>
      </c>
      <c r="AJ186" s="203">
        <f t="shared" si="47"/>
        <v>428.97115722152967</v>
      </c>
      <c r="AK186" s="203"/>
      <c r="AL186" s="203"/>
      <c r="AM186" s="203"/>
      <c r="AN186" s="207"/>
    </row>
    <row r="187" spans="1:40" s="204" customFormat="1" ht="15">
      <c r="A187" s="280" t="s">
        <v>888</v>
      </c>
      <c r="B187" s="281" t="s">
        <v>974</v>
      </c>
      <c r="C187" s="283">
        <v>1199.99</v>
      </c>
      <c r="D187" s="285">
        <v>4.5999999999999996</v>
      </c>
      <c r="E187" s="250" t="str">
        <f>VLOOKUP(B187,'Northwest Retail Cost Data'!$C$5:$F$275,4,FALSE)</f>
        <v>Top Load</v>
      </c>
      <c r="F187" s="251" t="s">
        <v>846</v>
      </c>
      <c r="G187" s="285">
        <v>2.57</v>
      </c>
      <c r="H187" s="285">
        <v>3.88</v>
      </c>
      <c r="I187" s="252">
        <f>D187*H187*SFAssumptions!$C$3</f>
        <v>4581.8189783999997</v>
      </c>
      <c r="J187" s="253">
        <f t="shared" si="41"/>
        <v>1199.99</v>
      </c>
      <c r="K187" s="254">
        <f t="shared" si="41"/>
        <v>4.5999999999999996</v>
      </c>
      <c r="L187" s="691">
        <f t="shared" si="42"/>
        <v>2.1279999999999997</v>
      </c>
      <c r="M187" s="691">
        <f t="shared" si="43"/>
        <v>4.3650320000000002</v>
      </c>
      <c r="N187" s="255">
        <v>2012</v>
      </c>
      <c r="O187" s="256">
        <f>C187*VLOOKUP(N187,SFAssumptions!$A$42:$B$51,2,FALSE)</f>
        <v>1083.6568276105813</v>
      </c>
      <c r="P187" s="254">
        <f ca="1">O187+((SFAssumptions!$C$8-D187)*$AO$35)</f>
        <v>1008.157021670394</v>
      </c>
      <c r="Q187" s="190" t="str">
        <f>IF(OR(L187="",M187=""),"No",IF(AND(E187="Front Load",L187&gt;='Eff. Standards &amp; Certifications'!$B$21,M187&lt;='Eff. Standards &amp; Certifications'!$C$21),"Consider",IF(AND(E187="Top Load",L187&gt;='Eff. Standards &amp; Certifications'!$B$20,M187&lt;='Eff. Standards &amp; Certifications'!$C$20),"Consider","No")))</f>
        <v>Consider</v>
      </c>
      <c r="R187" s="203"/>
      <c r="S187" s="203"/>
      <c r="T187" s="293" t="str">
        <f t="shared" si="48"/>
        <v>YES</v>
      </c>
      <c r="U187" s="293" t="str">
        <f t="shared" si="48"/>
        <v>NO</v>
      </c>
      <c r="V187" s="293" t="str">
        <f t="shared" si="49"/>
        <v>YES</v>
      </c>
      <c r="W187" s="211" t="str">
        <f t="shared" si="44"/>
        <v>YES</v>
      </c>
      <c r="X187" s="211" t="str">
        <f t="shared" si="44"/>
        <v>NO</v>
      </c>
      <c r="Y187" s="211" t="str">
        <f t="shared" si="50"/>
        <v>YES</v>
      </c>
      <c r="Z187" s="211" t="str">
        <f t="shared" si="51"/>
        <v>NO</v>
      </c>
      <c r="AA187" s="211" t="str">
        <f t="shared" si="51"/>
        <v>NO</v>
      </c>
      <c r="AB187" s="293" t="str">
        <f t="shared" si="52"/>
        <v>NO</v>
      </c>
      <c r="AC187" s="211" t="str">
        <f t="shared" si="53"/>
        <v>NO</v>
      </c>
      <c r="AD187" s="211" t="str">
        <f t="shared" si="54"/>
        <v>NO</v>
      </c>
      <c r="AE187" s="211" t="str">
        <f t="shared" si="55"/>
        <v>NO</v>
      </c>
      <c r="AF187" s="206"/>
      <c r="AG187" s="206"/>
      <c r="AH187" s="203">
        <f t="shared" si="45"/>
        <v>2.1279999999999997</v>
      </c>
      <c r="AI187" s="203">
        <f t="shared" si="46"/>
        <v>1199.99</v>
      </c>
      <c r="AJ187" s="203">
        <f t="shared" si="47"/>
        <v>863.48682353803156</v>
      </c>
      <c r="AK187" s="203"/>
      <c r="AL187" s="203"/>
      <c r="AM187" s="203"/>
      <c r="AN187" s="207"/>
    </row>
    <row r="188" spans="1:40" s="204" customFormat="1" ht="15">
      <c r="A188" s="280" t="s">
        <v>557</v>
      </c>
      <c r="B188" s="281" t="s">
        <v>892</v>
      </c>
      <c r="C188" s="283">
        <v>699.99</v>
      </c>
      <c r="D188" s="285">
        <v>3.6</v>
      </c>
      <c r="E188" s="250" t="str">
        <f>VLOOKUP(B188,'Northwest Retail Cost Data'!$C$5:$F$275,4,FALSE)</f>
        <v>Top Load</v>
      </c>
      <c r="F188" s="251" t="s">
        <v>846</v>
      </c>
      <c r="G188" s="285">
        <v>2.4580000000000002</v>
      </c>
      <c r="H188" s="285">
        <v>3.6179999999999999</v>
      </c>
      <c r="I188" s="252">
        <f>D188*H188*SFAssumptions!$C$3</f>
        <v>3343.6393898399997</v>
      </c>
      <c r="J188" s="253">
        <f t="shared" si="41"/>
        <v>699.99</v>
      </c>
      <c r="K188" s="254">
        <f t="shared" si="41"/>
        <v>3.6</v>
      </c>
      <c r="L188" s="691">
        <f t="shared" si="42"/>
        <v>2.0171200000000002</v>
      </c>
      <c r="M188" s="691">
        <f t="shared" si="43"/>
        <v>4.1059402</v>
      </c>
      <c r="N188" s="255">
        <v>2012</v>
      </c>
      <c r="O188" s="256">
        <f>C188*VLOOKUP(N188,SFAssumptions!$A$42:$B$51,2,FALSE)</f>
        <v>632.12938671083157</v>
      </c>
      <c r="P188" s="254">
        <f ca="1">O188+((SFAssumptions!$C$8-D188)*$AO$35)</f>
        <v>648.36770417468551</v>
      </c>
      <c r="Q188" s="190" t="str">
        <f>IF(OR(L188="",M188=""),"No",IF(AND(E188="Front Load",L188&gt;='Eff. Standards &amp; Certifications'!$B$21,M188&lt;='Eff. Standards &amp; Certifications'!$C$21),"Consider",IF(AND(E188="Top Load",L188&gt;='Eff. Standards &amp; Certifications'!$B$20,M188&lt;='Eff. Standards &amp; Certifications'!$C$20),"Consider","No")))</f>
        <v>Consider</v>
      </c>
      <c r="R188" s="203"/>
      <c r="S188" s="203"/>
      <c r="T188" s="293" t="str">
        <f t="shared" si="48"/>
        <v>YES</v>
      </c>
      <c r="U188" s="293" t="str">
        <f t="shared" si="48"/>
        <v>NO</v>
      </c>
      <c r="V188" s="293" t="str">
        <f t="shared" si="49"/>
        <v>YES</v>
      </c>
      <c r="W188" s="211" t="str">
        <f t="shared" si="44"/>
        <v>YES</v>
      </c>
      <c r="X188" s="211" t="str">
        <f t="shared" si="44"/>
        <v>NO</v>
      </c>
      <c r="Y188" s="211" t="str">
        <f t="shared" si="50"/>
        <v>YES</v>
      </c>
      <c r="Z188" s="211" t="str">
        <f t="shared" si="51"/>
        <v>NO</v>
      </c>
      <c r="AA188" s="211" t="str">
        <f t="shared" si="51"/>
        <v>NO</v>
      </c>
      <c r="AB188" s="293" t="str">
        <f t="shared" si="52"/>
        <v>NO</v>
      </c>
      <c r="AC188" s="211" t="str">
        <f t="shared" si="53"/>
        <v>NO</v>
      </c>
      <c r="AD188" s="211" t="str">
        <f t="shared" si="54"/>
        <v>NO</v>
      </c>
      <c r="AE188" s="211" t="str">
        <f t="shared" si="55"/>
        <v>NO</v>
      </c>
      <c r="AF188" s="206"/>
      <c r="AG188" s="206"/>
      <c r="AH188" s="203">
        <f t="shared" si="45"/>
        <v>2.0171200000000002</v>
      </c>
      <c r="AI188" s="203">
        <f t="shared" si="46"/>
        <v>699.99</v>
      </c>
      <c r="AJ188" s="203">
        <f t="shared" si="47"/>
        <v>746.74671603587672</v>
      </c>
      <c r="AK188" s="203"/>
      <c r="AL188" s="203"/>
      <c r="AM188" s="203"/>
      <c r="AN188" s="207"/>
    </row>
    <row r="189" spans="1:40" s="204" customFormat="1" ht="15">
      <c r="A189" s="280" t="s">
        <v>625</v>
      </c>
      <c r="B189" s="281" t="s">
        <v>916</v>
      </c>
      <c r="C189" s="283">
        <v>999.99</v>
      </c>
      <c r="D189" s="285">
        <v>4.5999999999999996</v>
      </c>
      <c r="E189" s="250" t="str">
        <f>VLOOKUP(B189,'Northwest Retail Cost Data'!$C$5:$F$275,4,FALSE)</f>
        <v>Top Load</v>
      </c>
      <c r="F189" s="251" t="s">
        <v>846</v>
      </c>
      <c r="G189" s="285">
        <v>2.65</v>
      </c>
      <c r="H189" s="285">
        <v>3.71</v>
      </c>
      <c r="I189" s="252">
        <f>D189*H189*SFAssumptions!$C$3</f>
        <v>4381.0691778</v>
      </c>
      <c r="J189" s="253">
        <f t="shared" si="41"/>
        <v>999.99</v>
      </c>
      <c r="K189" s="254">
        <f t="shared" si="41"/>
        <v>4.5999999999999996</v>
      </c>
      <c r="L189" s="691">
        <f t="shared" si="42"/>
        <v>2.2071999999999998</v>
      </c>
      <c r="M189" s="691">
        <f t="shared" si="43"/>
        <v>4.1969190000000003</v>
      </c>
      <c r="N189" s="255">
        <v>2012</v>
      </c>
      <c r="O189" s="256">
        <f>C189*VLOOKUP(N189,SFAssumptions!$A$42:$B$51,2,FALSE)</f>
        <v>903.04585125068149</v>
      </c>
      <c r="P189" s="254">
        <f ca="1">O189+((SFAssumptions!$C$8-D189)*$AO$35)</f>
        <v>827.54604531049404</v>
      </c>
      <c r="Q189" s="190" t="str">
        <f>IF(OR(L189="",M189=""),"No",IF(AND(E189="Front Load",L189&gt;='Eff. Standards &amp; Certifications'!$B$21,M189&lt;='Eff. Standards &amp; Certifications'!$C$21),"Consider",IF(AND(E189="Top Load",L189&gt;='Eff. Standards &amp; Certifications'!$B$20,M189&lt;='Eff. Standards &amp; Certifications'!$C$20),"Consider","No")))</f>
        <v>Consider</v>
      </c>
      <c r="R189" s="203"/>
      <c r="S189" s="203"/>
      <c r="T189" s="293" t="str">
        <f t="shared" si="48"/>
        <v>YES</v>
      </c>
      <c r="U189" s="293" t="str">
        <f t="shared" si="48"/>
        <v>NO</v>
      </c>
      <c r="V189" s="293" t="str">
        <f t="shared" si="49"/>
        <v>YES</v>
      </c>
      <c r="W189" s="211" t="str">
        <f t="shared" si="44"/>
        <v>NO</v>
      </c>
      <c r="X189" s="211" t="str">
        <f t="shared" si="44"/>
        <v>NO</v>
      </c>
      <c r="Y189" s="211" t="str">
        <f t="shared" si="50"/>
        <v>NO</v>
      </c>
      <c r="Z189" s="211" t="str">
        <f t="shared" si="51"/>
        <v>YES</v>
      </c>
      <c r="AA189" s="211" t="str">
        <f t="shared" si="51"/>
        <v>NO</v>
      </c>
      <c r="AB189" s="293" t="str">
        <f t="shared" si="52"/>
        <v>YES</v>
      </c>
      <c r="AC189" s="211" t="str">
        <f t="shared" si="53"/>
        <v>NO</v>
      </c>
      <c r="AD189" s="211" t="str">
        <f t="shared" si="54"/>
        <v>NO</v>
      </c>
      <c r="AE189" s="211" t="str">
        <f t="shared" si="55"/>
        <v>NO</v>
      </c>
      <c r="AF189" s="206"/>
      <c r="AG189" s="206"/>
      <c r="AH189" s="203">
        <f t="shared" si="45"/>
        <v>2.2071999999999998</v>
      </c>
      <c r="AI189" s="203">
        <f t="shared" si="46"/>
        <v>999.99</v>
      </c>
      <c r="AJ189" s="203">
        <f t="shared" si="47"/>
        <v>883.79299877087396</v>
      </c>
      <c r="AK189" s="203"/>
      <c r="AL189" s="203"/>
      <c r="AM189" s="203"/>
      <c r="AN189" s="207"/>
    </row>
    <row r="190" spans="1:40" s="204" customFormat="1" ht="15">
      <c r="A190" s="280" t="s">
        <v>557</v>
      </c>
      <c r="B190" s="281" t="s">
        <v>890</v>
      </c>
      <c r="C190" s="283">
        <v>799.99</v>
      </c>
      <c r="D190" s="285">
        <v>3.6</v>
      </c>
      <c r="E190" s="250" t="str">
        <f>VLOOKUP(B190,'Northwest Retail Cost Data'!$C$5:$F$275,4,FALSE)</f>
        <v>Top Load</v>
      </c>
      <c r="F190" s="251" t="s">
        <v>846</v>
      </c>
      <c r="G190" s="285">
        <v>2.4580000000000002</v>
      </c>
      <c r="H190" s="285">
        <v>3.6179999999999999</v>
      </c>
      <c r="I190" s="252">
        <f>D190*H190*SFAssumptions!$C$3</f>
        <v>3343.6393898399997</v>
      </c>
      <c r="J190" s="253">
        <f t="shared" si="41"/>
        <v>799.99</v>
      </c>
      <c r="K190" s="254">
        <f t="shared" si="41"/>
        <v>3.6</v>
      </c>
      <c r="L190" s="691">
        <f t="shared" si="42"/>
        <v>2.0171200000000002</v>
      </c>
      <c r="M190" s="691">
        <f t="shared" si="43"/>
        <v>4.1059402</v>
      </c>
      <c r="N190" s="255">
        <v>2012</v>
      </c>
      <c r="O190" s="256">
        <f>C190*VLOOKUP(N190,SFAssumptions!$A$42:$B$51,2,FALSE)</f>
        <v>722.43487489078154</v>
      </c>
      <c r="P190" s="254">
        <f ca="1">O190+((SFAssumptions!$C$8-D190)*$AO$35)</f>
        <v>738.67319235463549</v>
      </c>
      <c r="Q190" s="190" t="str">
        <f>IF(OR(L190="",M190=""),"No",IF(AND(E190="Front Load",L190&gt;='Eff. Standards &amp; Certifications'!$B$21,M190&lt;='Eff. Standards &amp; Certifications'!$C$21),"Consider",IF(AND(E190="Top Load",L190&gt;='Eff. Standards &amp; Certifications'!$B$20,M190&lt;='Eff. Standards &amp; Certifications'!$C$20),"Consider","No")))</f>
        <v>Consider</v>
      </c>
      <c r="R190" s="203"/>
      <c r="S190" s="203"/>
      <c r="T190" s="293" t="str">
        <f t="shared" si="48"/>
        <v>YES</v>
      </c>
      <c r="U190" s="293" t="str">
        <f t="shared" si="48"/>
        <v>NO</v>
      </c>
      <c r="V190" s="293" t="str">
        <f t="shared" si="49"/>
        <v>YES</v>
      </c>
      <c r="W190" s="211" t="str">
        <f t="shared" si="44"/>
        <v>YES</v>
      </c>
      <c r="X190" s="211" t="str">
        <f t="shared" si="44"/>
        <v>NO</v>
      </c>
      <c r="Y190" s="211" t="str">
        <f t="shared" si="50"/>
        <v>YES</v>
      </c>
      <c r="Z190" s="211" t="str">
        <f t="shared" si="51"/>
        <v>NO</v>
      </c>
      <c r="AA190" s="211" t="str">
        <f t="shared" si="51"/>
        <v>NO</v>
      </c>
      <c r="AB190" s="293" t="str">
        <f t="shared" si="52"/>
        <v>NO</v>
      </c>
      <c r="AC190" s="211" t="str">
        <f t="shared" si="53"/>
        <v>NO</v>
      </c>
      <c r="AD190" s="211" t="str">
        <f t="shared" si="54"/>
        <v>NO</v>
      </c>
      <c r="AE190" s="211" t="str">
        <f t="shared" si="55"/>
        <v>NO</v>
      </c>
      <c r="AF190" s="206"/>
      <c r="AG190" s="206"/>
      <c r="AH190" s="203">
        <f t="shared" si="45"/>
        <v>2.0171200000000002</v>
      </c>
      <c r="AI190" s="203">
        <f t="shared" si="46"/>
        <v>799.99</v>
      </c>
      <c r="AJ190" s="203">
        <f t="shared" si="47"/>
        <v>746.74671603587672</v>
      </c>
      <c r="AK190" s="203"/>
      <c r="AL190" s="203"/>
      <c r="AM190" s="203"/>
      <c r="AN190" s="207"/>
    </row>
    <row r="191" spans="1:40" s="204" customFormat="1" ht="15">
      <c r="A191" s="280" t="s">
        <v>852</v>
      </c>
      <c r="B191" s="281" t="s">
        <v>867</v>
      </c>
      <c r="C191" s="283">
        <v>699.99</v>
      </c>
      <c r="D191" s="285">
        <v>4</v>
      </c>
      <c r="E191" s="250" t="str">
        <f>VLOOKUP(B191,'Northwest Retail Cost Data'!$C$5:$F$275,4,FALSE)</f>
        <v>Top Load</v>
      </c>
      <c r="F191" s="251" t="s">
        <v>846</v>
      </c>
      <c r="G191" s="285">
        <v>2.2000000000000002</v>
      </c>
      <c r="H191" s="285">
        <v>4.5</v>
      </c>
      <c r="I191" s="252">
        <f>D191*H191*SFAssumptions!$C$3</f>
        <v>4620.8393999999998</v>
      </c>
      <c r="J191" s="253">
        <f t="shared" si="41"/>
        <v>699.99</v>
      </c>
      <c r="K191" s="254">
        <f t="shared" si="41"/>
        <v>4</v>
      </c>
      <c r="L191" s="691">
        <f t="shared" si="42"/>
        <v>1.7616999999999998</v>
      </c>
      <c r="M191" s="691">
        <f t="shared" si="43"/>
        <v>4.9781500000000003</v>
      </c>
      <c r="N191" s="255">
        <v>2012</v>
      </c>
      <c r="O191" s="256">
        <f>C191*VLOOKUP(N191,SFAssumptions!$A$42:$B$51,2,FALSE)</f>
        <v>632.12938671083157</v>
      </c>
      <c r="P191" s="254">
        <f ca="1">O191+((SFAssumptions!$C$8-D191)*$AO$35)</f>
        <v>611.67245481306895</v>
      </c>
      <c r="Q191" s="190" t="str">
        <f>IF(OR(L191="",M191=""),"No",IF(AND(E191="Front Load",L191&gt;='Eff. Standards &amp; Certifications'!$B$21,M191&lt;='Eff. Standards &amp; Certifications'!$C$21),"Consider",IF(AND(E191="Top Load",L191&gt;='Eff. Standards &amp; Certifications'!$B$20,M191&lt;='Eff. Standards &amp; Certifications'!$C$20),"Consider","No")))</f>
        <v>Consider</v>
      </c>
      <c r="R191" s="203"/>
      <c r="S191" s="203"/>
      <c r="T191" s="293" t="str">
        <f t="shared" si="48"/>
        <v>YES</v>
      </c>
      <c r="U191" s="293" t="str">
        <f t="shared" si="48"/>
        <v>NO</v>
      </c>
      <c r="V191" s="293" t="str">
        <f t="shared" si="49"/>
        <v>YES</v>
      </c>
      <c r="W191" s="211" t="str">
        <f t="shared" si="44"/>
        <v>YES</v>
      </c>
      <c r="X191" s="211" t="str">
        <f t="shared" si="44"/>
        <v>NO</v>
      </c>
      <c r="Y191" s="211" t="str">
        <f t="shared" si="50"/>
        <v>YES</v>
      </c>
      <c r="Z191" s="211" t="str">
        <f t="shared" si="51"/>
        <v>NO</v>
      </c>
      <c r="AA191" s="211" t="str">
        <f t="shared" si="51"/>
        <v>NO</v>
      </c>
      <c r="AB191" s="293" t="str">
        <f t="shared" si="52"/>
        <v>NO</v>
      </c>
      <c r="AC191" s="211" t="str">
        <f t="shared" si="53"/>
        <v>NO</v>
      </c>
      <c r="AD191" s="211" t="str">
        <f t="shared" si="54"/>
        <v>NO</v>
      </c>
      <c r="AE191" s="211" t="str">
        <f t="shared" si="55"/>
        <v>NO</v>
      </c>
      <c r="AF191" s="206"/>
      <c r="AG191" s="206"/>
      <c r="AH191" s="203">
        <f t="shared" si="45"/>
        <v>1.7616999999999998</v>
      </c>
      <c r="AI191" s="203">
        <f t="shared" si="46"/>
        <v>699.99</v>
      </c>
      <c r="AJ191" s="203">
        <f t="shared" si="47"/>
        <v>715.66725390197553</v>
      </c>
      <c r="AK191" s="203"/>
      <c r="AL191" s="203"/>
      <c r="AM191" s="203"/>
      <c r="AN191" s="207"/>
    </row>
    <row r="192" spans="1:40" s="204" customFormat="1" ht="15">
      <c r="A192" s="280" t="s">
        <v>625</v>
      </c>
      <c r="B192" s="281" t="s">
        <v>913</v>
      </c>
      <c r="C192" s="283">
        <v>699.99</v>
      </c>
      <c r="D192" s="285">
        <v>3.6</v>
      </c>
      <c r="E192" s="250" t="str">
        <f>VLOOKUP(B192,'Northwest Retail Cost Data'!$C$5:$F$275,4,FALSE)</f>
        <v>Top Load</v>
      </c>
      <c r="F192" s="251" t="s">
        <v>846</v>
      </c>
      <c r="G192" s="285">
        <v>2.4929999999999999</v>
      </c>
      <c r="H192" s="285">
        <v>3.9129999999999998</v>
      </c>
      <c r="I192" s="252">
        <f>D192*H192*SFAssumptions!$C$3</f>
        <v>3616.2689144400001</v>
      </c>
      <c r="J192" s="253">
        <f t="shared" si="41"/>
        <v>699.99</v>
      </c>
      <c r="K192" s="254">
        <f t="shared" si="41"/>
        <v>3.6</v>
      </c>
      <c r="L192" s="691">
        <f t="shared" si="42"/>
        <v>2.0517699999999999</v>
      </c>
      <c r="M192" s="691">
        <f t="shared" si="43"/>
        <v>4.3976657000000001</v>
      </c>
      <c r="N192" s="255">
        <v>2012</v>
      </c>
      <c r="O192" s="256">
        <f>C192*VLOOKUP(N192,SFAssumptions!$A$42:$B$51,2,FALSE)</f>
        <v>632.12938671083157</v>
      </c>
      <c r="P192" s="254">
        <f ca="1">O192+((SFAssumptions!$C$8-D192)*$AO$35)</f>
        <v>648.36770417468551</v>
      </c>
      <c r="Q192" s="190" t="str">
        <f>IF(OR(L192="",M192=""),"No",IF(AND(E192="Front Load",L192&gt;='Eff. Standards &amp; Certifications'!$B$21,M192&lt;='Eff. Standards &amp; Certifications'!$C$21),"Consider",IF(AND(E192="Top Load",L192&gt;='Eff. Standards &amp; Certifications'!$B$20,M192&lt;='Eff. Standards &amp; Certifications'!$C$20),"Consider","No")))</f>
        <v>Consider</v>
      </c>
      <c r="R192" s="203"/>
      <c r="S192" s="203"/>
      <c r="T192" s="293" t="str">
        <f t="shared" si="48"/>
        <v>YES</v>
      </c>
      <c r="U192" s="293" t="str">
        <f t="shared" si="48"/>
        <v>NO</v>
      </c>
      <c r="V192" s="293" t="str">
        <f t="shared" si="49"/>
        <v>YES</v>
      </c>
      <c r="W192" s="211" t="str">
        <f t="shared" si="44"/>
        <v>YES</v>
      </c>
      <c r="X192" s="211" t="str">
        <f t="shared" si="44"/>
        <v>NO</v>
      </c>
      <c r="Y192" s="211" t="str">
        <f t="shared" si="50"/>
        <v>YES</v>
      </c>
      <c r="Z192" s="211" t="str">
        <f t="shared" si="51"/>
        <v>NO</v>
      </c>
      <c r="AA192" s="211" t="str">
        <f t="shared" si="51"/>
        <v>NO</v>
      </c>
      <c r="AB192" s="293" t="str">
        <f t="shared" si="52"/>
        <v>NO</v>
      </c>
      <c r="AC192" s="211" t="str">
        <f t="shared" si="53"/>
        <v>NO</v>
      </c>
      <c r="AD192" s="211" t="str">
        <f t="shared" si="54"/>
        <v>NO</v>
      </c>
      <c r="AE192" s="211" t="str">
        <f t="shared" si="55"/>
        <v>NO</v>
      </c>
      <c r="AF192" s="206"/>
      <c r="AG192" s="206"/>
      <c r="AH192" s="203">
        <f t="shared" si="45"/>
        <v>2.0517699999999999</v>
      </c>
      <c r="AI192" s="203">
        <f t="shared" si="46"/>
        <v>699.99</v>
      </c>
      <c r="AJ192" s="203">
        <f t="shared" si="47"/>
        <v>753.09922171815924</v>
      </c>
      <c r="AK192" s="203"/>
      <c r="AL192" s="203"/>
      <c r="AM192" s="203"/>
      <c r="AN192" s="207"/>
    </row>
    <row r="193" spans="1:40" s="204" customFormat="1" ht="15">
      <c r="A193" s="280" t="s">
        <v>873</v>
      </c>
      <c r="B193" s="281" t="s">
        <v>887</v>
      </c>
      <c r="C193" s="283">
        <v>1079.99</v>
      </c>
      <c r="D193" s="285">
        <v>4.7</v>
      </c>
      <c r="E193" s="250" t="str">
        <f>VLOOKUP(B193,'Northwest Retail Cost Data'!$C$5:$F$275,4,FALSE)</f>
        <v>Top Load</v>
      </c>
      <c r="F193" s="251" t="s">
        <v>846</v>
      </c>
      <c r="G193" s="285">
        <v>2.75</v>
      </c>
      <c r="H193" s="285">
        <v>3.7</v>
      </c>
      <c r="I193" s="252">
        <f>D193*H193*SFAssumptions!$C$3</f>
        <v>4464.2442870000004</v>
      </c>
      <c r="J193" s="253">
        <f t="shared" si="41"/>
        <v>1079.99</v>
      </c>
      <c r="K193" s="254">
        <f t="shared" si="41"/>
        <v>4.7</v>
      </c>
      <c r="L193" s="691">
        <f t="shared" si="42"/>
        <v>2.3062</v>
      </c>
      <c r="M193" s="691">
        <f t="shared" si="43"/>
        <v>4.18703</v>
      </c>
      <c r="N193" s="255">
        <v>2012</v>
      </c>
      <c r="O193" s="256">
        <f>C193*VLOOKUP(N193,SFAssumptions!$A$42:$B$51,2,FALSE)</f>
        <v>975.29024179464136</v>
      </c>
      <c r="P193" s="254">
        <f ca="1">O193+((SFAssumptions!$C$8-D193)*$AO$35)</f>
        <v>890.61662351404982</v>
      </c>
      <c r="Q193" s="190" t="str">
        <f>IF(OR(L193="",M193=""),"No",IF(AND(E193="Front Load",L193&gt;='Eff. Standards &amp; Certifications'!$B$21,M193&lt;='Eff. Standards &amp; Certifications'!$C$21),"Consider",IF(AND(E193="Top Load",L193&gt;='Eff. Standards &amp; Certifications'!$B$20,M193&lt;='Eff. Standards &amp; Certifications'!$C$20),"Consider","No")))</f>
        <v>Consider</v>
      </c>
      <c r="R193" s="203"/>
      <c r="S193" s="203"/>
      <c r="T193" s="293" t="str">
        <f t="shared" si="48"/>
        <v>YES</v>
      </c>
      <c r="U193" s="293" t="str">
        <f t="shared" si="48"/>
        <v>NO</v>
      </c>
      <c r="V193" s="293" t="str">
        <f t="shared" si="49"/>
        <v>YES</v>
      </c>
      <c r="W193" s="211" t="str">
        <f t="shared" si="44"/>
        <v>NO</v>
      </c>
      <c r="X193" s="211" t="str">
        <f t="shared" si="44"/>
        <v>NO</v>
      </c>
      <c r="Y193" s="211" t="str">
        <f t="shared" si="50"/>
        <v>NO</v>
      </c>
      <c r="Z193" s="211" t="str">
        <f t="shared" si="51"/>
        <v>YES</v>
      </c>
      <c r="AA193" s="211" t="str">
        <f t="shared" si="51"/>
        <v>NO</v>
      </c>
      <c r="AB193" s="293" t="str">
        <f t="shared" si="52"/>
        <v>YES</v>
      </c>
      <c r="AC193" s="211" t="str">
        <f t="shared" si="53"/>
        <v>NO</v>
      </c>
      <c r="AD193" s="211" t="str">
        <f t="shared" si="54"/>
        <v>NO</v>
      </c>
      <c r="AE193" s="211" t="str">
        <f t="shared" si="55"/>
        <v>NO</v>
      </c>
      <c r="AF193" s="206"/>
      <c r="AG193" s="206"/>
      <c r="AH193" s="203">
        <f t="shared" si="45"/>
        <v>2.3062</v>
      </c>
      <c r="AI193" s="203">
        <f t="shared" si="46"/>
        <v>1079.99</v>
      </c>
      <c r="AJ193" s="203">
        <f t="shared" si="47"/>
        <v>916.96173235504557</v>
      </c>
      <c r="AK193" s="203"/>
      <c r="AL193" s="203"/>
      <c r="AM193" s="203"/>
      <c r="AN193" s="207"/>
    </row>
    <row r="194" spans="1:40" s="204" customFormat="1" ht="15">
      <c r="A194" s="280" t="s">
        <v>557</v>
      </c>
      <c r="B194" s="281" t="s">
        <v>896</v>
      </c>
      <c r="C194" s="283">
        <v>519.88</v>
      </c>
      <c r="D194" s="285">
        <v>3.4</v>
      </c>
      <c r="E194" s="250" t="str">
        <f>VLOOKUP(B194,'Northwest Retail Cost Data'!$C$5:$F$275,4,FALSE)</f>
        <v>Top Load</v>
      </c>
      <c r="F194" s="251" t="s">
        <v>846</v>
      </c>
      <c r="G194" s="286">
        <v>2.02</v>
      </c>
      <c r="H194" s="286">
        <v>5.9</v>
      </c>
      <c r="I194" s="252">
        <f>D194*H194*SFAssumptions!$C$3</f>
        <v>5149.6687980000006</v>
      </c>
      <c r="J194" s="253">
        <f t="shared" si="41"/>
        <v>519.88</v>
      </c>
      <c r="K194" s="254">
        <f t="shared" si="41"/>
        <v>3.4</v>
      </c>
      <c r="L194" s="691">
        <f t="shared" si="42"/>
        <v>1.5834999999999999</v>
      </c>
      <c r="M194" s="691">
        <f t="shared" si="43"/>
        <v>6.362610000000001</v>
      </c>
      <c r="N194" s="255">
        <v>2012</v>
      </c>
      <c r="O194" s="256">
        <f>C194*VLOOKUP(N194,SFAssumptions!$A$42:$B$51,2,FALSE)</f>
        <v>469.48017194992377</v>
      </c>
      <c r="P194" s="254">
        <f ca="1">O194+((SFAssumptions!$C$8-D194)*$AO$35)</f>
        <v>504.06611409458594</v>
      </c>
      <c r="Q194" s="190" t="str">
        <f>IF(OR(L194="",M194=""),"No",IF(AND(E194="Front Load",L194&gt;='Eff. Standards &amp; Certifications'!$B$21,M194&lt;='Eff. Standards &amp; Certifications'!$C$21),"Consider",IF(AND(E194="Top Load",L194&gt;='Eff. Standards &amp; Certifications'!$B$20,M194&lt;='Eff. Standards &amp; Certifications'!$C$20),"Consider","No")))</f>
        <v>Consider</v>
      </c>
      <c r="R194" s="203"/>
      <c r="S194" s="203"/>
      <c r="T194" s="293" t="str">
        <f t="shared" si="48"/>
        <v>YES</v>
      </c>
      <c r="U194" s="293" t="str">
        <f t="shared" si="48"/>
        <v>NO</v>
      </c>
      <c r="V194" s="293" t="str">
        <f t="shared" si="49"/>
        <v>YES</v>
      </c>
      <c r="W194" s="211" t="str">
        <f t="shared" si="44"/>
        <v>YES</v>
      </c>
      <c r="X194" s="211" t="str">
        <f t="shared" si="44"/>
        <v>NO</v>
      </c>
      <c r="Y194" s="211" t="str">
        <f t="shared" si="50"/>
        <v>YES</v>
      </c>
      <c r="Z194" s="211" t="str">
        <f t="shared" si="51"/>
        <v>NO</v>
      </c>
      <c r="AA194" s="211" t="str">
        <f t="shared" si="51"/>
        <v>NO</v>
      </c>
      <c r="AB194" s="293" t="str">
        <f t="shared" si="52"/>
        <v>NO</v>
      </c>
      <c r="AC194" s="211" t="str">
        <f t="shared" si="53"/>
        <v>NO</v>
      </c>
      <c r="AD194" s="211" t="str">
        <f t="shared" si="54"/>
        <v>NO</v>
      </c>
      <c r="AE194" s="211" t="str">
        <f t="shared" si="55"/>
        <v>NO</v>
      </c>
      <c r="AF194" s="206"/>
      <c r="AG194" s="206"/>
      <c r="AH194" s="203">
        <f t="shared" si="45"/>
        <v>1.5834999999999999</v>
      </c>
      <c r="AI194" s="203">
        <f t="shared" si="46"/>
        <v>519.88</v>
      </c>
      <c r="AJ194" s="203">
        <f t="shared" si="47"/>
        <v>607.96222998694827</v>
      </c>
      <c r="AK194" s="203"/>
      <c r="AL194" s="203"/>
      <c r="AM194" s="203"/>
      <c r="AN194" s="207"/>
    </row>
    <row r="195" spans="1:40" s="204" customFormat="1" ht="15">
      <c r="A195" s="280" t="s">
        <v>852</v>
      </c>
      <c r="B195" s="281" t="s">
        <v>932</v>
      </c>
      <c r="C195" s="283">
        <v>807.49</v>
      </c>
      <c r="D195" s="285">
        <v>2.7</v>
      </c>
      <c r="E195" s="250" t="str">
        <f>VLOOKUP(B195,'Northwest Retail Cost Data'!$C$5:$F$275,4,FALSE)</f>
        <v>Top Load</v>
      </c>
      <c r="F195" s="251" t="s">
        <v>846</v>
      </c>
      <c r="G195" s="286">
        <v>1.33</v>
      </c>
      <c r="H195" s="286">
        <v>9.5</v>
      </c>
      <c r="I195" s="252">
        <f>D195*H195*SFAssumptions!$C$3</f>
        <v>6584.6961450000008</v>
      </c>
      <c r="J195" s="253">
        <f t="shared" si="41"/>
        <v>807.49</v>
      </c>
      <c r="K195" s="254">
        <f t="shared" si="41"/>
        <v>2.7</v>
      </c>
      <c r="L195" s="691">
        <f t="shared" si="42"/>
        <v>0.90039999999999998</v>
      </c>
      <c r="M195" s="691">
        <f t="shared" si="43"/>
        <v>9.9226500000000009</v>
      </c>
      <c r="N195" s="255">
        <v>2012</v>
      </c>
      <c r="O195" s="256">
        <f>C195*VLOOKUP(N195,SFAssumptions!$A$42:$B$51,2,FALSE)</f>
        <v>729.20778650427781</v>
      </c>
      <c r="P195" s="254">
        <f ca="1">O195+((SFAssumptions!$C$8-D195)*$AO$35)</f>
        <v>828.01041503176884</v>
      </c>
      <c r="Q195" s="190" t="str">
        <f>IF(OR(L195="",M195=""),"No",IF(AND(E195="Front Load",L195&gt;='Eff. Standards &amp; Certifications'!$B$21,M195&lt;='Eff. Standards &amp; Certifications'!$C$21),"Consider",IF(AND(E195="Top Load",L195&gt;='Eff. Standards &amp; Certifications'!$B$20,M195&lt;='Eff. Standards &amp; Certifications'!$C$20),"Consider","No")))</f>
        <v>No</v>
      </c>
      <c r="R195" s="203"/>
      <c r="S195" s="203"/>
      <c r="T195" s="293" t="str">
        <f t="shared" si="48"/>
        <v>NO</v>
      </c>
      <c r="U195" s="293" t="str">
        <f t="shared" si="48"/>
        <v>NO</v>
      </c>
      <c r="V195" s="293" t="str">
        <f t="shared" si="49"/>
        <v>NO</v>
      </c>
      <c r="W195" s="211" t="str">
        <f t="shared" si="44"/>
        <v>NO</v>
      </c>
      <c r="X195" s="211" t="str">
        <f t="shared" si="44"/>
        <v>NO</v>
      </c>
      <c r="Y195" s="211" t="str">
        <f t="shared" si="50"/>
        <v>NO</v>
      </c>
      <c r="Z195" s="211" t="str">
        <f t="shared" si="51"/>
        <v>NO</v>
      </c>
      <c r="AA195" s="211" t="str">
        <f t="shared" si="51"/>
        <v>NO</v>
      </c>
      <c r="AB195" s="293" t="str">
        <f t="shared" si="52"/>
        <v>NO</v>
      </c>
      <c r="AC195" s="211" t="str">
        <f t="shared" si="53"/>
        <v>NO</v>
      </c>
      <c r="AD195" s="211" t="str">
        <f t="shared" si="54"/>
        <v>NO</v>
      </c>
      <c r="AE195" s="211" t="str">
        <f t="shared" si="55"/>
        <v>NO</v>
      </c>
      <c r="AF195" s="206"/>
      <c r="AG195" s="206"/>
      <c r="AH195" s="203">
        <f t="shared" si="45"/>
        <v>0.90039999999999998</v>
      </c>
      <c r="AI195" s="203">
        <f t="shared" si="46"/>
        <v>807.49</v>
      </c>
      <c r="AJ195" s="203">
        <f t="shared" si="47"/>
        <v>353.98150543093539</v>
      </c>
      <c r="AK195" s="203"/>
      <c r="AL195" s="203"/>
      <c r="AM195" s="203"/>
      <c r="AN195" s="207"/>
    </row>
    <row r="196" spans="1:40" s="204" customFormat="1" ht="15">
      <c r="A196" s="280" t="s">
        <v>966</v>
      </c>
      <c r="B196" s="281" t="s">
        <v>939</v>
      </c>
      <c r="C196" s="283">
        <v>1119.99</v>
      </c>
      <c r="D196" s="285">
        <v>4.5</v>
      </c>
      <c r="E196" s="250" t="str">
        <f>VLOOKUP(B196,'Northwest Retail Cost Data'!$C$5:$F$275,4,FALSE)</f>
        <v>Top Load</v>
      </c>
      <c r="F196" s="251" t="s">
        <v>846</v>
      </c>
      <c r="G196" s="285">
        <v>2.21</v>
      </c>
      <c r="H196" s="285">
        <v>4.49</v>
      </c>
      <c r="I196" s="252">
        <f>D196*H196*SFAssumptions!$C$3</f>
        <v>5186.8922265000001</v>
      </c>
      <c r="J196" s="253">
        <f t="shared" si="41"/>
        <v>1119.99</v>
      </c>
      <c r="K196" s="254">
        <f t="shared" si="41"/>
        <v>4.5</v>
      </c>
      <c r="L196" s="691">
        <f t="shared" si="42"/>
        <v>1.7715999999999998</v>
      </c>
      <c r="M196" s="691">
        <f t="shared" si="43"/>
        <v>4.968261</v>
      </c>
      <c r="N196" s="255">
        <v>2012</v>
      </c>
      <c r="O196" s="256">
        <f>C196*VLOOKUP(N196,SFAssumptions!$A$42:$B$51,2,FALSE)</f>
        <v>1011.4124370666214</v>
      </c>
      <c r="P196" s="254">
        <f ca="1">O196+((SFAssumptions!$C$8-D196)*$AO$35)</f>
        <v>945.08644346683809</v>
      </c>
      <c r="Q196" s="190" t="str">
        <f>IF(OR(L196="",M196=""),"No",IF(AND(E196="Front Load",L196&gt;='Eff. Standards &amp; Certifications'!$B$21,M196&lt;='Eff. Standards &amp; Certifications'!$C$21),"Consider",IF(AND(E196="Top Load",L196&gt;='Eff. Standards &amp; Certifications'!$B$20,M196&lt;='Eff. Standards &amp; Certifications'!$C$20),"Consider","No")))</f>
        <v>Consider</v>
      </c>
      <c r="R196" s="203"/>
      <c r="S196" s="203"/>
      <c r="T196" s="293" t="str">
        <f t="shared" si="48"/>
        <v>YES</v>
      </c>
      <c r="U196" s="293" t="str">
        <f t="shared" si="48"/>
        <v>NO</v>
      </c>
      <c r="V196" s="293" t="str">
        <f t="shared" si="49"/>
        <v>YES</v>
      </c>
      <c r="W196" s="211" t="str">
        <f t="shared" si="44"/>
        <v>YES</v>
      </c>
      <c r="X196" s="211" t="str">
        <f t="shared" si="44"/>
        <v>NO</v>
      </c>
      <c r="Y196" s="211" t="str">
        <f t="shared" si="50"/>
        <v>YES</v>
      </c>
      <c r="Z196" s="211" t="str">
        <f t="shared" si="51"/>
        <v>NO</v>
      </c>
      <c r="AA196" s="211" t="str">
        <f t="shared" si="51"/>
        <v>NO</v>
      </c>
      <c r="AB196" s="293" t="str">
        <f t="shared" si="52"/>
        <v>NO</v>
      </c>
      <c r="AC196" s="211" t="str">
        <f t="shared" si="53"/>
        <v>NO</v>
      </c>
      <c r="AD196" s="211" t="str">
        <f t="shared" si="54"/>
        <v>NO</v>
      </c>
      <c r="AE196" s="211" t="str">
        <f t="shared" si="55"/>
        <v>NO</v>
      </c>
      <c r="AF196" s="206"/>
      <c r="AG196" s="206"/>
      <c r="AH196" s="203">
        <f t="shared" si="45"/>
        <v>1.7715999999999998</v>
      </c>
      <c r="AI196" s="203">
        <f t="shared" si="46"/>
        <v>1119.99</v>
      </c>
      <c r="AJ196" s="203">
        <f t="shared" si="47"/>
        <v>763.99748763047455</v>
      </c>
      <c r="AK196" s="203"/>
      <c r="AL196" s="203"/>
      <c r="AM196" s="203"/>
      <c r="AN196" s="207"/>
    </row>
    <row r="197" spans="1:40" s="204" customFormat="1" ht="15">
      <c r="A197" s="280" t="s">
        <v>852</v>
      </c>
      <c r="B197" s="281" t="s">
        <v>940</v>
      </c>
      <c r="C197" s="283">
        <v>807.49</v>
      </c>
      <c r="D197" s="285">
        <v>2.7</v>
      </c>
      <c r="E197" s="250" t="str">
        <f>VLOOKUP(B197,'Northwest Retail Cost Data'!$C$5:$F$275,4,FALSE)</f>
        <v>Top Load</v>
      </c>
      <c r="F197" s="251" t="s">
        <v>846</v>
      </c>
      <c r="G197" s="286">
        <v>1.33</v>
      </c>
      <c r="H197" s="286">
        <v>9.5</v>
      </c>
      <c r="I197" s="252">
        <f>D197*H197*SFAssumptions!$C$3</f>
        <v>6584.6961450000008</v>
      </c>
      <c r="J197" s="253">
        <f t="shared" si="41"/>
        <v>807.49</v>
      </c>
      <c r="K197" s="254">
        <f t="shared" si="41"/>
        <v>2.7</v>
      </c>
      <c r="L197" s="691">
        <f t="shared" si="42"/>
        <v>0.90039999999999998</v>
      </c>
      <c r="M197" s="691">
        <f t="shared" si="43"/>
        <v>9.9226500000000009</v>
      </c>
      <c r="N197" s="255">
        <v>2012</v>
      </c>
      <c r="O197" s="256">
        <f>C197*VLOOKUP(N197,SFAssumptions!$A$42:$B$51,2,FALSE)</f>
        <v>729.20778650427781</v>
      </c>
      <c r="P197" s="254">
        <f ca="1">O197+((SFAssumptions!$C$8-D197)*$AO$35)</f>
        <v>828.01041503176884</v>
      </c>
      <c r="Q197" s="190" t="str">
        <f>IF(OR(L197="",M197=""),"No",IF(AND(E197="Front Load",L197&gt;='Eff. Standards &amp; Certifications'!$B$21,M197&lt;='Eff. Standards &amp; Certifications'!$C$21),"Consider",IF(AND(E197="Top Load",L197&gt;='Eff. Standards &amp; Certifications'!$B$20,M197&lt;='Eff. Standards &amp; Certifications'!$C$20),"Consider","No")))</f>
        <v>No</v>
      </c>
      <c r="R197" s="203"/>
      <c r="S197" s="203"/>
      <c r="T197" s="293" t="str">
        <f t="shared" si="48"/>
        <v>NO</v>
      </c>
      <c r="U197" s="293" t="str">
        <f t="shared" si="48"/>
        <v>NO</v>
      </c>
      <c r="V197" s="293" t="str">
        <f t="shared" si="49"/>
        <v>NO</v>
      </c>
      <c r="W197" s="211" t="str">
        <f t="shared" si="44"/>
        <v>NO</v>
      </c>
      <c r="X197" s="211" t="str">
        <f t="shared" si="44"/>
        <v>NO</v>
      </c>
      <c r="Y197" s="211" t="str">
        <f t="shared" si="50"/>
        <v>NO</v>
      </c>
      <c r="Z197" s="211" t="str">
        <f t="shared" si="51"/>
        <v>NO</v>
      </c>
      <c r="AA197" s="211" t="str">
        <f t="shared" si="51"/>
        <v>NO</v>
      </c>
      <c r="AB197" s="293" t="str">
        <f t="shared" si="52"/>
        <v>NO</v>
      </c>
      <c r="AC197" s="211" t="str">
        <f t="shared" si="53"/>
        <v>NO</v>
      </c>
      <c r="AD197" s="211" t="str">
        <f t="shared" si="54"/>
        <v>NO</v>
      </c>
      <c r="AE197" s="211" t="str">
        <f t="shared" si="55"/>
        <v>NO</v>
      </c>
      <c r="AF197" s="206"/>
      <c r="AG197" s="206"/>
      <c r="AH197" s="203">
        <f t="shared" si="45"/>
        <v>0.90039999999999998</v>
      </c>
      <c r="AI197" s="203">
        <f t="shared" si="46"/>
        <v>807.49</v>
      </c>
      <c r="AJ197" s="203">
        <f t="shared" si="47"/>
        <v>353.98150543093539</v>
      </c>
      <c r="AK197" s="203"/>
      <c r="AL197" s="203"/>
      <c r="AM197" s="203"/>
      <c r="AN197" s="207"/>
    </row>
    <row r="198" spans="1:40" s="204" customFormat="1" ht="15">
      <c r="A198" s="280" t="s">
        <v>625</v>
      </c>
      <c r="B198" s="281" t="s">
        <v>975</v>
      </c>
      <c r="C198" s="283">
        <v>1079.99</v>
      </c>
      <c r="D198" s="285">
        <v>4.5999999999999996</v>
      </c>
      <c r="E198" s="250" t="str">
        <f>VLOOKUP(B198,'Northwest Retail Cost Data'!$C$5:$F$275,4,FALSE)</f>
        <v>Top Load</v>
      </c>
      <c r="F198" s="251" t="s">
        <v>846</v>
      </c>
      <c r="G198" s="285">
        <v>2.65</v>
      </c>
      <c r="H198" s="285">
        <v>3.71</v>
      </c>
      <c r="I198" s="252">
        <f>D198*H198*SFAssumptions!$C$3</f>
        <v>4381.0691778</v>
      </c>
      <c r="J198" s="253">
        <f t="shared" si="41"/>
        <v>1079.99</v>
      </c>
      <c r="K198" s="254">
        <f t="shared" si="41"/>
        <v>4.5999999999999996</v>
      </c>
      <c r="L198" s="691">
        <f t="shared" si="42"/>
        <v>2.2071999999999998</v>
      </c>
      <c r="M198" s="691">
        <f t="shared" si="43"/>
        <v>4.1969190000000003</v>
      </c>
      <c r="N198" s="255">
        <v>2012</v>
      </c>
      <c r="O198" s="256">
        <f>C198*VLOOKUP(N198,SFAssumptions!$A$42:$B$51,2,FALSE)</f>
        <v>975.29024179464136</v>
      </c>
      <c r="P198" s="254">
        <f ca="1">O198+((SFAssumptions!$C$8-D198)*$AO$35)</f>
        <v>899.79043585445402</v>
      </c>
      <c r="Q198" s="190" t="str">
        <f>IF(OR(L198="",M198=""),"No",IF(AND(E198="Front Load",L198&gt;='Eff. Standards &amp; Certifications'!$B$21,M198&lt;='Eff. Standards &amp; Certifications'!$C$21),"Consider",IF(AND(E198="Top Load",L198&gt;='Eff. Standards &amp; Certifications'!$B$20,M198&lt;='Eff. Standards &amp; Certifications'!$C$20),"Consider","No")))</f>
        <v>Consider</v>
      </c>
      <c r="R198" s="203"/>
      <c r="S198" s="203"/>
      <c r="T198" s="293" t="str">
        <f t="shared" si="48"/>
        <v>YES</v>
      </c>
      <c r="U198" s="293" t="str">
        <f t="shared" si="48"/>
        <v>NO</v>
      </c>
      <c r="V198" s="293" t="str">
        <f t="shared" si="49"/>
        <v>YES</v>
      </c>
      <c r="W198" s="211" t="str">
        <f t="shared" si="44"/>
        <v>NO</v>
      </c>
      <c r="X198" s="211" t="str">
        <f t="shared" si="44"/>
        <v>NO</v>
      </c>
      <c r="Y198" s="211" t="str">
        <f t="shared" si="50"/>
        <v>NO</v>
      </c>
      <c r="Z198" s="211" t="str">
        <f t="shared" si="51"/>
        <v>YES</v>
      </c>
      <c r="AA198" s="211" t="str">
        <f t="shared" si="51"/>
        <v>NO</v>
      </c>
      <c r="AB198" s="293" t="str">
        <f t="shared" si="52"/>
        <v>YES</v>
      </c>
      <c r="AC198" s="211" t="str">
        <f t="shared" si="53"/>
        <v>NO</v>
      </c>
      <c r="AD198" s="211" t="str">
        <f t="shared" si="54"/>
        <v>NO</v>
      </c>
      <c r="AE198" s="211" t="str">
        <f t="shared" si="55"/>
        <v>NO</v>
      </c>
      <c r="AF198" s="206"/>
      <c r="AG198" s="206"/>
      <c r="AH198" s="203">
        <f t="shared" si="45"/>
        <v>2.2071999999999998</v>
      </c>
      <c r="AI198" s="203">
        <f t="shared" si="46"/>
        <v>1079.99</v>
      </c>
      <c r="AJ198" s="203">
        <f t="shared" si="47"/>
        <v>883.79299877087396</v>
      </c>
      <c r="AK198" s="203"/>
      <c r="AL198" s="203"/>
      <c r="AM198" s="203"/>
      <c r="AN198" s="207"/>
    </row>
    <row r="199" spans="1:40" s="204" customFormat="1" ht="15">
      <c r="A199" s="287" t="s">
        <v>415</v>
      </c>
      <c r="B199" s="280" t="s">
        <v>418</v>
      </c>
      <c r="C199" s="249">
        <v>1259.0999999999999</v>
      </c>
      <c r="D199" s="280">
        <v>2.16</v>
      </c>
      <c r="E199" s="250" t="str">
        <f>VLOOKUP(B199,'Northwest Retail Cost Data'!$C$5:$F$275,4,FALSE)</f>
        <v>Front Load</v>
      </c>
      <c r="F199" s="251" t="s">
        <v>846</v>
      </c>
      <c r="G199" s="288">
        <v>2.2200000000000002</v>
      </c>
      <c r="H199" s="288">
        <v>4.5</v>
      </c>
      <c r="I199" s="252">
        <f>D199*H199*SFAssumptions!$C$3</f>
        <v>2495.2532760000004</v>
      </c>
      <c r="J199" s="253">
        <f t="shared" si="41"/>
        <v>1259.0999999999999</v>
      </c>
      <c r="K199" s="254">
        <f t="shared" si="41"/>
        <v>2.16</v>
      </c>
      <c r="L199" s="691">
        <f t="shared" si="42"/>
        <v>1.8568900000000002</v>
      </c>
      <c r="M199" s="691">
        <f t="shared" si="43"/>
        <v>4.7261000000000006</v>
      </c>
      <c r="N199" s="255">
        <v>2012</v>
      </c>
      <c r="O199" s="256">
        <f>C199*VLOOKUP(N199,SFAssumptions!$A$42:$B$51,2,FALSE)</f>
        <v>1137.0364016737497</v>
      </c>
      <c r="P199" s="254">
        <f ca="1">O199+((SFAssumptions!$C$8-D199)*$AO$35)</f>
        <v>1285.3776168394231</v>
      </c>
      <c r="Q199" s="190" t="str">
        <f>IF(OR(L199="",M199=""),"No",IF(AND(E199="Front Load",L199&gt;='Eff. Standards &amp; Certifications'!$B$21,M199&lt;='Eff. Standards &amp; Certifications'!$C$21),"Consider",IF(AND(E199="Top Load",L199&gt;='Eff. Standards &amp; Certifications'!$B$20,M199&lt;='Eff. Standards &amp; Certifications'!$C$20),"Consider","No")))</f>
        <v>No</v>
      </c>
      <c r="R199" s="203"/>
      <c r="S199" s="203"/>
      <c r="T199" s="293" t="str">
        <f t="shared" si="48"/>
        <v>NO</v>
      </c>
      <c r="U199" s="293" t="str">
        <f t="shared" si="48"/>
        <v>NO</v>
      </c>
      <c r="V199" s="293" t="str">
        <f t="shared" si="49"/>
        <v>NO</v>
      </c>
      <c r="W199" s="211" t="str">
        <f t="shared" si="44"/>
        <v>NO</v>
      </c>
      <c r="X199" s="211" t="str">
        <f t="shared" si="44"/>
        <v>NO</v>
      </c>
      <c r="Y199" s="211" t="str">
        <f t="shared" si="50"/>
        <v>NO</v>
      </c>
      <c r="Z199" s="211" t="str">
        <f t="shared" si="51"/>
        <v>NO</v>
      </c>
      <c r="AA199" s="211" t="str">
        <f t="shared" si="51"/>
        <v>NO</v>
      </c>
      <c r="AB199" s="293" t="str">
        <f t="shared" si="52"/>
        <v>NO</v>
      </c>
      <c r="AC199" s="211" t="str">
        <f t="shared" si="53"/>
        <v>NO</v>
      </c>
      <c r="AD199" s="211" t="str">
        <f t="shared" si="54"/>
        <v>NO</v>
      </c>
      <c r="AE199" s="211" t="str">
        <f t="shared" si="55"/>
        <v>NO</v>
      </c>
      <c r="AF199" s="206"/>
      <c r="AG199" s="206"/>
      <c r="AH199" s="203">
        <f t="shared" si="45"/>
        <v>1.8568900000000002</v>
      </c>
      <c r="AI199" s="203">
        <f t="shared" si="46"/>
        <v>1259.0999999999999</v>
      </c>
      <c r="AJ199" s="203">
        <f t="shared" si="47"/>
        <v>571.62146050159106</v>
      </c>
      <c r="AK199" s="203"/>
      <c r="AL199" s="203"/>
      <c r="AM199" s="203"/>
      <c r="AN199" s="207"/>
    </row>
    <row r="200" spans="1:40" s="204" customFormat="1" ht="15">
      <c r="A200" s="287" t="s">
        <v>415</v>
      </c>
      <c r="B200" s="280" t="s">
        <v>416</v>
      </c>
      <c r="C200" s="249">
        <v>999</v>
      </c>
      <c r="D200" s="280">
        <v>2.16</v>
      </c>
      <c r="E200" s="250" t="str">
        <f>VLOOKUP(B200,'Northwest Retail Cost Data'!$C$5:$F$275,4,FALSE)</f>
        <v>Front load</v>
      </c>
      <c r="F200" s="251" t="s">
        <v>846</v>
      </c>
      <c r="G200" s="288">
        <v>2.0499999999999998</v>
      </c>
      <c r="H200" s="288">
        <v>4.8</v>
      </c>
      <c r="I200" s="252">
        <f>D200*H200*SFAssumptions!$C$3</f>
        <v>2661.6034944000003</v>
      </c>
      <c r="J200" s="253">
        <f t="shared" si="41"/>
        <v>999</v>
      </c>
      <c r="K200" s="254">
        <f t="shared" si="41"/>
        <v>2.16</v>
      </c>
      <c r="L200" s="691">
        <f t="shared" si="42"/>
        <v>1.7014249999999997</v>
      </c>
      <c r="M200" s="691">
        <f t="shared" si="43"/>
        <v>5.0333600000000001</v>
      </c>
      <c r="N200" s="255">
        <v>2012</v>
      </c>
      <c r="O200" s="256">
        <f>C200*VLOOKUP(N200,SFAssumptions!$A$42:$B$51,2,FALSE)</f>
        <v>902.15182691769996</v>
      </c>
      <c r="P200" s="254">
        <f ca="1">O200+((SFAssumptions!$C$8-D200)*$AO$35)</f>
        <v>1050.4930420833734</v>
      </c>
      <c r="Q200" s="190" t="str">
        <f>IF(OR(L200="",M200=""),"No",IF(AND(E200="Front Load",L200&gt;='Eff. Standards &amp; Certifications'!$B$21,M200&lt;='Eff. Standards &amp; Certifications'!$C$21),"Consider",IF(AND(E200="Top Load",L200&gt;='Eff. Standards &amp; Certifications'!$B$20,M200&lt;='Eff. Standards &amp; Certifications'!$C$20),"Consider","No")))</f>
        <v>No</v>
      </c>
      <c r="R200" s="203"/>
      <c r="S200" s="203"/>
      <c r="T200" s="293" t="str">
        <f t="shared" si="48"/>
        <v>NO</v>
      </c>
      <c r="U200" s="293" t="str">
        <f t="shared" si="48"/>
        <v>NO</v>
      </c>
      <c r="V200" s="293" t="str">
        <f t="shared" si="49"/>
        <v>NO</v>
      </c>
      <c r="W200" s="211" t="str">
        <f t="shared" si="44"/>
        <v>NO</v>
      </c>
      <c r="X200" s="211" t="str">
        <f t="shared" si="44"/>
        <v>NO</v>
      </c>
      <c r="Y200" s="211" t="str">
        <f t="shared" si="50"/>
        <v>NO</v>
      </c>
      <c r="Z200" s="211" t="str">
        <f t="shared" si="51"/>
        <v>NO</v>
      </c>
      <c r="AA200" s="211" t="str">
        <f t="shared" si="51"/>
        <v>NO</v>
      </c>
      <c r="AB200" s="293" t="str">
        <f t="shared" si="52"/>
        <v>NO</v>
      </c>
      <c r="AC200" s="211" t="str">
        <f t="shared" si="53"/>
        <v>NO</v>
      </c>
      <c r="AD200" s="211" t="str">
        <f t="shared" si="54"/>
        <v>NO</v>
      </c>
      <c r="AE200" s="211" t="str">
        <f t="shared" si="55"/>
        <v>NO</v>
      </c>
      <c r="AF200" s="206"/>
      <c r="AG200" s="206"/>
      <c r="AH200" s="203">
        <f t="shared" si="45"/>
        <v>1.7014249999999997</v>
      </c>
      <c r="AI200" s="203">
        <f t="shared" si="46"/>
        <v>999</v>
      </c>
      <c r="AJ200" s="203">
        <f t="shared" si="47"/>
        <v>531.91918442211124</v>
      </c>
      <c r="AK200" s="203"/>
      <c r="AL200" s="203"/>
      <c r="AM200" s="203"/>
      <c r="AN200" s="207"/>
    </row>
    <row r="201" spans="1:40" s="204" customFormat="1" ht="15">
      <c r="A201" s="287" t="s">
        <v>844</v>
      </c>
      <c r="B201" s="287" t="s">
        <v>958</v>
      </c>
      <c r="C201" s="249">
        <v>1304.0999999999999</v>
      </c>
      <c r="D201" s="280">
        <v>4.4000000000000004</v>
      </c>
      <c r="E201" s="250" t="str">
        <f>VLOOKUP(B201,'Northwest Retail Cost Data'!$C$5:$F$275,4,FALSE)</f>
        <v>Front load</v>
      </c>
      <c r="F201" s="251" t="s">
        <v>846</v>
      </c>
      <c r="G201" s="288">
        <v>3.29</v>
      </c>
      <c r="H201" s="288">
        <v>2.8</v>
      </c>
      <c r="I201" s="252">
        <f>D201*H201*SFAssumptions!$C$3</f>
        <v>3162.707856</v>
      </c>
      <c r="J201" s="253">
        <f t="shared" si="41"/>
        <v>1304.0999999999999</v>
      </c>
      <c r="K201" s="254">
        <f t="shared" si="41"/>
        <v>4.4000000000000004</v>
      </c>
      <c r="L201" s="691">
        <f t="shared" si="42"/>
        <v>2.8354049999999997</v>
      </c>
      <c r="M201" s="691">
        <f t="shared" si="43"/>
        <v>2.9849599999999996</v>
      </c>
      <c r="N201" s="255">
        <v>2012</v>
      </c>
      <c r="O201" s="256">
        <f>C201*VLOOKUP(N201,SFAssumptions!$A$42:$B$51,2,FALSE)</f>
        <v>1177.6738713547272</v>
      </c>
      <c r="P201" s="254">
        <f ca="1">O201+((SFAssumptions!$C$8-D201)*$AO$35)</f>
        <v>1120.521690095348</v>
      </c>
      <c r="Q201" s="190" t="str">
        <f>IF(OR(L201="",M201=""),"No",IF(AND(E201="Front Load",L201&gt;='Eff. Standards &amp; Certifications'!$B$21,M201&lt;='Eff. Standards &amp; Certifications'!$C$21),"Consider",IF(AND(E201="Top Load",L201&gt;='Eff. Standards &amp; Certifications'!$B$20,M201&lt;='Eff. Standards &amp; Certifications'!$C$20),"Consider","No")))</f>
        <v>Consider</v>
      </c>
      <c r="R201" s="203"/>
      <c r="S201" s="203"/>
      <c r="T201" s="293" t="str">
        <f t="shared" si="48"/>
        <v>NO</v>
      </c>
      <c r="U201" s="293" t="str">
        <f t="shared" si="48"/>
        <v>YES</v>
      </c>
      <c r="V201" s="293" t="str">
        <f t="shared" si="49"/>
        <v>YES</v>
      </c>
      <c r="W201" s="211" t="str">
        <f t="shared" si="44"/>
        <v>NO</v>
      </c>
      <c r="X201" s="211" t="str">
        <f t="shared" si="44"/>
        <v>NO</v>
      </c>
      <c r="Y201" s="211" t="str">
        <f t="shared" si="50"/>
        <v>NO</v>
      </c>
      <c r="Z201" s="211" t="str">
        <f t="shared" si="51"/>
        <v>NO</v>
      </c>
      <c r="AA201" s="211" t="str">
        <f t="shared" si="51"/>
        <v>YES</v>
      </c>
      <c r="AB201" s="293" t="str">
        <f t="shared" si="52"/>
        <v>YES</v>
      </c>
      <c r="AC201" s="211" t="str">
        <f t="shared" si="53"/>
        <v>NO</v>
      </c>
      <c r="AD201" s="211" t="str">
        <f t="shared" si="54"/>
        <v>YES</v>
      </c>
      <c r="AE201" s="211" t="str">
        <f t="shared" si="55"/>
        <v>NO</v>
      </c>
      <c r="AF201" s="206"/>
      <c r="AG201" s="206"/>
      <c r="AH201" s="203">
        <f t="shared" si="45"/>
        <v>2.8354049999999997</v>
      </c>
      <c r="AI201" s="203">
        <f t="shared" si="46"/>
        <v>1304.0999999999999</v>
      </c>
      <c r="AJ201" s="203">
        <f t="shared" si="47"/>
        <v>1025.6695667977078</v>
      </c>
      <c r="AK201" s="203"/>
      <c r="AL201" s="203"/>
      <c r="AM201" s="203"/>
      <c r="AN201" s="207"/>
    </row>
    <row r="202" spans="1:40" s="204" customFormat="1" ht="15">
      <c r="A202" s="287" t="s">
        <v>844</v>
      </c>
      <c r="B202" s="287" t="s">
        <v>951</v>
      </c>
      <c r="C202" s="249">
        <v>1259.0999999999999</v>
      </c>
      <c r="D202" s="280">
        <v>4.4000000000000004</v>
      </c>
      <c r="E202" s="250" t="str">
        <f>VLOOKUP(B202,'Northwest Retail Cost Data'!$C$5:$F$275,4,FALSE)</f>
        <v>Front load</v>
      </c>
      <c r="F202" s="251" t="s">
        <v>846</v>
      </c>
      <c r="G202" s="288">
        <v>3.29</v>
      </c>
      <c r="H202" s="288">
        <v>2.8</v>
      </c>
      <c r="I202" s="252">
        <f>D202*H202*SFAssumptions!$C$3</f>
        <v>3162.707856</v>
      </c>
      <c r="J202" s="253">
        <f t="shared" si="41"/>
        <v>1259.0999999999999</v>
      </c>
      <c r="K202" s="254">
        <f t="shared" si="41"/>
        <v>4.4000000000000004</v>
      </c>
      <c r="L202" s="691">
        <f t="shared" si="42"/>
        <v>2.8354049999999997</v>
      </c>
      <c r="M202" s="691">
        <f t="shared" si="43"/>
        <v>2.9849599999999996</v>
      </c>
      <c r="N202" s="255">
        <v>2012</v>
      </c>
      <c r="O202" s="256">
        <f>C202*VLOOKUP(N202,SFAssumptions!$A$42:$B$51,2,FALSE)</f>
        <v>1137.0364016737497</v>
      </c>
      <c r="P202" s="254">
        <f ca="1">O202+((SFAssumptions!$C$8-D202)*$AO$35)</f>
        <v>1079.8842204143705</v>
      </c>
      <c r="Q202" s="190" t="str">
        <f>IF(OR(L202="",M202=""),"No",IF(AND(E202="Front Load",L202&gt;='Eff. Standards &amp; Certifications'!$B$21,M202&lt;='Eff. Standards &amp; Certifications'!$C$21),"Consider",IF(AND(E202="Top Load",L202&gt;='Eff. Standards &amp; Certifications'!$B$20,M202&lt;='Eff. Standards &amp; Certifications'!$C$20),"Consider","No")))</f>
        <v>Consider</v>
      </c>
      <c r="R202" s="203"/>
      <c r="S202" s="203"/>
      <c r="T202" s="293" t="str">
        <f t="shared" si="48"/>
        <v>NO</v>
      </c>
      <c r="U202" s="293" t="str">
        <f t="shared" si="48"/>
        <v>YES</v>
      </c>
      <c r="V202" s="293" t="str">
        <f t="shared" si="49"/>
        <v>YES</v>
      </c>
      <c r="W202" s="211" t="str">
        <f t="shared" si="44"/>
        <v>NO</v>
      </c>
      <c r="X202" s="211" t="str">
        <f t="shared" si="44"/>
        <v>NO</v>
      </c>
      <c r="Y202" s="211" t="str">
        <f t="shared" si="50"/>
        <v>NO</v>
      </c>
      <c r="Z202" s="211" t="str">
        <f t="shared" si="51"/>
        <v>NO</v>
      </c>
      <c r="AA202" s="211" t="str">
        <f t="shared" si="51"/>
        <v>YES</v>
      </c>
      <c r="AB202" s="293" t="str">
        <f t="shared" si="52"/>
        <v>YES</v>
      </c>
      <c r="AC202" s="211" t="str">
        <f t="shared" si="53"/>
        <v>NO</v>
      </c>
      <c r="AD202" s="211" t="str">
        <f t="shared" si="54"/>
        <v>YES</v>
      </c>
      <c r="AE202" s="211" t="str">
        <f t="shared" si="55"/>
        <v>NO</v>
      </c>
      <c r="AF202" s="206"/>
      <c r="AG202" s="206"/>
      <c r="AH202" s="203">
        <f t="shared" si="45"/>
        <v>2.8354049999999997</v>
      </c>
      <c r="AI202" s="203">
        <f t="shared" si="46"/>
        <v>1259.0999999999999</v>
      </c>
      <c r="AJ202" s="203">
        <f t="shared" si="47"/>
        <v>1025.6695667977078</v>
      </c>
      <c r="AK202" s="203"/>
      <c r="AL202" s="203"/>
      <c r="AM202" s="203"/>
      <c r="AN202" s="207"/>
    </row>
    <row r="203" spans="1:40" s="204" customFormat="1" ht="15">
      <c r="A203" s="287" t="s">
        <v>976</v>
      </c>
      <c r="B203" s="280" t="s">
        <v>947</v>
      </c>
      <c r="C203" s="249">
        <v>1199</v>
      </c>
      <c r="D203" s="280">
        <v>4.2</v>
      </c>
      <c r="E203" s="250" t="str">
        <f>VLOOKUP(B203,'Northwest Retail Cost Data'!$C$5:$F$275,4,FALSE)</f>
        <v>Front load</v>
      </c>
      <c r="F203" s="251" t="s">
        <v>846</v>
      </c>
      <c r="G203" s="288">
        <v>3.1</v>
      </c>
      <c r="H203" s="288">
        <v>2.7</v>
      </c>
      <c r="I203" s="252">
        <f>D203*H203*SFAssumptions!$C$3</f>
        <v>2911.1288220000006</v>
      </c>
      <c r="J203" s="253">
        <f t="shared" si="41"/>
        <v>1199</v>
      </c>
      <c r="K203" s="254">
        <f t="shared" si="41"/>
        <v>4.2</v>
      </c>
      <c r="L203" s="691">
        <f t="shared" si="42"/>
        <v>2.6616499999999998</v>
      </c>
      <c r="M203" s="691">
        <f t="shared" si="43"/>
        <v>2.8825400000000001</v>
      </c>
      <c r="N203" s="255">
        <v>2012</v>
      </c>
      <c r="O203" s="256">
        <f>C203*VLOOKUP(N203,SFAssumptions!$A$42:$B$51,2,FALSE)</f>
        <v>1082.7628032775999</v>
      </c>
      <c r="P203" s="254">
        <f ca="1">O203+((SFAssumptions!$C$8-D203)*$AO$35)</f>
        <v>1043.9582466990289</v>
      </c>
      <c r="Q203" s="190" t="str">
        <f>IF(OR(L203="",M203=""),"No",IF(AND(E203="Front Load",L203&gt;='Eff. Standards &amp; Certifications'!$B$21,M203&lt;='Eff. Standards &amp; Certifications'!$C$21),"Consider",IF(AND(E203="Top Load",L203&gt;='Eff. Standards &amp; Certifications'!$B$20,M203&lt;='Eff. Standards &amp; Certifications'!$C$20),"Consider","No")))</f>
        <v>Consider</v>
      </c>
      <c r="R203" s="203"/>
      <c r="S203" s="203"/>
      <c r="T203" s="293" t="str">
        <f t="shared" si="48"/>
        <v>NO</v>
      </c>
      <c r="U203" s="293" t="str">
        <f t="shared" si="48"/>
        <v>YES</v>
      </c>
      <c r="V203" s="293" t="str">
        <f t="shared" si="49"/>
        <v>YES</v>
      </c>
      <c r="W203" s="211" t="str">
        <f t="shared" si="44"/>
        <v>NO</v>
      </c>
      <c r="X203" s="211" t="str">
        <f t="shared" si="44"/>
        <v>NO</v>
      </c>
      <c r="Y203" s="211" t="str">
        <f t="shared" si="50"/>
        <v>NO</v>
      </c>
      <c r="Z203" s="211" t="str">
        <f t="shared" si="51"/>
        <v>NO</v>
      </c>
      <c r="AA203" s="211" t="str">
        <f t="shared" si="51"/>
        <v>YES</v>
      </c>
      <c r="AB203" s="293" t="str">
        <f t="shared" si="52"/>
        <v>YES</v>
      </c>
      <c r="AC203" s="211" t="str">
        <f t="shared" si="53"/>
        <v>YES</v>
      </c>
      <c r="AD203" s="211" t="str">
        <f t="shared" si="54"/>
        <v>NO</v>
      </c>
      <c r="AE203" s="211" t="str">
        <f t="shared" si="55"/>
        <v>NO</v>
      </c>
      <c r="AF203" s="206"/>
      <c r="AG203" s="206"/>
      <c r="AH203" s="203">
        <f t="shared" si="45"/>
        <v>2.6616499999999998</v>
      </c>
      <c r="AI203" s="203">
        <f t="shared" si="46"/>
        <v>1199</v>
      </c>
      <c r="AJ203" s="203">
        <f t="shared" si="47"/>
        <v>966.03851035807281</v>
      </c>
      <c r="AK203" s="203"/>
      <c r="AL203" s="203"/>
      <c r="AM203" s="203"/>
      <c r="AN203" s="207"/>
    </row>
    <row r="204" spans="1:40" s="204" customFormat="1" ht="15">
      <c r="A204" s="287" t="s">
        <v>976</v>
      </c>
      <c r="B204" s="287" t="s">
        <v>977</v>
      </c>
      <c r="C204" s="249">
        <v>999</v>
      </c>
      <c r="D204" s="280">
        <v>4.3</v>
      </c>
      <c r="E204" s="250" t="str">
        <f>VLOOKUP(B204,'Northwest Retail Cost Data'!$C$5:$F$275,4,FALSE)</f>
        <v>Front Load</v>
      </c>
      <c r="F204" s="251" t="s">
        <v>846</v>
      </c>
      <c r="G204" s="288">
        <v>3.33</v>
      </c>
      <c r="H204" s="288">
        <v>2.8</v>
      </c>
      <c r="I204" s="252">
        <f>D204*H204*SFAssumptions!$C$3</f>
        <v>3090.8281319999996</v>
      </c>
      <c r="J204" s="253">
        <f t="shared" si="41"/>
        <v>999</v>
      </c>
      <c r="K204" s="254">
        <f t="shared" si="41"/>
        <v>4.3</v>
      </c>
      <c r="L204" s="691">
        <f t="shared" si="42"/>
        <v>2.8719849999999996</v>
      </c>
      <c r="M204" s="691">
        <f t="shared" si="43"/>
        <v>2.9849599999999996</v>
      </c>
      <c r="N204" s="255">
        <v>2012</v>
      </c>
      <c r="O204" s="256">
        <f>C204*VLOOKUP(N204,SFAssumptions!$A$42:$B$51,2,FALSE)</f>
        <v>902.15182691769996</v>
      </c>
      <c r="P204" s="254">
        <f ca="1">O204+((SFAssumptions!$C$8-D204)*$AO$35)</f>
        <v>854.17345799872498</v>
      </c>
      <c r="Q204" s="190" t="str">
        <f>IF(OR(L204="",M204=""),"No",IF(AND(E204="Front Load",L204&gt;='Eff. Standards &amp; Certifications'!$B$21,M204&lt;='Eff. Standards &amp; Certifications'!$C$21),"Consider",IF(AND(E204="Top Load",L204&gt;='Eff. Standards &amp; Certifications'!$B$20,M204&lt;='Eff. Standards &amp; Certifications'!$C$20),"Consider","No")))</f>
        <v>Consider</v>
      </c>
      <c r="R204" s="203"/>
      <c r="S204" s="203"/>
      <c r="T204" s="293" t="str">
        <f t="shared" si="48"/>
        <v>NO</v>
      </c>
      <c r="U204" s="293" t="str">
        <f t="shared" si="48"/>
        <v>YES</v>
      </c>
      <c r="V204" s="293" t="str">
        <f t="shared" si="49"/>
        <v>YES</v>
      </c>
      <c r="W204" s="211" t="str">
        <f t="shared" si="44"/>
        <v>NO</v>
      </c>
      <c r="X204" s="211" t="str">
        <f t="shared" si="44"/>
        <v>NO</v>
      </c>
      <c r="Y204" s="211" t="str">
        <f t="shared" si="50"/>
        <v>NO</v>
      </c>
      <c r="Z204" s="211" t="str">
        <f t="shared" si="51"/>
        <v>NO</v>
      </c>
      <c r="AA204" s="211" t="str">
        <f t="shared" si="51"/>
        <v>YES</v>
      </c>
      <c r="AB204" s="293" t="str">
        <f t="shared" si="52"/>
        <v>YES</v>
      </c>
      <c r="AC204" s="211" t="str">
        <f t="shared" si="53"/>
        <v>NO</v>
      </c>
      <c r="AD204" s="211" t="str">
        <f t="shared" si="54"/>
        <v>YES</v>
      </c>
      <c r="AE204" s="211" t="str">
        <f t="shared" si="55"/>
        <v>NO</v>
      </c>
      <c r="AF204" s="206"/>
      <c r="AG204" s="206"/>
      <c r="AH204" s="203">
        <f t="shared" si="45"/>
        <v>2.8719849999999996</v>
      </c>
      <c r="AI204" s="203">
        <f t="shared" si="46"/>
        <v>999</v>
      </c>
      <c r="AJ204" s="203">
        <f t="shared" si="47"/>
        <v>1025.3364339900581</v>
      </c>
      <c r="AK204" s="203"/>
      <c r="AL204" s="203"/>
      <c r="AM204" s="203"/>
      <c r="AN204" s="207"/>
    </row>
    <row r="205" spans="1:40" s="204" customFormat="1" ht="15">
      <c r="A205" s="287" t="s">
        <v>844</v>
      </c>
      <c r="B205" s="287" t="s">
        <v>848</v>
      </c>
      <c r="C205" s="249">
        <v>899.1</v>
      </c>
      <c r="D205" s="280">
        <v>4.2</v>
      </c>
      <c r="E205" s="250" t="str">
        <f>VLOOKUP(B205,'Northwest Retail Cost Data'!$C$5:$F$275,4,FALSE)</f>
        <v>Front Load</v>
      </c>
      <c r="F205" s="251" t="s">
        <v>846</v>
      </c>
      <c r="G205" s="288">
        <v>2.88</v>
      </c>
      <c r="H205" s="288">
        <v>3.5</v>
      </c>
      <c r="I205" s="252">
        <f>D205*H205*SFAssumptions!$C$3</f>
        <v>3773.6855100000002</v>
      </c>
      <c r="J205" s="253">
        <f t="shared" si="41"/>
        <v>899.1</v>
      </c>
      <c r="K205" s="254">
        <f t="shared" si="41"/>
        <v>4.2</v>
      </c>
      <c r="L205" s="691">
        <f t="shared" si="42"/>
        <v>2.4604599999999994</v>
      </c>
      <c r="M205" s="691">
        <f t="shared" si="43"/>
        <v>3.7018999999999997</v>
      </c>
      <c r="N205" s="255">
        <v>2012</v>
      </c>
      <c r="O205" s="256">
        <f>C205*VLOOKUP(N205,SFAssumptions!$A$42:$B$51,2,FALSE)</f>
        <v>811.93664422592997</v>
      </c>
      <c r="P205" s="254">
        <f ca="1">O205+((SFAssumptions!$C$8-D205)*$AO$35)</f>
        <v>773.13208764735907</v>
      </c>
      <c r="Q205" s="190" t="str">
        <f>IF(OR(L205="",M205=""),"No",IF(AND(E205="Front Load",L205&gt;='Eff. Standards &amp; Certifications'!$B$21,M205&lt;='Eff. Standards &amp; Certifications'!$C$21),"Consider",IF(AND(E205="Top Load",L205&gt;='Eff. Standards &amp; Certifications'!$B$20,M205&lt;='Eff. Standards &amp; Certifications'!$C$20),"Consider","No")))</f>
        <v>Consider</v>
      </c>
      <c r="R205" s="203"/>
      <c r="S205" s="203"/>
      <c r="T205" s="293" t="str">
        <f t="shared" si="48"/>
        <v>NO</v>
      </c>
      <c r="U205" s="293" t="str">
        <f t="shared" si="48"/>
        <v>YES</v>
      </c>
      <c r="V205" s="293" t="str">
        <f t="shared" si="49"/>
        <v>YES</v>
      </c>
      <c r="W205" s="211" t="str">
        <f t="shared" si="44"/>
        <v>NO</v>
      </c>
      <c r="X205" s="211" t="str">
        <f t="shared" si="44"/>
        <v>YES</v>
      </c>
      <c r="Y205" s="211" t="str">
        <f t="shared" si="50"/>
        <v>YES</v>
      </c>
      <c r="Z205" s="211" t="str">
        <f t="shared" si="51"/>
        <v>NO</v>
      </c>
      <c r="AA205" s="211" t="str">
        <f t="shared" si="51"/>
        <v>NO</v>
      </c>
      <c r="AB205" s="293" t="str">
        <f t="shared" si="52"/>
        <v>NO</v>
      </c>
      <c r="AC205" s="211" t="str">
        <f t="shared" si="53"/>
        <v>NO</v>
      </c>
      <c r="AD205" s="211" t="str">
        <f t="shared" si="54"/>
        <v>NO</v>
      </c>
      <c r="AE205" s="211" t="str">
        <f t="shared" si="55"/>
        <v>NO</v>
      </c>
      <c r="AF205" s="206"/>
      <c r="AG205" s="206"/>
      <c r="AH205" s="203">
        <f t="shared" si="45"/>
        <v>2.4604599999999994</v>
      </c>
      <c r="AI205" s="203">
        <f t="shared" si="46"/>
        <v>899.1</v>
      </c>
      <c r="AJ205" s="203">
        <f t="shared" si="47"/>
        <v>911.73640475386185</v>
      </c>
      <c r="AK205" s="203"/>
      <c r="AL205" s="203"/>
      <c r="AM205" s="203"/>
      <c r="AN205" s="207"/>
    </row>
    <row r="206" spans="1:40" s="204" customFormat="1" ht="15">
      <c r="A206" s="287" t="s">
        <v>844</v>
      </c>
      <c r="B206" s="287" t="s">
        <v>978</v>
      </c>
      <c r="C206" s="249">
        <v>799.2</v>
      </c>
      <c r="D206" s="280">
        <v>4.2</v>
      </c>
      <c r="E206" s="250" t="str">
        <f>VLOOKUP(B206,'Northwest Retail Cost Data'!$C$5:$F$275,4,FALSE)</f>
        <v>Front Load</v>
      </c>
      <c r="F206" s="251" t="s">
        <v>846</v>
      </c>
      <c r="G206" s="288">
        <v>3.1</v>
      </c>
      <c r="H206" s="288">
        <v>2.8</v>
      </c>
      <c r="I206" s="252">
        <f>D206*H206*SFAssumptions!$C$3</f>
        <v>3018.9484080000002</v>
      </c>
      <c r="J206" s="253">
        <f t="shared" si="41"/>
        <v>799.2</v>
      </c>
      <c r="K206" s="254">
        <f t="shared" si="41"/>
        <v>4.2</v>
      </c>
      <c r="L206" s="691">
        <f t="shared" si="42"/>
        <v>2.6616499999999998</v>
      </c>
      <c r="M206" s="691">
        <f t="shared" si="43"/>
        <v>2.9849599999999996</v>
      </c>
      <c r="N206" s="255">
        <v>2012</v>
      </c>
      <c r="O206" s="256">
        <f>C206*VLOOKUP(N206,SFAssumptions!$A$42:$B$51,2,FALSE)</f>
        <v>721.72146153415997</v>
      </c>
      <c r="P206" s="254">
        <f ca="1">O206+((SFAssumptions!$C$8-D206)*$AO$35)</f>
        <v>682.91690495558908</v>
      </c>
      <c r="Q206" s="190" t="str">
        <f>IF(OR(L206="",M206=""),"No",IF(AND(E206="Front Load",L206&gt;='Eff. Standards &amp; Certifications'!$B$21,M206&lt;='Eff. Standards &amp; Certifications'!$C$21),"Consider",IF(AND(E206="Top Load",L206&gt;='Eff. Standards &amp; Certifications'!$B$20,M206&lt;='Eff. Standards &amp; Certifications'!$C$20),"Consider","No")))</f>
        <v>Consider</v>
      </c>
      <c r="R206" s="203"/>
      <c r="S206" s="203"/>
      <c r="T206" s="293" t="str">
        <f t="shared" si="48"/>
        <v>NO</v>
      </c>
      <c r="U206" s="293" t="str">
        <f t="shared" si="48"/>
        <v>YES</v>
      </c>
      <c r="V206" s="293" t="str">
        <f t="shared" si="49"/>
        <v>YES</v>
      </c>
      <c r="W206" s="211" t="str">
        <f t="shared" si="44"/>
        <v>NO</v>
      </c>
      <c r="X206" s="211" t="str">
        <f t="shared" si="44"/>
        <v>NO</v>
      </c>
      <c r="Y206" s="211" t="str">
        <f t="shared" si="50"/>
        <v>NO</v>
      </c>
      <c r="Z206" s="211" t="str">
        <f t="shared" si="51"/>
        <v>NO</v>
      </c>
      <c r="AA206" s="211" t="str">
        <f t="shared" si="51"/>
        <v>YES</v>
      </c>
      <c r="AB206" s="293" t="str">
        <f t="shared" si="52"/>
        <v>YES</v>
      </c>
      <c r="AC206" s="211" t="str">
        <f t="shared" si="53"/>
        <v>YES</v>
      </c>
      <c r="AD206" s="211" t="str">
        <f t="shared" si="54"/>
        <v>NO</v>
      </c>
      <c r="AE206" s="211" t="str">
        <f t="shared" si="55"/>
        <v>NO</v>
      </c>
      <c r="AF206" s="206"/>
      <c r="AG206" s="206"/>
      <c r="AH206" s="203">
        <f t="shared" si="45"/>
        <v>2.6616499999999998</v>
      </c>
      <c r="AI206" s="203">
        <f t="shared" si="46"/>
        <v>799.2</v>
      </c>
      <c r="AJ206" s="203">
        <f t="shared" si="47"/>
        <v>965.32871433631533</v>
      </c>
      <c r="AK206" s="203"/>
      <c r="AL206" s="203"/>
      <c r="AM206" s="203"/>
      <c r="AN206" s="207"/>
    </row>
    <row r="207" spans="1:40" s="204" customFormat="1" ht="15">
      <c r="A207" s="287" t="s">
        <v>979</v>
      </c>
      <c r="B207" s="280" t="s">
        <v>845</v>
      </c>
      <c r="C207" s="249">
        <v>999</v>
      </c>
      <c r="D207" s="280">
        <v>4.2</v>
      </c>
      <c r="E207" s="250" t="str">
        <f>VLOOKUP(B207,'Northwest Retail Cost Data'!$C$5:$F$275,4,FALSE)</f>
        <v>Front Load</v>
      </c>
      <c r="F207" s="251" t="s">
        <v>846</v>
      </c>
      <c r="G207" s="288">
        <v>3.33</v>
      </c>
      <c r="H207" s="288">
        <v>2.8</v>
      </c>
      <c r="I207" s="252">
        <f>D207*H207*SFAssumptions!$C$3</f>
        <v>3018.9484080000002</v>
      </c>
      <c r="J207" s="253">
        <f t="shared" si="41"/>
        <v>999</v>
      </c>
      <c r="K207" s="254">
        <f t="shared" si="41"/>
        <v>4.2</v>
      </c>
      <c r="L207" s="691">
        <f t="shared" si="42"/>
        <v>2.8719849999999996</v>
      </c>
      <c r="M207" s="691">
        <f t="shared" si="43"/>
        <v>2.9849599999999996</v>
      </c>
      <c r="N207" s="255">
        <v>2012</v>
      </c>
      <c r="O207" s="256">
        <f>C207*VLOOKUP(N207,SFAssumptions!$A$42:$B$51,2,FALSE)</f>
        <v>902.15182691769996</v>
      </c>
      <c r="P207" s="254">
        <f ca="1">O207+((SFAssumptions!$C$8-D207)*$AO$35)</f>
        <v>863.34727033912907</v>
      </c>
      <c r="Q207" s="190" t="str">
        <f>IF(OR(L207="",M207=""),"No",IF(AND(E207="Front Load",L207&gt;='Eff. Standards &amp; Certifications'!$B$21,M207&lt;='Eff. Standards &amp; Certifications'!$C$21),"Consider",IF(AND(E207="Top Load",L207&gt;='Eff. Standards &amp; Certifications'!$B$20,M207&lt;='Eff. Standards &amp; Certifications'!$C$20),"Consider","No")))</f>
        <v>Consider</v>
      </c>
      <c r="R207" s="203"/>
      <c r="S207" s="203"/>
      <c r="T207" s="293" t="str">
        <f t="shared" si="48"/>
        <v>NO</v>
      </c>
      <c r="U207" s="293" t="str">
        <f t="shared" si="48"/>
        <v>YES</v>
      </c>
      <c r="V207" s="293" t="str">
        <f t="shared" si="49"/>
        <v>YES</v>
      </c>
      <c r="W207" s="211" t="str">
        <f t="shared" si="44"/>
        <v>NO</v>
      </c>
      <c r="X207" s="211" t="str">
        <f t="shared" si="44"/>
        <v>NO</v>
      </c>
      <c r="Y207" s="211" t="str">
        <f t="shared" si="50"/>
        <v>NO</v>
      </c>
      <c r="Z207" s="211" t="str">
        <f t="shared" si="51"/>
        <v>NO</v>
      </c>
      <c r="AA207" s="211" t="str">
        <f t="shared" si="51"/>
        <v>YES</v>
      </c>
      <c r="AB207" s="293" t="str">
        <f t="shared" si="52"/>
        <v>YES</v>
      </c>
      <c r="AC207" s="211" t="str">
        <f t="shared" si="53"/>
        <v>NO</v>
      </c>
      <c r="AD207" s="211" t="str">
        <f t="shared" si="54"/>
        <v>YES</v>
      </c>
      <c r="AE207" s="211" t="str">
        <f t="shared" si="55"/>
        <v>NO</v>
      </c>
      <c r="AF207" s="206"/>
      <c r="AG207" s="206"/>
      <c r="AH207" s="203">
        <f t="shared" si="45"/>
        <v>2.8719849999999996</v>
      </c>
      <c r="AI207" s="203">
        <f t="shared" si="46"/>
        <v>999</v>
      </c>
      <c r="AJ207" s="203">
        <f t="shared" si="47"/>
        <v>1016.1626216496542</v>
      </c>
      <c r="AK207" s="203"/>
      <c r="AL207" s="203"/>
      <c r="AM207" s="203"/>
      <c r="AN207" s="207"/>
    </row>
    <row r="208" spans="1:40" s="204" customFormat="1" ht="15">
      <c r="A208" s="280" t="s">
        <v>850</v>
      </c>
      <c r="B208" s="287" t="s">
        <v>851</v>
      </c>
      <c r="C208" s="249">
        <v>584.1</v>
      </c>
      <c r="D208" s="280">
        <v>3.3</v>
      </c>
      <c r="E208" s="250" t="str">
        <f>VLOOKUP(B208,'Northwest Retail Cost Data'!$C$5:$F$275,4,FALSE)</f>
        <v>Front Load</v>
      </c>
      <c r="F208" s="251" t="s">
        <v>846</v>
      </c>
      <c r="G208" s="288">
        <v>3</v>
      </c>
      <c r="H208" s="288">
        <v>3.3</v>
      </c>
      <c r="I208" s="252">
        <f>D208*H208*SFAssumptions!$C$3</f>
        <v>2795.6078369999996</v>
      </c>
      <c r="J208" s="253">
        <f t="shared" si="41"/>
        <v>584.1</v>
      </c>
      <c r="K208" s="254">
        <f t="shared" si="41"/>
        <v>3.3</v>
      </c>
      <c r="L208" s="691">
        <f t="shared" si="42"/>
        <v>2.5701999999999998</v>
      </c>
      <c r="M208" s="691">
        <f t="shared" si="43"/>
        <v>3.4970599999999998</v>
      </c>
      <c r="N208" s="255">
        <v>2012</v>
      </c>
      <c r="O208" s="256">
        <f>C208*VLOOKUP(N208,SFAssumptions!$A$42:$B$51,2,FALSE)</f>
        <v>527.47435645908763</v>
      </c>
      <c r="P208" s="254">
        <f ca="1">O208+((SFAssumptions!$C$8-D208)*$AO$35)</f>
        <v>571.23411094415394</v>
      </c>
      <c r="Q208" s="190" t="str">
        <f>IF(OR(L208="",M208=""),"No",IF(AND(E208="Front Load",L208&gt;='Eff. Standards &amp; Certifications'!$B$21,M208&lt;='Eff. Standards &amp; Certifications'!$C$21),"Consider",IF(AND(E208="Top Load",L208&gt;='Eff. Standards &amp; Certifications'!$B$20,M208&lt;='Eff. Standards &amp; Certifications'!$C$20),"Consider","No")))</f>
        <v>Consider</v>
      </c>
      <c r="R208" s="203"/>
      <c r="S208" s="203"/>
      <c r="T208" s="293" t="str">
        <f t="shared" si="48"/>
        <v>NO</v>
      </c>
      <c r="U208" s="293" t="str">
        <f t="shared" si="48"/>
        <v>YES</v>
      </c>
      <c r="V208" s="293" t="str">
        <f t="shared" si="49"/>
        <v>YES</v>
      </c>
      <c r="W208" s="211" t="str">
        <f t="shared" si="44"/>
        <v>NO</v>
      </c>
      <c r="X208" s="211" t="str">
        <f t="shared" si="44"/>
        <v>NO</v>
      </c>
      <c r="Y208" s="211" t="str">
        <f t="shared" si="50"/>
        <v>NO</v>
      </c>
      <c r="Z208" s="211" t="str">
        <f t="shared" si="51"/>
        <v>NO</v>
      </c>
      <c r="AA208" s="211" t="str">
        <f t="shared" si="51"/>
        <v>YES</v>
      </c>
      <c r="AB208" s="293" t="str">
        <f t="shared" si="52"/>
        <v>YES</v>
      </c>
      <c r="AC208" s="211" t="str">
        <f t="shared" si="53"/>
        <v>YES</v>
      </c>
      <c r="AD208" s="211" t="str">
        <f t="shared" si="54"/>
        <v>NO</v>
      </c>
      <c r="AE208" s="211" t="str">
        <f t="shared" si="55"/>
        <v>NO</v>
      </c>
      <c r="AF208" s="206"/>
      <c r="AG208" s="206"/>
      <c r="AH208" s="203">
        <f t="shared" si="45"/>
        <v>2.5701999999999998</v>
      </c>
      <c r="AI208" s="203">
        <f t="shared" si="46"/>
        <v>584.1</v>
      </c>
      <c r="AJ208" s="203">
        <f t="shared" si="47"/>
        <v>857.11372433200381</v>
      </c>
      <c r="AK208" s="203"/>
      <c r="AL208" s="203"/>
      <c r="AM208" s="203"/>
      <c r="AN208" s="207"/>
    </row>
    <row r="209" spans="1:40" s="204" customFormat="1" ht="15">
      <c r="A209" s="287" t="s">
        <v>850</v>
      </c>
      <c r="B209" s="280" t="s">
        <v>980</v>
      </c>
      <c r="C209" s="249">
        <v>854.1</v>
      </c>
      <c r="D209" s="280">
        <v>3.8</v>
      </c>
      <c r="E209" s="250" t="str">
        <f>VLOOKUP(B209,'Northwest Retail Cost Data'!$C$5:$F$275,4,FALSE)</f>
        <v>Front Load</v>
      </c>
      <c r="F209" s="251" t="s">
        <v>846</v>
      </c>
      <c r="G209" s="288">
        <v>3.41</v>
      </c>
      <c r="H209" s="288">
        <v>2.8</v>
      </c>
      <c r="I209" s="252">
        <f>D209*H209*SFAssumptions!$C$3</f>
        <v>2731.4295119999997</v>
      </c>
      <c r="J209" s="253">
        <f t="shared" si="41"/>
        <v>854.1</v>
      </c>
      <c r="K209" s="254">
        <f t="shared" si="41"/>
        <v>3.8</v>
      </c>
      <c r="L209" s="691">
        <f t="shared" si="42"/>
        <v>2.9451450000000001</v>
      </c>
      <c r="M209" s="691">
        <f t="shared" si="43"/>
        <v>2.9849599999999996</v>
      </c>
      <c r="N209" s="255">
        <v>2012</v>
      </c>
      <c r="O209" s="256">
        <f>C209*VLOOKUP(N209,SFAssumptions!$A$42:$B$51,2,FALSE)</f>
        <v>771.29917454495251</v>
      </c>
      <c r="P209" s="254">
        <f ca="1">O209+((SFAssumptions!$C$8-D209)*$AO$35)</f>
        <v>769.18986732799817</v>
      </c>
      <c r="Q209" s="190" t="str">
        <f>IF(OR(L209="",M209=""),"No",IF(AND(E209="Front Load",L209&gt;='Eff. Standards &amp; Certifications'!$B$21,M209&lt;='Eff. Standards &amp; Certifications'!$C$21),"Consider",IF(AND(E209="Top Load",L209&gt;='Eff. Standards &amp; Certifications'!$B$20,M209&lt;='Eff. Standards &amp; Certifications'!$C$20),"Consider","No")))</f>
        <v>Consider</v>
      </c>
      <c r="R209" s="203"/>
      <c r="S209" s="203"/>
      <c r="T209" s="293" t="str">
        <f t="shared" si="48"/>
        <v>NO</v>
      </c>
      <c r="U209" s="293" t="str">
        <f t="shared" si="48"/>
        <v>YES</v>
      </c>
      <c r="V209" s="293" t="str">
        <f t="shared" si="49"/>
        <v>YES</v>
      </c>
      <c r="W209" s="211" t="str">
        <f t="shared" si="44"/>
        <v>NO</v>
      </c>
      <c r="X209" s="211" t="str">
        <f t="shared" si="44"/>
        <v>NO</v>
      </c>
      <c r="Y209" s="211" t="str">
        <f t="shared" si="50"/>
        <v>NO</v>
      </c>
      <c r="Z209" s="211" t="str">
        <f t="shared" si="51"/>
        <v>NO</v>
      </c>
      <c r="AA209" s="211" t="str">
        <f t="shared" si="51"/>
        <v>YES</v>
      </c>
      <c r="AB209" s="293" t="str">
        <f t="shared" si="52"/>
        <v>YES</v>
      </c>
      <c r="AC209" s="211" t="str">
        <f t="shared" si="53"/>
        <v>NO</v>
      </c>
      <c r="AD209" s="211" t="str">
        <f t="shared" si="54"/>
        <v>NO</v>
      </c>
      <c r="AE209" s="211" t="str">
        <f t="shared" si="55"/>
        <v>YES</v>
      </c>
      <c r="AF209" s="206"/>
      <c r="AG209" s="206"/>
      <c r="AH209" s="203">
        <f t="shared" si="45"/>
        <v>2.9451450000000001</v>
      </c>
      <c r="AI209" s="203">
        <f t="shared" si="46"/>
        <v>854.1</v>
      </c>
      <c r="AJ209" s="203">
        <f t="shared" si="47"/>
        <v>997.14873135354708</v>
      </c>
      <c r="AK209" s="203"/>
      <c r="AL209" s="203"/>
      <c r="AM209" s="203"/>
      <c r="AN209" s="207"/>
    </row>
    <row r="210" spans="1:40" s="204" customFormat="1" ht="15">
      <c r="A210" s="287" t="s">
        <v>981</v>
      </c>
      <c r="B210" s="287" t="s">
        <v>982</v>
      </c>
      <c r="C210" s="249">
        <v>854.1</v>
      </c>
      <c r="D210" s="280">
        <v>3.8</v>
      </c>
      <c r="E210" s="250" t="str">
        <f>VLOOKUP(B210,'Northwest Retail Cost Data'!$C$5:$F$275,4,FALSE)</f>
        <v>Front Load</v>
      </c>
      <c r="F210" s="251" t="s">
        <v>846</v>
      </c>
      <c r="G210" s="288">
        <v>3.41</v>
      </c>
      <c r="H210" s="288">
        <v>2.8</v>
      </c>
      <c r="I210" s="252">
        <f>D210*H210*SFAssumptions!$C$3</f>
        <v>2731.4295119999997</v>
      </c>
      <c r="J210" s="253">
        <f t="shared" si="41"/>
        <v>854.1</v>
      </c>
      <c r="K210" s="254">
        <f t="shared" si="41"/>
        <v>3.8</v>
      </c>
      <c r="L210" s="691">
        <f t="shared" si="42"/>
        <v>2.9451450000000001</v>
      </c>
      <c r="M210" s="691">
        <f t="shared" si="43"/>
        <v>2.9849599999999996</v>
      </c>
      <c r="N210" s="255">
        <v>2012</v>
      </c>
      <c r="O210" s="256">
        <f>C210*VLOOKUP(N210,SFAssumptions!$A$42:$B$51,2,FALSE)</f>
        <v>771.29917454495251</v>
      </c>
      <c r="P210" s="254">
        <f ca="1">O210+((SFAssumptions!$C$8-D210)*$AO$35)</f>
        <v>769.18986732799817</v>
      </c>
      <c r="Q210" s="190" t="str">
        <f>IF(OR(L210="",M210=""),"No",IF(AND(E210="Front Load",L210&gt;='Eff. Standards &amp; Certifications'!$B$21,M210&lt;='Eff. Standards &amp; Certifications'!$C$21),"Consider",IF(AND(E210="Top Load",L210&gt;='Eff. Standards &amp; Certifications'!$B$20,M210&lt;='Eff. Standards &amp; Certifications'!$C$20),"Consider","No")))</f>
        <v>Consider</v>
      </c>
      <c r="R210" s="203"/>
      <c r="S210" s="203"/>
      <c r="T210" s="293" t="str">
        <f t="shared" si="48"/>
        <v>NO</v>
      </c>
      <c r="U210" s="293" t="str">
        <f t="shared" si="48"/>
        <v>YES</v>
      </c>
      <c r="V210" s="293" t="str">
        <f t="shared" si="49"/>
        <v>YES</v>
      </c>
      <c r="W210" s="211" t="str">
        <f t="shared" si="44"/>
        <v>NO</v>
      </c>
      <c r="X210" s="211" t="str">
        <f t="shared" si="44"/>
        <v>NO</v>
      </c>
      <c r="Y210" s="211" t="str">
        <f t="shared" si="50"/>
        <v>NO</v>
      </c>
      <c r="Z210" s="211" t="str">
        <f t="shared" si="51"/>
        <v>NO</v>
      </c>
      <c r="AA210" s="211" t="str">
        <f t="shared" si="51"/>
        <v>YES</v>
      </c>
      <c r="AB210" s="293" t="str">
        <f t="shared" si="52"/>
        <v>YES</v>
      </c>
      <c r="AC210" s="211" t="str">
        <f t="shared" si="53"/>
        <v>NO</v>
      </c>
      <c r="AD210" s="211" t="str">
        <f t="shared" si="54"/>
        <v>NO</v>
      </c>
      <c r="AE210" s="211" t="str">
        <f t="shared" si="55"/>
        <v>YES</v>
      </c>
      <c r="AF210" s="206"/>
      <c r="AG210" s="206"/>
      <c r="AH210" s="203">
        <f t="shared" si="45"/>
        <v>2.9451450000000001</v>
      </c>
      <c r="AI210" s="203">
        <f t="shared" si="46"/>
        <v>854.1</v>
      </c>
      <c r="AJ210" s="203">
        <f t="shared" si="47"/>
        <v>997.14873135354708</v>
      </c>
      <c r="AK210" s="203"/>
      <c r="AL210" s="203"/>
      <c r="AM210" s="203"/>
      <c r="AN210" s="207"/>
    </row>
    <row r="211" spans="1:40" s="204" customFormat="1" ht="15">
      <c r="A211" s="287" t="s">
        <v>850</v>
      </c>
      <c r="B211" s="287" t="s">
        <v>983</v>
      </c>
      <c r="C211" s="249">
        <v>944.1</v>
      </c>
      <c r="D211" s="280">
        <v>3.9</v>
      </c>
      <c r="E211" s="250" t="str">
        <f>VLOOKUP(B211,'Northwest Retail Cost Data'!$C$5:$F$275,4,FALSE)</f>
        <v>Front Load</v>
      </c>
      <c r="F211" s="251" t="s">
        <v>846</v>
      </c>
      <c r="G211" s="288">
        <v>3.37</v>
      </c>
      <c r="H211" s="288">
        <v>2.7</v>
      </c>
      <c r="I211" s="252">
        <f>D211*H211*SFAssumptions!$C$3</f>
        <v>2703.1910490000005</v>
      </c>
      <c r="J211" s="253">
        <f t="shared" si="41"/>
        <v>944.1</v>
      </c>
      <c r="K211" s="254">
        <f t="shared" si="41"/>
        <v>3.9</v>
      </c>
      <c r="L211" s="691">
        <f t="shared" si="42"/>
        <v>2.9085650000000003</v>
      </c>
      <c r="M211" s="691">
        <f t="shared" si="43"/>
        <v>2.8825400000000001</v>
      </c>
      <c r="N211" s="255">
        <v>2012</v>
      </c>
      <c r="O211" s="256">
        <f>C211*VLOOKUP(N211,SFAssumptions!$A$42:$B$51,2,FALSE)</f>
        <v>852.57411390690743</v>
      </c>
      <c r="P211" s="254">
        <f ca="1">O211+((SFAssumptions!$C$8-D211)*$AO$35)</f>
        <v>841.2909943495489</v>
      </c>
      <c r="Q211" s="190" t="str">
        <f>IF(OR(L211="",M211=""),"No",IF(AND(E211="Front Load",L211&gt;='Eff. Standards &amp; Certifications'!$B$21,M211&lt;='Eff. Standards &amp; Certifications'!$C$21),"Consider",IF(AND(E211="Top Load",L211&gt;='Eff. Standards &amp; Certifications'!$B$20,M211&lt;='Eff. Standards &amp; Certifications'!$C$20),"Consider","No")))</f>
        <v>Consider</v>
      </c>
      <c r="R211" s="203"/>
      <c r="S211" s="203"/>
      <c r="T211" s="293" t="str">
        <f t="shared" si="48"/>
        <v>NO</v>
      </c>
      <c r="U211" s="293" t="str">
        <f t="shared" si="48"/>
        <v>YES</v>
      </c>
      <c r="V211" s="293" t="str">
        <f t="shared" si="49"/>
        <v>YES</v>
      </c>
      <c r="W211" s="211" t="str">
        <f t="shared" si="44"/>
        <v>NO</v>
      </c>
      <c r="X211" s="211" t="str">
        <f t="shared" si="44"/>
        <v>NO</v>
      </c>
      <c r="Y211" s="211" t="str">
        <f t="shared" si="50"/>
        <v>NO</v>
      </c>
      <c r="Z211" s="211" t="str">
        <f t="shared" si="51"/>
        <v>NO</v>
      </c>
      <c r="AA211" s="211" t="str">
        <f t="shared" si="51"/>
        <v>YES</v>
      </c>
      <c r="AB211" s="293" t="str">
        <f t="shared" si="52"/>
        <v>YES</v>
      </c>
      <c r="AC211" s="211" t="str">
        <f t="shared" si="53"/>
        <v>NO</v>
      </c>
      <c r="AD211" s="211" t="str">
        <f t="shared" si="54"/>
        <v>YES</v>
      </c>
      <c r="AE211" s="211" t="str">
        <f t="shared" si="55"/>
        <v>NO</v>
      </c>
      <c r="AF211" s="206"/>
      <c r="AG211" s="206"/>
      <c r="AH211" s="203">
        <f t="shared" si="45"/>
        <v>2.9085650000000003</v>
      </c>
      <c r="AI211" s="203">
        <f t="shared" si="46"/>
        <v>944.1</v>
      </c>
      <c r="AJ211" s="203">
        <f t="shared" si="47"/>
        <v>998.19166018295414</v>
      </c>
      <c r="AK211" s="203"/>
      <c r="AL211" s="203"/>
      <c r="AM211" s="203"/>
      <c r="AN211" s="207"/>
    </row>
    <row r="212" spans="1:40" s="204" customFormat="1" ht="15">
      <c r="A212" s="287" t="s">
        <v>850</v>
      </c>
      <c r="B212" s="280" t="s">
        <v>984</v>
      </c>
      <c r="C212" s="249">
        <v>944.1</v>
      </c>
      <c r="D212" s="280">
        <v>3.9</v>
      </c>
      <c r="E212" s="250" t="str">
        <f>VLOOKUP(B212,'Northwest Retail Cost Data'!$C$5:$F$275,4,FALSE)</f>
        <v>Front Load</v>
      </c>
      <c r="F212" s="251" t="s">
        <v>846</v>
      </c>
      <c r="G212" s="288">
        <v>3.37</v>
      </c>
      <c r="H212" s="288">
        <v>2.7</v>
      </c>
      <c r="I212" s="252">
        <f>D212*H212*SFAssumptions!$C$3</f>
        <v>2703.1910490000005</v>
      </c>
      <c r="J212" s="253">
        <f t="shared" si="41"/>
        <v>944.1</v>
      </c>
      <c r="K212" s="254">
        <f t="shared" si="41"/>
        <v>3.9</v>
      </c>
      <c r="L212" s="691">
        <f t="shared" si="42"/>
        <v>2.9085650000000003</v>
      </c>
      <c r="M212" s="691">
        <f t="shared" si="43"/>
        <v>2.8825400000000001</v>
      </c>
      <c r="N212" s="255">
        <v>2012</v>
      </c>
      <c r="O212" s="256">
        <f>C212*VLOOKUP(N212,SFAssumptions!$A$42:$B$51,2,FALSE)</f>
        <v>852.57411390690743</v>
      </c>
      <c r="P212" s="254">
        <f ca="1">O212+((SFAssumptions!$C$8-D212)*$AO$35)</f>
        <v>841.2909943495489</v>
      </c>
      <c r="Q212" s="190" t="str">
        <f>IF(OR(L212="",M212=""),"No",IF(AND(E212="Front Load",L212&gt;='Eff. Standards &amp; Certifications'!$B$21,M212&lt;='Eff. Standards &amp; Certifications'!$C$21),"Consider",IF(AND(E212="Top Load",L212&gt;='Eff. Standards &amp; Certifications'!$B$20,M212&lt;='Eff. Standards &amp; Certifications'!$C$20),"Consider","No")))</f>
        <v>Consider</v>
      </c>
      <c r="R212" s="203"/>
      <c r="S212" s="203"/>
      <c r="T212" s="293" t="str">
        <f t="shared" si="48"/>
        <v>NO</v>
      </c>
      <c r="U212" s="293" t="str">
        <f t="shared" si="48"/>
        <v>YES</v>
      </c>
      <c r="V212" s="293" t="str">
        <f t="shared" si="49"/>
        <v>YES</v>
      </c>
      <c r="W212" s="211" t="str">
        <f t="shared" si="44"/>
        <v>NO</v>
      </c>
      <c r="X212" s="211" t="str">
        <f t="shared" si="44"/>
        <v>NO</v>
      </c>
      <c r="Y212" s="211" t="str">
        <f t="shared" si="50"/>
        <v>NO</v>
      </c>
      <c r="Z212" s="211" t="str">
        <f t="shared" si="51"/>
        <v>NO</v>
      </c>
      <c r="AA212" s="211" t="str">
        <f t="shared" si="51"/>
        <v>YES</v>
      </c>
      <c r="AB212" s="293" t="str">
        <f t="shared" si="52"/>
        <v>YES</v>
      </c>
      <c r="AC212" s="211" t="str">
        <f t="shared" si="53"/>
        <v>NO</v>
      </c>
      <c r="AD212" s="211" t="str">
        <f t="shared" si="54"/>
        <v>YES</v>
      </c>
      <c r="AE212" s="211" t="str">
        <f t="shared" si="55"/>
        <v>NO</v>
      </c>
      <c r="AF212" s="206"/>
      <c r="AG212" s="206"/>
      <c r="AH212" s="203">
        <f t="shared" si="45"/>
        <v>2.9085650000000003</v>
      </c>
      <c r="AI212" s="203">
        <f t="shared" si="46"/>
        <v>944.1</v>
      </c>
      <c r="AJ212" s="203">
        <f t="shared" si="47"/>
        <v>998.19166018295414</v>
      </c>
      <c r="AK212" s="203"/>
      <c r="AL212" s="203"/>
      <c r="AM212" s="203"/>
      <c r="AN212" s="207"/>
    </row>
    <row r="213" spans="1:40" s="204" customFormat="1" ht="15">
      <c r="A213" s="287" t="s">
        <v>850</v>
      </c>
      <c r="B213" s="280" t="s">
        <v>985</v>
      </c>
      <c r="C213" s="249">
        <v>764.1</v>
      </c>
      <c r="D213" s="280">
        <v>3.8</v>
      </c>
      <c r="E213" s="250" t="str">
        <f>VLOOKUP(B213,'Northwest Retail Cost Data'!$C$5:$F$275,4,FALSE)</f>
        <v>Front Load</v>
      </c>
      <c r="F213" s="251" t="s">
        <v>846</v>
      </c>
      <c r="G213" s="288">
        <v>3.41</v>
      </c>
      <c r="H213" s="288">
        <v>2.8</v>
      </c>
      <c r="I213" s="252">
        <f>D213*H213*SFAssumptions!$C$3</f>
        <v>2731.4295119999997</v>
      </c>
      <c r="J213" s="253">
        <f t="shared" si="41"/>
        <v>764.1</v>
      </c>
      <c r="K213" s="254">
        <f t="shared" si="41"/>
        <v>3.8</v>
      </c>
      <c r="L213" s="691">
        <f t="shared" si="42"/>
        <v>2.9451450000000001</v>
      </c>
      <c r="M213" s="691">
        <f t="shared" si="43"/>
        <v>2.9849599999999996</v>
      </c>
      <c r="N213" s="255">
        <v>2012</v>
      </c>
      <c r="O213" s="256">
        <f>C213*VLOOKUP(N213,SFAssumptions!$A$42:$B$51,2,FALSE)</f>
        <v>690.02423518299759</v>
      </c>
      <c r="P213" s="254">
        <f ca="1">O213+((SFAssumptions!$C$8-D213)*$AO$35)</f>
        <v>687.91492796604325</v>
      </c>
      <c r="Q213" s="190" t="str">
        <f>IF(OR(L213="",M213=""),"No",IF(AND(E213="Front Load",L213&gt;='Eff. Standards &amp; Certifications'!$B$21,M213&lt;='Eff. Standards &amp; Certifications'!$C$21),"Consider",IF(AND(E213="Top Load",L213&gt;='Eff. Standards &amp; Certifications'!$B$20,M213&lt;='Eff. Standards &amp; Certifications'!$C$20),"Consider","No")))</f>
        <v>Consider</v>
      </c>
      <c r="R213" s="203"/>
      <c r="S213" s="203"/>
      <c r="T213" s="293" t="str">
        <f t="shared" si="48"/>
        <v>NO</v>
      </c>
      <c r="U213" s="293" t="str">
        <f t="shared" si="48"/>
        <v>YES</v>
      </c>
      <c r="V213" s="293" t="str">
        <f t="shared" si="49"/>
        <v>YES</v>
      </c>
      <c r="W213" s="211" t="str">
        <f t="shared" si="44"/>
        <v>NO</v>
      </c>
      <c r="X213" s="211" t="str">
        <f t="shared" si="44"/>
        <v>NO</v>
      </c>
      <c r="Y213" s="211" t="str">
        <f t="shared" si="50"/>
        <v>NO</v>
      </c>
      <c r="Z213" s="211" t="str">
        <f t="shared" si="51"/>
        <v>NO</v>
      </c>
      <c r="AA213" s="211" t="str">
        <f t="shared" si="51"/>
        <v>YES</v>
      </c>
      <c r="AB213" s="293" t="str">
        <f t="shared" si="52"/>
        <v>YES</v>
      </c>
      <c r="AC213" s="211" t="str">
        <f t="shared" si="53"/>
        <v>NO</v>
      </c>
      <c r="AD213" s="211" t="str">
        <f t="shared" si="54"/>
        <v>NO</v>
      </c>
      <c r="AE213" s="211" t="str">
        <f t="shared" si="55"/>
        <v>YES</v>
      </c>
      <c r="AF213" s="206"/>
      <c r="AG213" s="206"/>
      <c r="AH213" s="203">
        <f t="shared" si="45"/>
        <v>2.9451450000000001</v>
      </c>
      <c r="AI213" s="203">
        <f t="shared" si="46"/>
        <v>764.1</v>
      </c>
      <c r="AJ213" s="203">
        <f t="shared" si="47"/>
        <v>997.14873135354708</v>
      </c>
      <c r="AK213" s="203"/>
      <c r="AL213" s="203"/>
      <c r="AM213" s="203"/>
      <c r="AN213" s="207"/>
    </row>
    <row r="214" spans="1:40" s="204" customFormat="1" ht="15">
      <c r="A214" s="287" t="s">
        <v>850</v>
      </c>
      <c r="B214" s="280" t="s">
        <v>986</v>
      </c>
      <c r="C214" s="249">
        <v>854.1</v>
      </c>
      <c r="D214" s="280">
        <v>3.9</v>
      </c>
      <c r="E214" s="250" t="str">
        <f>VLOOKUP(B214,'Northwest Retail Cost Data'!$C$5:$F$275,4,FALSE)</f>
        <v>Front Load</v>
      </c>
      <c r="F214" s="251" t="s">
        <v>846</v>
      </c>
      <c r="G214" s="288">
        <v>3.37</v>
      </c>
      <c r="H214" s="288">
        <v>2.7</v>
      </c>
      <c r="I214" s="252">
        <f>D214*H214*SFAssumptions!$C$3</f>
        <v>2703.1910490000005</v>
      </c>
      <c r="J214" s="253">
        <f t="shared" si="41"/>
        <v>854.1</v>
      </c>
      <c r="K214" s="254">
        <f t="shared" si="41"/>
        <v>3.9</v>
      </c>
      <c r="L214" s="691">
        <f t="shared" si="42"/>
        <v>2.9085650000000003</v>
      </c>
      <c r="M214" s="691">
        <f t="shared" si="43"/>
        <v>2.8825400000000001</v>
      </c>
      <c r="N214" s="255">
        <v>2012</v>
      </c>
      <c r="O214" s="256">
        <f>C214*VLOOKUP(N214,SFAssumptions!$A$42:$B$51,2,FALSE)</f>
        <v>771.29917454495251</v>
      </c>
      <c r="P214" s="254">
        <f ca="1">O214+((SFAssumptions!$C$8-D214)*$AO$35)</f>
        <v>760.01605498759398</v>
      </c>
      <c r="Q214" s="190" t="str">
        <f>IF(OR(L214="",M214=""),"No",IF(AND(E214="Front Load",L214&gt;='Eff. Standards &amp; Certifications'!$B$21,M214&lt;='Eff. Standards &amp; Certifications'!$C$21),"Consider",IF(AND(E214="Top Load",L214&gt;='Eff. Standards &amp; Certifications'!$B$20,M214&lt;='Eff. Standards &amp; Certifications'!$C$20),"Consider","No")))</f>
        <v>Consider</v>
      </c>
      <c r="R214" s="203"/>
      <c r="S214" s="203"/>
      <c r="T214" s="293" t="str">
        <f t="shared" si="48"/>
        <v>NO</v>
      </c>
      <c r="U214" s="293" t="str">
        <f t="shared" si="48"/>
        <v>YES</v>
      </c>
      <c r="V214" s="293" t="str">
        <f t="shared" si="49"/>
        <v>YES</v>
      </c>
      <c r="W214" s="211" t="str">
        <f t="shared" si="44"/>
        <v>NO</v>
      </c>
      <c r="X214" s="211" t="str">
        <f t="shared" si="44"/>
        <v>NO</v>
      </c>
      <c r="Y214" s="211" t="str">
        <f t="shared" si="50"/>
        <v>NO</v>
      </c>
      <c r="Z214" s="211" t="str">
        <f t="shared" si="51"/>
        <v>NO</v>
      </c>
      <c r="AA214" s="211" t="str">
        <f t="shared" si="51"/>
        <v>YES</v>
      </c>
      <c r="AB214" s="293" t="str">
        <f t="shared" si="52"/>
        <v>YES</v>
      </c>
      <c r="AC214" s="211" t="str">
        <f t="shared" si="53"/>
        <v>NO</v>
      </c>
      <c r="AD214" s="211" t="str">
        <f t="shared" si="54"/>
        <v>YES</v>
      </c>
      <c r="AE214" s="211" t="str">
        <f t="shared" si="55"/>
        <v>NO</v>
      </c>
      <c r="AF214" s="206"/>
      <c r="AG214" s="206"/>
      <c r="AH214" s="203">
        <f t="shared" si="45"/>
        <v>2.9085650000000003</v>
      </c>
      <c r="AI214" s="203">
        <f t="shared" si="46"/>
        <v>854.1</v>
      </c>
      <c r="AJ214" s="203">
        <f t="shared" si="47"/>
        <v>998.19166018295414</v>
      </c>
      <c r="AK214" s="203"/>
      <c r="AL214" s="203"/>
      <c r="AM214" s="203"/>
      <c r="AN214" s="207"/>
    </row>
    <row r="215" spans="1:40" s="204" customFormat="1" ht="15">
      <c r="A215" s="287" t="s">
        <v>850</v>
      </c>
      <c r="B215" s="280" t="s">
        <v>987</v>
      </c>
      <c r="C215" s="249">
        <v>719.1</v>
      </c>
      <c r="D215" s="280">
        <v>3.7</v>
      </c>
      <c r="E215" s="250" t="str">
        <f>VLOOKUP(B215,'Northwest Retail Cost Data'!$C$5:$F$275,4,FALSE)</f>
        <v>Front Load</v>
      </c>
      <c r="F215" s="251" t="s">
        <v>846</v>
      </c>
      <c r="G215" s="288">
        <v>3.35</v>
      </c>
      <c r="H215" s="288">
        <v>2.9</v>
      </c>
      <c r="I215" s="252">
        <f>D215*H215*SFAssumptions!$C$3</f>
        <v>2754.5337090000003</v>
      </c>
      <c r="J215" s="253">
        <f t="shared" si="41"/>
        <v>719.1</v>
      </c>
      <c r="K215" s="254">
        <f t="shared" si="41"/>
        <v>3.7</v>
      </c>
      <c r="L215" s="691">
        <f t="shared" si="42"/>
        <v>2.8902749999999999</v>
      </c>
      <c r="M215" s="691">
        <f t="shared" si="43"/>
        <v>3.08738</v>
      </c>
      <c r="N215" s="255">
        <v>2012</v>
      </c>
      <c r="O215" s="256">
        <f>C215*VLOOKUP(N215,SFAssumptions!$A$42:$B$51,2,FALSE)</f>
        <v>649.38676550202013</v>
      </c>
      <c r="P215" s="254">
        <f ca="1">O215+((SFAssumptions!$C$8-D215)*$AO$35)</f>
        <v>656.45127062546987</v>
      </c>
      <c r="Q215" s="190" t="str">
        <f>IF(OR(L215="",M215=""),"No",IF(AND(E215="Front Load",L215&gt;='Eff. Standards &amp; Certifications'!$B$21,M215&lt;='Eff. Standards &amp; Certifications'!$C$21),"Consider",IF(AND(E215="Top Load",L215&gt;='Eff. Standards &amp; Certifications'!$B$20,M215&lt;='Eff. Standards &amp; Certifications'!$C$20),"Consider","No")))</f>
        <v>Consider</v>
      </c>
      <c r="R215" s="203"/>
      <c r="S215" s="203"/>
      <c r="T215" s="293" t="str">
        <f t="shared" si="48"/>
        <v>NO</v>
      </c>
      <c r="U215" s="293" t="str">
        <f t="shared" si="48"/>
        <v>YES</v>
      </c>
      <c r="V215" s="293" t="str">
        <f t="shared" si="49"/>
        <v>YES</v>
      </c>
      <c r="W215" s="211" t="str">
        <f t="shared" si="44"/>
        <v>NO</v>
      </c>
      <c r="X215" s="211" t="str">
        <f t="shared" si="44"/>
        <v>NO</v>
      </c>
      <c r="Y215" s="211" t="str">
        <f t="shared" si="50"/>
        <v>NO</v>
      </c>
      <c r="Z215" s="211" t="str">
        <f t="shared" si="51"/>
        <v>NO</v>
      </c>
      <c r="AA215" s="211" t="str">
        <f t="shared" si="51"/>
        <v>YES</v>
      </c>
      <c r="AB215" s="293" t="str">
        <f t="shared" si="52"/>
        <v>YES</v>
      </c>
      <c r="AC215" s="211" t="str">
        <f t="shared" si="53"/>
        <v>NO</v>
      </c>
      <c r="AD215" s="211" t="str">
        <f t="shared" si="54"/>
        <v>YES</v>
      </c>
      <c r="AE215" s="211" t="str">
        <f t="shared" si="55"/>
        <v>NO</v>
      </c>
      <c r="AF215" s="206"/>
      <c r="AG215" s="206"/>
      <c r="AH215" s="203">
        <f t="shared" si="45"/>
        <v>2.8902749999999999</v>
      </c>
      <c r="AI215" s="203">
        <f t="shared" si="46"/>
        <v>719.1</v>
      </c>
      <c r="AJ215" s="203">
        <f t="shared" si="47"/>
        <v>974.00410369225347</v>
      </c>
      <c r="AK215" s="203"/>
      <c r="AL215" s="203"/>
      <c r="AM215" s="203"/>
      <c r="AN215" s="207"/>
    </row>
    <row r="216" spans="1:40" s="204" customFormat="1" ht="15">
      <c r="A216" s="287" t="s">
        <v>899</v>
      </c>
      <c r="B216" s="287" t="s">
        <v>946</v>
      </c>
      <c r="C216" s="249">
        <v>1169.0999999999999</v>
      </c>
      <c r="D216" s="280">
        <v>4.3</v>
      </c>
      <c r="E216" s="250" t="str">
        <f>VLOOKUP(B216,'Northwest Retail Cost Data'!$C$5:$F$275,4,FALSE)</f>
        <v>Front load</v>
      </c>
      <c r="F216" s="251" t="s">
        <v>846</v>
      </c>
      <c r="G216" s="288">
        <v>3</v>
      </c>
      <c r="H216" s="288">
        <v>2.484</v>
      </c>
      <c r="I216" s="252">
        <f>D216*H216*SFAssumptions!$C$3</f>
        <v>2742.0060999599996</v>
      </c>
      <c r="J216" s="253">
        <f t="shared" si="41"/>
        <v>1169.0999999999999</v>
      </c>
      <c r="K216" s="254">
        <f t="shared" si="41"/>
        <v>4.3</v>
      </c>
      <c r="L216" s="691">
        <f t="shared" si="42"/>
        <v>2.5701999999999998</v>
      </c>
      <c r="M216" s="691">
        <f t="shared" si="43"/>
        <v>2.6613128000000001</v>
      </c>
      <c r="N216" s="255">
        <v>2012</v>
      </c>
      <c r="O216" s="256">
        <f>C216*VLOOKUP(N216,SFAssumptions!$A$42:$B$51,2,FALSE)</f>
        <v>1055.7614623117947</v>
      </c>
      <c r="P216" s="254">
        <f ca="1">O216+((SFAssumptions!$C$8-D216)*$AO$35)</f>
        <v>1007.7830933928198</v>
      </c>
      <c r="Q216" s="190" t="str">
        <f>IF(OR(L216="",M216=""),"No",IF(AND(E216="Front Load",L216&gt;='Eff. Standards &amp; Certifications'!$B$21,M216&lt;='Eff. Standards &amp; Certifications'!$C$21),"Consider",IF(AND(E216="Top Load",L216&gt;='Eff. Standards &amp; Certifications'!$B$20,M216&lt;='Eff. Standards &amp; Certifications'!$C$20),"Consider","No")))</f>
        <v>Consider</v>
      </c>
      <c r="R216" s="203"/>
      <c r="S216" s="203"/>
      <c r="T216" s="293" t="str">
        <f t="shared" si="48"/>
        <v>NO</v>
      </c>
      <c r="U216" s="293" t="str">
        <f t="shared" si="48"/>
        <v>YES</v>
      </c>
      <c r="V216" s="293" t="str">
        <f t="shared" si="49"/>
        <v>YES</v>
      </c>
      <c r="W216" s="211" t="str">
        <f t="shared" si="44"/>
        <v>NO</v>
      </c>
      <c r="X216" s="211" t="str">
        <f t="shared" si="44"/>
        <v>NO</v>
      </c>
      <c r="Y216" s="211" t="str">
        <f t="shared" si="50"/>
        <v>NO</v>
      </c>
      <c r="Z216" s="211" t="str">
        <f t="shared" si="51"/>
        <v>NO</v>
      </c>
      <c r="AA216" s="211" t="str">
        <f t="shared" si="51"/>
        <v>YES</v>
      </c>
      <c r="AB216" s="293" t="str">
        <f t="shared" si="52"/>
        <v>YES</v>
      </c>
      <c r="AC216" s="211" t="str">
        <f t="shared" si="53"/>
        <v>YES</v>
      </c>
      <c r="AD216" s="211" t="str">
        <f t="shared" si="54"/>
        <v>NO</v>
      </c>
      <c r="AE216" s="211" t="str">
        <f t="shared" si="55"/>
        <v>NO</v>
      </c>
      <c r="AF216" s="206"/>
      <c r="AG216" s="206"/>
      <c r="AH216" s="203">
        <f t="shared" si="45"/>
        <v>2.5701999999999998</v>
      </c>
      <c r="AI216" s="203">
        <f t="shared" si="46"/>
        <v>1169.0999999999999</v>
      </c>
      <c r="AJ216" s="203">
        <f t="shared" si="47"/>
        <v>954.64378327358668</v>
      </c>
      <c r="AK216" s="203"/>
      <c r="AL216" s="203"/>
      <c r="AM216" s="203"/>
      <c r="AN216" s="207"/>
    </row>
    <row r="217" spans="1:40" s="204" customFormat="1" ht="15">
      <c r="A217" s="287" t="s">
        <v>988</v>
      </c>
      <c r="B217" s="287" t="s">
        <v>953</v>
      </c>
      <c r="C217" s="249">
        <v>1399</v>
      </c>
      <c r="D217" s="280">
        <v>4.3</v>
      </c>
      <c r="E217" s="250" t="str">
        <f>VLOOKUP(B217,'Northwest Retail Cost Data'!$C$5:$F$275,4,FALSE)</f>
        <v>Front load</v>
      </c>
      <c r="F217" s="251" t="s">
        <v>846</v>
      </c>
      <c r="G217" s="288">
        <v>3.0019999999999998</v>
      </c>
      <c r="H217" s="288">
        <v>2.7829999999999999</v>
      </c>
      <c r="I217" s="252">
        <f>D217*H217*SFAssumptions!$C$3</f>
        <v>3072.0623897699998</v>
      </c>
      <c r="J217" s="253">
        <f t="shared" si="41"/>
        <v>1399</v>
      </c>
      <c r="K217" s="254">
        <f t="shared" si="41"/>
        <v>4.3</v>
      </c>
      <c r="L217" s="691">
        <f t="shared" si="42"/>
        <v>2.5720289999999997</v>
      </c>
      <c r="M217" s="691">
        <f t="shared" si="43"/>
        <v>2.9675485999999998</v>
      </c>
      <c r="N217" s="255">
        <v>2012</v>
      </c>
      <c r="O217" s="256">
        <f>C217*VLOOKUP(N217,SFAssumptions!$A$42:$B$51,2,FALSE)</f>
        <v>1263.3737796374996</v>
      </c>
      <c r="P217" s="254">
        <f ca="1">O217+((SFAssumptions!$C$8-D217)*$AO$35)</f>
        <v>1215.3954107185245</v>
      </c>
      <c r="Q217" s="190" t="str">
        <f>IF(OR(L217="",M217=""),"No",IF(AND(E217="Front Load",L217&gt;='Eff. Standards &amp; Certifications'!$B$21,M217&lt;='Eff. Standards &amp; Certifications'!$C$21),"Consider",IF(AND(E217="Top Load",L217&gt;='Eff. Standards &amp; Certifications'!$B$20,M217&lt;='Eff. Standards &amp; Certifications'!$C$20),"Consider","No")))</f>
        <v>Consider</v>
      </c>
      <c r="R217" s="203"/>
      <c r="S217" s="203"/>
      <c r="T217" s="293" t="str">
        <f t="shared" si="48"/>
        <v>NO</v>
      </c>
      <c r="U217" s="293" t="str">
        <f t="shared" si="48"/>
        <v>YES</v>
      </c>
      <c r="V217" s="293" t="str">
        <f t="shared" si="49"/>
        <v>YES</v>
      </c>
      <c r="W217" s="211" t="str">
        <f t="shared" si="44"/>
        <v>NO</v>
      </c>
      <c r="X217" s="211" t="str">
        <f t="shared" si="44"/>
        <v>NO</v>
      </c>
      <c r="Y217" s="211" t="str">
        <f t="shared" si="50"/>
        <v>NO</v>
      </c>
      <c r="Z217" s="211" t="str">
        <f t="shared" si="51"/>
        <v>NO</v>
      </c>
      <c r="AA217" s="211" t="str">
        <f t="shared" si="51"/>
        <v>YES</v>
      </c>
      <c r="AB217" s="293" t="str">
        <f t="shared" si="52"/>
        <v>YES</v>
      </c>
      <c r="AC217" s="211" t="str">
        <f t="shared" si="53"/>
        <v>YES</v>
      </c>
      <c r="AD217" s="211" t="str">
        <f t="shared" si="54"/>
        <v>NO</v>
      </c>
      <c r="AE217" s="211" t="str">
        <f t="shared" si="55"/>
        <v>NO</v>
      </c>
      <c r="AF217" s="206"/>
      <c r="AG217" s="206"/>
      <c r="AH217" s="203">
        <f t="shared" si="45"/>
        <v>2.5720289999999997</v>
      </c>
      <c r="AI217" s="203">
        <f t="shared" si="46"/>
        <v>1399</v>
      </c>
      <c r="AJ217" s="203">
        <f t="shared" si="47"/>
        <v>952.96352714516934</v>
      </c>
      <c r="AK217" s="203"/>
      <c r="AL217" s="203"/>
      <c r="AM217" s="203"/>
      <c r="AN217" s="207"/>
    </row>
    <row r="218" spans="1:40" s="204" customFormat="1" ht="15">
      <c r="A218" s="287" t="s">
        <v>899</v>
      </c>
      <c r="B218" s="280" t="s">
        <v>989</v>
      </c>
      <c r="C218" s="249">
        <v>1259.0999999999999</v>
      </c>
      <c r="D218" s="280">
        <v>4.3</v>
      </c>
      <c r="E218" s="250" t="str">
        <f>VLOOKUP(B218,'Northwest Retail Cost Data'!$C$5:$F$275,4,FALSE)</f>
        <v>Front Load</v>
      </c>
      <c r="F218" s="251" t="s">
        <v>846</v>
      </c>
      <c r="G218" s="288">
        <v>3.3</v>
      </c>
      <c r="H218" s="288">
        <v>2.7</v>
      </c>
      <c r="I218" s="252">
        <f>D218*H218*SFAssumptions!$C$3</f>
        <v>2980.441413</v>
      </c>
      <c r="J218" s="253">
        <f t="shared" si="41"/>
        <v>1259.0999999999999</v>
      </c>
      <c r="K218" s="254">
        <f t="shared" si="41"/>
        <v>4.3</v>
      </c>
      <c r="L218" s="691">
        <f t="shared" si="42"/>
        <v>2.8445499999999999</v>
      </c>
      <c r="M218" s="691">
        <f t="shared" si="43"/>
        <v>2.8825400000000001</v>
      </c>
      <c r="N218" s="255">
        <v>2012</v>
      </c>
      <c r="O218" s="256">
        <f>C218*VLOOKUP(N218,SFAssumptions!$A$42:$B$51,2,FALSE)</f>
        <v>1137.0364016737497</v>
      </c>
      <c r="P218" s="254">
        <f ca="1">O218+((SFAssumptions!$C$8-D218)*$AO$35)</f>
        <v>1089.0580327547746</v>
      </c>
      <c r="Q218" s="190" t="str">
        <f>IF(OR(L218="",M218=""),"No",IF(AND(E218="Front Load",L218&gt;='Eff. Standards &amp; Certifications'!$B$21,M218&lt;='Eff. Standards &amp; Certifications'!$C$21),"Consider",IF(AND(E218="Top Load",L218&gt;='Eff. Standards &amp; Certifications'!$B$20,M218&lt;='Eff. Standards &amp; Certifications'!$C$20),"Consider","No")))</f>
        <v>Consider</v>
      </c>
      <c r="R218" s="203"/>
      <c r="S218" s="203"/>
      <c r="T218" s="293" t="str">
        <f t="shared" si="48"/>
        <v>NO</v>
      </c>
      <c r="U218" s="293" t="str">
        <f t="shared" si="48"/>
        <v>YES</v>
      </c>
      <c r="V218" s="293" t="str">
        <f t="shared" si="49"/>
        <v>YES</v>
      </c>
      <c r="W218" s="211" t="str">
        <f t="shared" si="44"/>
        <v>NO</v>
      </c>
      <c r="X218" s="211" t="str">
        <f t="shared" si="44"/>
        <v>NO</v>
      </c>
      <c r="Y218" s="211" t="str">
        <f t="shared" si="50"/>
        <v>NO</v>
      </c>
      <c r="Z218" s="211" t="str">
        <f t="shared" si="51"/>
        <v>NO</v>
      </c>
      <c r="AA218" s="211" t="str">
        <f t="shared" si="51"/>
        <v>YES</v>
      </c>
      <c r="AB218" s="293" t="str">
        <f t="shared" si="52"/>
        <v>YES</v>
      </c>
      <c r="AC218" s="211" t="str">
        <f t="shared" si="53"/>
        <v>NO</v>
      </c>
      <c r="AD218" s="211" t="str">
        <f t="shared" si="54"/>
        <v>YES</v>
      </c>
      <c r="AE218" s="211" t="str">
        <f t="shared" si="55"/>
        <v>NO</v>
      </c>
      <c r="AF218" s="206"/>
      <c r="AG218" s="206"/>
      <c r="AH218" s="203">
        <f t="shared" si="45"/>
        <v>2.8445499999999999</v>
      </c>
      <c r="AI218" s="203">
        <f t="shared" si="46"/>
        <v>1259.0999999999999</v>
      </c>
      <c r="AJ218" s="203">
        <f t="shared" si="47"/>
        <v>1019.41572036225</v>
      </c>
      <c r="AK218" s="203"/>
      <c r="AL218" s="203"/>
      <c r="AM218" s="203"/>
      <c r="AN218" s="207"/>
    </row>
    <row r="219" spans="1:40" s="204" customFormat="1" ht="15">
      <c r="A219" s="287" t="s">
        <v>899</v>
      </c>
      <c r="B219" s="280" t="s">
        <v>900</v>
      </c>
      <c r="C219" s="249">
        <v>1169.0999999999999</v>
      </c>
      <c r="D219" s="280">
        <v>4.3</v>
      </c>
      <c r="E219" s="250" t="str">
        <f>VLOOKUP(B219,'Northwest Retail Cost Data'!$C$5:$F$275,4,FALSE)</f>
        <v>Front Load</v>
      </c>
      <c r="F219" s="251" t="s">
        <v>846</v>
      </c>
      <c r="G219" s="288">
        <v>3</v>
      </c>
      <c r="H219" s="288">
        <v>2.68</v>
      </c>
      <c r="I219" s="252">
        <f>D219*H219*SFAssumptions!$C$3</f>
        <v>2958.3640692000004</v>
      </c>
      <c r="J219" s="253">
        <f t="shared" si="41"/>
        <v>1169.0999999999999</v>
      </c>
      <c r="K219" s="254">
        <f t="shared" si="41"/>
        <v>4.3</v>
      </c>
      <c r="L219" s="691">
        <f t="shared" si="42"/>
        <v>2.5701999999999998</v>
      </c>
      <c r="M219" s="691">
        <f t="shared" si="43"/>
        <v>2.8620559999999999</v>
      </c>
      <c r="N219" s="255">
        <v>2012</v>
      </c>
      <c r="O219" s="256">
        <f>C219*VLOOKUP(N219,SFAssumptions!$A$42:$B$51,2,FALSE)</f>
        <v>1055.7614623117947</v>
      </c>
      <c r="P219" s="254">
        <f ca="1">O219+((SFAssumptions!$C$8-D219)*$AO$35)</f>
        <v>1007.7830933928198</v>
      </c>
      <c r="Q219" s="190" t="str">
        <f>IF(OR(L219="",M219=""),"No",IF(AND(E219="Front Load",L219&gt;='Eff. Standards &amp; Certifications'!$B$21,M219&lt;='Eff. Standards &amp; Certifications'!$C$21),"Consider",IF(AND(E219="Top Load",L219&gt;='Eff. Standards &amp; Certifications'!$B$20,M219&lt;='Eff. Standards &amp; Certifications'!$C$20),"Consider","No")))</f>
        <v>Consider</v>
      </c>
      <c r="R219" s="203"/>
      <c r="S219" s="203"/>
      <c r="T219" s="293" t="str">
        <f t="shared" si="48"/>
        <v>NO</v>
      </c>
      <c r="U219" s="293" t="str">
        <f t="shared" si="48"/>
        <v>YES</v>
      </c>
      <c r="V219" s="293" t="str">
        <f t="shared" si="49"/>
        <v>YES</v>
      </c>
      <c r="W219" s="211" t="str">
        <f t="shared" si="44"/>
        <v>NO</v>
      </c>
      <c r="X219" s="211" t="str">
        <f t="shared" si="44"/>
        <v>NO</v>
      </c>
      <c r="Y219" s="211" t="str">
        <f t="shared" si="50"/>
        <v>NO</v>
      </c>
      <c r="Z219" s="211" t="str">
        <f t="shared" si="51"/>
        <v>NO</v>
      </c>
      <c r="AA219" s="211" t="str">
        <f t="shared" si="51"/>
        <v>YES</v>
      </c>
      <c r="AB219" s="293" t="str">
        <f t="shared" si="52"/>
        <v>YES</v>
      </c>
      <c r="AC219" s="211" t="str">
        <f t="shared" si="53"/>
        <v>YES</v>
      </c>
      <c r="AD219" s="211" t="str">
        <f t="shared" si="54"/>
        <v>NO</v>
      </c>
      <c r="AE219" s="211" t="str">
        <f t="shared" si="55"/>
        <v>NO</v>
      </c>
      <c r="AF219" s="206"/>
      <c r="AG219" s="206"/>
      <c r="AH219" s="203">
        <f t="shared" si="45"/>
        <v>2.5701999999999998</v>
      </c>
      <c r="AI219" s="203">
        <f t="shared" si="46"/>
        <v>1169.0999999999999</v>
      </c>
      <c r="AJ219" s="203">
        <f t="shared" si="47"/>
        <v>953.25258307094191</v>
      </c>
      <c r="AK219" s="203"/>
      <c r="AL219" s="203"/>
      <c r="AM219" s="203"/>
      <c r="AN219" s="207"/>
    </row>
    <row r="220" spans="1:40" s="204" customFormat="1" ht="15">
      <c r="A220" s="287" t="s">
        <v>899</v>
      </c>
      <c r="B220" s="280" t="s">
        <v>902</v>
      </c>
      <c r="C220" s="249">
        <v>1349.1</v>
      </c>
      <c r="D220" s="280">
        <v>4.3</v>
      </c>
      <c r="E220" s="250" t="str">
        <f>VLOOKUP(B220,'Northwest Retail Cost Data'!$C$5:$F$275,4,FALSE)</f>
        <v>Front Load</v>
      </c>
      <c r="F220" s="251" t="s">
        <v>846</v>
      </c>
      <c r="G220" s="288">
        <v>3</v>
      </c>
      <c r="H220" s="288">
        <v>2.72</v>
      </c>
      <c r="I220" s="252">
        <f>D220*H220*SFAssumptions!$C$3</f>
        <v>3002.5187568000001</v>
      </c>
      <c r="J220" s="253">
        <f t="shared" si="41"/>
        <v>1349.1</v>
      </c>
      <c r="K220" s="254">
        <f t="shared" si="41"/>
        <v>4.3</v>
      </c>
      <c r="L220" s="691">
        <f t="shared" si="42"/>
        <v>2.5701999999999998</v>
      </c>
      <c r="M220" s="691">
        <f t="shared" si="43"/>
        <v>2.9030240000000003</v>
      </c>
      <c r="N220" s="255">
        <v>2012</v>
      </c>
      <c r="O220" s="256">
        <f>C220*VLOOKUP(N220,SFAssumptions!$A$42:$B$51,2,FALSE)</f>
        <v>1218.3113410357046</v>
      </c>
      <c r="P220" s="254">
        <f ca="1">O220+((SFAssumptions!$C$8-D220)*$AO$35)</f>
        <v>1170.3329721167295</v>
      </c>
      <c r="Q220" s="190" t="str">
        <f>IF(OR(L220="",M220=""),"No",IF(AND(E220="Front Load",L220&gt;='Eff. Standards &amp; Certifications'!$B$21,M220&lt;='Eff. Standards &amp; Certifications'!$C$21),"Consider",IF(AND(E220="Top Load",L220&gt;='Eff. Standards &amp; Certifications'!$B$20,M220&lt;='Eff. Standards &amp; Certifications'!$C$20),"Consider","No")))</f>
        <v>Consider</v>
      </c>
      <c r="R220" s="203"/>
      <c r="S220" s="203"/>
      <c r="T220" s="293" t="str">
        <f t="shared" si="48"/>
        <v>NO</v>
      </c>
      <c r="U220" s="293" t="str">
        <f t="shared" si="48"/>
        <v>YES</v>
      </c>
      <c r="V220" s="293" t="str">
        <f t="shared" si="49"/>
        <v>YES</v>
      </c>
      <c r="W220" s="211" t="str">
        <f t="shared" si="44"/>
        <v>NO</v>
      </c>
      <c r="X220" s="211" t="str">
        <f t="shared" si="44"/>
        <v>NO</v>
      </c>
      <c r="Y220" s="211" t="str">
        <f t="shared" si="50"/>
        <v>NO</v>
      </c>
      <c r="Z220" s="211" t="str">
        <f t="shared" si="51"/>
        <v>NO</v>
      </c>
      <c r="AA220" s="211" t="str">
        <f t="shared" si="51"/>
        <v>YES</v>
      </c>
      <c r="AB220" s="293" t="str">
        <f t="shared" si="52"/>
        <v>YES</v>
      </c>
      <c r="AC220" s="211" t="str">
        <f t="shared" si="53"/>
        <v>YES</v>
      </c>
      <c r="AD220" s="211" t="str">
        <f t="shared" si="54"/>
        <v>NO</v>
      </c>
      <c r="AE220" s="211" t="str">
        <f t="shared" si="55"/>
        <v>NO</v>
      </c>
      <c r="AF220" s="206"/>
      <c r="AG220" s="206"/>
      <c r="AH220" s="203">
        <f t="shared" si="45"/>
        <v>2.5701999999999998</v>
      </c>
      <c r="AI220" s="203">
        <f t="shared" si="46"/>
        <v>1349.1</v>
      </c>
      <c r="AJ220" s="203">
        <f t="shared" si="47"/>
        <v>952.96866466223889</v>
      </c>
      <c r="AK220" s="203"/>
      <c r="AL220" s="203"/>
      <c r="AM220" s="203"/>
      <c r="AN220" s="207"/>
    </row>
    <row r="221" spans="1:40" s="204" customFormat="1" ht="15">
      <c r="A221" s="287" t="s">
        <v>899</v>
      </c>
      <c r="B221" s="280" t="s">
        <v>945</v>
      </c>
      <c r="C221" s="249">
        <v>1079.0999999999999</v>
      </c>
      <c r="D221" s="280">
        <v>4.3</v>
      </c>
      <c r="E221" s="250" t="str">
        <f>VLOOKUP(B221,'Northwest Retail Cost Data'!$C$5:$F$275,4,FALSE)</f>
        <v>Front load</v>
      </c>
      <c r="F221" s="251" t="s">
        <v>846</v>
      </c>
      <c r="G221" s="288">
        <v>3</v>
      </c>
      <c r="H221" s="288">
        <v>2.484</v>
      </c>
      <c r="I221" s="252">
        <f>D221*H221*SFAssumptions!$C$3</f>
        <v>2742.0060999599996</v>
      </c>
      <c r="J221" s="253">
        <f t="shared" si="41"/>
        <v>1079.0999999999999</v>
      </c>
      <c r="K221" s="254">
        <f t="shared" si="41"/>
        <v>4.3</v>
      </c>
      <c r="L221" s="691">
        <f t="shared" si="42"/>
        <v>2.5701999999999998</v>
      </c>
      <c r="M221" s="691">
        <f t="shared" si="43"/>
        <v>2.6613128000000001</v>
      </c>
      <c r="N221" s="255">
        <v>2012</v>
      </c>
      <c r="O221" s="256">
        <f>C221*VLOOKUP(N221,SFAssumptions!$A$42:$B$51,2,FALSE)</f>
        <v>974.48652294983981</v>
      </c>
      <c r="P221" s="254">
        <f ca="1">O221+((SFAssumptions!$C$8-D221)*$AO$35)</f>
        <v>926.50815403086483</v>
      </c>
      <c r="Q221" s="190" t="str">
        <f>IF(OR(L221="",M221=""),"No",IF(AND(E221="Front Load",L221&gt;='Eff. Standards &amp; Certifications'!$B$21,M221&lt;='Eff. Standards &amp; Certifications'!$C$21),"Consider",IF(AND(E221="Top Load",L221&gt;='Eff. Standards &amp; Certifications'!$B$20,M221&lt;='Eff. Standards &amp; Certifications'!$C$20),"Consider","No")))</f>
        <v>Consider</v>
      </c>
      <c r="R221" s="203"/>
      <c r="S221" s="203"/>
      <c r="T221" s="293" t="str">
        <f t="shared" si="48"/>
        <v>NO</v>
      </c>
      <c r="U221" s="293" t="str">
        <f t="shared" si="48"/>
        <v>YES</v>
      </c>
      <c r="V221" s="293" t="str">
        <f t="shared" si="49"/>
        <v>YES</v>
      </c>
      <c r="W221" s="211" t="str">
        <f t="shared" si="44"/>
        <v>NO</v>
      </c>
      <c r="X221" s="211" t="str">
        <f t="shared" si="44"/>
        <v>NO</v>
      </c>
      <c r="Y221" s="211" t="str">
        <f t="shared" si="50"/>
        <v>NO</v>
      </c>
      <c r="Z221" s="211" t="str">
        <f t="shared" si="51"/>
        <v>NO</v>
      </c>
      <c r="AA221" s="211" t="str">
        <f t="shared" si="51"/>
        <v>YES</v>
      </c>
      <c r="AB221" s="293" t="str">
        <f t="shared" si="52"/>
        <v>YES</v>
      </c>
      <c r="AC221" s="211" t="str">
        <f t="shared" si="53"/>
        <v>YES</v>
      </c>
      <c r="AD221" s="211" t="str">
        <f t="shared" si="54"/>
        <v>NO</v>
      </c>
      <c r="AE221" s="211" t="str">
        <f t="shared" si="55"/>
        <v>NO</v>
      </c>
      <c r="AF221" s="206"/>
      <c r="AG221" s="206"/>
      <c r="AH221" s="203">
        <f t="shared" si="45"/>
        <v>2.5701999999999998</v>
      </c>
      <c r="AI221" s="203">
        <f t="shared" si="46"/>
        <v>1079.0999999999999</v>
      </c>
      <c r="AJ221" s="203">
        <f t="shared" si="47"/>
        <v>954.64378327358668</v>
      </c>
      <c r="AK221" s="203"/>
      <c r="AL221" s="203"/>
      <c r="AM221" s="203"/>
      <c r="AN221" s="207"/>
    </row>
    <row r="222" spans="1:40" s="204" customFormat="1" ht="15">
      <c r="A222" s="287" t="s">
        <v>899</v>
      </c>
      <c r="B222" s="280" t="s">
        <v>901</v>
      </c>
      <c r="C222" s="249">
        <v>1169.0999999999999</v>
      </c>
      <c r="D222" s="280">
        <v>4.3</v>
      </c>
      <c r="E222" s="250" t="str">
        <f>VLOOKUP(B222,'Northwest Retail Cost Data'!$C$5:$F$275,4,FALSE)</f>
        <v>Front Load</v>
      </c>
      <c r="F222" s="251" t="s">
        <v>846</v>
      </c>
      <c r="G222" s="288">
        <v>3</v>
      </c>
      <c r="H222" s="288">
        <v>2.78</v>
      </c>
      <c r="I222" s="252">
        <f>D222*H222*SFAssumptions!$C$3</f>
        <v>3068.7507881999995</v>
      </c>
      <c r="J222" s="253">
        <f t="shared" ref="J222:K278" si="56">C222</f>
        <v>1169.0999999999999</v>
      </c>
      <c r="K222" s="254">
        <f t="shared" si="56"/>
        <v>4.3</v>
      </c>
      <c r="L222" s="691">
        <f t="shared" ref="L222:L279" si="57">IF($G222="","",IF($E222="Front Load",G222*slope_FrontLoad_MEF+int_FrontLoad_MEF,IF($E222="Top Load",G222*slope_TopLoad_MEF+int_TopLoad_MEF,"")))</f>
        <v>2.5701999999999998</v>
      </c>
      <c r="M222" s="691">
        <f t="shared" ref="M222:M279" si="58">IF($H222="","",IF($E222="Front Load",H222*slope_FrontLoad_WF+int_FrontLoad_WF,IF($E222="Top Load",H222*slope_TopLoad_WF+int_TopLoad_WF,"")))</f>
        <v>2.9644759999999999</v>
      </c>
      <c r="N222" s="255">
        <v>2012</v>
      </c>
      <c r="O222" s="256">
        <f>C222*VLOOKUP(N222,SFAssumptions!$A$42:$B$51,2,FALSE)</f>
        <v>1055.7614623117947</v>
      </c>
      <c r="P222" s="254">
        <f ca="1">O222+((SFAssumptions!$C$8-D222)*$AO$35)</f>
        <v>1007.7830933928198</v>
      </c>
      <c r="Q222" s="190" t="str">
        <f>IF(OR(L222="",M222=""),"No",IF(AND(E222="Front Load",L222&gt;='Eff. Standards &amp; Certifications'!$B$21,M222&lt;='Eff. Standards &amp; Certifications'!$C$21),"Consider",IF(AND(E222="Top Load",L222&gt;='Eff. Standards &amp; Certifications'!$B$20,M222&lt;='Eff. Standards &amp; Certifications'!$C$20),"Consider","No")))</f>
        <v>Consider</v>
      </c>
      <c r="R222" s="203"/>
      <c r="S222" s="203"/>
      <c r="T222" s="293" t="str">
        <f t="shared" si="48"/>
        <v>NO</v>
      </c>
      <c r="U222" s="293" t="str">
        <f t="shared" si="48"/>
        <v>YES</v>
      </c>
      <c r="V222" s="293" t="str">
        <f t="shared" si="49"/>
        <v>YES</v>
      </c>
      <c r="W222" s="211" t="str">
        <f t="shared" ref="W222:X278" si="59">IF(AND($Q222="Consider",$E222=W$26,$L222&gt;=Z$6,$M222&lt;=Z$9),"NO",IF(AND($Q222="Consider",$E222=W$26,$L222&gt;=W$6,$M222&lt;=W$9),"YES","NO"))</f>
        <v>NO</v>
      </c>
      <c r="X222" s="211" t="str">
        <f t="shared" si="59"/>
        <v>NO</v>
      </c>
      <c r="Y222" s="211" t="str">
        <f t="shared" si="50"/>
        <v>NO</v>
      </c>
      <c r="Z222" s="211" t="str">
        <f t="shared" si="51"/>
        <v>NO</v>
      </c>
      <c r="AA222" s="211" t="str">
        <f t="shared" si="51"/>
        <v>YES</v>
      </c>
      <c r="AB222" s="293" t="str">
        <f t="shared" si="52"/>
        <v>YES</v>
      </c>
      <c r="AC222" s="211" t="str">
        <f t="shared" si="53"/>
        <v>YES</v>
      </c>
      <c r="AD222" s="211" t="str">
        <f t="shared" si="54"/>
        <v>NO</v>
      </c>
      <c r="AE222" s="211" t="str">
        <f t="shared" si="55"/>
        <v>NO</v>
      </c>
      <c r="AF222" s="206"/>
      <c r="AG222" s="206"/>
      <c r="AH222" s="203">
        <f t="shared" ref="AH222:AH278" si="60">L222</f>
        <v>2.5701999999999998</v>
      </c>
      <c r="AI222" s="203">
        <f t="shared" ref="AI222:AI278" si="61">C222</f>
        <v>1169.0999999999999</v>
      </c>
      <c r="AJ222" s="203">
        <f t="shared" ref="AJ222:AJ278" si="62">$AP$35+D222*$AO$35+L222*$AN$35+M222*$AM$35</f>
        <v>952.54278704918431</v>
      </c>
      <c r="AK222" s="203"/>
      <c r="AL222" s="203"/>
      <c r="AM222" s="203"/>
      <c r="AN222" s="207"/>
    </row>
    <row r="223" spans="1:40" s="204" customFormat="1" ht="15">
      <c r="A223" s="287" t="s">
        <v>899</v>
      </c>
      <c r="B223" s="280" t="s">
        <v>990</v>
      </c>
      <c r="C223" s="249">
        <v>1349.1</v>
      </c>
      <c r="D223" s="280">
        <v>4.3</v>
      </c>
      <c r="E223" s="250" t="str">
        <f>VLOOKUP(B223,'Northwest Retail Cost Data'!$C$5:$F$275,4,FALSE)</f>
        <v>Front Load</v>
      </c>
      <c r="F223" s="251" t="s">
        <v>846</v>
      </c>
      <c r="G223" s="288">
        <v>3</v>
      </c>
      <c r="H223" s="288">
        <v>2.7</v>
      </c>
      <c r="I223" s="252">
        <f>D223*H223*SFAssumptions!$C$3</f>
        <v>2980.441413</v>
      </c>
      <c r="J223" s="253">
        <f t="shared" si="56"/>
        <v>1349.1</v>
      </c>
      <c r="K223" s="254">
        <f t="shared" si="56"/>
        <v>4.3</v>
      </c>
      <c r="L223" s="691">
        <f t="shared" si="57"/>
        <v>2.5701999999999998</v>
      </c>
      <c r="M223" s="691">
        <f t="shared" si="58"/>
        <v>2.8825400000000001</v>
      </c>
      <c r="N223" s="255">
        <v>2012</v>
      </c>
      <c r="O223" s="256">
        <f>C223*VLOOKUP(N223,SFAssumptions!$A$42:$B$51,2,FALSE)</f>
        <v>1218.3113410357046</v>
      </c>
      <c r="P223" s="254">
        <f ca="1">O223+((SFAssumptions!$C$8-D223)*$AO$35)</f>
        <v>1170.3329721167295</v>
      </c>
      <c r="Q223" s="190" t="str">
        <f>IF(OR(L223="",M223=""),"No",IF(AND(E223="Front Load",L223&gt;='Eff. Standards &amp; Certifications'!$B$21,M223&lt;='Eff. Standards &amp; Certifications'!$C$21),"Consider",IF(AND(E223="Top Load",L223&gt;='Eff. Standards &amp; Certifications'!$B$20,M223&lt;='Eff. Standards &amp; Certifications'!$C$20),"Consider","No")))</f>
        <v>Consider</v>
      </c>
      <c r="R223" s="203"/>
      <c r="S223" s="203"/>
      <c r="T223" s="293" t="str">
        <f t="shared" ref="T223:U278" si="63">IF(AND($L223&gt;=T$6,$L223&lt;=T$7,$M223&gt;=T$8,$M223&lt;=T$9,$M223&gt;0,$E223=T$26,$Q223="Consider"),"YES","NO")</f>
        <v>NO</v>
      </c>
      <c r="U223" s="293" t="str">
        <f t="shared" si="63"/>
        <v>YES</v>
      </c>
      <c r="V223" s="293" t="str">
        <f t="shared" ref="V223:V278" si="64">IF(OR(T223="YES",U223="YES"),"YES","NO")</f>
        <v>YES</v>
      </c>
      <c r="W223" s="211" t="str">
        <f t="shared" si="59"/>
        <v>NO</v>
      </c>
      <c r="X223" s="211" t="str">
        <f t="shared" si="59"/>
        <v>NO</v>
      </c>
      <c r="Y223" s="211" t="str">
        <f t="shared" ref="Y223:Y279" si="65">IF(OR(W223="YES",X223="YES"),"YES","NO")</f>
        <v>NO</v>
      </c>
      <c r="Z223" s="211" t="str">
        <f t="shared" ref="Z223:AA278" si="66">IF(AND($Q223="Consider",$E223=Z$26,$L223&gt;=Z$6,$M223&lt;=Z$9),"YES","NO")</f>
        <v>NO</v>
      </c>
      <c r="AA223" s="211" t="str">
        <f t="shared" si="66"/>
        <v>YES</v>
      </c>
      <c r="AB223" s="293" t="str">
        <f t="shared" ref="AB223:AB279" si="67">IF(OR(Z223="YES",AA223="YES"),"YES","NO")</f>
        <v>YES</v>
      </c>
      <c r="AC223" s="211" t="str">
        <f t="shared" ref="AC223:AC278" si="68">IF(AND($Q223="Consider",$L223&gt;=AE$6,$M223&lt;=AE$9),"NO",IF(AND($Q223="Consider",$L223&gt;=AD$6,$M223&lt;=AD$9),"NO",IF(AND($Q223="Consider",$L223&gt;=AC$6,$M223&lt;=AC$9),"YES","NO")))</f>
        <v>YES</v>
      </c>
      <c r="AD223" s="211" t="str">
        <f t="shared" ref="AD223:AD278" si="69">IF(AND($Q223="Consider",$L223&gt;=AE$6,$M223&lt;=AE$9),"NO",IF(AND($Q223="Consider",$L223&gt;=AD$6,$M223&lt;=AD$9),"YES","NO"))</f>
        <v>NO</v>
      </c>
      <c r="AE223" s="211" t="str">
        <f t="shared" ref="AE223:AE278" si="70">IF(AND($Q223="Consider",$L223&gt;=AE$6,$M223&lt;=AE$9),"YES","NO")</f>
        <v>NO</v>
      </c>
      <c r="AF223" s="206"/>
      <c r="AG223" s="206"/>
      <c r="AH223" s="203">
        <f t="shared" si="60"/>
        <v>2.5701999999999998</v>
      </c>
      <c r="AI223" s="203">
        <f t="shared" si="61"/>
        <v>1349.1</v>
      </c>
      <c r="AJ223" s="203">
        <f t="shared" si="62"/>
        <v>953.11062386659034</v>
      </c>
      <c r="AK223" s="203"/>
      <c r="AL223" s="203"/>
      <c r="AM223" s="203"/>
      <c r="AN223" s="207"/>
    </row>
    <row r="224" spans="1:40" s="204" customFormat="1" ht="15">
      <c r="A224" s="287" t="s">
        <v>991</v>
      </c>
      <c r="B224" s="280" t="s">
        <v>904</v>
      </c>
      <c r="C224" s="249">
        <v>809.1</v>
      </c>
      <c r="D224" s="280">
        <v>3.5</v>
      </c>
      <c r="E224" s="250" t="str">
        <f>VLOOKUP(B224,'Northwest Retail Cost Data'!$C$5:$F$275,4,FALSE)</f>
        <v>Front Load</v>
      </c>
      <c r="F224" s="251" t="s">
        <v>846</v>
      </c>
      <c r="G224" s="288">
        <v>2.46</v>
      </c>
      <c r="H224" s="288">
        <v>3.69</v>
      </c>
      <c r="I224" s="252">
        <f>D224*H224*SFAssumptions!$C$3</f>
        <v>3315.4522695000001</v>
      </c>
      <c r="J224" s="253">
        <f t="shared" si="56"/>
        <v>809.1</v>
      </c>
      <c r="K224" s="254">
        <f t="shared" si="56"/>
        <v>3.5</v>
      </c>
      <c r="L224" s="691">
        <f t="shared" si="57"/>
        <v>2.0763699999999998</v>
      </c>
      <c r="M224" s="691">
        <f t="shared" si="58"/>
        <v>3.8964979999999998</v>
      </c>
      <c r="N224" s="255">
        <v>2012</v>
      </c>
      <c r="O224" s="256">
        <f>C224*VLOOKUP(N224,SFAssumptions!$A$42:$B$51,2,FALSE)</f>
        <v>730.66170486397505</v>
      </c>
      <c r="P224" s="254">
        <f ca="1">O224+((SFAssumptions!$C$8-D224)*$AO$35)</f>
        <v>756.07383466823308</v>
      </c>
      <c r="Q224" s="190" t="str">
        <f>IF(OR(L224="",M224=""),"No",IF(AND(E224="Front Load",L224&gt;='Eff. Standards &amp; Certifications'!$B$21,M224&lt;='Eff. Standards &amp; Certifications'!$C$21),"Consider",IF(AND(E224="Top Load",L224&gt;='Eff. Standards &amp; Certifications'!$B$20,M224&lt;='Eff. Standards &amp; Certifications'!$C$20),"Consider","No")))</f>
        <v>Consider</v>
      </c>
      <c r="R224" s="203"/>
      <c r="S224" s="203"/>
      <c r="T224" s="293" t="str">
        <f t="shared" si="63"/>
        <v>NO</v>
      </c>
      <c r="U224" s="293" t="str">
        <f t="shared" si="63"/>
        <v>YES</v>
      </c>
      <c r="V224" s="293" t="str">
        <f t="shared" si="64"/>
        <v>YES</v>
      </c>
      <c r="W224" s="211" t="str">
        <f t="shared" si="59"/>
        <v>NO</v>
      </c>
      <c r="X224" s="211" t="str">
        <f t="shared" si="59"/>
        <v>YES</v>
      </c>
      <c r="Y224" s="211" t="str">
        <f t="shared" si="65"/>
        <v>YES</v>
      </c>
      <c r="Z224" s="211" t="str">
        <f t="shared" si="66"/>
        <v>NO</v>
      </c>
      <c r="AA224" s="211" t="str">
        <f t="shared" si="66"/>
        <v>NO</v>
      </c>
      <c r="AB224" s="293" t="str">
        <f t="shared" si="67"/>
        <v>NO</v>
      </c>
      <c r="AC224" s="211" t="str">
        <f t="shared" si="68"/>
        <v>NO</v>
      </c>
      <c r="AD224" s="211" t="str">
        <f t="shared" si="69"/>
        <v>NO</v>
      </c>
      <c r="AE224" s="211" t="str">
        <f t="shared" si="70"/>
        <v>NO</v>
      </c>
      <c r="AF224" s="206"/>
      <c r="AG224" s="206"/>
      <c r="AH224" s="203">
        <f t="shared" si="60"/>
        <v>2.0763699999999998</v>
      </c>
      <c r="AI224" s="203">
        <f t="shared" si="61"/>
        <v>809.1</v>
      </c>
      <c r="AJ224" s="203">
        <f t="shared" si="62"/>
        <v>753.34397083577016</v>
      </c>
      <c r="AK224" s="203"/>
      <c r="AL224" s="203"/>
      <c r="AM224" s="203"/>
      <c r="AN224" s="207"/>
    </row>
    <row r="225" spans="1:40" s="204" customFormat="1" ht="15">
      <c r="A225" s="287" t="s">
        <v>991</v>
      </c>
      <c r="B225" s="287" t="s">
        <v>907</v>
      </c>
      <c r="C225" s="249">
        <v>999</v>
      </c>
      <c r="D225" s="280">
        <v>3.9</v>
      </c>
      <c r="E225" s="250" t="str">
        <f>VLOOKUP(B225,'Northwest Retail Cost Data'!$C$5:$F$275,4,FALSE)</f>
        <v>Front Load</v>
      </c>
      <c r="F225" s="251" t="s">
        <v>846</v>
      </c>
      <c r="G225" s="288">
        <v>2.46</v>
      </c>
      <c r="H225" s="288">
        <v>2.94</v>
      </c>
      <c r="I225" s="252">
        <f>D225*H225*SFAssumptions!$C$3</f>
        <v>2943.4746977999998</v>
      </c>
      <c r="J225" s="253">
        <f t="shared" si="56"/>
        <v>999</v>
      </c>
      <c r="K225" s="254">
        <f t="shared" si="56"/>
        <v>3.9</v>
      </c>
      <c r="L225" s="691">
        <f t="shared" si="57"/>
        <v>2.0763699999999998</v>
      </c>
      <c r="M225" s="691">
        <f t="shared" si="58"/>
        <v>3.1283479999999999</v>
      </c>
      <c r="N225" s="255">
        <v>2012</v>
      </c>
      <c r="O225" s="256">
        <f>C225*VLOOKUP(N225,SFAssumptions!$A$42:$B$51,2,FALSE)</f>
        <v>902.15182691769996</v>
      </c>
      <c r="P225" s="254">
        <f ca="1">O225+((SFAssumptions!$C$8-D225)*$AO$35)</f>
        <v>890.86870736034143</v>
      </c>
      <c r="Q225" s="190" t="str">
        <f>IF(OR(L225="",M225=""),"No",IF(AND(E225="Front Load",L225&gt;='Eff. Standards &amp; Certifications'!$B$21,M225&lt;='Eff. Standards &amp; Certifications'!$C$21),"Consider",IF(AND(E225="Top Load",L225&gt;='Eff. Standards &amp; Certifications'!$B$20,M225&lt;='Eff. Standards &amp; Certifications'!$C$20),"Consider","No")))</f>
        <v>Consider</v>
      </c>
      <c r="R225" s="203"/>
      <c r="S225" s="203"/>
      <c r="T225" s="293" t="str">
        <f t="shared" si="63"/>
        <v>NO</v>
      </c>
      <c r="U225" s="293" t="str">
        <f t="shared" si="63"/>
        <v>YES</v>
      </c>
      <c r="V225" s="293" t="str">
        <f t="shared" si="64"/>
        <v>YES</v>
      </c>
      <c r="W225" s="211" t="str">
        <f t="shared" si="59"/>
        <v>NO</v>
      </c>
      <c r="X225" s="211" t="str">
        <f t="shared" si="59"/>
        <v>YES</v>
      </c>
      <c r="Y225" s="211" t="str">
        <f t="shared" si="65"/>
        <v>YES</v>
      </c>
      <c r="Z225" s="211" t="str">
        <f t="shared" si="66"/>
        <v>NO</v>
      </c>
      <c r="AA225" s="211" t="str">
        <f t="shared" si="66"/>
        <v>NO</v>
      </c>
      <c r="AB225" s="293" t="str">
        <f t="shared" si="67"/>
        <v>NO</v>
      </c>
      <c r="AC225" s="211" t="str">
        <f t="shared" si="68"/>
        <v>NO</v>
      </c>
      <c r="AD225" s="211" t="str">
        <f t="shared" si="69"/>
        <v>NO</v>
      </c>
      <c r="AE225" s="211" t="str">
        <f t="shared" si="70"/>
        <v>NO</v>
      </c>
      <c r="AF225" s="206"/>
      <c r="AG225" s="206"/>
      <c r="AH225" s="203">
        <f t="shared" si="60"/>
        <v>2.0763699999999998</v>
      </c>
      <c r="AI225" s="203">
        <f t="shared" si="61"/>
        <v>999</v>
      </c>
      <c r="AJ225" s="203">
        <f t="shared" si="62"/>
        <v>795.36269036056831</v>
      </c>
      <c r="AK225" s="203"/>
      <c r="AL225" s="203"/>
      <c r="AM225" s="203"/>
      <c r="AN225" s="207"/>
    </row>
    <row r="226" spans="1:40" s="204" customFormat="1" ht="15">
      <c r="A226" s="287" t="s">
        <v>991</v>
      </c>
      <c r="B226" s="280" t="s">
        <v>906</v>
      </c>
      <c r="C226" s="249">
        <v>809.1</v>
      </c>
      <c r="D226" s="280">
        <v>3.5</v>
      </c>
      <c r="E226" s="250" t="str">
        <f>VLOOKUP(B226,'Northwest Retail Cost Data'!$C$5:$F$275,4,FALSE)</f>
        <v>Front Load</v>
      </c>
      <c r="F226" s="251" t="s">
        <v>846</v>
      </c>
      <c r="G226" s="288">
        <v>2.46</v>
      </c>
      <c r="H226" s="288">
        <v>3.69</v>
      </c>
      <c r="I226" s="252">
        <f>D226*H226*SFAssumptions!$C$3</f>
        <v>3315.4522695000001</v>
      </c>
      <c r="J226" s="253">
        <f t="shared" si="56"/>
        <v>809.1</v>
      </c>
      <c r="K226" s="254">
        <f t="shared" si="56"/>
        <v>3.5</v>
      </c>
      <c r="L226" s="691">
        <f t="shared" si="57"/>
        <v>2.0763699999999998</v>
      </c>
      <c r="M226" s="691">
        <f t="shared" si="58"/>
        <v>3.8964979999999998</v>
      </c>
      <c r="N226" s="255">
        <v>2012</v>
      </c>
      <c r="O226" s="256">
        <f>C226*VLOOKUP(N226,SFAssumptions!$A$42:$B$51,2,FALSE)</f>
        <v>730.66170486397505</v>
      </c>
      <c r="P226" s="254">
        <f ca="1">O226+((SFAssumptions!$C$8-D226)*$AO$35)</f>
        <v>756.07383466823308</v>
      </c>
      <c r="Q226" s="190" t="str">
        <f>IF(OR(L226="",M226=""),"No",IF(AND(E226="Front Load",L226&gt;='Eff. Standards &amp; Certifications'!$B$21,M226&lt;='Eff. Standards &amp; Certifications'!$C$21),"Consider",IF(AND(E226="Top Load",L226&gt;='Eff. Standards &amp; Certifications'!$B$20,M226&lt;='Eff. Standards &amp; Certifications'!$C$20),"Consider","No")))</f>
        <v>Consider</v>
      </c>
      <c r="R226" s="203"/>
      <c r="S226" s="203"/>
      <c r="T226" s="293" t="str">
        <f t="shared" si="63"/>
        <v>NO</v>
      </c>
      <c r="U226" s="293" t="str">
        <f t="shared" si="63"/>
        <v>YES</v>
      </c>
      <c r="V226" s="293" t="str">
        <f t="shared" si="64"/>
        <v>YES</v>
      </c>
      <c r="W226" s="211" t="str">
        <f t="shared" si="59"/>
        <v>NO</v>
      </c>
      <c r="X226" s="211" t="str">
        <f t="shared" si="59"/>
        <v>YES</v>
      </c>
      <c r="Y226" s="211" t="str">
        <f t="shared" si="65"/>
        <v>YES</v>
      </c>
      <c r="Z226" s="211" t="str">
        <f t="shared" si="66"/>
        <v>NO</v>
      </c>
      <c r="AA226" s="211" t="str">
        <f t="shared" si="66"/>
        <v>NO</v>
      </c>
      <c r="AB226" s="293" t="str">
        <f t="shared" si="67"/>
        <v>NO</v>
      </c>
      <c r="AC226" s="211" t="str">
        <f t="shared" si="68"/>
        <v>NO</v>
      </c>
      <c r="AD226" s="211" t="str">
        <f t="shared" si="69"/>
        <v>NO</v>
      </c>
      <c r="AE226" s="211" t="str">
        <f t="shared" si="70"/>
        <v>NO</v>
      </c>
      <c r="AF226" s="206"/>
      <c r="AG226" s="206"/>
      <c r="AH226" s="203">
        <f t="shared" si="60"/>
        <v>2.0763699999999998</v>
      </c>
      <c r="AI226" s="203">
        <f t="shared" si="61"/>
        <v>809.1</v>
      </c>
      <c r="AJ226" s="203">
        <f t="shared" si="62"/>
        <v>753.34397083577016</v>
      </c>
      <c r="AK226" s="203"/>
      <c r="AL226" s="203"/>
      <c r="AM226" s="203"/>
      <c r="AN226" s="207"/>
    </row>
    <row r="227" spans="1:40" s="204" customFormat="1" ht="15">
      <c r="A227" s="280" t="s">
        <v>597</v>
      </c>
      <c r="B227" s="280" t="s">
        <v>943</v>
      </c>
      <c r="C227" s="249">
        <v>719.1</v>
      </c>
      <c r="D227" s="280">
        <v>3.5</v>
      </c>
      <c r="E227" s="250" t="str">
        <f>VLOOKUP(B227,'Northwest Retail Cost Data'!$C$5:$F$275,4,FALSE)</f>
        <v>Front load</v>
      </c>
      <c r="F227" s="251" t="s">
        <v>846</v>
      </c>
      <c r="G227" s="288">
        <v>2.5</v>
      </c>
      <c r="H227" s="288">
        <v>3.3</v>
      </c>
      <c r="I227" s="252">
        <f>D227*H227*SFAssumptions!$C$3</f>
        <v>2965.0386149999999</v>
      </c>
      <c r="J227" s="253">
        <f t="shared" si="56"/>
        <v>719.1</v>
      </c>
      <c r="K227" s="254">
        <f t="shared" si="56"/>
        <v>3.5</v>
      </c>
      <c r="L227" s="691">
        <f t="shared" si="57"/>
        <v>2.1129499999999997</v>
      </c>
      <c r="M227" s="691">
        <f t="shared" si="58"/>
        <v>3.4970599999999998</v>
      </c>
      <c r="N227" s="255">
        <v>2012</v>
      </c>
      <c r="O227" s="256">
        <f>C227*VLOOKUP(N227,SFAssumptions!$A$42:$B$51,2,FALSE)</f>
        <v>649.38676550202013</v>
      </c>
      <c r="P227" s="254">
        <f ca="1">O227+((SFAssumptions!$C$8-D227)*$AO$35)</f>
        <v>674.79889530627815</v>
      </c>
      <c r="Q227" s="190" t="str">
        <f>IF(OR(L227="",M227=""),"No",IF(AND(E227="Front Load",L227&gt;='Eff. Standards &amp; Certifications'!$B$21,M227&lt;='Eff. Standards &amp; Certifications'!$C$21),"Consider",IF(AND(E227="Top Load",L227&gt;='Eff. Standards &amp; Certifications'!$B$20,M227&lt;='Eff. Standards &amp; Certifications'!$C$20),"Consider","No")))</f>
        <v>Consider</v>
      </c>
      <c r="R227" s="203"/>
      <c r="S227" s="203"/>
      <c r="T227" s="293" t="str">
        <f t="shared" si="63"/>
        <v>NO</v>
      </c>
      <c r="U227" s="293" t="str">
        <f t="shared" si="63"/>
        <v>YES</v>
      </c>
      <c r="V227" s="293" t="str">
        <f t="shared" si="64"/>
        <v>YES</v>
      </c>
      <c r="W227" s="211" t="str">
        <f t="shared" si="59"/>
        <v>NO</v>
      </c>
      <c r="X227" s="211" t="str">
        <f t="shared" si="59"/>
        <v>YES</v>
      </c>
      <c r="Y227" s="211" t="str">
        <f t="shared" si="65"/>
        <v>YES</v>
      </c>
      <c r="Z227" s="211" t="str">
        <f t="shared" si="66"/>
        <v>NO</v>
      </c>
      <c r="AA227" s="211" t="str">
        <f t="shared" si="66"/>
        <v>NO</v>
      </c>
      <c r="AB227" s="293" t="str">
        <f t="shared" si="67"/>
        <v>NO</v>
      </c>
      <c r="AC227" s="211" t="str">
        <f t="shared" si="68"/>
        <v>NO</v>
      </c>
      <c r="AD227" s="211" t="str">
        <f t="shared" si="69"/>
        <v>NO</v>
      </c>
      <c r="AE227" s="211" t="str">
        <f t="shared" si="70"/>
        <v>NO</v>
      </c>
      <c r="AF227" s="206"/>
      <c r="AG227" s="206"/>
      <c r="AH227" s="203">
        <f t="shared" si="60"/>
        <v>2.1129499999999997</v>
      </c>
      <c r="AI227" s="203">
        <f t="shared" si="61"/>
        <v>719.1</v>
      </c>
      <c r="AJ227" s="203">
        <f t="shared" si="62"/>
        <v>764.95285485337922</v>
      </c>
      <c r="AK227" s="203"/>
      <c r="AL227" s="203"/>
      <c r="AM227" s="203"/>
      <c r="AN227" s="207"/>
    </row>
    <row r="228" spans="1:40" s="204" customFormat="1" ht="15">
      <c r="A228" s="287" t="s">
        <v>597</v>
      </c>
      <c r="B228" s="280" t="s">
        <v>954</v>
      </c>
      <c r="C228" s="249">
        <v>989.1</v>
      </c>
      <c r="D228" s="280">
        <v>4</v>
      </c>
      <c r="E228" s="250" t="str">
        <f>VLOOKUP(B228,'Northwest Retail Cost Data'!$C$5:$F$275,4,FALSE)</f>
        <v>Front load</v>
      </c>
      <c r="F228" s="251" t="s">
        <v>846</v>
      </c>
      <c r="G228" s="288">
        <v>3.35</v>
      </c>
      <c r="H228" s="288">
        <v>2.9</v>
      </c>
      <c r="I228" s="252">
        <f>D228*H228*SFAssumptions!$C$3</f>
        <v>2977.87428</v>
      </c>
      <c r="J228" s="253">
        <f t="shared" si="56"/>
        <v>989.1</v>
      </c>
      <c r="K228" s="254">
        <f t="shared" si="56"/>
        <v>4</v>
      </c>
      <c r="L228" s="691">
        <f t="shared" si="57"/>
        <v>2.8902749999999999</v>
      </c>
      <c r="M228" s="691">
        <f t="shared" si="58"/>
        <v>3.08738</v>
      </c>
      <c r="N228" s="255">
        <v>2012</v>
      </c>
      <c r="O228" s="256">
        <f>C228*VLOOKUP(N228,SFAssumptions!$A$42:$B$51,2,FALSE)</f>
        <v>893.21158358788489</v>
      </c>
      <c r="P228" s="254">
        <f ca="1">O228+((SFAssumptions!$C$8-D228)*$AO$35)</f>
        <v>872.75465169012227</v>
      </c>
      <c r="Q228" s="190" t="str">
        <f>IF(OR(L228="",M228=""),"No",IF(AND(E228="Front Load",L228&gt;='Eff. Standards &amp; Certifications'!$B$21,M228&lt;='Eff. Standards &amp; Certifications'!$C$21),"Consider",IF(AND(E228="Top Load",L228&gt;='Eff. Standards &amp; Certifications'!$B$20,M228&lt;='Eff. Standards &amp; Certifications'!$C$20),"Consider","No")))</f>
        <v>Consider</v>
      </c>
      <c r="R228" s="203"/>
      <c r="S228" s="203"/>
      <c r="T228" s="293" t="str">
        <f t="shared" si="63"/>
        <v>NO</v>
      </c>
      <c r="U228" s="293" t="str">
        <f t="shared" si="63"/>
        <v>YES</v>
      </c>
      <c r="V228" s="293" t="str">
        <f t="shared" si="64"/>
        <v>YES</v>
      </c>
      <c r="W228" s="211" t="str">
        <f t="shared" si="59"/>
        <v>NO</v>
      </c>
      <c r="X228" s="211" t="str">
        <f t="shared" si="59"/>
        <v>NO</v>
      </c>
      <c r="Y228" s="211" t="str">
        <f t="shared" si="65"/>
        <v>NO</v>
      </c>
      <c r="Z228" s="211" t="str">
        <f t="shared" si="66"/>
        <v>NO</v>
      </c>
      <c r="AA228" s="211" t="str">
        <f t="shared" si="66"/>
        <v>YES</v>
      </c>
      <c r="AB228" s="293" t="str">
        <f t="shared" si="67"/>
        <v>YES</v>
      </c>
      <c r="AC228" s="211" t="str">
        <f t="shared" si="68"/>
        <v>NO</v>
      </c>
      <c r="AD228" s="211" t="str">
        <f t="shared" si="69"/>
        <v>YES</v>
      </c>
      <c r="AE228" s="211" t="str">
        <f t="shared" si="70"/>
        <v>NO</v>
      </c>
      <c r="AF228" s="206"/>
      <c r="AG228" s="206"/>
      <c r="AH228" s="203">
        <f t="shared" si="60"/>
        <v>2.8902749999999999</v>
      </c>
      <c r="AI228" s="203">
        <f t="shared" si="61"/>
        <v>989.1</v>
      </c>
      <c r="AJ228" s="203">
        <f t="shared" si="62"/>
        <v>1001.5255407134657</v>
      </c>
      <c r="AK228" s="203"/>
      <c r="AL228" s="203"/>
      <c r="AM228" s="203"/>
      <c r="AN228" s="207"/>
    </row>
    <row r="229" spans="1:40" s="204" customFormat="1" ht="15">
      <c r="A229" s="287" t="s">
        <v>597</v>
      </c>
      <c r="B229" s="280" t="s">
        <v>992</v>
      </c>
      <c r="C229" s="249">
        <v>989.1</v>
      </c>
      <c r="D229" s="280">
        <v>3.7</v>
      </c>
      <c r="E229" s="250" t="str">
        <f>VLOOKUP(B229,'Northwest Retail Cost Data'!$C$5:$F$275,4,FALSE)</f>
        <v>Front Load</v>
      </c>
      <c r="F229" s="251" t="s">
        <v>846</v>
      </c>
      <c r="G229" s="288">
        <v>3.1</v>
      </c>
      <c r="H229" s="288">
        <v>2.76</v>
      </c>
      <c r="I229" s="252">
        <f>D229*H229*SFAssumptions!$C$3</f>
        <v>2621.5562196000001</v>
      </c>
      <c r="J229" s="253">
        <f t="shared" si="56"/>
        <v>989.1</v>
      </c>
      <c r="K229" s="254">
        <f t="shared" si="56"/>
        <v>3.7</v>
      </c>
      <c r="L229" s="691">
        <f t="shared" si="57"/>
        <v>2.6616499999999998</v>
      </c>
      <c r="M229" s="691">
        <f t="shared" si="58"/>
        <v>2.9439919999999997</v>
      </c>
      <c r="N229" s="255">
        <v>2012</v>
      </c>
      <c r="O229" s="256">
        <f>C229*VLOOKUP(N229,SFAssumptions!$A$42:$B$51,2,FALSE)</f>
        <v>893.21158358788489</v>
      </c>
      <c r="P229" s="254">
        <f ca="1">O229+((SFAssumptions!$C$8-D229)*$AO$35)</f>
        <v>900.27608871133464</v>
      </c>
      <c r="Q229" s="190" t="str">
        <f>IF(OR(L229="",M229=""),"No",IF(AND(E229="Front Load",L229&gt;='Eff. Standards &amp; Certifications'!$B$21,M229&lt;='Eff. Standards &amp; Certifications'!$C$21),"Consider",IF(AND(E229="Top Load",L229&gt;='Eff. Standards &amp; Certifications'!$B$20,M229&lt;='Eff. Standards &amp; Certifications'!$C$20),"Consider","No")))</f>
        <v>Consider</v>
      </c>
      <c r="R229" s="203"/>
      <c r="S229" s="203"/>
      <c r="T229" s="293" t="str">
        <f t="shared" si="63"/>
        <v>NO</v>
      </c>
      <c r="U229" s="293" t="str">
        <f t="shared" si="63"/>
        <v>YES</v>
      </c>
      <c r="V229" s="293" t="str">
        <f t="shared" si="64"/>
        <v>YES</v>
      </c>
      <c r="W229" s="211" t="str">
        <f t="shared" si="59"/>
        <v>NO</v>
      </c>
      <c r="X229" s="211" t="str">
        <f t="shared" si="59"/>
        <v>NO</v>
      </c>
      <c r="Y229" s="211" t="str">
        <f t="shared" si="65"/>
        <v>NO</v>
      </c>
      <c r="Z229" s="211" t="str">
        <f t="shared" si="66"/>
        <v>NO</v>
      </c>
      <c r="AA229" s="211" t="str">
        <f t="shared" si="66"/>
        <v>YES</v>
      </c>
      <c r="AB229" s="293" t="str">
        <f t="shared" si="67"/>
        <v>YES</v>
      </c>
      <c r="AC229" s="211" t="str">
        <f t="shared" si="68"/>
        <v>YES</v>
      </c>
      <c r="AD229" s="211" t="str">
        <f t="shared" si="69"/>
        <v>NO</v>
      </c>
      <c r="AE229" s="211" t="str">
        <f t="shared" si="70"/>
        <v>NO</v>
      </c>
      <c r="AF229" s="206"/>
      <c r="AG229" s="206"/>
      <c r="AH229" s="203">
        <f t="shared" si="60"/>
        <v>2.6616499999999998</v>
      </c>
      <c r="AI229" s="203">
        <f t="shared" si="61"/>
        <v>989.1</v>
      </c>
      <c r="AJ229" s="203">
        <f t="shared" si="62"/>
        <v>919.7435710429977</v>
      </c>
      <c r="AK229" s="203"/>
      <c r="AL229" s="203"/>
      <c r="AM229" s="203"/>
      <c r="AN229" s="207"/>
    </row>
    <row r="230" spans="1:40" s="204" customFormat="1" ht="15">
      <c r="A230" s="287" t="s">
        <v>597</v>
      </c>
      <c r="B230" s="280" t="s">
        <v>944</v>
      </c>
      <c r="C230" s="249">
        <v>1079.0999999999999</v>
      </c>
      <c r="D230" s="280">
        <v>4.4000000000000004</v>
      </c>
      <c r="E230" s="250" t="str">
        <f>VLOOKUP(B230,'Northwest Retail Cost Data'!$C$5:$F$275,4,FALSE)</f>
        <v>Front load</v>
      </c>
      <c r="F230" s="251" t="s">
        <v>846</v>
      </c>
      <c r="G230" s="288">
        <v>3.35</v>
      </c>
      <c r="H230" s="288">
        <v>2.9</v>
      </c>
      <c r="I230" s="252">
        <f>D230*H230*SFAssumptions!$C$3</f>
        <v>3275.6617080000001</v>
      </c>
      <c r="J230" s="253">
        <f t="shared" si="56"/>
        <v>1079.0999999999999</v>
      </c>
      <c r="K230" s="254">
        <f t="shared" si="56"/>
        <v>4.4000000000000004</v>
      </c>
      <c r="L230" s="691">
        <f t="shared" si="57"/>
        <v>2.8902749999999999</v>
      </c>
      <c r="M230" s="691">
        <f t="shared" si="58"/>
        <v>3.08738</v>
      </c>
      <c r="N230" s="255">
        <v>2012</v>
      </c>
      <c r="O230" s="256">
        <f>C230*VLOOKUP(N230,SFAssumptions!$A$42:$B$51,2,FALSE)</f>
        <v>974.48652294983981</v>
      </c>
      <c r="P230" s="254">
        <f ca="1">O230+((SFAssumptions!$C$8-D230)*$AO$35)</f>
        <v>917.33434169046063</v>
      </c>
      <c r="Q230" s="190" t="str">
        <f>IF(OR(L230="",M230=""),"No",IF(AND(E230="Front Load",L230&gt;='Eff. Standards &amp; Certifications'!$B$21,M230&lt;='Eff. Standards &amp; Certifications'!$C$21),"Consider",IF(AND(E230="Top Load",L230&gt;='Eff. Standards &amp; Certifications'!$B$20,M230&lt;='Eff. Standards &amp; Certifications'!$C$20),"Consider","No")))</f>
        <v>Consider</v>
      </c>
      <c r="R230" s="203"/>
      <c r="S230" s="203"/>
      <c r="T230" s="293" t="str">
        <f t="shared" si="63"/>
        <v>NO</v>
      </c>
      <c r="U230" s="293" t="str">
        <f t="shared" si="63"/>
        <v>YES</v>
      </c>
      <c r="V230" s="293" t="str">
        <f t="shared" si="64"/>
        <v>YES</v>
      </c>
      <c r="W230" s="211" t="str">
        <f t="shared" si="59"/>
        <v>NO</v>
      </c>
      <c r="X230" s="211" t="str">
        <f t="shared" si="59"/>
        <v>NO</v>
      </c>
      <c r="Y230" s="211" t="str">
        <f t="shared" si="65"/>
        <v>NO</v>
      </c>
      <c r="Z230" s="211" t="str">
        <f t="shared" si="66"/>
        <v>NO</v>
      </c>
      <c r="AA230" s="211" t="str">
        <f t="shared" si="66"/>
        <v>YES</v>
      </c>
      <c r="AB230" s="293" t="str">
        <f t="shared" si="67"/>
        <v>YES</v>
      </c>
      <c r="AC230" s="211" t="str">
        <f t="shared" si="68"/>
        <v>NO</v>
      </c>
      <c r="AD230" s="211" t="str">
        <f t="shared" si="69"/>
        <v>YES</v>
      </c>
      <c r="AE230" s="211" t="str">
        <f t="shared" si="70"/>
        <v>NO</v>
      </c>
      <c r="AF230" s="206"/>
      <c r="AG230" s="206"/>
      <c r="AH230" s="203">
        <f t="shared" si="60"/>
        <v>2.8902749999999999</v>
      </c>
      <c r="AI230" s="203">
        <f t="shared" si="61"/>
        <v>1079.0999999999999</v>
      </c>
      <c r="AJ230" s="203">
        <f t="shared" si="62"/>
        <v>1038.2207900750823</v>
      </c>
      <c r="AK230" s="203"/>
      <c r="AL230" s="203"/>
      <c r="AM230" s="203"/>
      <c r="AN230" s="207"/>
    </row>
    <row r="231" spans="1:40" s="204" customFormat="1" ht="15">
      <c r="A231" s="287" t="s">
        <v>597</v>
      </c>
      <c r="B231" s="280" t="s">
        <v>993</v>
      </c>
      <c r="C231" s="249">
        <v>1529.1</v>
      </c>
      <c r="D231" s="280">
        <v>4.5</v>
      </c>
      <c r="E231" s="250" t="str">
        <f>VLOOKUP(B231,'Northwest Retail Cost Data'!$C$5:$F$275,4,FALSE)</f>
        <v>Front Load</v>
      </c>
      <c r="F231" s="251" t="s">
        <v>846</v>
      </c>
      <c r="G231" s="288">
        <v>3.42</v>
      </c>
      <c r="H231" s="288">
        <v>2.7</v>
      </c>
      <c r="I231" s="252">
        <f>D231*H231*SFAssumptions!$C$3</f>
        <v>3119.0665950000002</v>
      </c>
      <c r="J231" s="253">
        <f t="shared" si="56"/>
        <v>1529.1</v>
      </c>
      <c r="K231" s="254">
        <f t="shared" si="56"/>
        <v>4.5</v>
      </c>
      <c r="L231" s="691">
        <f t="shared" si="57"/>
        <v>2.9542899999999994</v>
      </c>
      <c r="M231" s="691">
        <f t="shared" si="58"/>
        <v>2.8825400000000001</v>
      </c>
      <c r="N231" s="255">
        <v>2012</v>
      </c>
      <c r="O231" s="256">
        <f>C231*VLOOKUP(N231,SFAssumptions!$A$42:$B$51,2,FALSE)</f>
        <v>1380.8612197596144</v>
      </c>
      <c r="P231" s="254">
        <f ca="1">O231+((SFAssumptions!$C$8-D231)*$AO$35)</f>
        <v>1314.5352261598312</v>
      </c>
      <c r="Q231" s="190" t="str">
        <f>IF(OR(L231="",M231=""),"No",IF(AND(E231="Front Load",L231&gt;='Eff. Standards &amp; Certifications'!$B$21,M231&lt;='Eff. Standards &amp; Certifications'!$C$21),"Consider",IF(AND(E231="Top Load",L231&gt;='Eff. Standards &amp; Certifications'!$B$20,M231&lt;='Eff. Standards &amp; Certifications'!$C$20),"Consider","No")))</f>
        <v>Consider</v>
      </c>
      <c r="R231" s="203"/>
      <c r="S231" s="203"/>
      <c r="T231" s="293" t="str">
        <f t="shared" si="63"/>
        <v>NO</v>
      </c>
      <c r="U231" s="293" t="str">
        <f t="shared" si="63"/>
        <v>YES</v>
      </c>
      <c r="V231" s="293" t="str">
        <f t="shared" si="64"/>
        <v>YES</v>
      </c>
      <c r="W231" s="211" t="str">
        <f t="shared" si="59"/>
        <v>NO</v>
      </c>
      <c r="X231" s="211" t="str">
        <f t="shared" si="59"/>
        <v>NO</v>
      </c>
      <c r="Y231" s="211" t="str">
        <f t="shared" si="65"/>
        <v>NO</v>
      </c>
      <c r="Z231" s="211" t="str">
        <f t="shared" si="66"/>
        <v>NO</v>
      </c>
      <c r="AA231" s="211" t="str">
        <f t="shared" si="66"/>
        <v>YES</v>
      </c>
      <c r="AB231" s="293" t="str">
        <f t="shared" si="67"/>
        <v>YES</v>
      </c>
      <c r="AC231" s="211" t="str">
        <f t="shared" si="68"/>
        <v>NO</v>
      </c>
      <c r="AD231" s="211" t="str">
        <f t="shared" si="69"/>
        <v>NO</v>
      </c>
      <c r="AE231" s="211" t="str">
        <f t="shared" si="70"/>
        <v>YES</v>
      </c>
      <c r="AF231" s="206"/>
      <c r="AG231" s="206"/>
      <c r="AH231" s="203">
        <f t="shared" si="60"/>
        <v>2.9542899999999994</v>
      </c>
      <c r="AI231" s="203">
        <f t="shared" si="61"/>
        <v>1529.1</v>
      </c>
      <c r="AJ231" s="203">
        <f t="shared" si="62"/>
        <v>1064.2853836413221</v>
      </c>
      <c r="AK231" s="203"/>
      <c r="AL231" s="203"/>
      <c r="AM231" s="203"/>
      <c r="AN231" s="207"/>
    </row>
    <row r="232" spans="1:40" s="204" customFormat="1" ht="15">
      <c r="A232" s="287" t="s">
        <v>994</v>
      </c>
      <c r="B232" s="280" t="s">
        <v>995</v>
      </c>
      <c r="C232" s="249">
        <v>989.1</v>
      </c>
      <c r="D232" s="280">
        <v>3.7</v>
      </c>
      <c r="E232" s="250" t="str">
        <f>VLOOKUP(B232,'Northwest Retail Cost Data'!$C$5:$F$275,4,FALSE)</f>
        <v>Front Load</v>
      </c>
      <c r="F232" s="251" t="s">
        <v>846</v>
      </c>
      <c r="G232" s="288">
        <v>3.1</v>
      </c>
      <c r="H232" s="288">
        <v>2.76</v>
      </c>
      <c r="I232" s="252">
        <f>D232*H232*SFAssumptions!$C$3</f>
        <v>2621.5562196000001</v>
      </c>
      <c r="J232" s="253">
        <f t="shared" si="56"/>
        <v>989.1</v>
      </c>
      <c r="K232" s="254">
        <f t="shared" si="56"/>
        <v>3.7</v>
      </c>
      <c r="L232" s="691">
        <f t="shared" si="57"/>
        <v>2.6616499999999998</v>
      </c>
      <c r="M232" s="691">
        <f t="shared" si="58"/>
        <v>2.9439919999999997</v>
      </c>
      <c r="N232" s="255">
        <v>2012</v>
      </c>
      <c r="O232" s="256">
        <f>C232*VLOOKUP(N232,SFAssumptions!$A$42:$B$51,2,FALSE)</f>
        <v>893.21158358788489</v>
      </c>
      <c r="P232" s="254">
        <f ca="1">O232+((SFAssumptions!$C$8-D232)*$AO$35)</f>
        <v>900.27608871133464</v>
      </c>
      <c r="Q232" s="190" t="str">
        <f>IF(OR(L232="",M232=""),"No",IF(AND(E232="Front Load",L232&gt;='Eff. Standards &amp; Certifications'!$B$21,M232&lt;='Eff. Standards &amp; Certifications'!$C$21),"Consider",IF(AND(E232="Top Load",L232&gt;='Eff. Standards &amp; Certifications'!$B$20,M232&lt;='Eff. Standards &amp; Certifications'!$C$20),"Consider","No")))</f>
        <v>Consider</v>
      </c>
      <c r="R232" s="203"/>
      <c r="S232" s="203"/>
      <c r="T232" s="293" t="str">
        <f t="shared" si="63"/>
        <v>NO</v>
      </c>
      <c r="U232" s="293" t="str">
        <f t="shared" si="63"/>
        <v>YES</v>
      </c>
      <c r="V232" s="293" t="str">
        <f t="shared" si="64"/>
        <v>YES</v>
      </c>
      <c r="W232" s="211" t="str">
        <f t="shared" si="59"/>
        <v>NO</v>
      </c>
      <c r="X232" s="211" t="str">
        <f t="shared" si="59"/>
        <v>NO</v>
      </c>
      <c r="Y232" s="211" t="str">
        <f t="shared" si="65"/>
        <v>NO</v>
      </c>
      <c r="Z232" s="211" t="str">
        <f t="shared" si="66"/>
        <v>NO</v>
      </c>
      <c r="AA232" s="211" t="str">
        <f t="shared" si="66"/>
        <v>YES</v>
      </c>
      <c r="AB232" s="293" t="str">
        <f t="shared" si="67"/>
        <v>YES</v>
      </c>
      <c r="AC232" s="211" t="str">
        <f t="shared" si="68"/>
        <v>YES</v>
      </c>
      <c r="AD232" s="211" t="str">
        <f t="shared" si="69"/>
        <v>NO</v>
      </c>
      <c r="AE232" s="211" t="str">
        <f t="shared" si="70"/>
        <v>NO</v>
      </c>
      <c r="AF232" s="206"/>
      <c r="AG232" s="206"/>
      <c r="AH232" s="203">
        <f t="shared" si="60"/>
        <v>2.6616499999999998</v>
      </c>
      <c r="AI232" s="203">
        <f t="shared" si="61"/>
        <v>989.1</v>
      </c>
      <c r="AJ232" s="203">
        <f t="shared" si="62"/>
        <v>919.7435710429977</v>
      </c>
      <c r="AK232" s="203"/>
      <c r="AL232" s="203"/>
      <c r="AM232" s="203"/>
      <c r="AN232" s="207"/>
    </row>
    <row r="233" spans="1:40" s="204" customFormat="1" ht="15">
      <c r="A233" s="287" t="s">
        <v>597</v>
      </c>
      <c r="B233" s="280" t="s">
        <v>996</v>
      </c>
      <c r="C233" s="249">
        <v>699</v>
      </c>
      <c r="D233" s="280">
        <v>3.7</v>
      </c>
      <c r="E233" s="250" t="str">
        <f>VLOOKUP(B233,'Northwest Retail Cost Data'!$C$5:$F$275,4,FALSE)</f>
        <v>Front Load</v>
      </c>
      <c r="F233" s="251" t="s">
        <v>846</v>
      </c>
      <c r="G233" s="288">
        <v>3.1</v>
      </c>
      <c r="H233" s="288">
        <v>2.76</v>
      </c>
      <c r="I233" s="252">
        <f>D233*H233*SFAssumptions!$C$3</f>
        <v>2621.5562196000001</v>
      </c>
      <c r="J233" s="253">
        <f t="shared" si="56"/>
        <v>699</v>
      </c>
      <c r="K233" s="254">
        <f t="shared" si="56"/>
        <v>3.7</v>
      </c>
      <c r="L233" s="691">
        <f t="shared" si="57"/>
        <v>2.6616499999999998</v>
      </c>
      <c r="M233" s="691">
        <f t="shared" si="58"/>
        <v>2.9439919999999997</v>
      </c>
      <c r="N233" s="255">
        <v>2012</v>
      </c>
      <c r="O233" s="256">
        <f>C233*VLOOKUP(N233,SFAssumptions!$A$42:$B$51,2,FALSE)</f>
        <v>631.23536237785015</v>
      </c>
      <c r="P233" s="254">
        <f ca="1">O233+((SFAssumptions!$C$8-D233)*$AO$35)</f>
        <v>638.2998675012999</v>
      </c>
      <c r="Q233" s="190" t="str">
        <f>IF(OR(L233="",M233=""),"No",IF(AND(E233="Front Load",L233&gt;='Eff. Standards &amp; Certifications'!$B$21,M233&lt;='Eff. Standards &amp; Certifications'!$C$21),"Consider",IF(AND(E233="Top Load",L233&gt;='Eff. Standards &amp; Certifications'!$B$20,M233&lt;='Eff. Standards &amp; Certifications'!$C$20),"Consider","No")))</f>
        <v>Consider</v>
      </c>
      <c r="R233" s="203"/>
      <c r="S233" s="203"/>
      <c r="T233" s="293" t="str">
        <f t="shared" si="63"/>
        <v>NO</v>
      </c>
      <c r="U233" s="293" t="str">
        <f t="shared" si="63"/>
        <v>YES</v>
      </c>
      <c r="V233" s="293" t="str">
        <f t="shared" si="64"/>
        <v>YES</v>
      </c>
      <c r="W233" s="211" t="str">
        <f t="shared" si="59"/>
        <v>NO</v>
      </c>
      <c r="X233" s="211" t="str">
        <f t="shared" si="59"/>
        <v>NO</v>
      </c>
      <c r="Y233" s="211" t="str">
        <f t="shared" si="65"/>
        <v>NO</v>
      </c>
      <c r="Z233" s="211" t="str">
        <f t="shared" si="66"/>
        <v>NO</v>
      </c>
      <c r="AA233" s="211" t="str">
        <f t="shared" si="66"/>
        <v>YES</v>
      </c>
      <c r="AB233" s="293" t="str">
        <f t="shared" si="67"/>
        <v>YES</v>
      </c>
      <c r="AC233" s="211" t="str">
        <f t="shared" si="68"/>
        <v>YES</v>
      </c>
      <c r="AD233" s="211" t="str">
        <f t="shared" si="69"/>
        <v>NO</v>
      </c>
      <c r="AE233" s="211" t="str">
        <f t="shared" si="70"/>
        <v>NO</v>
      </c>
      <c r="AF233" s="206"/>
      <c r="AG233" s="206"/>
      <c r="AH233" s="203">
        <f t="shared" si="60"/>
        <v>2.6616499999999998</v>
      </c>
      <c r="AI233" s="203">
        <f t="shared" si="61"/>
        <v>699</v>
      </c>
      <c r="AJ233" s="203">
        <f t="shared" si="62"/>
        <v>919.7435710429977</v>
      </c>
      <c r="AK233" s="203"/>
      <c r="AL233" s="203"/>
      <c r="AM233" s="203"/>
      <c r="AN233" s="207"/>
    </row>
    <row r="234" spans="1:40" s="204" customFormat="1" ht="15">
      <c r="A234" s="287" t="s">
        <v>597</v>
      </c>
      <c r="B234" s="287" t="s">
        <v>997</v>
      </c>
      <c r="C234" s="249">
        <v>1439.1</v>
      </c>
      <c r="D234" s="280">
        <v>4.5</v>
      </c>
      <c r="E234" s="250" t="str">
        <f>VLOOKUP(B234,'Northwest Retail Cost Data'!$C$5:$F$275,4,FALSE)</f>
        <v>Front Load</v>
      </c>
      <c r="F234" s="251" t="s">
        <v>846</v>
      </c>
      <c r="G234" s="288">
        <v>3.42</v>
      </c>
      <c r="H234" s="288">
        <v>2.7</v>
      </c>
      <c r="I234" s="252">
        <f>D234*H234*SFAssumptions!$C$3</f>
        <v>3119.0665950000002</v>
      </c>
      <c r="J234" s="253">
        <f t="shared" si="56"/>
        <v>1439.1</v>
      </c>
      <c r="K234" s="254">
        <f t="shared" si="56"/>
        <v>4.5</v>
      </c>
      <c r="L234" s="691">
        <f t="shared" si="57"/>
        <v>2.9542899999999994</v>
      </c>
      <c r="M234" s="691">
        <f t="shared" si="58"/>
        <v>2.8825400000000001</v>
      </c>
      <c r="N234" s="255">
        <v>2012</v>
      </c>
      <c r="O234" s="256">
        <f>C234*VLOOKUP(N234,SFAssumptions!$A$42:$B$51,2,FALSE)</f>
        <v>1299.5862803976595</v>
      </c>
      <c r="P234" s="254">
        <f ca="1">O234+((SFAssumptions!$C$8-D234)*$AO$35)</f>
        <v>1233.2602867978762</v>
      </c>
      <c r="Q234" s="190" t="str">
        <f>IF(OR(L234="",M234=""),"No",IF(AND(E234="Front Load",L234&gt;='Eff. Standards &amp; Certifications'!$B$21,M234&lt;='Eff. Standards &amp; Certifications'!$C$21),"Consider",IF(AND(E234="Top Load",L234&gt;='Eff. Standards &amp; Certifications'!$B$20,M234&lt;='Eff. Standards &amp; Certifications'!$C$20),"Consider","No")))</f>
        <v>Consider</v>
      </c>
      <c r="R234" s="203"/>
      <c r="S234" s="203"/>
      <c r="T234" s="293" t="str">
        <f t="shared" si="63"/>
        <v>NO</v>
      </c>
      <c r="U234" s="293" t="str">
        <f t="shared" si="63"/>
        <v>YES</v>
      </c>
      <c r="V234" s="293" t="str">
        <f t="shared" si="64"/>
        <v>YES</v>
      </c>
      <c r="W234" s="211" t="str">
        <f t="shared" si="59"/>
        <v>NO</v>
      </c>
      <c r="X234" s="211" t="str">
        <f t="shared" si="59"/>
        <v>NO</v>
      </c>
      <c r="Y234" s="211" t="str">
        <f t="shared" si="65"/>
        <v>NO</v>
      </c>
      <c r="Z234" s="211" t="str">
        <f t="shared" si="66"/>
        <v>NO</v>
      </c>
      <c r="AA234" s="211" t="str">
        <f t="shared" si="66"/>
        <v>YES</v>
      </c>
      <c r="AB234" s="293" t="str">
        <f t="shared" si="67"/>
        <v>YES</v>
      </c>
      <c r="AC234" s="211" t="str">
        <f t="shared" si="68"/>
        <v>NO</v>
      </c>
      <c r="AD234" s="211" t="str">
        <f t="shared" si="69"/>
        <v>NO</v>
      </c>
      <c r="AE234" s="211" t="str">
        <f t="shared" si="70"/>
        <v>YES</v>
      </c>
      <c r="AF234" s="206"/>
      <c r="AG234" s="206"/>
      <c r="AH234" s="203">
        <f t="shared" si="60"/>
        <v>2.9542899999999994</v>
      </c>
      <c r="AI234" s="203">
        <f t="shared" si="61"/>
        <v>1439.1</v>
      </c>
      <c r="AJ234" s="203">
        <f t="shared" si="62"/>
        <v>1064.2853836413221</v>
      </c>
      <c r="AK234" s="203"/>
      <c r="AL234" s="203"/>
      <c r="AM234" s="203"/>
      <c r="AN234" s="207"/>
    </row>
    <row r="235" spans="1:40" s="204" customFormat="1" ht="15">
      <c r="A235" s="287" t="s">
        <v>920</v>
      </c>
      <c r="B235" s="280" t="s">
        <v>926</v>
      </c>
      <c r="C235" s="249">
        <v>584.1</v>
      </c>
      <c r="D235" s="280">
        <v>3.5</v>
      </c>
      <c r="E235" s="250" t="str">
        <f>VLOOKUP(B235,'Northwest Retail Cost Data'!$C$5:$F$275,4,FALSE)</f>
        <v>Front Load</v>
      </c>
      <c r="F235" s="251" t="s">
        <v>846</v>
      </c>
      <c r="G235" s="288">
        <v>2.46</v>
      </c>
      <c r="H235" s="288">
        <v>3.69</v>
      </c>
      <c r="I235" s="252">
        <f>D235*H235*SFAssumptions!$C$3</f>
        <v>3315.4522695000001</v>
      </c>
      <c r="J235" s="253">
        <f t="shared" si="56"/>
        <v>584.1</v>
      </c>
      <c r="K235" s="254">
        <f t="shared" si="56"/>
        <v>3.5</v>
      </c>
      <c r="L235" s="691">
        <f t="shared" si="57"/>
        <v>2.0763699999999998</v>
      </c>
      <c r="M235" s="691">
        <f t="shared" si="58"/>
        <v>3.8964979999999998</v>
      </c>
      <c r="N235" s="255">
        <v>2012</v>
      </c>
      <c r="O235" s="256">
        <f>C235*VLOOKUP(N235,SFAssumptions!$A$42:$B$51,2,FALSE)</f>
        <v>527.47435645908763</v>
      </c>
      <c r="P235" s="254">
        <f ca="1">O235+((SFAssumptions!$C$8-D235)*$AO$35)</f>
        <v>552.88648626334566</v>
      </c>
      <c r="Q235" s="190" t="str">
        <f>IF(OR(L235="",M235=""),"No",IF(AND(E235="Front Load",L235&gt;='Eff. Standards &amp; Certifications'!$B$21,M235&lt;='Eff. Standards &amp; Certifications'!$C$21),"Consider",IF(AND(E235="Top Load",L235&gt;='Eff. Standards &amp; Certifications'!$B$20,M235&lt;='Eff. Standards &amp; Certifications'!$C$20),"Consider","No")))</f>
        <v>Consider</v>
      </c>
      <c r="R235" s="203"/>
      <c r="S235" s="203"/>
      <c r="T235" s="293" t="str">
        <f t="shared" si="63"/>
        <v>NO</v>
      </c>
      <c r="U235" s="293" t="str">
        <f t="shared" si="63"/>
        <v>YES</v>
      </c>
      <c r="V235" s="293" t="str">
        <f t="shared" si="64"/>
        <v>YES</v>
      </c>
      <c r="W235" s="211" t="str">
        <f t="shared" si="59"/>
        <v>NO</v>
      </c>
      <c r="X235" s="211" t="str">
        <f t="shared" si="59"/>
        <v>YES</v>
      </c>
      <c r="Y235" s="211" t="str">
        <f t="shared" si="65"/>
        <v>YES</v>
      </c>
      <c r="Z235" s="211" t="str">
        <f t="shared" si="66"/>
        <v>NO</v>
      </c>
      <c r="AA235" s="211" t="str">
        <f t="shared" si="66"/>
        <v>NO</v>
      </c>
      <c r="AB235" s="293" t="str">
        <f t="shared" si="67"/>
        <v>NO</v>
      </c>
      <c r="AC235" s="211" t="str">
        <f t="shared" si="68"/>
        <v>NO</v>
      </c>
      <c r="AD235" s="211" t="str">
        <f t="shared" si="69"/>
        <v>NO</v>
      </c>
      <c r="AE235" s="211" t="str">
        <f t="shared" si="70"/>
        <v>NO</v>
      </c>
      <c r="AF235" s="206"/>
      <c r="AG235" s="206"/>
      <c r="AH235" s="203">
        <f t="shared" si="60"/>
        <v>2.0763699999999998</v>
      </c>
      <c r="AI235" s="203">
        <f t="shared" si="61"/>
        <v>584.1</v>
      </c>
      <c r="AJ235" s="203">
        <f t="shared" si="62"/>
        <v>753.34397083577016</v>
      </c>
      <c r="AK235" s="203"/>
      <c r="AL235" s="203"/>
      <c r="AM235" s="203"/>
      <c r="AN235" s="207"/>
    </row>
    <row r="236" spans="1:40" s="204" customFormat="1" ht="15">
      <c r="A236" s="287" t="s">
        <v>920</v>
      </c>
      <c r="B236" s="280" t="s">
        <v>923</v>
      </c>
      <c r="C236" s="249">
        <v>809.1</v>
      </c>
      <c r="D236" s="280">
        <v>3.5</v>
      </c>
      <c r="E236" s="250" t="str">
        <f>VLOOKUP(B236,'Northwest Retail Cost Data'!$C$5:$F$275,4,FALSE)</f>
        <v>Front Load</v>
      </c>
      <c r="F236" s="251" t="s">
        <v>846</v>
      </c>
      <c r="G236" s="288">
        <v>2.46</v>
      </c>
      <c r="H236" s="288">
        <v>3.69</v>
      </c>
      <c r="I236" s="252">
        <f>D236*H236*SFAssumptions!$C$3</f>
        <v>3315.4522695000001</v>
      </c>
      <c r="J236" s="253">
        <f t="shared" si="56"/>
        <v>809.1</v>
      </c>
      <c r="K236" s="254">
        <f t="shared" si="56"/>
        <v>3.5</v>
      </c>
      <c r="L236" s="691">
        <f t="shared" si="57"/>
        <v>2.0763699999999998</v>
      </c>
      <c r="M236" s="691">
        <f t="shared" si="58"/>
        <v>3.8964979999999998</v>
      </c>
      <c r="N236" s="255">
        <v>2012</v>
      </c>
      <c r="O236" s="256">
        <f>C236*VLOOKUP(N236,SFAssumptions!$A$42:$B$51,2,FALSE)</f>
        <v>730.66170486397505</v>
      </c>
      <c r="P236" s="254">
        <f ca="1">O236+((SFAssumptions!$C$8-D236)*$AO$35)</f>
        <v>756.07383466823308</v>
      </c>
      <c r="Q236" s="190" t="str">
        <f>IF(OR(L236="",M236=""),"No",IF(AND(E236="Front Load",L236&gt;='Eff. Standards &amp; Certifications'!$B$21,M236&lt;='Eff. Standards &amp; Certifications'!$C$21),"Consider",IF(AND(E236="Top Load",L236&gt;='Eff. Standards &amp; Certifications'!$B$20,M236&lt;='Eff. Standards &amp; Certifications'!$C$20),"Consider","No")))</f>
        <v>Consider</v>
      </c>
      <c r="R236" s="203"/>
      <c r="S236" s="203"/>
      <c r="T236" s="293" t="str">
        <f t="shared" si="63"/>
        <v>NO</v>
      </c>
      <c r="U236" s="293" t="str">
        <f t="shared" si="63"/>
        <v>YES</v>
      </c>
      <c r="V236" s="293" t="str">
        <f t="shared" si="64"/>
        <v>YES</v>
      </c>
      <c r="W236" s="211" t="str">
        <f t="shared" si="59"/>
        <v>NO</v>
      </c>
      <c r="X236" s="211" t="str">
        <f t="shared" si="59"/>
        <v>YES</v>
      </c>
      <c r="Y236" s="211" t="str">
        <f t="shared" si="65"/>
        <v>YES</v>
      </c>
      <c r="Z236" s="211" t="str">
        <f t="shared" si="66"/>
        <v>NO</v>
      </c>
      <c r="AA236" s="211" t="str">
        <f t="shared" si="66"/>
        <v>NO</v>
      </c>
      <c r="AB236" s="293" t="str">
        <f t="shared" si="67"/>
        <v>NO</v>
      </c>
      <c r="AC236" s="211" t="str">
        <f t="shared" si="68"/>
        <v>NO</v>
      </c>
      <c r="AD236" s="211" t="str">
        <f t="shared" si="69"/>
        <v>NO</v>
      </c>
      <c r="AE236" s="211" t="str">
        <f t="shared" si="70"/>
        <v>NO</v>
      </c>
      <c r="AF236" s="206"/>
      <c r="AG236" s="206"/>
      <c r="AH236" s="203">
        <f t="shared" si="60"/>
        <v>2.0763699999999998</v>
      </c>
      <c r="AI236" s="203">
        <f t="shared" si="61"/>
        <v>809.1</v>
      </c>
      <c r="AJ236" s="203">
        <f t="shared" si="62"/>
        <v>753.34397083577016</v>
      </c>
      <c r="AK236" s="203"/>
      <c r="AL236" s="203"/>
      <c r="AM236" s="203"/>
      <c r="AN236" s="207"/>
    </row>
    <row r="237" spans="1:40" s="204" customFormat="1" ht="15">
      <c r="A237" s="287" t="s">
        <v>920</v>
      </c>
      <c r="B237" s="280" t="s">
        <v>959</v>
      </c>
      <c r="C237" s="249">
        <v>1169.0999999999999</v>
      </c>
      <c r="D237" s="280">
        <v>4.3</v>
      </c>
      <c r="E237" s="250" t="str">
        <f>VLOOKUP(B237,'Northwest Retail Cost Data'!$C$5:$F$275,4,FALSE)</f>
        <v>Front load</v>
      </c>
      <c r="F237" s="251" t="s">
        <v>846</v>
      </c>
      <c r="G237" s="288">
        <v>3</v>
      </c>
      <c r="H237" s="288">
        <v>2.48</v>
      </c>
      <c r="I237" s="252">
        <f>D237*H237*SFAssumptions!$C$3</f>
        <v>2737.5906312000002</v>
      </c>
      <c r="J237" s="253">
        <f t="shared" si="56"/>
        <v>1169.0999999999999</v>
      </c>
      <c r="K237" s="254">
        <f t="shared" si="56"/>
        <v>4.3</v>
      </c>
      <c r="L237" s="691">
        <f t="shared" si="57"/>
        <v>2.5701999999999998</v>
      </c>
      <c r="M237" s="691">
        <f t="shared" si="58"/>
        <v>2.657216</v>
      </c>
      <c r="N237" s="255">
        <v>2012</v>
      </c>
      <c r="O237" s="256">
        <f>C237*VLOOKUP(N237,SFAssumptions!$A$42:$B$51,2,FALSE)</f>
        <v>1055.7614623117947</v>
      </c>
      <c r="P237" s="254">
        <f ca="1">O237+((SFAssumptions!$C$8-D237)*$AO$35)</f>
        <v>1007.7830933928198</v>
      </c>
      <c r="Q237" s="190" t="str">
        <f>IF(OR(L237="",M237=""),"No",IF(AND(E237="Front Load",L237&gt;='Eff. Standards &amp; Certifications'!$B$21,M237&lt;='Eff. Standards &amp; Certifications'!$C$21),"Consider",IF(AND(E237="Top Load",L237&gt;='Eff. Standards &amp; Certifications'!$B$20,M237&lt;='Eff. Standards &amp; Certifications'!$C$20),"Consider","No")))</f>
        <v>Consider</v>
      </c>
      <c r="R237" s="203"/>
      <c r="S237" s="203"/>
      <c r="T237" s="293" t="str">
        <f t="shared" si="63"/>
        <v>NO</v>
      </c>
      <c r="U237" s="293" t="str">
        <f t="shared" si="63"/>
        <v>YES</v>
      </c>
      <c r="V237" s="293" t="str">
        <f t="shared" si="64"/>
        <v>YES</v>
      </c>
      <c r="W237" s="211" t="str">
        <f t="shared" si="59"/>
        <v>NO</v>
      </c>
      <c r="X237" s="211" t="str">
        <f t="shared" si="59"/>
        <v>NO</v>
      </c>
      <c r="Y237" s="211" t="str">
        <f t="shared" si="65"/>
        <v>NO</v>
      </c>
      <c r="Z237" s="211" t="str">
        <f t="shared" si="66"/>
        <v>NO</v>
      </c>
      <c r="AA237" s="211" t="str">
        <f t="shared" si="66"/>
        <v>YES</v>
      </c>
      <c r="AB237" s="293" t="str">
        <f t="shared" si="67"/>
        <v>YES</v>
      </c>
      <c r="AC237" s="211" t="str">
        <f t="shared" si="68"/>
        <v>YES</v>
      </c>
      <c r="AD237" s="211" t="str">
        <f t="shared" si="69"/>
        <v>NO</v>
      </c>
      <c r="AE237" s="211" t="str">
        <f t="shared" si="70"/>
        <v>NO</v>
      </c>
      <c r="AF237" s="206"/>
      <c r="AG237" s="206"/>
      <c r="AH237" s="203">
        <f t="shared" si="60"/>
        <v>2.5701999999999998</v>
      </c>
      <c r="AI237" s="203">
        <f t="shared" si="61"/>
        <v>1169.0999999999999</v>
      </c>
      <c r="AJ237" s="203">
        <f t="shared" si="62"/>
        <v>954.67217511445699</v>
      </c>
      <c r="AK237" s="203"/>
      <c r="AL237" s="203"/>
      <c r="AM237" s="203"/>
      <c r="AN237" s="207"/>
    </row>
    <row r="238" spans="1:40" s="204" customFormat="1" ht="15">
      <c r="A238" s="287" t="s">
        <v>920</v>
      </c>
      <c r="B238" s="280" t="s">
        <v>928</v>
      </c>
      <c r="C238" s="249">
        <v>999</v>
      </c>
      <c r="D238" s="280">
        <v>3.8</v>
      </c>
      <c r="E238" s="250" t="str">
        <f>VLOOKUP(B238,'Northwest Retail Cost Data'!$C$5:$F$275,4,FALSE)</f>
        <v>Front Load</v>
      </c>
      <c r="F238" s="251" t="s">
        <v>846</v>
      </c>
      <c r="G238" s="288">
        <v>2.4300000000000002</v>
      </c>
      <c r="H238" s="288">
        <v>3.43</v>
      </c>
      <c r="I238" s="252">
        <f>D238*H238*SFAssumptions!$C$3</f>
        <v>3346.0011522000004</v>
      </c>
      <c r="J238" s="253">
        <f t="shared" si="56"/>
        <v>999</v>
      </c>
      <c r="K238" s="254">
        <f t="shared" si="56"/>
        <v>3.8</v>
      </c>
      <c r="L238" s="691">
        <f t="shared" si="57"/>
        <v>2.0489350000000002</v>
      </c>
      <c r="M238" s="691">
        <f t="shared" si="58"/>
        <v>3.6302060000000003</v>
      </c>
      <c r="N238" s="255">
        <v>2012</v>
      </c>
      <c r="O238" s="256">
        <f>C238*VLOOKUP(N238,SFAssumptions!$A$42:$B$51,2,FALSE)</f>
        <v>902.15182691769996</v>
      </c>
      <c r="P238" s="254">
        <f ca="1">O238+((SFAssumptions!$C$8-D238)*$AO$35)</f>
        <v>900.04251970074563</v>
      </c>
      <c r="Q238" s="190" t="str">
        <f>IF(OR(L238="",M238=""),"No",IF(AND(E238="Front Load",L238&gt;='Eff. Standards &amp; Certifications'!$B$21,M238&lt;='Eff. Standards &amp; Certifications'!$C$21),"Consider",IF(AND(E238="Top Load",L238&gt;='Eff. Standards &amp; Certifications'!$B$20,M238&lt;='Eff. Standards &amp; Certifications'!$C$20),"Consider","No")))</f>
        <v>Consider</v>
      </c>
      <c r="R238" s="203"/>
      <c r="S238" s="203"/>
      <c r="T238" s="293" t="str">
        <f t="shared" si="63"/>
        <v>NO</v>
      </c>
      <c r="U238" s="293" t="str">
        <f t="shared" si="63"/>
        <v>YES</v>
      </c>
      <c r="V238" s="293" t="str">
        <f t="shared" si="64"/>
        <v>YES</v>
      </c>
      <c r="W238" s="211" t="str">
        <f t="shared" si="59"/>
        <v>NO</v>
      </c>
      <c r="X238" s="211" t="str">
        <f t="shared" si="59"/>
        <v>YES</v>
      </c>
      <c r="Y238" s="211" t="str">
        <f t="shared" si="65"/>
        <v>YES</v>
      </c>
      <c r="Z238" s="211" t="str">
        <f t="shared" si="66"/>
        <v>NO</v>
      </c>
      <c r="AA238" s="211" t="str">
        <f t="shared" si="66"/>
        <v>NO</v>
      </c>
      <c r="AB238" s="293" t="str">
        <f t="shared" si="67"/>
        <v>NO</v>
      </c>
      <c r="AC238" s="211" t="str">
        <f t="shared" si="68"/>
        <v>NO</v>
      </c>
      <c r="AD238" s="211" t="str">
        <f t="shared" si="69"/>
        <v>NO</v>
      </c>
      <c r="AE238" s="211" t="str">
        <f t="shared" si="70"/>
        <v>NO</v>
      </c>
      <c r="AF238" s="206"/>
      <c r="AG238" s="206"/>
      <c r="AH238" s="203">
        <f t="shared" si="60"/>
        <v>2.0489350000000002</v>
      </c>
      <c r="AI238" s="203">
        <f t="shared" si="61"/>
        <v>999</v>
      </c>
      <c r="AJ238" s="203">
        <f t="shared" si="62"/>
        <v>776.08036786398634</v>
      </c>
      <c r="AK238" s="203"/>
      <c r="AL238" s="203"/>
      <c r="AM238" s="203"/>
      <c r="AN238" s="207"/>
    </row>
    <row r="239" spans="1:40" s="204" customFormat="1" ht="15">
      <c r="A239" s="287" t="s">
        <v>920</v>
      </c>
      <c r="B239" s="280" t="s">
        <v>998</v>
      </c>
      <c r="C239" s="249">
        <v>809.1</v>
      </c>
      <c r="D239" s="280">
        <v>3.9</v>
      </c>
      <c r="E239" s="250" t="str">
        <f>VLOOKUP(B239,'Northwest Retail Cost Data'!$C$5:$F$275,4,FALSE)</f>
        <v>Front Load</v>
      </c>
      <c r="F239" s="251" t="s">
        <v>846</v>
      </c>
      <c r="G239" s="289">
        <v>2.65</v>
      </c>
      <c r="H239" s="289">
        <v>2.8</v>
      </c>
      <c r="I239" s="252">
        <f>D239*H239*SFAssumptions!$C$3</f>
        <v>2803.3092360000001</v>
      </c>
      <c r="J239" s="253">
        <f t="shared" si="56"/>
        <v>809.1</v>
      </c>
      <c r="K239" s="254">
        <f t="shared" si="56"/>
        <v>3.9</v>
      </c>
      <c r="L239" s="691">
        <f t="shared" si="57"/>
        <v>2.2501249999999997</v>
      </c>
      <c r="M239" s="691">
        <f t="shared" si="58"/>
        <v>2.9849599999999996</v>
      </c>
      <c r="N239" s="255">
        <v>2012</v>
      </c>
      <c r="O239" s="256">
        <f>C239*VLOOKUP(N239,SFAssumptions!$A$42:$B$51,2,FALSE)</f>
        <v>730.66170486397505</v>
      </c>
      <c r="P239" s="254">
        <f ca="1">O239+((SFAssumptions!$C$8-D239)*$AO$35)</f>
        <v>719.37858530661651</v>
      </c>
      <c r="Q239" s="190" t="str">
        <f>IF(OR(L239="",M239=""),"No",IF(AND(E239="Front Load",L239&gt;='Eff. Standards &amp; Certifications'!$B$21,M239&lt;='Eff. Standards &amp; Certifications'!$C$21),"Consider",IF(AND(E239="Top Load",L239&gt;='Eff. Standards &amp; Certifications'!$B$20,M239&lt;='Eff. Standards &amp; Certifications'!$C$20),"Consider","No")))</f>
        <v>Consider</v>
      </c>
      <c r="R239" s="203"/>
      <c r="S239" s="203"/>
      <c r="T239" s="293" t="str">
        <f t="shared" si="63"/>
        <v>NO</v>
      </c>
      <c r="U239" s="293" t="str">
        <f t="shared" si="63"/>
        <v>YES</v>
      </c>
      <c r="V239" s="293" t="str">
        <f t="shared" si="64"/>
        <v>YES</v>
      </c>
      <c r="W239" s="211" t="str">
        <f t="shared" si="59"/>
        <v>NO</v>
      </c>
      <c r="X239" s="211" t="str">
        <f t="shared" si="59"/>
        <v>YES</v>
      </c>
      <c r="Y239" s="211" t="str">
        <f t="shared" si="65"/>
        <v>YES</v>
      </c>
      <c r="Z239" s="211" t="str">
        <f t="shared" si="66"/>
        <v>NO</v>
      </c>
      <c r="AA239" s="211" t="str">
        <f t="shared" si="66"/>
        <v>NO</v>
      </c>
      <c r="AB239" s="293" t="str">
        <f t="shared" si="67"/>
        <v>NO</v>
      </c>
      <c r="AC239" s="211" t="str">
        <f t="shared" si="68"/>
        <v>NO</v>
      </c>
      <c r="AD239" s="211" t="str">
        <f t="shared" si="69"/>
        <v>NO</v>
      </c>
      <c r="AE239" s="211" t="str">
        <f t="shared" si="70"/>
        <v>NO</v>
      </c>
      <c r="AF239" s="206"/>
      <c r="AG239" s="206"/>
      <c r="AH239" s="203">
        <f t="shared" si="60"/>
        <v>2.2501249999999997</v>
      </c>
      <c r="AI239" s="203">
        <f t="shared" si="61"/>
        <v>809.1</v>
      </c>
      <c r="AJ239" s="203">
        <f t="shared" si="62"/>
        <v>838.34963257161326</v>
      </c>
      <c r="AK239" s="203"/>
      <c r="AL239" s="203"/>
      <c r="AM239" s="203"/>
      <c r="AN239" s="207"/>
    </row>
    <row r="240" spans="1:40" s="204" customFormat="1" ht="15">
      <c r="A240" s="287" t="s">
        <v>920</v>
      </c>
      <c r="B240" s="287" t="s">
        <v>924</v>
      </c>
      <c r="C240" s="249">
        <v>1349.1</v>
      </c>
      <c r="D240" s="280">
        <v>4.3</v>
      </c>
      <c r="E240" s="250" t="str">
        <f>VLOOKUP(B240,'Northwest Retail Cost Data'!$C$5:$F$275,4,FALSE)</f>
        <v>Front Load</v>
      </c>
      <c r="F240" s="251" t="s">
        <v>846</v>
      </c>
      <c r="G240" s="288">
        <v>3</v>
      </c>
      <c r="H240" s="288">
        <v>2.83</v>
      </c>
      <c r="I240" s="252">
        <f>D240*H240*SFAssumptions!$C$3</f>
        <v>3123.9441477</v>
      </c>
      <c r="J240" s="253">
        <f t="shared" si="56"/>
        <v>1349.1</v>
      </c>
      <c r="K240" s="254">
        <f t="shared" si="56"/>
        <v>4.3</v>
      </c>
      <c r="L240" s="691">
        <f t="shared" si="57"/>
        <v>2.5701999999999998</v>
      </c>
      <c r="M240" s="691">
        <f t="shared" si="58"/>
        <v>3.0156860000000001</v>
      </c>
      <c r="N240" s="255">
        <v>2012</v>
      </c>
      <c r="O240" s="256">
        <f>C240*VLOOKUP(N240,SFAssumptions!$A$42:$B$51,2,FALSE)</f>
        <v>1218.3113410357046</v>
      </c>
      <c r="P240" s="254">
        <f ca="1">O240+((SFAssumptions!$C$8-D240)*$AO$35)</f>
        <v>1170.3329721167295</v>
      </c>
      <c r="Q240" s="190" t="str">
        <f>IF(OR(L240="",M240=""),"No",IF(AND(E240="Front Load",L240&gt;='Eff. Standards &amp; Certifications'!$B$21,M240&lt;='Eff. Standards &amp; Certifications'!$C$21),"Consider",IF(AND(E240="Top Load",L240&gt;='Eff. Standards &amp; Certifications'!$B$20,M240&lt;='Eff. Standards &amp; Certifications'!$C$20),"Consider","No")))</f>
        <v>Consider</v>
      </c>
      <c r="R240" s="203"/>
      <c r="S240" s="203"/>
      <c r="T240" s="293" t="str">
        <f t="shared" si="63"/>
        <v>NO</v>
      </c>
      <c r="U240" s="293" t="str">
        <f t="shared" si="63"/>
        <v>YES</v>
      </c>
      <c r="V240" s="293" t="str">
        <f t="shared" si="64"/>
        <v>YES</v>
      </c>
      <c r="W240" s="211" t="str">
        <f t="shared" si="59"/>
        <v>NO</v>
      </c>
      <c r="X240" s="211" t="str">
        <f t="shared" si="59"/>
        <v>NO</v>
      </c>
      <c r="Y240" s="211" t="str">
        <f t="shared" si="65"/>
        <v>NO</v>
      </c>
      <c r="Z240" s="211" t="str">
        <f t="shared" si="66"/>
        <v>NO</v>
      </c>
      <c r="AA240" s="211" t="str">
        <f t="shared" si="66"/>
        <v>YES</v>
      </c>
      <c r="AB240" s="293" t="str">
        <f t="shared" si="67"/>
        <v>YES</v>
      </c>
      <c r="AC240" s="211" t="str">
        <f t="shared" si="68"/>
        <v>YES</v>
      </c>
      <c r="AD240" s="211" t="str">
        <f t="shared" si="69"/>
        <v>NO</v>
      </c>
      <c r="AE240" s="211" t="str">
        <f t="shared" si="70"/>
        <v>NO</v>
      </c>
      <c r="AF240" s="206"/>
      <c r="AG240" s="206"/>
      <c r="AH240" s="203">
        <f t="shared" si="60"/>
        <v>2.5701999999999998</v>
      </c>
      <c r="AI240" s="203">
        <f t="shared" si="61"/>
        <v>1349.1</v>
      </c>
      <c r="AJ240" s="203">
        <f t="shared" si="62"/>
        <v>952.18788903830557</v>
      </c>
      <c r="AK240" s="203"/>
      <c r="AL240" s="203"/>
      <c r="AM240" s="203"/>
      <c r="AN240" s="207"/>
    </row>
    <row r="241" spans="1:40" s="204" customFormat="1" ht="15">
      <c r="A241" s="287" t="s">
        <v>920</v>
      </c>
      <c r="B241" s="280" t="s">
        <v>921</v>
      </c>
      <c r="C241" s="249">
        <v>989.1</v>
      </c>
      <c r="D241" s="280">
        <v>3.8</v>
      </c>
      <c r="E241" s="250" t="str">
        <f>VLOOKUP(B241,'Northwest Retail Cost Data'!$C$5:$F$275,4,FALSE)</f>
        <v>Front Load</v>
      </c>
      <c r="F241" s="251" t="s">
        <v>846</v>
      </c>
      <c r="G241" s="288">
        <v>2.4300000000000002</v>
      </c>
      <c r="H241" s="288">
        <v>3.43</v>
      </c>
      <c r="I241" s="252">
        <f>D241*H241*SFAssumptions!$C$3</f>
        <v>3346.0011522000004</v>
      </c>
      <c r="J241" s="253">
        <f t="shared" si="56"/>
        <v>989.1</v>
      </c>
      <c r="K241" s="254">
        <f t="shared" si="56"/>
        <v>3.8</v>
      </c>
      <c r="L241" s="691">
        <f t="shared" si="57"/>
        <v>2.0489350000000002</v>
      </c>
      <c r="M241" s="691">
        <f t="shared" si="58"/>
        <v>3.6302060000000003</v>
      </c>
      <c r="N241" s="255">
        <v>2012</v>
      </c>
      <c r="O241" s="256">
        <f>C241*VLOOKUP(N241,SFAssumptions!$A$42:$B$51,2,FALSE)</f>
        <v>893.21158358788489</v>
      </c>
      <c r="P241" s="254">
        <f ca="1">O241+((SFAssumptions!$C$8-D241)*$AO$35)</f>
        <v>891.10227637093055</v>
      </c>
      <c r="Q241" s="190" t="str">
        <f>IF(OR(L241="",M241=""),"No",IF(AND(E241="Front Load",L241&gt;='Eff. Standards &amp; Certifications'!$B$21,M241&lt;='Eff. Standards &amp; Certifications'!$C$21),"Consider",IF(AND(E241="Top Load",L241&gt;='Eff. Standards &amp; Certifications'!$B$20,M241&lt;='Eff. Standards &amp; Certifications'!$C$20),"Consider","No")))</f>
        <v>Consider</v>
      </c>
      <c r="R241" s="203"/>
      <c r="S241" s="203"/>
      <c r="T241" s="293" t="str">
        <f t="shared" si="63"/>
        <v>NO</v>
      </c>
      <c r="U241" s="293" t="str">
        <f t="shared" si="63"/>
        <v>YES</v>
      </c>
      <c r="V241" s="293" t="str">
        <f t="shared" si="64"/>
        <v>YES</v>
      </c>
      <c r="W241" s="211" t="str">
        <f t="shared" si="59"/>
        <v>NO</v>
      </c>
      <c r="X241" s="211" t="str">
        <f t="shared" si="59"/>
        <v>YES</v>
      </c>
      <c r="Y241" s="211" t="str">
        <f t="shared" si="65"/>
        <v>YES</v>
      </c>
      <c r="Z241" s="211" t="str">
        <f t="shared" si="66"/>
        <v>NO</v>
      </c>
      <c r="AA241" s="211" t="str">
        <f t="shared" si="66"/>
        <v>NO</v>
      </c>
      <c r="AB241" s="293" t="str">
        <f t="shared" si="67"/>
        <v>NO</v>
      </c>
      <c r="AC241" s="211" t="str">
        <f t="shared" si="68"/>
        <v>NO</v>
      </c>
      <c r="AD241" s="211" t="str">
        <f t="shared" si="69"/>
        <v>NO</v>
      </c>
      <c r="AE241" s="211" t="str">
        <f t="shared" si="70"/>
        <v>NO</v>
      </c>
      <c r="AF241" s="206"/>
      <c r="AG241" s="206"/>
      <c r="AH241" s="203">
        <f t="shared" si="60"/>
        <v>2.0489350000000002</v>
      </c>
      <c r="AI241" s="203">
        <f t="shared" si="61"/>
        <v>989.1</v>
      </c>
      <c r="AJ241" s="203">
        <f t="shared" si="62"/>
        <v>776.08036786398634</v>
      </c>
      <c r="AK241" s="203"/>
      <c r="AL241" s="203"/>
      <c r="AM241" s="203"/>
      <c r="AN241" s="207"/>
    </row>
    <row r="242" spans="1:40" s="204" customFormat="1" ht="15">
      <c r="A242" s="287" t="s">
        <v>920</v>
      </c>
      <c r="B242" s="290" t="s">
        <v>999</v>
      </c>
      <c r="C242" s="249">
        <v>1169.0999999999999</v>
      </c>
      <c r="D242" s="280">
        <v>4.3</v>
      </c>
      <c r="E242" s="250" t="str">
        <f>VLOOKUP(B242,'Northwest Retail Cost Data'!$C$5:$F$275,4,FALSE)</f>
        <v>Front Load</v>
      </c>
      <c r="F242" s="251" t="s">
        <v>846</v>
      </c>
      <c r="G242" s="288">
        <v>3</v>
      </c>
      <c r="H242" s="288">
        <v>2.5</v>
      </c>
      <c r="I242" s="252">
        <f>D242*H242*SFAssumptions!$C$3</f>
        <v>2759.6679749999998</v>
      </c>
      <c r="J242" s="253">
        <f t="shared" si="56"/>
        <v>1169.0999999999999</v>
      </c>
      <c r="K242" s="254">
        <f t="shared" si="56"/>
        <v>4.3</v>
      </c>
      <c r="L242" s="691">
        <f t="shared" si="57"/>
        <v>2.5701999999999998</v>
      </c>
      <c r="M242" s="691">
        <f t="shared" si="58"/>
        <v>2.6777000000000002</v>
      </c>
      <c r="N242" s="255">
        <v>2012</v>
      </c>
      <c r="O242" s="256">
        <f>C242*VLOOKUP(N242,SFAssumptions!$A$42:$B$51,2,FALSE)</f>
        <v>1055.7614623117947</v>
      </c>
      <c r="P242" s="254">
        <f ca="1">O242+((SFAssumptions!$C$8-D242)*$AO$35)</f>
        <v>1007.7830933928198</v>
      </c>
      <c r="Q242" s="190" t="str">
        <f>IF(OR(L242="",M242=""),"No",IF(AND(E242="Front Load",L242&gt;='Eff. Standards &amp; Certifications'!$B$21,M242&lt;='Eff. Standards &amp; Certifications'!$C$21),"Consider",IF(AND(E242="Top Load",L242&gt;='Eff. Standards &amp; Certifications'!$B$20,M242&lt;='Eff. Standards &amp; Certifications'!$C$20),"Consider","No")))</f>
        <v>Consider</v>
      </c>
      <c r="R242" s="203"/>
      <c r="S242" s="203"/>
      <c r="T242" s="293" t="str">
        <f t="shared" si="63"/>
        <v>NO</v>
      </c>
      <c r="U242" s="293" t="str">
        <f t="shared" si="63"/>
        <v>YES</v>
      </c>
      <c r="V242" s="293" t="str">
        <f t="shared" si="64"/>
        <v>YES</v>
      </c>
      <c r="W242" s="211" t="str">
        <f t="shared" si="59"/>
        <v>NO</v>
      </c>
      <c r="X242" s="211" t="str">
        <f t="shared" si="59"/>
        <v>NO</v>
      </c>
      <c r="Y242" s="211" t="str">
        <f t="shared" si="65"/>
        <v>NO</v>
      </c>
      <c r="Z242" s="211" t="str">
        <f t="shared" si="66"/>
        <v>NO</v>
      </c>
      <c r="AA242" s="211" t="str">
        <f t="shared" si="66"/>
        <v>YES</v>
      </c>
      <c r="AB242" s="293" t="str">
        <f t="shared" si="67"/>
        <v>YES</v>
      </c>
      <c r="AC242" s="211" t="str">
        <f t="shared" si="68"/>
        <v>YES</v>
      </c>
      <c r="AD242" s="211" t="str">
        <f t="shared" si="69"/>
        <v>NO</v>
      </c>
      <c r="AE242" s="211" t="str">
        <f t="shared" si="70"/>
        <v>NO</v>
      </c>
      <c r="AF242" s="206"/>
      <c r="AG242" s="206"/>
      <c r="AH242" s="203">
        <f t="shared" si="60"/>
        <v>2.5701999999999998</v>
      </c>
      <c r="AI242" s="203">
        <f t="shared" si="61"/>
        <v>1169.0999999999999</v>
      </c>
      <c r="AJ242" s="203">
        <f t="shared" si="62"/>
        <v>954.53021591010543</v>
      </c>
      <c r="AK242" s="203"/>
      <c r="AL242" s="203"/>
      <c r="AM242" s="203"/>
      <c r="AN242" s="207"/>
    </row>
    <row r="243" spans="1:40" s="204" customFormat="1" ht="15">
      <c r="A243" s="287" t="s">
        <v>920</v>
      </c>
      <c r="B243" s="280" t="s">
        <v>925</v>
      </c>
      <c r="C243" s="249">
        <v>1259.0999999999999</v>
      </c>
      <c r="D243" s="280">
        <v>4.3</v>
      </c>
      <c r="E243" s="250" t="str">
        <f>VLOOKUP(B243,'Northwest Retail Cost Data'!$C$5:$F$275,4,FALSE)</f>
        <v>Front Load</v>
      </c>
      <c r="F243" s="251" t="s">
        <v>846</v>
      </c>
      <c r="G243" s="288">
        <v>3</v>
      </c>
      <c r="H243" s="288">
        <v>2.78</v>
      </c>
      <c r="I243" s="252">
        <f>D243*H243*SFAssumptions!$C$3</f>
        <v>3068.7507881999995</v>
      </c>
      <c r="J243" s="253">
        <f t="shared" si="56"/>
        <v>1259.0999999999999</v>
      </c>
      <c r="K243" s="254">
        <f t="shared" si="56"/>
        <v>4.3</v>
      </c>
      <c r="L243" s="691">
        <f t="shared" si="57"/>
        <v>2.5701999999999998</v>
      </c>
      <c r="M243" s="691">
        <f t="shared" si="58"/>
        <v>2.9644759999999999</v>
      </c>
      <c r="N243" s="255">
        <v>2012</v>
      </c>
      <c r="O243" s="256">
        <f>C243*VLOOKUP(N243,SFAssumptions!$A$42:$B$51,2,FALSE)</f>
        <v>1137.0364016737497</v>
      </c>
      <c r="P243" s="254">
        <f ca="1">O243+((SFAssumptions!$C$8-D243)*$AO$35)</f>
        <v>1089.0580327547746</v>
      </c>
      <c r="Q243" s="190" t="str">
        <f>IF(OR(L243="",M243=""),"No",IF(AND(E243="Front Load",L243&gt;='Eff. Standards &amp; Certifications'!$B$21,M243&lt;='Eff. Standards &amp; Certifications'!$C$21),"Consider",IF(AND(E243="Top Load",L243&gt;='Eff. Standards &amp; Certifications'!$B$20,M243&lt;='Eff. Standards &amp; Certifications'!$C$20),"Consider","No")))</f>
        <v>Consider</v>
      </c>
      <c r="R243" s="203"/>
      <c r="S243" s="203"/>
      <c r="T243" s="293" t="str">
        <f t="shared" si="63"/>
        <v>NO</v>
      </c>
      <c r="U243" s="293" t="str">
        <f t="shared" si="63"/>
        <v>YES</v>
      </c>
      <c r="V243" s="293" t="str">
        <f t="shared" si="64"/>
        <v>YES</v>
      </c>
      <c r="W243" s="211" t="str">
        <f t="shared" si="59"/>
        <v>NO</v>
      </c>
      <c r="X243" s="211" t="str">
        <f t="shared" si="59"/>
        <v>NO</v>
      </c>
      <c r="Y243" s="211" t="str">
        <f t="shared" si="65"/>
        <v>NO</v>
      </c>
      <c r="Z243" s="211" t="str">
        <f t="shared" si="66"/>
        <v>NO</v>
      </c>
      <c r="AA243" s="211" t="str">
        <f t="shared" si="66"/>
        <v>YES</v>
      </c>
      <c r="AB243" s="293" t="str">
        <f t="shared" si="67"/>
        <v>YES</v>
      </c>
      <c r="AC243" s="211" t="str">
        <f t="shared" si="68"/>
        <v>YES</v>
      </c>
      <c r="AD243" s="211" t="str">
        <f t="shared" si="69"/>
        <v>NO</v>
      </c>
      <c r="AE243" s="211" t="str">
        <f t="shared" si="70"/>
        <v>NO</v>
      </c>
      <c r="AF243" s="206"/>
      <c r="AG243" s="206"/>
      <c r="AH243" s="203">
        <f t="shared" si="60"/>
        <v>2.5701999999999998</v>
      </c>
      <c r="AI243" s="203">
        <f t="shared" si="61"/>
        <v>1259.0999999999999</v>
      </c>
      <c r="AJ243" s="203">
        <f t="shared" si="62"/>
        <v>952.54278704918431</v>
      </c>
      <c r="AK243" s="203"/>
      <c r="AL243" s="203"/>
      <c r="AM243" s="203"/>
      <c r="AN243" s="207"/>
    </row>
    <row r="244" spans="1:40" s="204" customFormat="1" ht="15">
      <c r="A244" s="287" t="s">
        <v>471</v>
      </c>
      <c r="B244" s="287" t="s">
        <v>1000</v>
      </c>
      <c r="C244" s="249">
        <v>649</v>
      </c>
      <c r="D244" s="280">
        <v>3</v>
      </c>
      <c r="E244" s="250" t="str">
        <f>VLOOKUP(B244,'Northwest Retail Cost Data'!$C$5:$F$275,4,FALSE)</f>
        <v>Top Load</v>
      </c>
      <c r="F244" s="251" t="s">
        <v>846</v>
      </c>
      <c r="G244" s="288">
        <v>2.0699999999999998</v>
      </c>
      <c r="H244" s="288">
        <v>6</v>
      </c>
      <c r="I244" s="252">
        <f>D244*H244*SFAssumptions!$C$3</f>
        <v>4620.8393999999998</v>
      </c>
      <c r="J244" s="253">
        <f t="shared" si="56"/>
        <v>649</v>
      </c>
      <c r="K244" s="254">
        <f t="shared" si="56"/>
        <v>3</v>
      </c>
      <c r="L244" s="691">
        <f t="shared" si="57"/>
        <v>1.6329999999999996</v>
      </c>
      <c r="M244" s="691">
        <f t="shared" si="58"/>
        <v>6.4615</v>
      </c>
      <c r="N244" s="255">
        <v>2012</v>
      </c>
      <c r="O244" s="256">
        <f>C244*VLOOKUP(N244,SFAssumptions!$A$42:$B$51,2,FALSE)</f>
        <v>586.08261828787511</v>
      </c>
      <c r="P244" s="254">
        <f ca="1">O244+((SFAssumptions!$C$8-D244)*$AO$35)</f>
        <v>657.36380979415378</v>
      </c>
      <c r="Q244" s="190" t="str">
        <f>IF(OR(L244="",M244=""),"No",IF(AND(E244="Front Load",L244&gt;='Eff. Standards &amp; Certifications'!$B$21,M244&lt;='Eff. Standards &amp; Certifications'!$C$21),"Consider",IF(AND(E244="Top Load",L244&gt;='Eff. Standards &amp; Certifications'!$B$20,M244&lt;='Eff. Standards &amp; Certifications'!$C$20),"Consider","No")))</f>
        <v>Consider</v>
      </c>
      <c r="R244" s="203"/>
      <c r="S244" s="203"/>
      <c r="T244" s="293" t="str">
        <f t="shared" si="63"/>
        <v>YES</v>
      </c>
      <c r="U244" s="293" t="str">
        <f t="shared" si="63"/>
        <v>NO</v>
      </c>
      <c r="V244" s="293" t="str">
        <f t="shared" si="64"/>
        <v>YES</v>
      </c>
      <c r="W244" s="211" t="str">
        <f t="shared" si="59"/>
        <v>YES</v>
      </c>
      <c r="X244" s="211" t="str">
        <f t="shared" si="59"/>
        <v>NO</v>
      </c>
      <c r="Y244" s="211" t="str">
        <f t="shared" si="65"/>
        <v>YES</v>
      </c>
      <c r="Z244" s="211" t="str">
        <f t="shared" si="66"/>
        <v>NO</v>
      </c>
      <c r="AA244" s="211" t="str">
        <f t="shared" si="66"/>
        <v>NO</v>
      </c>
      <c r="AB244" s="293" t="str">
        <f t="shared" si="67"/>
        <v>NO</v>
      </c>
      <c r="AC244" s="211" t="str">
        <f t="shared" si="68"/>
        <v>NO</v>
      </c>
      <c r="AD244" s="211" t="str">
        <f t="shared" si="69"/>
        <v>NO</v>
      </c>
      <c r="AE244" s="211" t="str">
        <f t="shared" si="70"/>
        <v>NO</v>
      </c>
      <c r="AF244" s="206"/>
      <c r="AG244" s="206"/>
      <c r="AH244" s="203">
        <f t="shared" si="60"/>
        <v>1.6329999999999996</v>
      </c>
      <c r="AI244" s="203">
        <f t="shared" si="61"/>
        <v>649</v>
      </c>
      <c r="AJ244" s="203">
        <f t="shared" si="62"/>
        <v>582.54484238936345</v>
      </c>
      <c r="AK244" s="203"/>
      <c r="AL244" s="203"/>
      <c r="AM244" s="203"/>
      <c r="AN244" s="207"/>
    </row>
    <row r="245" spans="1:40" s="204" customFormat="1" ht="15">
      <c r="A245" s="287" t="s">
        <v>471</v>
      </c>
      <c r="B245" s="287" t="s">
        <v>1001</v>
      </c>
      <c r="C245" s="249">
        <v>949</v>
      </c>
      <c r="D245" s="280">
        <v>3.1</v>
      </c>
      <c r="E245" s="250" t="str">
        <f>VLOOKUP(B245,'Northwest Retail Cost Data'!$C$5:$F$275,4,FALSE)</f>
        <v>Top Load</v>
      </c>
      <c r="F245" s="251" t="s">
        <v>846</v>
      </c>
      <c r="G245" s="288">
        <v>2.25</v>
      </c>
      <c r="H245" s="288">
        <v>4.3</v>
      </c>
      <c r="I245" s="252">
        <f>D245*H245*SFAssumptions!$C$3</f>
        <v>3421.9882889999999</v>
      </c>
      <c r="J245" s="253">
        <f t="shared" si="56"/>
        <v>949</v>
      </c>
      <c r="K245" s="254">
        <f t="shared" si="56"/>
        <v>3.1</v>
      </c>
      <c r="L245" s="691">
        <f t="shared" si="57"/>
        <v>1.8111999999999999</v>
      </c>
      <c r="M245" s="691">
        <f t="shared" si="58"/>
        <v>4.7803700000000005</v>
      </c>
      <c r="N245" s="255">
        <v>2012</v>
      </c>
      <c r="O245" s="256">
        <f>C245*VLOOKUP(N245,SFAssumptions!$A$42:$B$51,2,FALSE)</f>
        <v>856.99908282772492</v>
      </c>
      <c r="P245" s="254">
        <f ca="1">O245+((SFAssumptions!$C$8-D245)*$AO$35)</f>
        <v>919.10646199359951</v>
      </c>
      <c r="Q245" s="190" t="str">
        <f>IF(OR(L245="",M245=""),"No",IF(AND(E245="Front Load",L245&gt;='Eff. Standards &amp; Certifications'!$B$21,M245&lt;='Eff. Standards &amp; Certifications'!$C$21),"Consider",IF(AND(E245="Top Load",L245&gt;='Eff. Standards &amp; Certifications'!$B$20,M245&lt;='Eff. Standards &amp; Certifications'!$C$20),"Consider","No")))</f>
        <v>Consider</v>
      </c>
      <c r="R245" s="203"/>
      <c r="S245" s="203"/>
      <c r="T245" s="293" t="str">
        <f t="shared" si="63"/>
        <v>YES</v>
      </c>
      <c r="U245" s="293" t="str">
        <f t="shared" si="63"/>
        <v>NO</v>
      </c>
      <c r="V245" s="293" t="str">
        <f t="shared" si="64"/>
        <v>YES</v>
      </c>
      <c r="W245" s="211" t="str">
        <f t="shared" si="59"/>
        <v>YES</v>
      </c>
      <c r="X245" s="211" t="str">
        <f t="shared" si="59"/>
        <v>NO</v>
      </c>
      <c r="Y245" s="211" t="str">
        <f t="shared" si="65"/>
        <v>YES</v>
      </c>
      <c r="Z245" s="211" t="str">
        <f t="shared" si="66"/>
        <v>NO</v>
      </c>
      <c r="AA245" s="211" t="str">
        <f t="shared" si="66"/>
        <v>NO</v>
      </c>
      <c r="AB245" s="293" t="str">
        <f t="shared" si="67"/>
        <v>NO</v>
      </c>
      <c r="AC245" s="211" t="str">
        <f t="shared" si="68"/>
        <v>NO</v>
      </c>
      <c r="AD245" s="211" t="str">
        <f t="shared" si="69"/>
        <v>NO</v>
      </c>
      <c r="AE245" s="211" t="str">
        <f t="shared" si="70"/>
        <v>NO</v>
      </c>
      <c r="AF245" s="206"/>
      <c r="AG245" s="206"/>
      <c r="AH245" s="203">
        <f t="shared" si="60"/>
        <v>1.8111999999999999</v>
      </c>
      <c r="AI245" s="203">
        <f t="shared" si="61"/>
        <v>949</v>
      </c>
      <c r="AJ245" s="203">
        <f t="shared" si="62"/>
        <v>646.43680133908981</v>
      </c>
      <c r="AK245" s="203"/>
      <c r="AL245" s="203"/>
      <c r="AM245" s="203"/>
      <c r="AN245" s="207"/>
    </row>
    <row r="246" spans="1:40" s="204" customFormat="1" ht="15">
      <c r="A246" s="287" t="s">
        <v>852</v>
      </c>
      <c r="B246" s="287" t="s">
        <v>940</v>
      </c>
      <c r="C246" s="249">
        <v>764.1</v>
      </c>
      <c r="D246" s="280">
        <v>2.7</v>
      </c>
      <c r="E246" s="250" t="str">
        <f>VLOOKUP(B246,'Northwest Retail Cost Data'!$C$5:$F$275,4,FALSE)</f>
        <v>Top Load</v>
      </c>
      <c r="F246" s="251" t="s">
        <v>846</v>
      </c>
      <c r="G246" s="288">
        <v>1.33</v>
      </c>
      <c r="H246" s="288">
        <v>9.5</v>
      </c>
      <c r="I246" s="252">
        <f>D246*H246*SFAssumptions!$C$3</f>
        <v>6584.6961450000008</v>
      </c>
      <c r="J246" s="253">
        <f t="shared" si="56"/>
        <v>764.1</v>
      </c>
      <c r="K246" s="254">
        <f t="shared" si="56"/>
        <v>2.7</v>
      </c>
      <c r="L246" s="691">
        <f t="shared" si="57"/>
        <v>0.90039999999999998</v>
      </c>
      <c r="M246" s="691">
        <f t="shared" si="58"/>
        <v>9.9226500000000009</v>
      </c>
      <c r="N246" s="255">
        <v>2012</v>
      </c>
      <c r="O246" s="256">
        <f>C246*VLOOKUP(N246,SFAssumptions!$A$42:$B$51,2,FALSE)</f>
        <v>690.02423518299759</v>
      </c>
      <c r="P246" s="254">
        <f ca="1">O246+((SFAssumptions!$C$8-D246)*$AO$35)</f>
        <v>788.82686371048862</v>
      </c>
      <c r="Q246" s="190" t="str">
        <f>IF(OR(L246="",M246=""),"No",IF(AND(E246="Front Load",L246&gt;='Eff. Standards &amp; Certifications'!$B$21,M246&lt;='Eff. Standards &amp; Certifications'!$C$21),"Consider",IF(AND(E246="Top Load",L246&gt;='Eff. Standards &amp; Certifications'!$B$20,M246&lt;='Eff. Standards &amp; Certifications'!$C$20),"Consider","No")))</f>
        <v>No</v>
      </c>
      <c r="R246" s="203"/>
      <c r="S246" s="203"/>
      <c r="T246" s="293" t="str">
        <f t="shared" si="63"/>
        <v>NO</v>
      </c>
      <c r="U246" s="293" t="str">
        <f t="shared" si="63"/>
        <v>NO</v>
      </c>
      <c r="V246" s="293" t="str">
        <f t="shared" si="64"/>
        <v>NO</v>
      </c>
      <c r="W246" s="211" t="str">
        <f t="shared" si="59"/>
        <v>NO</v>
      </c>
      <c r="X246" s="211" t="str">
        <f t="shared" si="59"/>
        <v>NO</v>
      </c>
      <c r="Y246" s="211" t="str">
        <f t="shared" si="65"/>
        <v>NO</v>
      </c>
      <c r="Z246" s="211" t="str">
        <f t="shared" si="66"/>
        <v>NO</v>
      </c>
      <c r="AA246" s="211" t="str">
        <f t="shared" si="66"/>
        <v>NO</v>
      </c>
      <c r="AB246" s="293" t="str">
        <f t="shared" si="67"/>
        <v>NO</v>
      </c>
      <c r="AC246" s="211" t="str">
        <f t="shared" si="68"/>
        <v>NO</v>
      </c>
      <c r="AD246" s="211" t="str">
        <f t="shared" si="69"/>
        <v>NO</v>
      </c>
      <c r="AE246" s="211" t="str">
        <f t="shared" si="70"/>
        <v>NO</v>
      </c>
      <c r="AF246" s="206"/>
      <c r="AG246" s="206"/>
      <c r="AH246" s="203">
        <f t="shared" si="60"/>
        <v>0.90039999999999998</v>
      </c>
      <c r="AI246" s="203">
        <f t="shared" si="61"/>
        <v>764.1</v>
      </c>
      <c r="AJ246" s="203">
        <f t="shared" si="62"/>
        <v>353.98150543093539</v>
      </c>
      <c r="AK246" s="203"/>
      <c r="AL246" s="203"/>
      <c r="AM246" s="203"/>
      <c r="AN246" s="207"/>
    </row>
    <row r="247" spans="1:40" s="204" customFormat="1" ht="15">
      <c r="A247" s="287" t="s">
        <v>852</v>
      </c>
      <c r="B247" s="287" t="s">
        <v>941</v>
      </c>
      <c r="C247" s="249">
        <v>431.1</v>
      </c>
      <c r="D247" s="280">
        <v>3.7</v>
      </c>
      <c r="E247" s="250" t="str">
        <f>VLOOKUP(B247,'Northwest Retail Cost Data'!$C$5:$F$275,4,FALSE)</f>
        <v>Top Load</v>
      </c>
      <c r="F247" s="251" t="s">
        <v>846</v>
      </c>
      <c r="G247" s="288">
        <v>1.26</v>
      </c>
      <c r="H247" s="288">
        <v>9.5</v>
      </c>
      <c r="I247" s="252">
        <f>D247*H247*SFAssumptions!$C$3</f>
        <v>9023.472495</v>
      </c>
      <c r="J247" s="253">
        <f t="shared" si="56"/>
        <v>431.1</v>
      </c>
      <c r="K247" s="254">
        <f t="shared" si="56"/>
        <v>3.7</v>
      </c>
      <c r="L247" s="691">
        <f t="shared" si="57"/>
        <v>0.83110000000000006</v>
      </c>
      <c r="M247" s="691">
        <f t="shared" si="58"/>
        <v>9.9226500000000009</v>
      </c>
      <c r="N247" s="255">
        <v>2012</v>
      </c>
      <c r="O247" s="256">
        <f>C247*VLOOKUP(N247,SFAssumptions!$A$42:$B$51,2,FALSE)</f>
        <v>389.30695954376421</v>
      </c>
      <c r="P247" s="254">
        <f ca="1">O247+((SFAssumptions!$C$8-D247)*$AO$35)</f>
        <v>396.37146466721396</v>
      </c>
      <c r="Q247" s="190" t="str">
        <f>IF(OR(L247="",M247=""),"No",IF(AND(E247="Front Load",L247&gt;='Eff. Standards &amp; Certifications'!$B$21,M247&lt;='Eff. Standards &amp; Certifications'!$C$21),"Consider",IF(AND(E247="Top Load",L247&gt;='Eff. Standards &amp; Certifications'!$B$20,M247&lt;='Eff. Standards &amp; Certifications'!$C$20),"Consider","No")))</f>
        <v>No</v>
      </c>
      <c r="R247" s="203"/>
      <c r="S247" s="203"/>
      <c r="T247" s="293" t="str">
        <f t="shared" si="63"/>
        <v>NO</v>
      </c>
      <c r="U247" s="293" t="str">
        <f t="shared" si="63"/>
        <v>NO</v>
      </c>
      <c r="V247" s="293" t="str">
        <f t="shared" si="64"/>
        <v>NO</v>
      </c>
      <c r="W247" s="211" t="str">
        <f t="shared" si="59"/>
        <v>NO</v>
      </c>
      <c r="X247" s="211" t="str">
        <f t="shared" si="59"/>
        <v>NO</v>
      </c>
      <c r="Y247" s="211" t="str">
        <f t="shared" si="65"/>
        <v>NO</v>
      </c>
      <c r="Z247" s="211" t="str">
        <f t="shared" si="66"/>
        <v>NO</v>
      </c>
      <c r="AA247" s="211" t="str">
        <f t="shared" si="66"/>
        <v>NO</v>
      </c>
      <c r="AB247" s="293" t="str">
        <f t="shared" si="67"/>
        <v>NO</v>
      </c>
      <c r="AC247" s="211" t="str">
        <f t="shared" si="68"/>
        <v>NO</v>
      </c>
      <c r="AD247" s="211" t="str">
        <f t="shared" si="69"/>
        <v>NO</v>
      </c>
      <c r="AE247" s="211" t="str">
        <f t="shared" si="70"/>
        <v>NO</v>
      </c>
      <c r="AF247" s="206"/>
      <c r="AG247" s="206"/>
      <c r="AH247" s="203">
        <f t="shared" si="60"/>
        <v>0.83110000000000006</v>
      </c>
      <c r="AI247" s="203">
        <f t="shared" si="61"/>
        <v>431.1</v>
      </c>
      <c r="AJ247" s="203">
        <f t="shared" si="62"/>
        <v>428.97115722152967</v>
      </c>
      <c r="AK247" s="203"/>
      <c r="AL247" s="203"/>
      <c r="AM247" s="203"/>
      <c r="AN247" s="207"/>
    </row>
    <row r="248" spans="1:40" s="204" customFormat="1" ht="15">
      <c r="A248" s="287" t="s">
        <v>852</v>
      </c>
      <c r="B248" s="287" t="s">
        <v>930</v>
      </c>
      <c r="C248" s="249">
        <v>431.1</v>
      </c>
      <c r="D248" s="280">
        <v>3.7</v>
      </c>
      <c r="E248" s="250" t="str">
        <f>VLOOKUP(B248,'Northwest Retail Cost Data'!$C$5:$F$275,4,FALSE)</f>
        <v>Top Load</v>
      </c>
      <c r="F248" s="251" t="s">
        <v>846</v>
      </c>
      <c r="G248" s="288">
        <v>1.26</v>
      </c>
      <c r="H248" s="288">
        <v>9.5</v>
      </c>
      <c r="I248" s="252">
        <f>D248*H248*SFAssumptions!$C$3</f>
        <v>9023.472495</v>
      </c>
      <c r="J248" s="253">
        <f t="shared" si="56"/>
        <v>431.1</v>
      </c>
      <c r="K248" s="254">
        <f t="shared" si="56"/>
        <v>3.7</v>
      </c>
      <c r="L248" s="691">
        <f t="shared" si="57"/>
        <v>0.83110000000000006</v>
      </c>
      <c r="M248" s="691">
        <f t="shared" si="58"/>
        <v>9.9226500000000009</v>
      </c>
      <c r="N248" s="255">
        <v>2012</v>
      </c>
      <c r="O248" s="256">
        <f>C248*VLOOKUP(N248,SFAssumptions!$A$42:$B$51,2,FALSE)</f>
        <v>389.30695954376421</v>
      </c>
      <c r="P248" s="254">
        <f ca="1">O248+((SFAssumptions!$C$8-D248)*$AO$35)</f>
        <v>396.37146466721396</v>
      </c>
      <c r="Q248" s="190" t="str">
        <f>IF(OR(L248="",M248=""),"No",IF(AND(E248="Front Load",L248&gt;='Eff. Standards &amp; Certifications'!$B$21,M248&lt;='Eff. Standards &amp; Certifications'!$C$21),"Consider",IF(AND(E248="Top Load",L248&gt;='Eff. Standards &amp; Certifications'!$B$20,M248&lt;='Eff. Standards &amp; Certifications'!$C$20),"Consider","No")))</f>
        <v>No</v>
      </c>
      <c r="R248" s="203"/>
      <c r="S248" s="203"/>
      <c r="T248" s="293" t="str">
        <f t="shared" si="63"/>
        <v>NO</v>
      </c>
      <c r="U248" s="293" t="str">
        <f t="shared" si="63"/>
        <v>NO</v>
      </c>
      <c r="V248" s="293" t="str">
        <f t="shared" si="64"/>
        <v>NO</v>
      </c>
      <c r="W248" s="211" t="str">
        <f t="shared" si="59"/>
        <v>NO</v>
      </c>
      <c r="X248" s="211" t="str">
        <f t="shared" si="59"/>
        <v>NO</v>
      </c>
      <c r="Y248" s="211" t="str">
        <f t="shared" si="65"/>
        <v>NO</v>
      </c>
      <c r="Z248" s="211" t="str">
        <f t="shared" si="66"/>
        <v>NO</v>
      </c>
      <c r="AA248" s="211" t="str">
        <f t="shared" si="66"/>
        <v>NO</v>
      </c>
      <c r="AB248" s="293" t="str">
        <f t="shared" si="67"/>
        <v>NO</v>
      </c>
      <c r="AC248" s="211" t="str">
        <f t="shared" si="68"/>
        <v>NO</v>
      </c>
      <c r="AD248" s="211" t="str">
        <f t="shared" si="69"/>
        <v>NO</v>
      </c>
      <c r="AE248" s="211" t="str">
        <f t="shared" si="70"/>
        <v>NO</v>
      </c>
      <c r="AF248" s="206"/>
      <c r="AG248" s="206"/>
      <c r="AH248" s="203">
        <f t="shared" si="60"/>
        <v>0.83110000000000006</v>
      </c>
      <c r="AI248" s="203">
        <f t="shared" si="61"/>
        <v>431.1</v>
      </c>
      <c r="AJ248" s="203">
        <f t="shared" si="62"/>
        <v>428.97115722152967</v>
      </c>
      <c r="AK248" s="203"/>
      <c r="AL248" s="203"/>
      <c r="AM248" s="203"/>
      <c r="AN248" s="207"/>
    </row>
    <row r="249" spans="1:40" s="204" customFormat="1" ht="15">
      <c r="A249" s="287" t="s">
        <v>852</v>
      </c>
      <c r="B249" s="287" t="s">
        <v>865</v>
      </c>
      <c r="C249" s="249">
        <v>449.1</v>
      </c>
      <c r="D249" s="280">
        <v>3.9</v>
      </c>
      <c r="E249" s="250" t="str">
        <f>VLOOKUP(B249,'Northwest Retail Cost Data'!$C$5:$F$275,4,FALSE)</f>
        <v>Top Load</v>
      </c>
      <c r="F249" s="251" t="s">
        <v>846</v>
      </c>
      <c r="G249" s="288">
        <v>2</v>
      </c>
      <c r="H249" s="288">
        <v>6</v>
      </c>
      <c r="I249" s="252">
        <f>D249*H249*SFAssumptions!$C$3</f>
        <v>6007.0912199999993</v>
      </c>
      <c r="J249" s="253">
        <f t="shared" si="56"/>
        <v>449.1</v>
      </c>
      <c r="K249" s="254">
        <f t="shared" si="56"/>
        <v>3.9</v>
      </c>
      <c r="L249" s="691">
        <f t="shared" si="57"/>
        <v>1.5636999999999999</v>
      </c>
      <c r="M249" s="691">
        <f t="shared" si="58"/>
        <v>6.4615</v>
      </c>
      <c r="N249" s="255">
        <v>2012</v>
      </c>
      <c r="O249" s="256">
        <f>C249*VLOOKUP(N249,SFAssumptions!$A$42:$B$51,2,FALSE)</f>
        <v>405.56194741615519</v>
      </c>
      <c r="P249" s="254">
        <f ca="1">O249+((SFAssumptions!$C$8-D249)*$AO$35)</f>
        <v>394.27882785879672</v>
      </c>
      <c r="Q249" s="190" t="str">
        <f>IF(OR(L249="",M249=""),"No",IF(AND(E249="Front Load",L249&gt;='Eff. Standards &amp; Certifications'!$B$21,M249&lt;='Eff. Standards &amp; Certifications'!$C$21),"Consider",IF(AND(E249="Top Load",L249&gt;='Eff. Standards &amp; Certifications'!$B$20,M249&lt;='Eff. Standards &amp; Certifications'!$C$20),"Consider","No")))</f>
        <v>Consider</v>
      </c>
      <c r="R249" s="203"/>
      <c r="S249" s="203"/>
      <c r="T249" s="293" t="str">
        <f t="shared" si="63"/>
        <v>YES</v>
      </c>
      <c r="U249" s="293" t="str">
        <f t="shared" si="63"/>
        <v>NO</v>
      </c>
      <c r="V249" s="293" t="str">
        <f t="shared" si="64"/>
        <v>YES</v>
      </c>
      <c r="W249" s="211" t="str">
        <f t="shared" si="59"/>
        <v>YES</v>
      </c>
      <c r="X249" s="211" t="str">
        <f t="shared" si="59"/>
        <v>NO</v>
      </c>
      <c r="Y249" s="211" t="str">
        <f t="shared" si="65"/>
        <v>YES</v>
      </c>
      <c r="Z249" s="211" t="str">
        <f t="shared" si="66"/>
        <v>NO</v>
      </c>
      <c r="AA249" s="211" t="str">
        <f t="shared" si="66"/>
        <v>NO</v>
      </c>
      <c r="AB249" s="293" t="str">
        <f t="shared" si="67"/>
        <v>NO</v>
      </c>
      <c r="AC249" s="211" t="str">
        <f t="shared" si="68"/>
        <v>NO</v>
      </c>
      <c r="AD249" s="211" t="str">
        <f t="shared" si="69"/>
        <v>NO</v>
      </c>
      <c r="AE249" s="211" t="str">
        <f t="shared" si="70"/>
        <v>NO</v>
      </c>
      <c r="AF249" s="206"/>
      <c r="AG249" s="206"/>
      <c r="AH249" s="203">
        <f t="shared" si="60"/>
        <v>1.5636999999999999</v>
      </c>
      <c r="AI249" s="203">
        <f t="shared" si="61"/>
        <v>449.1</v>
      </c>
      <c r="AJ249" s="203">
        <f t="shared" si="62"/>
        <v>648.36068183955365</v>
      </c>
      <c r="AK249" s="203"/>
      <c r="AL249" s="203"/>
      <c r="AM249" s="203"/>
      <c r="AN249" s="207"/>
    </row>
    <row r="250" spans="1:40" s="204" customFormat="1" ht="15">
      <c r="A250" s="287" t="s">
        <v>852</v>
      </c>
      <c r="B250" s="287" t="s">
        <v>1002</v>
      </c>
      <c r="C250" s="249">
        <v>494.1</v>
      </c>
      <c r="D250" s="280">
        <v>3.9</v>
      </c>
      <c r="E250" s="250" t="str">
        <f>VLOOKUP(B250,'Northwest Retail Cost Data'!$C$5:$F$275,4,FALSE)</f>
        <v>Top Load</v>
      </c>
      <c r="F250" s="251" t="s">
        <v>846</v>
      </c>
      <c r="G250" s="288">
        <v>2</v>
      </c>
      <c r="H250" s="288">
        <v>6</v>
      </c>
      <c r="I250" s="252">
        <f>D250*H250*SFAssumptions!$C$3</f>
        <v>6007.0912199999993</v>
      </c>
      <c r="J250" s="253">
        <f t="shared" si="56"/>
        <v>494.1</v>
      </c>
      <c r="K250" s="254">
        <f t="shared" si="56"/>
        <v>3.9</v>
      </c>
      <c r="L250" s="691">
        <f t="shared" si="57"/>
        <v>1.5636999999999999</v>
      </c>
      <c r="M250" s="691">
        <f t="shared" si="58"/>
        <v>6.4615</v>
      </c>
      <c r="N250" s="255">
        <v>2012</v>
      </c>
      <c r="O250" s="256">
        <f>C250*VLOOKUP(N250,SFAssumptions!$A$42:$B$51,2,FALSE)</f>
        <v>446.19941709713271</v>
      </c>
      <c r="P250" s="254">
        <f ca="1">O250+((SFAssumptions!$C$8-D250)*$AO$35)</f>
        <v>434.91629753977423</v>
      </c>
      <c r="Q250" s="190" t="str">
        <f>IF(OR(L250="",M250=""),"No",IF(AND(E250="Front Load",L250&gt;='Eff. Standards &amp; Certifications'!$B$21,M250&lt;='Eff. Standards &amp; Certifications'!$C$21),"Consider",IF(AND(E250="Top Load",L250&gt;='Eff. Standards &amp; Certifications'!$B$20,M250&lt;='Eff. Standards &amp; Certifications'!$C$20),"Consider","No")))</f>
        <v>Consider</v>
      </c>
      <c r="R250" s="203"/>
      <c r="S250" s="203"/>
      <c r="T250" s="293" t="str">
        <f t="shared" si="63"/>
        <v>YES</v>
      </c>
      <c r="U250" s="293" t="str">
        <f t="shared" si="63"/>
        <v>NO</v>
      </c>
      <c r="V250" s="293" t="str">
        <f t="shared" si="64"/>
        <v>YES</v>
      </c>
      <c r="W250" s="211" t="str">
        <f t="shared" si="59"/>
        <v>YES</v>
      </c>
      <c r="X250" s="211" t="str">
        <f t="shared" si="59"/>
        <v>NO</v>
      </c>
      <c r="Y250" s="211" t="str">
        <f t="shared" si="65"/>
        <v>YES</v>
      </c>
      <c r="Z250" s="211" t="str">
        <f t="shared" si="66"/>
        <v>NO</v>
      </c>
      <c r="AA250" s="211" t="str">
        <f t="shared" si="66"/>
        <v>NO</v>
      </c>
      <c r="AB250" s="293" t="str">
        <f t="shared" si="67"/>
        <v>NO</v>
      </c>
      <c r="AC250" s="211" t="str">
        <f t="shared" si="68"/>
        <v>NO</v>
      </c>
      <c r="AD250" s="211" t="str">
        <f t="shared" si="69"/>
        <v>NO</v>
      </c>
      <c r="AE250" s="211" t="str">
        <f t="shared" si="70"/>
        <v>NO</v>
      </c>
      <c r="AF250" s="206"/>
      <c r="AG250" s="206"/>
      <c r="AH250" s="203">
        <f t="shared" si="60"/>
        <v>1.5636999999999999</v>
      </c>
      <c r="AI250" s="203">
        <f t="shared" si="61"/>
        <v>494.1</v>
      </c>
      <c r="AJ250" s="203">
        <f t="shared" si="62"/>
        <v>648.36068183955365</v>
      </c>
      <c r="AK250" s="203"/>
      <c r="AL250" s="203"/>
      <c r="AM250" s="203"/>
      <c r="AN250" s="207"/>
    </row>
    <row r="251" spans="1:40" s="204" customFormat="1" ht="15">
      <c r="A251" s="287" t="s">
        <v>852</v>
      </c>
      <c r="B251" s="287" t="s">
        <v>1003</v>
      </c>
      <c r="C251" s="249">
        <v>629.1</v>
      </c>
      <c r="D251" s="280">
        <v>4</v>
      </c>
      <c r="E251" s="250" t="str">
        <f>VLOOKUP(B251,'Northwest Retail Cost Data'!$C$5:$F$275,4,FALSE)</f>
        <v>Top Load</v>
      </c>
      <c r="F251" s="251" t="s">
        <v>846</v>
      </c>
      <c r="G251" s="288">
        <v>2.2000000000000002</v>
      </c>
      <c r="H251" s="288">
        <v>4.5</v>
      </c>
      <c r="I251" s="252">
        <f>D251*H251*SFAssumptions!$C$3</f>
        <v>4620.8393999999998</v>
      </c>
      <c r="J251" s="253">
        <f t="shared" si="56"/>
        <v>629.1</v>
      </c>
      <c r="K251" s="254">
        <f t="shared" si="56"/>
        <v>4</v>
      </c>
      <c r="L251" s="691">
        <f t="shared" si="57"/>
        <v>1.7616999999999998</v>
      </c>
      <c r="M251" s="691">
        <f t="shared" si="58"/>
        <v>4.9781500000000003</v>
      </c>
      <c r="N251" s="255">
        <v>2012</v>
      </c>
      <c r="O251" s="256">
        <f>C251*VLOOKUP(N251,SFAssumptions!$A$42:$B$51,2,FALSE)</f>
        <v>568.11182614006509</v>
      </c>
      <c r="P251" s="254">
        <f ca="1">O251+((SFAssumptions!$C$8-D251)*$AO$35)</f>
        <v>547.65489424230248</v>
      </c>
      <c r="Q251" s="190" t="str">
        <f>IF(OR(L251="",M251=""),"No",IF(AND(E251="Front Load",L251&gt;='Eff. Standards &amp; Certifications'!$B$21,M251&lt;='Eff. Standards &amp; Certifications'!$C$21),"Consider",IF(AND(E251="Top Load",L251&gt;='Eff. Standards &amp; Certifications'!$B$20,M251&lt;='Eff. Standards &amp; Certifications'!$C$20),"Consider","No")))</f>
        <v>Consider</v>
      </c>
      <c r="R251" s="203"/>
      <c r="S251" s="203"/>
      <c r="T251" s="293" t="str">
        <f t="shared" si="63"/>
        <v>YES</v>
      </c>
      <c r="U251" s="293" t="str">
        <f t="shared" si="63"/>
        <v>NO</v>
      </c>
      <c r="V251" s="293" t="str">
        <f t="shared" si="64"/>
        <v>YES</v>
      </c>
      <c r="W251" s="211" t="str">
        <f t="shared" si="59"/>
        <v>YES</v>
      </c>
      <c r="X251" s="211" t="str">
        <f t="shared" si="59"/>
        <v>NO</v>
      </c>
      <c r="Y251" s="211" t="str">
        <f t="shared" si="65"/>
        <v>YES</v>
      </c>
      <c r="Z251" s="211" t="str">
        <f t="shared" si="66"/>
        <v>NO</v>
      </c>
      <c r="AA251" s="211" t="str">
        <f t="shared" si="66"/>
        <v>NO</v>
      </c>
      <c r="AB251" s="293" t="str">
        <f t="shared" si="67"/>
        <v>NO</v>
      </c>
      <c r="AC251" s="211" t="str">
        <f t="shared" si="68"/>
        <v>NO</v>
      </c>
      <c r="AD251" s="211" t="str">
        <f t="shared" si="69"/>
        <v>NO</v>
      </c>
      <c r="AE251" s="211" t="str">
        <f t="shared" si="70"/>
        <v>NO</v>
      </c>
      <c r="AF251" s="206"/>
      <c r="AG251" s="206"/>
      <c r="AH251" s="203">
        <f t="shared" si="60"/>
        <v>1.7616999999999998</v>
      </c>
      <c r="AI251" s="203">
        <f t="shared" si="61"/>
        <v>629.1</v>
      </c>
      <c r="AJ251" s="203">
        <f t="shared" si="62"/>
        <v>715.66725390197553</v>
      </c>
      <c r="AK251" s="203"/>
      <c r="AL251" s="203"/>
      <c r="AM251" s="203"/>
      <c r="AN251" s="207"/>
    </row>
    <row r="252" spans="1:40" s="204" customFormat="1" ht="15">
      <c r="A252" s="287" t="s">
        <v>852</v>
      </c>
      <c r="B252" s="287" t="s">
        <v>939</v>
      </c>
      <c r="C252" s="249">
        <v>1169.0999999999999</v>
      </c>
      <c r="D252" s="280">
        <v>4.5</v>
      </c>
      <c r="E252" s="250" t="str">
        <f>VLOOKUP(B252,'Northwest Retail Cost Data'!$C$5:$F$275,4,FALSE)</f>
        <v>Top Load</v>
      </c>
      <c r="F252" s="251" t="s">
        <v>846</v>
      </c>
      <c r="G252" s="279">
        <v>2.21</v>
      </c>
      <c r="H252" s="279">
        <v>4.5</v>
      </c>
      <c r="I252" s="252">
        <f>D252*H252*SFAssumptions!$C$3</f>
        <v>5198.4443250000004</v>
      </c>
      <c r="J252" s="253">
        <f t="shared" si="56"/>
        <v>1169.0999999999999</v>
      </c>
      <c r="K252" s="254">
        <f t="shared" si="56"/>
        <v>4.5</v>
      </c>
      <c r="L252" s="691">
        <f t="shared" si="57"/>
        <v>1.7715999999999998</v>
      </c>
      <c r="M252" s="691">
        <f t="shared" si="58"/>
        <v>4.9781500000000003</v>
      </c>
      <c r="N252" s="255">
        <v>2012</v>
      </c>
      <c r="O252" s="256">
        <f>C252*VLOOKUP(N252,SFAssumptions!$A$42:$B$51,2,FALSE)</f>
        <v>1055.7614623117947</v>
      </c>
      <c r="P252" s="254">
        <f ca="1">O252+((SFAssumptions!$C$8-D252)*$AO$35)</f>
        <v>989.43546871201147</v>
      </c>
      <c r="Q252" s="190" t="str">
        <f>IF(OR(L252="",M252=""),"No",IF(AND(E252="Front Load",L252&gt;='Eff. Standards &amp; Certifications'!$B$21,M252&lt;='Eff. Standards &amp; Certifications'!$C$21),"Consider",IF(AND(E252="Top Load",L252&gt;='Eff. Standards &amp; Certifications'!$B$20,M252&lt;='Eff. Standards &amp; Certifications'!$C$20),"Consider","No")))</f>
        <v>Consider</v>
      </c>
      <c r="R252" s="203"/>
      <c r="S252" s="203"/>
      <c r="T252" s="293" t="str">
        <f t="shared" si="63"/>
        <v>YES</v>
      </c>
      <c r="U252" s="293" t="str">
        <f t="shared" si="63"/>
        <v>NO</v>
      </c>
      <c r="V252" s="293" t="str">
        <f t="shared" si="64"/>
        <v>YES</v>
      </c>
      <c r="W252" s="211" t="str">
        <f t="shared" si="59"/>
        <v>YES</v>
      </c>
      <c r="X252" s="211" t="str">
        <f t="shared" si="59"/>
        <v>NO</v>
      </c>
      <c r="Y252" s="211" t="str">
        <f t="shared" si="65"/>
        <v>YES</v>
      </c>
      <c r="Z252" s="211" t="str">
        <f t="shared" si="66"/>
        <v>NO</v>
      </c>
      <c r="AA252" s="211" t="str">
        <f t="shared" si="66"/>
        <v>NO</v>
      </c>
      <c r="AB252" s="293" t="str">
        <f t="shared" si="67"/>
        <v>NO</v>
      </c>
      <c r="AC252" s="211" t="str">
        <f t="shared" si="68"/>
        <v>NO</v>
      </c>
      <c r="AD252" s="211" t="str">
        <f t="shared" si="69"/>
        <v>NO</v>
      </c>
      <c r="AE252" s="211" t="str">
        <f t="shared" si="70"/>
        <v>NO</v>
      </c>
      <c r="AF252" s="206"/>
      <c r="AG252" s="206"/>
      <c r="AH252" s="203">
        <f t="shared" si="60"/>
        <v>1.7715999999999998</v>
      </c>
      <c r="AI252" s="203">
        <f t="shared" si="61"/>
        <v>1169.0999999999999</v>
      </c>
      <c r="AJ252" s="203">
        <f t="shared" si="62"/>
        <v>763.92895440591724</v>
      </c>
      <c r="AK252" s="203"/>
      <c r="AL252" s="203"/>
      <c r="AM252" s="203"/>
      <c r="AN252" s="207"/>
    </row>
    <row r="253" spans="1:40" s="204" customFormat="1" ht="15">
      <c r="A253" s="287" t="s">
        <v>852</v>
      </c>
      <c r="B253" s="287" t="s">
        <v>967</v>
      </c>
      <c r="C253" s="249">
        <v>1199</v>
      </c>
      <c r="D253" s="280">
        <v>4.5</v>
      </c>
      <c r="E253" s="250" t="str">
        <f>VLOOKUP(B253,'Northwest Retail Cost Data'!$C$5:$F$275,4,FALSE)</f>
        <v>Top Load</v>
      </c>
      <c r="F253" s="251" t="s">
        <v>846</v>
      </c>
      <c r="G253" s="288">
        <v>2.21</v>
      </c>
      <c r="H253" s="288">
        <v>4.49</v>
      </c>
      <c r="I253" s="252">
        <f>D253*H253*SFAssumptions!$C$3</f>
        <v>5186.8922265000001</v>
      </c>
      <c r="J253" s="253">
        <f t="shared" si="56"/>
        <v>1199</v>
      </c>
      <c r="K253" s="254">
        <f t="shared" si="56"/>
        <v>4.5</v>
      </c>
      <c r="L253" s="691">
        <f t="shared" si="57"/>
        <v>1.7715999999999998</v>
      </c>
      <c r="M253" s="691">
        <f t="shared" si="58"/>
        <v>4.968261</v>
      </c>
      <c r="N253" s="255">
        <v>2012</v>
      </c>
      <c r="O253" s="256">
        <f>C253*VLOOKUP(N253,SFAssumptions!$A$42:$B$51,2,FALSE)</f>
        <v>1082.7628032775999</v>
      </c>
      <c r="P253" s="254">
        <f ca="1">O253+((SFAssumptions!$C$8-D253)*$AO$35)</f>
        <v>1016.4368096778167</v>
      </c>
      <c r="Q253" s="190" t="str">
        <f>IF(OR(L253="",M253=""),"No",IF(AND(E253="Front Load",L253&gt;='Eff. Standards &amp; Certifications'!$B$21,M253&lt;='Eff. Standards &amp; Certifications'!$C$21),"Consider",IF(AND(E253="Top Load",L253&gt;='Eff. Standards &amp; Certifications'!$B$20,M253&lt;='Eff. Standards &amp; Certifications'!$C$20),"Consider","No")))</f>
        <v>Consider</v>
      </c>
      <c r="R253" s="203"/>
      <c r="S253" s="203"/>
      <c r="T253" s="293" t="str">
        <f t="shared" si="63"/>
        <v>YES</v>
      </c>
      <c r="U253" s="293" t="str">
        <f t="shared" si="63"/>
        <v>NO</v>
      </c>
      <c r="V253" s="293" t="str">
        <f t="shared" si="64"/>
        <v>YES</v>
      </c>
      <c r="W253" s="211" t="str">
        <f t="shared" si="59"/>
        <v>YES</v>
      </c>
      <c r="X253" s="211" t="str">
        <f t="shared" si="59"/>
        <v>NO</v>
      </c>
      <c r="Y253" s="211" t="str">
        <f t="shared" si="65"/>
        <v>YES</v>
      </c>
      <c r="Z253" s="211" t="str">
        <f t="shared" si="66"/>
        <v>NO</v>
      </c>
      <c r="AA253" s="211" t="str">
        <f t="shared" si="66"/>
        <v>NO</v>
      </c>
      <c r="AB253" s="293" t="str">
        <f t="shared" si="67"/>
        <v>NO</v>
      </c>
      <c r="AC253" s="211" t="str">
        <f t="shared" si="68"/>
        <v>NO</v>
      </c>
      <c r="AD253" s="211" t="str">
        <f t="shared" si="69"/>
        <v>NO</v>
      </c>
      <c r="AE253" s="211" t="str">
        <f t="shared" si="70"/>
        <v>NO</v>
      </c>
      <c r="AF253" s="206"/>
      <c r="AG253" s="206"/>
      <c r="AH253" s="203">
        <f t="shared" si="60"/>
        <v>1.7715999999999998</v>
      </c>
      <c r="AI253" s="203">
        <f t="shared" si="61"/>
        <v>1199</v>
      </c>
      <c r="AJ253" s="203">
        <f t="shared" si="62"/>
        <v>763.99748763047455</v>
      </c>
      <c r="AK253" s="203"/>
      <c r="AL253" s="203"/>
      <c r="AM253" s="203"/>
      <c r="AN253" s="207"/>
    </row>
    <row r="254" spans="1:40" s="204" customFormat="1" ht="15">
      <c r="A254" s="288" t="s">
        <v>1004</v>
      </c>
      <c r="B254" s="287" t="s">
        <v>933</v>
      </c>
      <c r="C254" s="249">
        <v>394</v>
      </c>
      <c r="D254" s="280">
        <v>3.5</v>
      </c>
      <c r="E254" s="250" t="str">
        <f>VLOOKUP(B254,'Northwest Retail Cost Data'!$C$5:$F$275,4,FALSE)</f>
        <v>Top Load</v>
      </c>
      <c r="F254" s="251" t="s">
        <v>846</v>
      </c>
      <c r="G254" s="288">
        <v>1.26</v>
      </c>
      <c r="H254" s="288">
        <v>9.5</v>
      </c>
      <c r="I254" s="252">
        <f>D254*H254*SFAssumptions!$C$3</f>
        <v>8535.7172250000003</v>
      </c>
      <c r="J254" s="253">
        <f t="shared" si="56"/>
        <v>394</v>
      </c>
      <c r="K254" s="254">
        <f t="shared" si="56"/>
        <v>3.5</v>
      </c>
      <c r="L254" s="691">
        <f t="shared" si="57"/>
        <v>0.83110000000000006</v>
      </c>
      <c r="M254" s="691">
        <f t="shared" si="58"/>
        <v>9.9226500000000009</v>
      </c>
      <c r="N254" s="255">
        <v>2012</v>
      </c>
      <c r="O254" s="256">
        <f>C254*VLOOKUP(N254,SFAssumptions!$A$42:$B$51,2,FALSE)</f>
        <v>355.80362342900276</v>
      </c>
      <c r="P254" s="254">
        <f ca="1">O254+((SFAssumptions!$C$8-D254)*$AO$35)</f>
        <v>381.21575323326078</v>
      </c>
      <c r="Q254" s="190" t="str">
        <f>IF(OR(L254="",M254=""),"No",IF(AND(E254="Front Load",L254&gt;='Eff. Standards &amp; Certifications'!$B$21,M254&lt;='Eff. Standards &amp; Certifications'!$C$21),"Consider",IF(AND(E254="Top Load",L254&gt;='Eff. Standards &amp; Certifications'!$B$20,M254&lt;='Eff. Standards &amp; Certifications'!$C$20),"Consider","No")))</f>
        <v>No</v>
      </c>
      <c r="R254" s="203"/>
      <c r="S254" s="203"/>
      <c r="T254" s="293" t="str">
        <f t="shared" si="63"/>
        <v>NO</v>
      </c>
      <c r="U254" s="293" t="str">
        <f t="shared" si="63"/>
        <v>NO</v>
      </c>
      <c r="V254" s="293" t="str">
        <f t="shared" si="64"/>
        <v>NO</v>
      </c>
      <c r="W254" s="211" t="str">
        <f t="shared" si="59"/>
        <v>NO</v>
      </c>
      <c r="X254" s="211" t="str">
        <f t="shared" si="59"/>
        <v>NO</v>
      </c>
      <c r="Y254" s="211" t="str">
        <f t="shared" si="65"/>
        <v>NO</v>
      </c>
      <c r="Z254" s="211" t="str">
        <f t="shared" si="66"/>
        <v>NO</v>
      </c>
      <c r="AA254" s="211" t="str">
        <f t="shared" si="66"/>
        <v>NO</v>
      </c>
      <c r="AB254" s="293" t="str">
        <f t="shared" si="67"/>
        <v>NO</v>
      </c>
      <c r="AC254" s="211" t="str">
        <f t="shared" si="68"/>
        <v>NO</v>
      </c>
      <c r="AD254" s="211" t="str">
        <f t="shared" si="69"/>
        <v>NO</v>
      </c>
      <c r="AE254" s="211" t="str">
        <f t="shared" si="70"/>
        <v>NO</v>
      </c>
      <c r="AF254" s="206"/>
      <c r="AG254" s="206"/>
      <c r="AH254" s="203">
        <f t="shared" si="60"/>
        <v>0.83110000000000006</v>
      </c>
      <c r="AI254" s="203">
        <f t="shared" si="61"/>
        <v>394</v>
      </c>
      <c r="AJ254" s="203">
        <f t="shared" si="62"/>
        <v>410.62353254072138</v>
      </c>
      <c r="AK254" s="203"/>
      <c r="AL254" s="203"/>
      <c r="AM254" s="203"/>
      <c r="AN254" s="207"/>
    </row>
    <row r="255" spans="1:40" s="204" customFormat="1" ht="15">
      <c r="A255" s="288" t="s">
        <v>557</v>
      </c>
      <c r="B255" s="287" t="s">
        <v>893</v>
      </c>
      <c r="C255" s="249">
        <v>809.1</v>
      </c>
      <c r="D255" s="280">
        <v>4.5999999999999996</v>
      </c>
      <c r="E255" s="250" t="str">
        <f>VLOOKUP(B255,'Northwest Retail Cost Data'!$C$5:$F$275,4,FALSE)</f>
        <v>Top Load</v>
      </c>
      <c r="F255" s="251" t="s">
        <v>846</v>
      </c>
      <c r="G255" s="288">
        <v>2.61</v>
      </c>
      <c r="H255" s="288">
        <v>3.69</v>
      </c>
      <c r="I255" s="252">
        <f>D255*H255*SFAssumptions!$C$3</f>
        <v>4357.4515541999999</v>
      </c>
      <c r="J255" s="253">
        <f t="shared" si="56"/>
        <v>809.1</v>
      </c>
      <c r="K255" s="254">
        <f t="shared" si="56"/>
        <v>4.5999999999999996</v>
      </c>
      <c r="L255" s="691">
        <f t="shared" si="57"/>
        <v>2.1675999999999997</v>
      </c>
      <c r="M255" s="691">
        <f t="shared" si="58"/>
        <v>4.1771409999999998</v>
      </c>
      <c r="N255" s="255">
        <v>2012</v>
      </c>
      <c r="O255" s="256">
        <f>C255*VLOOKUP(N255,SFAssumptions!$A$42:$B$51,2,FALSE)</f>
        <v>730.66170486397505</v>
      </c>
      <c r="P255" s="254">
        <f ca="1">O255+((SFAssumptions!$C$8-D255)*$AO$35)</f>
        <v>655.1618989237877</v>
      </c>
      <c r="Q255" s="190" t="str">
        <f>IF(OR(L255="",M255=""),"No",IF(AND(E255="Front Load",L255&gt;='Eff. Standards &amp; Certifications'!$B$21,M255&lt;='Eff. Standards &amp; Certifications'!$C$21),"Consider",IF(AND(E255="Top Load",L255&gt;='Eff. Standards &amp; Certifications'!$B$20,M255&lt;='Eff. Standards &amp; Certifications'!$C$20),"Consider","No")))</f>
        <v>Consider</v>
      </c>
      <c r="R255" s="203"/>
      <c r="S255" s="203"/>
      <c r="T255" s="293" t="str">
        <f t="shared" si="63"/>
        <v>YES</v>
      </c>
      <c r="U255" s="293" t="str">
        <f t="shared" si="63"/>
        <v>NO</v>
      </c>
      <c r="V255" s="293" t="str">
        <f t="shared" si="64"/>
        <v>YES</v>
      </c>
      <c r="W255" s="211" t="str">
        <f t="shared" si="59"/>
        <v>NO</v>
      </c>
      <c r="X255" s="211" t="str">
        <f t="shared" si="59"/>
        <v>NO</v>
      </c>
      <c r="Y255" s="211" t="str">
        <f t="shared" si="65"/>
        <v>NO</v>
      </c>
      <c r="Z255" s="211" t="str">
        <f t="shared" si="66"/>
        <v>YES</v>
      </c>
      <c r="AA255" s="211" t="str">
        <f t="shared" si="66"/>
        <v>NO</v>
      </c>
      <c r="AB255" s="293" t="str">
        <f t="shared" si="67"/>
        <v>YES</v>
      </c>
      <c r="AC255" s="211" t="str">
        <f t="shared" si="68"/>
        <v>NO</v>
      </c>
      <c r="AD255" s="211" t="str">
        <f t="shared" si="69"/>
        <v>NO</v>
      </c>
      <c r="AE255" s="211" t="str">
        <f t="shared" si="70"/>
        <v>NO</v>
      </c>
      <c r="AF255" s="206"/>
      <c r="AG255" s="206"/>
      <c r="AH255" s="203">
        <f t="shared" si="60"/>
        <v>2.1675999999999997</v>
      </c>
      <c r="AI255" s="203">
        <f t="shared" si="61"/>
        <v>809.1</v>
      </c>
      <c r="AJ255" s="203">
        <f t="shared" si="62"/>
        <v>874.35951001230455</v>
      </c>
      <c r="AK255" s="203"/>
      <c r="AL255" s="203"/>
      <c r="AM255" s="203"/>
      <c r="AN255" s="207"/>
    </row>
    <row r="256" spans="1:40" s="204" customFormat="1" ht="15">
      <c r="A256" s="288" t="s">
        <v>1005</v>
      </c>
      <c r="B256" s="287" t="s">
        <v>892</v>
      </c>
      <c r="C256" s="249">
        <v>629.1</v>
      </c>
      <c r="D256" s="280">
        <v>3.6</v>
      </c>
      <c r="E256" s="250" t="str">
        <f>VLOOKUP(B256,'Northwest Retail Cost Data'!$C$5:$F$275,4,FALSE)</f>
        <v>Top Load</v>
      </c>
      <c r="F256" s="251" t="s">
        <v>846</v>
      </c>
      <c r="G256" s="288">
        <v>2.46</v>
      </c>
      <c r="H256" s="288">
        <v>3.62</v>
      </c>
      <c r="I256" s="252">
        <f>D256*H256*SFAssumptions!$C$3</f>
        <v>3345.4877256</v>
      </c>
      <c r="J256" s="253">
        <f t="shared" si="56"/>
        <v>629.1</v>
      </c>
      <c r="K256" s="254">
        <f t="shared" si="56"/>
        <v>3.6</v>
      </c>
      <c r="L256" s="691">
        <f t="shared" si="57"/>
        <v>2.0190999999999999</v>
      </c>
      <c r="M256" s="691">
        <f t="shared" si="58"/>
        <v>4.1079179999999997</v>
      </c>
      <c r="N256" s="255">
        <v>2012</v>
      </c>
      <c r="O256" s="256">
        <f>C256*VLOOKUP(N256,SFAssumptions!$A$42:$B$51,2,FALSE)</f>
        <v>568.11182614006509</v>
      </c>
      <c r="P256" s="254">
        <f ca="1">O256+((SFAssumptions!$C$8-D256)*$AO$35)</f>
        <v>584.35014360391904</v>
      </c>
      <c r="Q256" s="190" t="str">
        <f>IF(OR(L256="",M256=""),"No",IF(AND(E256="Front Load",L256&gt;='Eff. Standards &amp; Certifications'!$B$21,M256&lt;='Eff. Standards &amp; Certifications'!$C$21),"Consider",IF(AND(E256="Top Load",L256&gt;='Eff. Standards &amp; Certifications'!$B$20,M256&lt;='Eff. Standards &amp; Certifications'!$C$20),"Consider","No")))</f>
        <v>Consider</v>
      </c>
      <c r="R256" s="203"/>
      <c r="S256" s="203"/>
      <c r="T256" s="293" t="str">
        <f t="shared" si="63"/>
        <v>YES</v>
      </c>
      <c r="U256" s="293" t="str">
        <f t="shared" si="63"/>
        <v>NO</v>
      </c>
      <c r="V256" s="293" t="str">
        <f t="shared" si="64"/>
        <v>YES</v>
      </c>
      <c r="W256" s="211" t="str">
        <f t="shared" si="59"/>
        <v>YES</v>
      </c>
      <c r="X256" s="211" t="str">
        <f t="shared" si="59"/>
        <v>NO</v>
      </c>
      <c r="Y256" s="211" t="str">
        <f t="shared" si="65"/>
        <v>YES</v>
      </c>
      <c r="Z256" s="211" t="str">
        <f t="shared" si="66"/>
        <v>NO</v>
      </c>
      <c r="AA256" s="211" t="str">
        <f t="shared" si="66"/>
        <v>NO</v>
      </c>
      <c r="AB256" s="293" t="str">
        <f t="shared" si="67"/>
        <v>NO</v>
      </c>
      <c r="AC256" s="211" t="str">
        <f t="shared" si="68"/>
        <v>NO</v>
      </c>
      <c r="AD256" s="211" t="str">
        <f t="shared" si="69"/>
        <v>NO</v>
      </c>
      <c r="AE256" s="211" t="str">
        <f t="shared" si="70"/>
        <v>NO</v>
      </c>
      <c r="AF256" s="206"/>
      <c r="AG256" s="206"/>
      <c r="AH256" s="203">
        <f t="shared" si="60"/>
        <v>2.0190999999999999</v>
      </c>
      <c r="AI256" s="203">
        <f t="shared" si="61"/>
        <v>629.1</v>
      </c>
      <c r="AJ256" s="203">
        <f t="shared" si="62"/>
        <v>747.21153715134926</v>
      </c>
      <c r="AK256" s="203"/>
      <c r="AL256" s="203"/>
      <c r="AM256" s="203"/>
      <c r="AN256" s="207"/>
    </row>
    <row r="257" spans="1:40" s="204" customFormat="1" ht="15">
      <c r="A257" s="288" t="s">
        <v>1006</v>
      </c>
      <c r="B257" s="287" t="s">
        <v>974</v>
      </c>
      <c r="C257" s="249">
        <v>1079.0999999999999</v>
      </c>
      <c r="D257" s="280">
        <v>4.5999999999999996</v>
      </c>
      <c r="E257" s="250" t="str">
        <f>VLOOKUP(B257,'Northwest Retail Cost Data'!$C$5:$F$275,4,FALSE)</f>
        <v>Top Load</v>
      </c>
      <c r="F257" s="251" t="s">
        <v>846</v>
      </c>
      <c r="G257" s="288">
        <v>2.57</v>
      </c>
      <c r="H257" s="288">
        <v>3.88</v>
      </c>
      <c r="I257" s="252">
        <f>D257*H257*SFAssumptions!$C$3</f>
        <v>4581.8189783999997</v>
      </c>
      <c r="J257" s="253">
        <f t="shared" si="56"/>
        <v>1079.0999999999999</v>
      </c>
      <c r="K257" s="254">
        <f t="shared" si="56"/>
        <v>4.5999999999999996</v>
      </c>
      <c r="L257" s="691">
        <f t="shared" si="57"/>
        <v>2.1279999999999997</v>
      </c>
      <c r="M257" s="691">
        <f t="shared" si="58"/>
        <v>4.3650320000000002</v>
      </c>
      <c r="N257" s="255">
        <v>2012</v>
      </c>
      <c r="O257" s="256">
        <f>C257*VLOOKUP(N257,SFAssumptions!$A$42:$B$51,2,FALSE)</f>
        <v>974.48652294983981</v>
      </c>
      <c r="P257" s="254">
        <f ca="1">O257+((SFAssumptions!$C$8-D257)*$AO$35)</f>
        <v>898.98671700965247</v>
      </c>
      <c r="Q257" s="190" t="str">
        <f>IF(OR(L257="",M257=""),"No",IF(AND(E257="Front Load",L257&gt;='Eff. Standards &amp; Certifications'!$B$21,M257&lt;='Eff. Standards &amp; Certifications'!$C$21),"Consider",IF(AND(E257="Top Load",L257&gt;='Eff. Standards &amp; Certifications'!$B$20,M257&lt;='Eff. Standards &amp; Certifications'!$C$20),"Consider","No")))</f>
        <v>Consider</v>
      </c>
      <c r="R257" s="203"/>
      <c r="S257" s="203"/>
      <c r="T257" s="293" t="str">
        <f t="shared" si="63"/>
        <v>YES</v>
      </c>
      <c r="U257" s="293" t="str">
        <f t="shared" si="63"/>
        <v>NO</v>
      </c>
      <c r="V257" s="293" t="str">
        <f t="shared" si="64"/>
        <v>YES</v>
      </c>
      <c r="W257" s="211" t="str">
        <f t="shared" si="59"/>
        <v>YES</v>
      </c>
      <c r="X257" s="211" t="str">
        <f t="shared" si="59"/>
        <v>NO</v>
      </c>
      <c r="Y257" s="211" t="str">
        <f t="shared" si="65"/>
        <v>YES</v>
      </c>
      <c r="Z257" s="211" t="str">
        <f t="shared" si="66"/>
        <v>NO</v>
      </c>
      <c r="AA257" s="211" t="str">
        <f t="shared" si="66"/>
        <v>NO</v>
      </c>
      <c r="AB257" s="293" t="str">
        <f t="shared" si="67"/>
        <v>NO</v>
      </c>
      <c r="AC257" s="211" t="str">
        <f t="shared" si="68"/>
        <v>NO</v>
      </c>
      <c r="AD257" s="211" t="str">
        <f t="shared" si="69"/>
        <v>NO</v>
      </c>
      <c r="AE257" s="211" t="str">
        <f t="shared" si="70"/>
        <v>NO</v>
      </c>
      <c r="AF257" s="206"/>
      <c r="AG257" s="206"/>
      <c r="AH257" s="203">
        <f t="shared" si="60"/>
        <v>2.1279999999999997</v>
      </c>
      <c r="AI257" s="203">
        <f t="shared" si="61"/>
        <v>1079.0999999999999</v>
      </c>
      <c r="AJ257" s="203">
        <f t="shared" si="62"/>
        <v>863.48682353803156</v>
      </c>
      <c r="AK257" s="203"/>
      <c r="AL257" s="203"/>
      <c r="AM257" s="203"/>
      <c r="AN257" s="207"/>
    </row>
    <row r="258" spans="1:40" s="204" customFormat="1" ht="15">
      <c r="A258" s="288" t="s">
        <v>1006</v>
      </c>
      <c r="B258" s="287" t="s">
        <v>891</v>
      </c>
      <c r="C258" s="249">
        <v>989.1</v>
      </c>
      <c r="D258" s="280">
        <v>4.5999999999999996</v>
      </c>
      <c r="E258" s="250" t="str">
        <f>VLOOKUP(B258,'Northwest Retail Cost Data'!$C$5:$F$275,4,FALSE)</f>
        <v>Top Load</v>
      </c>
      <c r="F258" s="251" t="s">
        <v>846</v>
      </c>
      <c r="G258" s="288">
        <v>2.57</v>
      </c>
      <c r="H258" s="288">
        <v>3.88</v>
      </c>
      <c r="I258" s="252">
        <f>D258*H258*SFAssumptions!$C$3</f>
        <v>4581.8189783999997</v>
      </c>
      <c r="J258" s="253">
        <f t="shared" si="56"/>
        <v>989.1</v>
      </c>
      <c r="K258" s="254">
        <f t="shared" si="56"/>
        <v>4.5999999999999996</v>
      </c>
      <c r="L258" s="691">
        <f t="shared" si="57"/>
        <v>2.1279999999999997</v>
      </c>
      <c r="M258" s="691">
        <f t="shared" si="58"/>
        <v>4.3650320000000002</v>
      </c>
      <c r="N258" s="255">
        <v>2012</v>
      </c>
      <c r="O258" s="256">
        <f>C258*VLOOKUP(N258,SFAssumptions!$A$42:$B$51,2,FALSE)</f>
        <v>893.21158358788489</v>
      </c>
      <c r="P258" s="254">
        <f ca="1">O258+((SFAssumptions!$C$8-D258)*$AO$35)</f>
        <v>817.71177764769755</v>
      </c>
      <c r="Q258" s="190" t="str">
        <f>IF(OR(L258="",M258=""),"No",IF(AND(E258="Front Load",L258&gt;='Eff. Standards &amp; Certifications'!$B$21,M258&lt;='Eff. Standards &amp; Certifications'!$C$21),"Consider",IF(AND(E258="Top Load",L258&gt;='Eff. Standards &amp; Certifications'!$B$20,M258&lt;='Eff. Standards &amp; Certifications'!$C$20),"Consider","No")))</f>
        <v>Consider</v>
      </c>
      <c r="R258" s="203"/>
      <c r="S258" s="203"/>
      <c r="T258" s="293" t="str">
        <f t="shared" si="63"/>
        <v>YES</v>
      </c>
      <c r="U258" s="293" t="str">
        <f t="shared" si="63"/>
        <v>NO</v>
      </c>
      <c r="V258" s="293" t="str">
        <f t="shared" si="64"/>
        <v>YES</v>
      </c>
      <c r="W258" s="211" t="str">
        <f t="shared" si="59"/>
        <v>YES</v>
      </c>
      <c r="X258" s="211" t="str">
        <f t="shared" si="59"/>
        <v>NO</v>
      </c>
      <c r="Y258" s="211" t="str">
        <f t="shared" si="65"/>
        <v>YES</v>
      </c>
      <c r="Z258" s="211" t="str">
        <f t="shared" si="66"/>
        <v>NO</v>
      </c>
      <c r="AA258" s="211" t="str">
        <f t="shared" si="66"/>
        <v>NO</v>
      </c>
      <c r="AB258" s="293" t="str">
        <f t="shared" si="67"/>
        <v>NO</v>
      </c>
      <c r="AC258" s="211" t="str">
        <f t="shared" si="68"/>
        <v>NO</v>
      </c>
      <c r="AD258" s="211" t="str">
        <f t="shared" si="69"/>
        <v>NO</v>
      </c>
      <c r="AE258" s="211" t="str">
        <f t="shared" si="70"/>
        <v>NO</v>
      </c>
      <c r="AF258" s="206"/>
      <c r="AG258" s="206"/>
      <c r="AH258" s="203">
        <f t="shared" si="60"/>
        <v>2.1279999999999997</v>
      </c>
      <c r="AI258" s="203">
        <f t="shared" si="61"/>
        <v>989.1</v>
      </c>
      <c r="AJ258" s="203">
        <f t="shared" si="62"/>
        <v>863.48682353803156</v>
      </c>
      <c r="AK258" s="203"/>
      <c r="AL258" s="203"/>
      <c r="AM258" s="203"/>
      <c r="AN258" s="207"/>
    </row>
    <row r="259" spans="1:40" s="204" customFormat="1" ht="15">
      <c r="A259" s="288" t="s">
        <v>1006</v>
      </c>
      <c r="B259" s="287" t="s">
        <v>889</v>
      </c>
      <c r="C259" s="249">
        <v>809.1</v>
      </c>
      <c r="D259" s="280">
        <v>4.5999999999999996</v>
      </c>
      <c r="E259" s="250" t="str">
        <f>VLOOKUP(B259,'Northwest Retail Cost Data'!$C$5:$F$275,4,FALSE)</f>
        <v>Top Load</v>
      </c>
      <c r="F259" s="251" t="s">
        <v>846</v>
      </c>
      <c r="G259" s="288">
        <v>2.57</v>
      </c>
      <c r="H259" s="288">
        <v>3.88</v>
      </c>
      <c r="I259" s="252">
        <f>D259*H259*SFAssumptions!$C$3</f>
        <v>4581.8189783999997</v>
      </c>
      <c r="J259" s="253">
        <f t="shared" si="56"/>
        <v>809.1</v>
      </c>
      <c r="K259" s="254">
        <f t="shared" si="56"/>
        <v>4.5999999999999996</v>
      </c>
      <c r="L259" s="691">
        <f t="shared" si="57"/>
        <v>2.1279999999999997</v>
      </c>
      <c r="M259" s="691">
        <f t="shared" si="58"/>
        <v>4.3650320000000002</v>
      </c>
      <c r="N259" s="255">
        <v>2012</v>
      </c>
      <c r="O259" s="256">
        <f>C259*VLOOKUP(N259,SFAssumptions!$A$42:$B$51,2,FALSE)</f>
        <v>730.66170486397505</v>
      </c>
      <c r="P259" s="254">
        <f ca="1">O259+((SFAssumptions!$C$8-D259)*$AO$35)</f>
        <v>655.1618989237877</v>
      </c>
      <c r="Q259" s="190" t="str">
        <f>IF(OR(L259="",M259=""),"No",IF(AND(E259="Front Load",L259&gt;='Eff. Standards &amp; Certifications'!$B$21,M259&lt;='Eff. Standards &amp; Certifications'!$C$21),"Consider",IF(AND(E259="Top Load",L259&gt;='Eff. Standards &amp; Certifications'!$B$20,M259&lt;='Eff. Standards &amp; Certifications'!$C$20),"Consider","No")))</f>
        <v>Consider</v>
      </c>
      <c r="R259" s="203"/>
      <c r="S259" s="203"/>
      <c r="T259" s="293" t="str">
        <f t="shared" si="63"/>
        <v>YES</v>
      </c>
      <c r="U259" s="293" t="str">
        <f t="shared" si="63"/>
        <v>NO</v>
      </c>
      <c r="V259" s="293" t="str">
        <f t="shared" si="64"/>
        <v>YES</v>
      </c>
      <c r="W259" s="211" t="str">
        <f t="shared" si="59"/>
        <v>YES</v>
      </c>
      <c r="X259" s="211" t="str">
        <f t="shared" si="59"/>
        <v>NO</v>
      </c>
      <c r="Y259" s="211" t="str">
        <f t="shared" si="65"/>
        <v>YES</v>
      </c>
      <c r="Z259" s="211" t="str">
        <f t="shared" si="66"/>
        <v>NO</v>
      </c>
      <c r="AA259" s="211" t="str">
        <f t="shared" si="66"/>
        <v>NO</v>
      </c>
      <c r="AB259" s="293" t="str">
        <f t="shared" si="67"/>
        <v>NO</v>
      </c>
      <c r="AC259" s="211" t="str">
        <f t="shared" si="68"/>
        <v>NO</v>
      </c>
      <c r="AD259" s="211" t="str">
        <f t="shared" si="69"/>
        <v>NO</v>
      </c>
      <c r="AE259" s="211" t="str">
        <f t="shared" si="70"/>
        <v>NO</v>
      </c>
      <c r="AF259" s="206"/>
      <c r="AG259" s="206"/>
      <c r="AH259" s="203">
        <f t="shared" si="60"/>
        <v>2.1279999999999997</v>
      </c>
      <c r="AI259" s="203">
        <f t="shared" si="61"/>
        <v>809.1</v>
      </c>
      <c r="AJ259" s="203">
        <f t="shared" si="62"/>
        <v>863.48682353803156</v>
      </c>
      <c r="AK259" s="203"/>
      <c r="AL259" s="203"/>
      <c r="AM259" s="203"/>
      <c r="AN259" s="207"/>
    </row>
    <row r="260" spans="1:40" s="204" customFormat="1" ht="15">
      <c r="A260" s="288" t="s">
        <v>557</v>
      </c>
      <c r="B260" s="287" t="s">
        <v>897</v>
      </c>
      <c r="C260" s="249">
        <v>449.1</v>
      </c>
      <c r="D260" s="280">
        <v>3.4</v>
      </c>
      <c r="E260" s="250" t="str">
        <f>VLOOKUP(B260,'Northwest Retail Cost Data'!$C$5:$F$275,4,FALSE)</f>
        <v>Top Load</v>
      </c>
      <c r="F260" s="251" t="s">
        <v>846</v>
      </c>
      <c r="G260" s="288">
        <v>2.48</v>
      </c>
      <c r="H260" s="288">
        <v>3.64</v>
      </c>
      <c r="I260" s="252">
        <f>D260*H260*SFAssumptions!$C$3</f>
        <v>3177.0838008000001</v>
      </c>
      <c r="J260" s="253">
        <f t="shared" si="56"/>
        <v>449.1</v>
      </c>
      <c r="K260" s="254">
        <f t="shared" si="56"/>
        <v>3.4</v>
      </c>
      <c r="L260" s="691">
        <f t="shared" si="57"/>
        <v>2.0388999999999999</v>
      </c>
      <c r="M260" s="691">
        <f t="shared" si="58"/>
        <v>4.1276960000000003</v>
      </c>
      <c r="N260" s="255">
        <v>2012</v>
      </c>
      <c r="O260" s="256">
        <f>C260*VLOOKUP(N260,SFAssumptions!$A$42:$B$51,2,FALSE)</f>
        <v>405.56194741615519</v>
      </c>
      <c r="P260" s="254">
        <f ca="1">O260+((SFAssumptions!$C$8-D260)*$AO$35)</f>
        <v>440.14788956081736</v>
      </c>
      <c r="Q260" s="190" t="str">
        <f>IF(OR(L260="",M260=""),"No",IF(AND(E260="Front Load",L260&gt;='Eff. Standards &amp; Certifications'!$B$21,M260&lt;='Eff. Standards &amp; Certifications'!$C$21),"Consider",IF(AND(E260="Top Load",L260&gt;='Eff. Standards &amp; Certifications'!$B$20,M260&lt;='Eff. Standards &amp; Certifications'!$C$20),"Consider","No")))</f>
        <v>Consider</v>
      </c>
      <c r="R260" s="203"/>
      <c r="S260" s="203"/>
      <c r="T260" s="293" t="str">
        <f t="shared" si="63"/>
        <v>YES</v>
      </c>
      <c r="U260" s="293" t="str">
        <f t="shared" si="63"/>
        <v>NO</v>
      </c>
      <c r="V260" s="293" t="str">
        <f t="shared" si="64"/>
        <v>YES</v>
      </c>
      <c r="W260" s="211" t="str">
        <f t="shared" si="59"/>
        <v>YES</v>
      </c>
      <c r="X260" s="211" t="str">
        <f t="shared" si="59"/>
        <v>NO</v>
      </c>
      <c r="Y260" s="211" t="str">
        <f t="shared" si="65"/>
        <v>YES</v>
      </c>
      <c r="Z260" s="211" t="str">
        <f t="shared" si="66"/>
        <v>NO</v>
      </c>
      <c r="AA260" s="211" t="str">
        <f t="shared" si="66"/>
        <v>NO</v>
      </c>
      <c r="AB260" s="293" t="str">
        <f t="shared" si="67"/>
        <v>NO</v>
      </c>
      <c r="AC260" s="211" t="str">
        <f t="shared" si="68"/>
        <v>NO</v>
      </c>
      <c r="AD260" s="211" t="str">
        <f t="shared" si="69"/>
        <v>NO</v>
      </c>
      <c r="AE260" s="211" t="str">
        <f t="shared" si="70"/>
        <v>NO</v>
      </c>
      <c r="AF260" s="206"/>
      <c r="AG260" s="206"/>
      <c r="AH260" s="203">
        <f t="shared" si="60"/>
        <v>2.0388999999999999</v>
      </c>
      <c r="AI260" s="203">
        <f t="shared" si="61"/>
        <v>449.1</v>
      </c>
      <c r="AJ260" s="203">
        <f t="shared" si="62"/>
        <v>733.51212362526837</v>
      </c>
      <c r="AK260" s="203"/>
      <c r="AL260" s="203"/>
      <c r="AM260" s="203"/>
      <c r="AN260" s="207"/>
    </row>
    <row r="261" spans="1:40" s="204" customFormat="1" ht="15">
      <c r="A261" s="288" t="s">
        <v>557</v>
      </c>
      <c r="B261" s="287" t="s">
        <v>890</v>
      </c>
      <c r="C261" s="249">
        <v>674.1</v>
      </c>
      <c r="D261" s="280">
        <v>3.6</v>
      </c>
      <c r="E261" s="250" t="str">
        <f>VLOOKUP(B261,'Northwest Retail Cost Data'!$C$5:$F$275,4,FALSE)</f>
        <v>Top Load</v>
      </c>
      <c r="F261" s="251" t="s">
        <v>846</v>
      </c>
      <c r="G261" s="288">
        <v>2.46</v>
      </c>
      <c r="H261" s="288">
        <v>3.62</v>
      </c>
      <c r="I261" s="252">
        <f>D261*H261*SFAssumptions!$C$3</f>
        <v>3345.4877256</v>
      </c>
      <c r="J261" s="253">
        <f t="shared" si="56"/>
        <v>674.1</v>
      </c>
      <c r="K261" s="254">
        <f t="shared" si="56"/>
        <v>3.6</v>
      </c>
      <c r="L261" s="691">
        <f t="shared" si="57"/>
        <v>2.0190999999999999</v>
      </c>
      <c r="M261" s="691">
        <f t="shared" si="58"/>
        <v>4.1079179999999997</v>
      </c>
      <c r="N261" s="255">
        <v>2012</v>
      </c>
      <c r="O261" s="256">
        <f>C261*VLOOKUP(N261,SFAssumptions!$A$42:$B$51,2,FALSE)</f>
        <v>608.74929582104255</v>
      </c>
      <c r="P261" s="254">
        <f ca="1">O261+((SFAssumptions!$C$8-D261)*$AO$35)</f>
        <v>624.9876132848965</v>
      </c>
      <c r="Q261" s="190" t="str">
        <f>IF(OR(L261="",M261=""),"No",IF(AND(E261="Front Load",L261&gt;='Eff. Standards &amp; Certifications'!$B$21,M261&lt;='Eff. Standards &amp; Certifications'!$C$21),"Consider",IF(AND(E261="Top Load",L261&gt;='Eff. Standards &amp; Certifications'!$B$20,M261&lt;='Eff. Standards &amp; Certifications'!$C$20),"Consider","No")))</f>
        <v>Consider</v>
      </c>
      <c r="R261" s="203"/>
      <c r="S261" s="203"/>
      <c r="T261" s="293" t="str">
        <f t="shared" si="63"/>
        <v>YES</v>
      </c>
      <c r="U261" s="293" t="str">
        <f t="shared" si="63"/>
        <v>NO</v>
      </c>
      <c r="V261" s="293" t="str">
        <f t="shared" si="64"/>
        <v>YES</v>
      </c>
      <c r="W261" s="211" t="str">
        <f t="shared" si="59"/>
        <v>YES</v>
      </c>
      <c r="X261" s="211" t="str">
        <f t="shared" si="59"/>
        <v>NO</v>
      </c>
      <c r="Y261" s="211" t="str">
        <f t="shared" si="65"/>
        <v>YES</v>
      </c>
      <c r="Z261" s="211" t="str">
        <f t="shared" si="66"/>
        <v>NO</v>
      </c>
      <c r="AA261" s="211" t="str">
        <f t="shared" si="66"/>
        <v>NO</v>
      </c>
      <c r="AB261" s="293" t="str">
        <f t="shared" si="67"/>
        <v>NO</v>
      </c>
      <c r="AC261" s="211" t="str">
        <f t="shared" si="68"/>
        <v>NO</v>
      </c>
      <c r="AD261" s="211" t="str">
        <f t="shared" si="69"/>
        <v>NO</v>
      </c>
      <c r="AE261" s="211" t="str">
        <f t="shared" si="70"/>
        <v>NO</v>
      </c>
      <c r="AF261" s="206"/>
      <c r="AG261" s="206"/>
      <c r="AH261" s="203">
        <f t="shared" si="60"/>
        <v>2.0190999999999999</v>
      </c>
      <c r="AI261" s="203">
        <f t="shared" si="61"/>
        <v>674.1</v>
      </c>
      <c r="AJ261" s="203">
        <f t="shared" si="62"/>
        <v>747.21153715134926</v>
      </c>
      <c r="AK261" s="203"/>
      <c r="AL261" s="203"/>
      <c r="AM261" s="203"/>
      <c r="AN261" s="207"/>
    </row>
    <row r="262" spans="1:40" s="204" customFormat="1" ht="15">
      <c r="A262" s="288" t="s">
        <v>597</v>
      </c>
      <c r="B262" s="287" t="s">
        <v>970</v>
      </c>
      <c r="C262" s="249">
        <v>629.1</v>
      </c>
      <c r="D262" s="280">
        <v>4</v>
      </c>
      <c r="E262" s="250" t="str">
        <f>VLOOKUP(B262,'Northwest Retail Cost Data'!$C$5:$F$275,4,FALSE)</f>
        <v>Top Load</v>
      </c>
      <c r="F262" s="251" t="s">
        <v>846</v>
      </c>
      <c r="G262" s="288">
        <v>2.41</v>
      </c>
      <c r="H262" s="288">
        <v>3.7</v>
      </c>
      <c r="I262" s="252">
        <f>D262*H262*SFAssumptions!$C$3</f>
        <v>3799.3568400000004</v>
      </c>
      <c r="J262" s="253">
        <f t="shared" si="56"/>
        <v>629.1</v>
      </c>
      <c r="K262" s="254">
        <f t="shared" si="56"/>
        <v>4</v>
      </c>
      <c r="L262" s="691">
        <f t="shared" si="57"/>
        <v>1.9695999999999998</v>
      </c>
      <c r="M262" s="691">
        <f t="shared" si="58"/>
        <v>4.18703</v>
      </c>
      <c r="N262" s="255">
        <v>2012</v>
      </c>
      <c r="O262" s="256">
        <f>C262*VLOOKUP(N262,SFAssumptions!$A$42:$B$51,2,FALSE)</f>
        <v>568.11182614006509</v>
      </c>
      <c r="P262" s="254">
        <f ca="1">O262+((SFAssumptions!$C$8-D262)*$AO$35)</f>
        <v>547.65489424230248</v>
      </c>
      <c r="Q262" s="190" t="str">
        <f>IF(OR(L262="",M262=""),"No",IF(AND(E262="Front Load",L262&gt;='Eff. Standards &amp; Certifications'!$B$21,M262&lt;='Eff. Standards &amp; Certifications'!$C$21),"Consider",IF(AND(E262="Top Load",L262&gt;='Eff. Standards &amp; Certifications'!$B$20,M262&lt;='Eff. Standards &amp; Certifications'!$C$20),"Consider","No")))</f>
        <v>Consider</v>
      </c>
      <c r="R262" s="203"/>
      <c r="S262" s="203"/>
      <c r="T262" s="293" t="str">
        <f t="shared" si="63"/>
        <v>YES</v>
      </c>
      <c r="U262" s="293" t="str">
        <f t="shared" si="63"/>
        <v>NO</v>
      </c>
      <c r="V262" s="293" t="str">
        <f t="shared" si="64"/>
        <v>YES</v>
      </c>
      <c r="W262" s="211" t="str">
        <f t="shared" si="59"/>
        <v>YES</v>
      </c>
      <c r="X262" s="211" t="str">
        <f t="shared" si="59"/>
        <v>NO</v>
      </c>
      <c r="Y262" s="211" t="str">
        <f t="shared" si="65"/>
        <v>YES</v>
      </c>
      <c r="Z262" s="211" t="str">
        <f t="shared" si="66"/>
        <v>NO</v>
      </c>
      <c r="AA262" s="211" t="str">
        <f t="shared" si="66"/>
        <v>NO</v>
      </c>
      <c r="AB262" s="293" t="str">
        <f t="shared" si="67"/>
        <v>NO</v>
      </c>
      <c r="AC262" s="211" t="str">
        <f t="shared" si="68"/>
        <v>NO</v>
      </c>
      <c r="AD262" s="211" t="str">
        <f t="shared" si="69"/>
        <v>NO</v>
      </c>
      <c r="AE262" s="211" t="str">
        <f t="shared" si="70"/>
        <v>NO</v>
      </c>
      <c r="AF262" s="206"/>
      <c r="AG262" s="206"/>
      <c r="AH262" s="203">
        <f t="shared" si="60"/>
        <v>1.9695999999999998</v>
      </c>
      <c r="AI262" s="203">
        <f t="shared" si="61"/>
        <v>629.1</v>
      </c>
      <c r="AJ262" s="203">
        <f t="shared" si="62"/>
        <v>771.3953267069021</v>
      </c>
      <c r="AK262" s="203"/>
      <c r="AL262" s="203"/>
      <c r="AM262" s="203"/>
      <c r="AN262" s="207"/>
    </row>
    <row r="263" spans="1:40" s="204" customFormat="1" ht="15">
      <c r="A263" s="288" t="s">
        <v>597</v>
      </c>
      <c r="B263" s="287" t="s">
        <v>965</v>
      </c>
      <c r="C263" s="249">
        <v>674.1</v>
      </c>
      <c r="D263" s="280">
        <v>4.5</v>
      </c>
      <c r="E263" s="250" t="str">
        <f>VLOOKUP(B263,'Northwest Retail Cost Data'!$C$5:$F$275,4,FALSE)</f>
        <v>Top Load</v>
      </c>
      <c r="F263" s="251" t="s">
        <v>846</v>
      </c>
      <c r="G263" s="288">
        <v>2.4500000000000002</v>
      </c>
      <c r="H263" s="288">
        <v>3.55</v>
      </c>
      <c r="I263" s="252">
        <f>D263*H263*SFAssumptions!$C$3</f>
        <v>4100.9949674999998</v>
      </c>
      <c r="J263" s="253">
        <f t="shared" si="56"/>
        <v>674.1</v>
      </c>
      <c r="K263" s="254">
        <f t="shared" si="56"/>
        <v>4.5</v>
      </c>
      <c r="L263" s="691">
        <f t="shared" si="57"/>
        <v>2.0091999999999999</v>
      </c>
      <c r="M263" s="691">
        <f t="shared" si="58"/>
        <v>4.0386949999999997</v>
      </c>
      <c r="N263" s="255">
        <v>2012</v>
      </c>
      <c r="O263" s="256">
        <f>C263*VLOOKUP(N263,SFAssumptions!$A$42:$B$51,2,FALSE)</f>
        <v>608.74929582104255</v>
      </c>
      <c r="P263" s="254">
        <f ca="1">O263+((SFAssumptions!$C$8-D263)*$AO$35)</f>
        <v>542.42330222125929</v>
      </c>
      <c r="Q263" s="190" t="str">
        <f>IF(OR(L263="",M263=""),"No",IF(AND(E263="Front Load",L263&gt;='Eff. Standards &amp; Certifications'!$B$21,M263&lt;='Eff. Standards &amp; Certifications'!$C$21),"Consider",IF(AND(E263="Top Load",L263&gt;='Eff. Standards &amp; Certifications'!$B$20,M263&lt;='Eff. Standards &amp; Certifications'!$C$20),"Consider","No")))</f>
        <v>Consider</v>
      </c>
      <c r="R263" s="203"/>
      <c r="S263" s="203"/>
      <c r="T263" s="293" t="str">
        <f t="shared" si="63"/>
        <v>YES</v>
      </c>
      <c r="U263" s="293" t="str">
        <f t="shared" si="63"/>
        <v>NO</v>
      </c>
      <c r="V263" s="293" t="str">
        <f t="shared" si="64"/>
        <v>YES</v>
      </c>
      <c r="W263" s="211" t="str">
        <f t="shared" si="59"/>
        <v>YES</v>
      </c>
      <c r="X263" s="211" t="str">
        <f t="shared" si="59"/>
        <v>NO</v>
      </c>
      <c r="Y263" s="211" t="str">
        <f t="shared" si="65"/>
        <v>YES</v>
      </c>
      <c r="Z263" s="211" t="str">
        <f t="shared" si="66"/>
        <v>NO</v>
      </c>
      <c r="AA263" s="211" t="str">
        <f t="shared" si="66"/>
        <v>NO</v>
      </c>
      <c r="AB263" s="293" t="str">
        <f t="shared" si="67"/>
        <v>NO</v>
      </c>
      <c r="AC263" s="211" t="str">
        <f t="shared" si="68"/>
        <v>NO</v>
      </c>
      <c r="AD263" s="211" t="str">
        <f t="shared" si="69"/>
        <v>NO</v>
      </c>
      <c r="AE263" s="211" t="str">
        <f t="shared" si="70"/>
        <v>NO</v>
      </c>
      <c r="AF263" s="206"/>
      <c r="AG263" s="206"/>
      <c r="AH263" s="203">
        <f t="shared" si="60"/>
        <v>2.0091999999999999</v>
      </c>
      <c r="AI263" s="203">
        <f t="shared" si="61"/>
        <v>674.1</v>
      </c>
      <c r="AJ263" s="203">
        <f t="shared" si="62"/>
        <v>827.8629419849666</v>
      </c>
      <c r="AK263" s="203"/>
      <c r="AL263" s="203"/>
      <c r="AM263" s="203"/>
      <c r="AN263" s="207"/>
    </row>
    <row r="264" spans="1:40" s="204" customFormat="1" ht="15">
      <c r="A264" s="288" t="s">
        <v>597</v>
      </c>
      <c r="B264" s="287" t="s">
        <v>1007</v>
      </c>
      <c r="C264" s="249">
        <v>899.1</v>
      </c>
      <c r="D264" s="280">
        <v>4.7</v>
      </c>
      <c r="E264" s="250" t="str">
        <f>VLOOKUP(B264,'Northwest Retail Cost Data'!$C$5:$F$275,4,FALSE)</f>
        <v>Top Load</v>
      </c>
      <c r="F264" s="251" t="s">
        <v>846</v>
      </c>
      <c r="G264" s="288">
        <v>2.41</v>
      </c>
      <c r="H264" s="288">
        <v>4</v>
      </c>
      <c r="I264" s="252">
        <f>D264*H264*SFAssumptions!$C$3</f>
        <v>4826.2100399999999</v>
      </c>
      <c r="J264" s="253">
        <f t="shared" si="56"/>
        <v>899.1</v>
      </c>
      <c r="K264" s="254">
        <f t="shared" si="56"/>
        <v>4.7</v>
      </c>
      <c r="L264" s="691">
        <f t="shared" si="57"/>
        <v>1.9695999999999998</v>
      </c>
      <c r="M264" s="691">
        <f t="shared" si="58"/>
        <v>4.4836999999999998</v>
      </c>
      <c r="N264" s="255">
        <v>2012</v>
      </c>
      <c r="O264" s="256">
        <f>C264*VLOOKUP(N264,SFAssumptions!$A$42:$B$51,2,FALSE)</f>
        <v>811.93664422592997</v>
      </c>
      <c r="P264" s="254">
        <f ca="1">O264+((SFAssumptions!$C$8-D264)*$AO$35)</f>
        <v>727.26302594533843</v>
      </c>
      <c r="Q264" s="190" t="str">
        <f>IF(OR(L264="",M264=""),"No",IF(AND(E264="Front Load",L264&gt;='Eff. Standards &amp; Certifications'!$B$21,M264&lt;='Eff. Standards &amp; Certifications'!$C$21),"Consider",IF(AND(E264="Top Load",L264&gt;='Eff. Standards &amp; Certifications'!$B$20,M264&lt;='Eff. Standards &amp; Certifications'!$C$20),"Consider","No")))</f>
        <v>Consider</v>
      </c>
      <c r="R264" s="203"/>
      <c r="S264" s="203"/>
      <c r="T264" s="293" t="str">
        <f t="shared" si="63"/>
        <v>YES</v>
      </c>
      <c r="U264" s="293" t="str">
        <f t="shared" si="63"/>
        <v>NO</v>
      </c>
      <c r="V264" s="293" t="str">
        <f t="shared" si="64"/>
        <v>YES</v>
      </c>
      <c r="W264" s="211" t="str">
        <f t="shared" si="59"/>
        <v>YES</v>
      </c>
      <c r="X264" s="211" t="str">
        <f t="shared" si="59"/>
        <v>NO</v>
      </c>
      <c r="Y264" s="211" t="str">
        <f t="shared" si="65"/>
        <v>YES</v>
      </c>
      <c r="Z264" s="211" t="str">
        <f t="shared" si="66"/>
        <v>NO</v>
      </c>
      <c r="AA264" s="211" t="str">
        <f t="shared" si="66"/>
        <v>NO</v>
      </c>
      <c r="AB264" s="293" t="str">
        <f t="shared" si="67"/>
        <v>NO</v>
      </c>
      <c r="AC264" s="211" t="str">
        <f t="shared" si="68"/>
        <v>NO</v>
      </c>
      <c r="AD264" s="211" t="str">
        <f t="shared" si="69"/>
        <v>NO</v>
      </c>
      <c r="AE264" s="211" t="str">
        <f t="shared" si="70"/>
        <v>NO</v>
      </c>
      <c r="AF264" s="206"/>
      <c r="AG264" s="206"/>
      <c r="AH264" s="203">
        <f t="shared" si="60"/>
        <v>1.9695999999999998</v>
      </c>
      <c r="AI264" s="203">
        <f t="shared" si="61"/>
        <v>899.1</v>
      </c>
      <c r="AJ264" s="203">
        <f t="shared" si="62"/>
        <v>833.55601635301161</v>
      </c>
      <c r="AK264" s="203"/>
      <c r="AL264" s="203"/>
      <c r="AM264" s="203"/>
      <c r="AN264" s="207"/>
    </row>
    <row r="265" spans="1:40" s="204" customFormat="1" ht="15">
      <c r="A265" s="288" t="s">
        <v>597</v>
      </c>
      <c r="B265" s="287" t="s">
        <v>972</v>
      </c>
      <c r="C265" s="249">
        <v>719.1</v>
      </c>
      <c r="D265" s="280">
        <v>4.2</v>
      </c>
      <c r="E265" s="250" t="str">
        <f>VLOOKUP(B265,'Northwest Retail Cost Data'!$C$5:$F$275,4,FALSE)</f>
        <v>Top Load</v>
      </c>
      <c r="F265" s="251" t="s">
        <v>846</v>
      </c>
      <c r="G265" s="288">
        <v>2.4500000000000002</v>
      </c>
      <c r="H265" s="288">
        <v>3.55</v>
      </c>
      <c r="I265" s="252">
        <f>D265*H265*SFAssumptions!$C$3</f>
        <v>3827.5953030000001</v>
      </c>
      <c r="J265" s="253">
        <f t="shared" si="56"/>
        <v>719.1</v>
      </c>
      <c r="K265" s="254">
        <f t="shared" si="56"/>
        <v>4.2</v>
      </c>
      <c r="L265" s="691">
        <f t="shared" si="57"/>
        <v>2.0091999999999999</v>
      </c>
      <c r="M265" s="691">
        <f t="shared" si="58"/>
        <v>4.0386949999999997</v>
      </c>
      <c r="N265" s="255">
        <v>2012</v>
      </c>
      <c r="O265" s="256">
        <f>C265*VLOOKUP(N265,SFAssumptions!$A$42:$B$51,2,FALSE)</f>
        <v>649.38676550202013</v>
      </c>
      <c r="P265" s="254">
        <f ca="1">O265+((SFAssumptions!$C$8-D265)*$AO$35)</f>
        <v>610.58220892344923</v>
      </c>
      <c r="Q265" s="190" t="str">
        <f>IF(OR(L265="",M265=""),"No",IF(AND(E265="Front Load",L265&gt;='Eff. Standards &amp; Certifications'!$B$21,M265&lt;='Eff. Standards &amp; Certifications'!$C$21),"Consider",IF(AND(E265="Top Load",L265&gt;='Eff. Standards &amp; Certifications'!$B$20,M265&lt;='Eff. Standards &amp; Certifications'!$C$20),"Consider","No")))</f>
        <v>Consider</v>
      </c>
      <c r="R265" s="203"/>
      <c r="S265" s="203"/>
      <c r="T265" s="293" t="str">
        <f t="shared" si="63"/>
        <v>YES</v>
      </c>
      <c r="U265" s="293" t="str">
        <f t="shared" si="63"/>
        <v>NO</v>
      </c>
      <c r="V265" s="293" t="str">
        <f t="shared" si="64"/>
        <v>YES</v>
      </c>
      <c r="W265" s="211" t="str">
        <f t="shared" si="59"/>
        <v>YES</v>
      </c>
      <c r="X265" s="211" t="str">
        <f t="shared" si="59"/>
        <v>NO</v>
      </c>
      <c r="Y265" s="211" t="str">
        <f t="shared" si="65"/>
        <v>YES</v>
      </c>
      <c r="Z265" s="211" t="str">
        <f t="shared" si="66"/>
        <v>NO</v>
      </c>
      <c r="AA265" s="211" t="str">
        <f t="shared" si="66"/>
        <v>NO</v>
      </c>
      <c r="AB265" s="293" t="str">
        <f t="shared" si="67"/>
        <v>NO</v>
      </c>
      <c r="AC265" s="211" t="str">
        <f t="shared" si="68"/>
        <v>NO</v>
      </c>
      <c r="AD265" s="211" t="str">
        <f t="shared" si="69"/>
        <v>NO</v>
      </c>
      <c r="AE265" s="211" t="str">
        <f t="shared" si="70"/>
        <v>NO</v>
      </c>
      <c r="AF265" s="206"/>
      <c r="AG265" s="206"/>
      <c r="AH265" s="203">
        <f t="shared" si="60"/>
        <v>2.0091999999999999</v>
      </c>
      <c r="AI265" s="203">
        <f t="shared" si="61"/>
        <v>719.1</v>
      </c>
      <c r="AJ265" s="203">
        <f t="shared" si="62"/>
        <v>800.34150496375423</v>
      </c>
      <c r="AK265" s="203"/>
      <c r="AL265" s="203"/>
      <c r="AM265" s="203"/>
      <c r="AN265" s="207"/>
    </row>
    <row r="266" spans="1:40" s="204" customFormat="1" ht="15">
      <c r="A266" s="288" t="s">
        <v>625</v>
      </c>
      <c r="B266" s="287" t="s">
        <v>935</v>
      </c>
      <c r="C266" s="249">
        <v>449.1</v>
      </c>
      <c r="D266" s="280">
        <v>3.4</v>
      </c>
      <c r="E266" s="250" t="str">
        <f>VLOOKUP(B266,'Northwest Retail Cost Data'!$C$5:$F$275,4,FALSE)</f>
        <v>Top Load</v>
      </c>
      <c r="F266" s="251" t="s">
        <v>846</v>
      </c>
      <c r="G266" s="288">
        <v>1.41</v>
      </c>
      <c r="H266" s="288">
        <v>8.6</v>
      </c>
      <c r="I266" s="252">
        <f>D266*H266*SFAssumptions!$C$3</f>
        <v>7506.2968919999994</v>
      </c>
      <c r="J266" s="253">
        <f t="shared" si="56"/>
        <v>449.1</v>
      </c>
      <c r="K266" s="254">
        <f t="shared" si="56"/>
        <v>3.4</v>
      </c>
      <c r="L266" s="691">
        <f t="shared" si="57"/>
        <v>0.97959999999999992</v>
      </c>
      <c r="M266" s="691">
        <f t="shared" si="58"/>
        <v>9.0326400000000007</v>
      </c>
      <c r="N266" s="255">
        <v>2012</v>
      </c>
      <c r="O266" s="256">
        <f>C266*VLOOKUP(N266,SFAssumptions!$A$42:$B$51,2,FALSE)</f>
        <v>405.56194741615519</v>
      </c>
      <c r="P266" s="254">
        <f ca="1">O266+((SFAssumptions!$C$8-D266)*$AO$35)</f>
        <v>440.14788956081736</v>
      </c>
      <c r="Q266" s="190" t="str">
        <f>IF(OR(L266="",M266=""),"No",IF(AND(E266="Front Load",L266&gt;='Eff. Standards &amp; Certifications'!$B$21,M266&lt;='Eff. Standards &amp; Certifications'!$C$21),"Consider",IF(AND(E266="Top Load",L266&gt;='Eff. Standards &amp; Certifications'!$B$20,M266&lt;='Eff. Standards &amp; Certifications'!$C$20),"Consider","No")))</f>
        <v>No</v>
      </c>
      <c r="R266" s="203"/>
      <c r="S266" s="203"/>
      <c r="T266" s="293" t="str">
        <f t="shared" si="63"/>
        <v>NO</v>
      </c>
      <c r="U266" s="293" t="str">
        <f t="shared" si="63"/>
        <v>NO</v>
      </c>
      <c r="V266" s="293" t="str">
        <f t="shared" si="64"/>
        <v>NO</v>
      </c>
      <c r="W266" s="211" t="str">
        <f t="shared" si="59"/>
        <v>NO</v>
      </c>
      <c r="X266" s="211" t="str">
        <f t="shared" si="59"/>
        <v>NO</v>
      </c>
      <c r="Y266" s="211" t="str">
        <f t="shared" si="65"/>
        <v>NO</v>
      </c>
      <c r="Z266" s="211" t="str">
        <f t="shared" si="66"/>
        <v>NO</v>
      </c>
      <c r="AA266" s="211" t="str">
        <f t="shared" si="66"/>
        <v>NO</v>
      </c>
      <c r="AB266" s="293" t="str">
        <f t="shared" si="67"/>
        <v>NO</v>
      </c>
      <c r="AC266" s="211" t="str">
        <f t="shared" si="68"/>
        <v>NO</v>
      </c>
      <c r="AD266" s="211" t="str">
        <f t="shared" si="69"/>
        <v>NO</v>
      </c>
      <c r="AE266" s="211" t="str">
        <f t="shared" si="70"/>
        <v>NO</v>
      </c>
      <c r="AF266" s="206"/>
      <c r="AG266" s="206"/>
      <c r="AH266" s="203">
        <f t="shared" si="60"/>
        <v>0.97959999999999992</v>
      </c>
      <c r="AI266" s="203">
        <f t="shared" si="61"/>
        <v>449.1</v>
      </c>
      <c r="AJ266" s="203">
        <f t="shared" si="62"/>
        <v>443.50729243929089</v>
      </c>
      <c r="AK266" s="203"/>
      <c r="AL266" s="203"/>
      <c r="AM266" s="203"/>
      <c r="AN266" s="207"/>
    </row>
    <row r="267" spans="1:40" s="204" customFormat="1" ht="15">
      <c r="A267" s="288" t="s">
        <v>1008</v>
      </c>
      <c r="B267" s="287" t="s">
        <v>910</v>
      </c>
      <c r="C267" s="249">
        <v>521.1</v>
      </c>
      <c r="D267" s="280">
        <v>3.4</v>
      </c>
      <c r="E267" s="250" t="str">
        <f>VLOOKUP(B267,'Northwest Retail Cost Data'!$C$5:$F$275,4,FALSE)</f>
        <v>Top Load</v>
      </c>
      <c r="F267" s="251" t="s">
        <v>846</v>
      </c>
      <c r="G267" s="288">
        <v>2.024</v>
      </c>
      <c r="H267" s="288">
        <v>5.8959999999999999</v>
      </c>
      <c r="I267" s="252">
        <f>D267*H267*SFAssumptions!$C$3</f>
        <v>5146.1774971199993</v>
      </c>
      <c r="J267" s="253">
        <f t="shared" si="56"/>
        <v>521.1</v>
      </c>
      <c r="K267" s="254">
        <f t="shared" si="56"/>
        <v>3.4</v>
      </c>
      <c r="L267" s="691">
        <f t="shared" si="57"/>
        <v>1.5874600000000001</v>
      </c>
      <c r="M267" s="691">
        <f t="shared" si="58"/>
        <v>6.3586543999999998</v>
      </c>
      <c r="N267" s="255">
        <v>2012</v>
      </c>
      <c r="O267" s="256">
        <f>C267*VLOOKUP(N267,SFAssumptions!$A$42:$B$51,2,FALSE)</f>
        <v>470.58189890571919</v>
      </c>
      <c r="P267" s="254">
        <f ca="1">O267+((SFAssumptions!$C$8-D267)*$AO$35)</f>
        <v>505.16784105038136</v>
      </c>
      <c r="Q267" s="190" t="str">
        <f>IF(OR(L267="",M267=""),"No",IF(AND(E267="Front Load",L267&gt;='Eff. Standards &amp; Certifications'!$B$21,M267&lt;='Eff. Standards &amp; Certifications'!$C$21),"Consider",IF(AND(E267="Top Load",L267&gt;='Eff. Standards &amp; Certifications'!$B$20,M267&lt;='Eff. Standards &amp; Certifications'!$C$20),"Consider","No")))</f>
        <v>Consider</v>
      </c>
      <c r="R267" s="203"/>
      <c r="S267" s="203"/>
      <c r="T267" s="293" t="str">
        <f t="shared" si="63"/>
        <v>YES</v>
      </c>
      <c r="U267" s="293" t="str">
        <f t="shared" si="63"/>
        <v>NO</v>
      </c>
      <c r="V267" s="293" t="str">
        <f t="shared" si="64"/>
        <v>YES</v>
      </c>
      <c r="W267" s="211" t="str">
        <f t="shared" si="59"/>
        <v>YES</v>
      </c>
      <c r="X267" s="211" t="str">
        <f t="shared" si="59"/>
        <v>NO</v>
      </c>
      <c r="Y267" s="211" t="str">
        <f t="shared" si="65"/>
        <v>YES</v>
      </c>
      <c r="Z267" s="211" t="str">
        <f t="shared" si="66"/>
        <v>NO</v>
      </c>
      <c r="AA267" s="211" t="str">
        <f t="shared" si="66"/>
        <v>NO</v>
      </c>
      <c r="AB267" s="293" t="str">
        <f t="shared" si="67"/>
        <v>NO</v>
      </c>
      <c r="AC267" s="211" t="str">
        <f t="shared" si="68"/>
        <v>NO</v>
      </c>
      <c r="AD267" s="211" t="str">
        <f t="shared" si="69"/>
        <v>NO</v>
      </c>
      <c r="AE267" s="211" t="str">
        <f t="shared" si="70"/>
        <v>NO</v>
      </c>
      <c r="AF267" s="206"/>
      <c r="AG267" s="206"/>
      <c r="AH267" s="203">
        <f t="shared" si="60"/>
        <v>1.5874600000000001</v>
      </c>
      <c r="AI267" s="203">
        <f t="shared" si="61"/>
        <v>521.1</v>
      </c>
      <c r="AJ267" s="203">
        <f t="shared" si="62"/>
        <v>608.94669879753951</v>
      </c>
      <c r="AK267" s="203"/>
      <c r="AL267" s="203"/>
      <c r="AM267" s="203"/>
      <c r="AN267" s="207"/>
    </row>
    <row r="268" spans="1:40" s="204" customFormat="1" ht="15">
      <c r="A268" s="288" t="s">
        <v>625</v>
      </c>
      <c r="B268" s="287" t="s">
        <v>913</v>
      </c>
      <c r="C268" s="249">
        <v>584.1</v>
      </c>
      <c r="D268" s="280">
        <v>3.6</v>
      </c>
      <c r="E268" s="250" t="str">
        <f>VLOOKUP(B268,'Northwest Retail Cost Data'!$C$5:$F$275,4,FALSE)</f>
        <v>Top Load</v>
      </c>
      <c r="F268" s="251" t="s">
        <v>846</v>
      </c>
      <c r="G268" s="288">
        <v>2.4900000000000002</v>
      </c>
      <c r="H268" s="288">
        <v>3.91</v>
      </c>
      <c r="I268" s="252">
        <f>D268*H268*SFAssumptions!$C$3</f>
        <v>3613.4964108000004</v>
      </c>
      <c r="J268" s="253">
        <f t="shared" si="56"/>
        <v>584.1</v>
      </c>
      <c r="K268" s="254">
        <f t="shared" si="56"/>
        <v>3.6</v>
      </c>
      <c r="L268" s="691">
        <f t="shared" si="57"/>
        <v>2.0488</v>
      </c>
      <c r="M268" s="691">
        <f t="shared" si="58"/>
        <v>4.3946990000000001</v>
      </c>
      <c r="N268" s="255">
        <v>2012</v>
      </c>
      <c r="O268" s="256">
        <f>C268*VLOOKUP(N268,SFAssumptions!$A$42:$B$51,2,FALSE)</f>
        <v>527.47435645908763</v>
      </c>
      <c r="P268" s="254">
        <f ca="1">O268+((SFAssumptions!$C$8-D268)*$AO$35)</f>
        <v>543.71267392294158</v>
      </c>
      <c r="Q268" s="190" t="str">
        <f>IF(OR(L268="",M268=""),"No",IF(AND(E268="Front Load",L268&gt;='Eff. Standards &amp; Certifications'!$B$21,M268&lt;='Eff. Standards &amp; Certifications'!$C$21),"Consider",IF(AND(E268="Top Load",L268&gt;='Eff. Standards &amp; Certifications'!$B$20,M268&lt;='Eff. Standards &amp; Certifications'!$C$20),"Consider","No")))</f>
        <v>Consider</v>
      </c>
      <c r="R268" s="203"/>
      <c r="S268" s="203"/>
      <c r="T268" s="293" t="str">
        <f t="shared" si="63"/>
        <v>YES</v>
      </c>
      <c r="U268" s="293" t="str">
        <f t="shared" si="63"/>
        <v>NO</v>
      </c>
      <c r="V268" s="293" t="str">
        <f t="shared" si="64"/>
        <v>YES</v>
      </c>
      <c r="W268" s="211" t="str">
        <f t="shared" si="59"/>
        <v>YES</v>
      </c>
      <c r="X268" s="211" t="str">
        <f t="shared" si="59"/>
        <v>NO</v>
      </c>
      <c r="Y268" s="211" t="str">
        <f t="shared" si="65"/>
        <v>YES</v>
      </c>
      <c r="Z268" s="211" t="str">
        <f t="shared" si="66"/>
        <v>NO</v>
      </c>
      <c r="AA268" s="211" t="str">
        <f t="shared" si="66"/>
        <v>NO</v>
      </c>
      <c r="AB268" s="293" t="str">
        <f t="shared" si="67"/>
        <v>NO</v>
      </c>
      <c r="AC268" s="211" t="str">
        <f t="shared" si="68"/>
        <v>NO</v>
      </c>
      <c r="AD268" s="211" t="str">
        <f t="shared" si="69"/>
        <v>NO</v>
      </c>
      <c r="AE268" s="211" t="str">
        <f t="shared" si="70"/>
        <v>NO</v>
      </c>
      <c r="AF268" s="206"/>
      <c r="AG268" s="206"/>
      <c r="AH268" s="203">
        <f t="shared" si="60"/>
        <v>2.0488</v>
      </c>
      <c r="AI268" s="203">
        <f t="shared" si="61"/>
        <v>584.1</v>
      </c>
      <c r="AJ268" s="203">
        <f t="shared" si="62"/>
        <v>752.40199004495025</v>
      </c>
      <c r="AK268" s="203"/>
      <c r="AL268" s="203"/>
      <c r="AM268" s="203"/>
      <c r="AN268" s="207"/>
    </row>
    <row r="269" spans="1:40" s="204" customFormat="1" ht="15">
      <c r="A269" s="288" t="s">
        <v>625</v>
      </c>
      <c r="B269" s="287" t="s">
        <v>911</v>
      </c>
      <c r="C269" s="249">
        <v>584.1</v>
      </c>
      <c r="D269" s="280">
        <v>3.6</v>
      </c>
      <c r="E269" s="250" t="str">
        <f>VLOOKUP(B269,'Northwest Retail Cost Data'!$C$5:$F$275,4,FALSE)</f>
        <v>Top Load</v>
      </c>
      <c r="F269" s="251" t="s">
        <v>846</v>
      </c>
      <c r="G269" s="288">
        <v>2.4900000000000002</v>
      </c>
      <c r="H269" s="288">
        <v>3.91</v>
      </c>
      <c r="I269" s="252">
        <f>D269*H269*SFAssumptions!$C$3</f>
        <v>3613.4964108000004</v>
      </c>
      <c r="J269" s="253">
        <f t="shared" si="56"/>
        <v>584.1</v>
      </c>
      <c r="K269" s="254">
        <f t="shared" si="56"/>
        <v>3.6</v>
      </c>
      <c r="L269" s="691">
        <f t="shared" si="57"/>
        <v>2.0488</v>
      </c>
      <c r="M269" s="691">
        <f t="shared" si="58"/>
        <v>4.3946990000000001</v>
      </c>
      <c r="N269" s="255">
        <v>2012</v>
      </c>
      <c r="O269" s="256">
        <f>C269*VLOOKUP(N269,SFAssumptions!$A$42:$B$51,2,FALSE)</f>
        <v>527.47435645908763</v>
      </c>
      <c r="P269" s="254">
        <f ca="1">O269+((SFAssumptions!$C$8-D269)*$AO$35)</f>
        <v>543.71267392294158</v>
      </c>
      <c r="Q269" s="190" t="str">
        <f>IF(OR(L269="",M269=""),"No",IF(AND(E269="Front Load",L269&gt;='Eff. Standards &amp; Certifications'!$B$21,M269&lt;='Eff. Standards &amp; Certifications'!$C$21),"Consider",IF(AND(E269="Top Load",L269&gt;='Eff. Standards &amp; Certifications'!$B$20,M269&lt;='Eff. Standards &amp; Certifications'!$C$20),"Consider","No")))</f>
        <v>Consider</v>
      </c>
      <c r="R269" s="203"/>
      <c r="S269" s="203"/>
      <c r="T269" s="293" t="str">
        <f t="shared" si="63"/>
        <v>YES</v>
      </c>
      <c r="U269" s="293" t="str">
        <f t="shared" si="63"/>
        <v>NO</v>
      </c>
      <c r="V269" s="293" t="str">
        <f t="shared" si="64"/>
        <v>YES</v>
      </c>
      <c r="W269" s="211" t="str">
        <f t="shared" si="59"/>
        <v>YES</v>
      </c>
      <c r="X269" s="211" t="str">
        <f t="shared" si="59"/>
        <v>NO</v>
      </c>
      <c r="Y269" s="211" t="str">
        <f t="shared" si="65"/>
        <v>YES</v>
      </c>
      <c r="Z269" s="211" t="str">
        <f t="shared" si="66"/>
        <v>NO</v>
      </c>
      <c r="AA269" s="211" t="str">
        <f t="shared" si="66"/>
        <v>NO</v>
      </c>
      <c r="AB269" s="293" t="str">
        <f t="shared" si="67"/>
        <v>NO</v>
      </c>
      <c r="AC269" s="211" t="str">
        <f t="shared" si="68"/>
        <v>NO</v>
      </c>
      <c r="AD269" s="211" t="str">
        <f t="shared" si="69"/>
        <v>NO</v>
      </c>
      <c r="AE269" s="211" t="str">
        <f t="shared" si="70"/>
        <v>NO</v>
      </c>
      <c r="AF269" s="206"/>
      <c r="AG269" s="206"/>
      <c r="AH269" s="203">
        <f t="shared" si="60"/>
        <v>2.0488</v>
      </c>
      <c r="AI269" s="203">
        <f t="shared" si="61"/>
        <v>584.1</v>
      </c>
      <c r="AJ269" s="203">
        <f t="shared" si="62"/>
        <v>752.40199004495025</v>
      </c>
      <c r="AK269" s="203"/>
      <c r="AL269" s="203"/>
      <c r="AM269" s="203"/>
      <c r="AN269" s="207"/>
    </row>
    <row r="270" spans="1:40" s="204" customFormat="1" ht="15">
      <c r="A270" s="288" t="s">
        <v>625</v>
      </c>
      <c r="B270" s="287" t="s">
        <v>1009</v>
      </c>
      <c r="C270" s="249">
        <v>466.65</v>
      </c>
      <c r="D270" s="280">
        <v>3.4</v>
      </c>
      <c r="E270" s="250" t="str">
        <f>VLOOKUP(B270,'Northwest Retail Cost Data'!$C$5:$F$275,4,FALSE)</f>
        <v>Top Load</v>
      </c>
      <c r="F270" s="251" t="s">
        <v>846</v>
      </c>
      <c r="G270" s="288">
        <v>2.02</v>
      </c>
      <c r="H270" s="288">
        <v>5.9</v>
      </c>
      <c r="I270" s="252">
        <f>D270*H270*SFAssumptions!$C$3</f>
        <v>5149.6687980000006</v>
      </c>
      <c r="J270" s="253">
        <f t="shared" si="56"/>
        <v>466.65</v>
      </c>
      <c r="K270" s="254">
        <f t="shared" si="56"/>
        <v>3.4</v>
      </c>
      <c r="L270" s="691">
        <f t="shared" si="57"/>
        <v>1.5834999999999999</v>
      </c>
      <c r="M270" s="691">
        <f t="shared" si="58"/>
        <v>6.362610000000001</v>
      </c>
      <c r="N270" s="255">
        <v>2012</v>
      </c>
      <c r="O270" s="256">
        <f>C270*VLOOKUP(N270,SFAssumptions!$A$42:$B$51,2,FALSE)</f>
        <v>421.41056059173638</v>
      </c>
      <c r="P270" s="254">
        <f ca="1">O270+((SFAssumptions!$C$8-D270)*$AO$35)</f>
        <v>455.99650273639855</v>
      </c>
      <c r="Q270" s="190" t="str">
        <f>IF(OR(L270="",M270=""),"No",IF(AND(E270="Front Load",L270&gt;='Eff. Standards &amp; Certifications'!$B$21,M270&lt;='Eff. Standards &amp; Certifications'!$C$21),"Consider",IF(AND(E270="Top Load",L270&gt;='Eff. Standards &amp; Certifications'!$B$20,M270&lt;='Eff. Standards &amp; Certifications'!$C$20),"Consider","No")))</f>
        <v>Consider</v>
      </c>
      <c r="R270" s="203"/>
      <c r="S270" s="203"/>
      <c r="T270" s="293" t="str">
        <f t="shared" si="63"/>
        <v>YES</v>
      </c>
      <c r="U270" s="293" t="str">
        <f t="shared" si="63"/>
        <v>NO</v>
      </c>
      <c r="V270" s="293" t="str">
        <f t="shared" si="64"/>
        <v>YES</v>
      </c>
      <c r="W270" s="211" t="str">
        <f t="shared" si="59"/>
        <v>YES</v>
      </c>
      <c r="X270" s="211" t="str">
        <f t="shared" si="59"/>
        <v>NO</v>
      </c>
      <c r="Y270" s="211" t="str">
        <f t="shared" si="65"/>
        <v>YES</v>
      </c>
      <c r="Z270" s="211" t="str">
        <f t="shared" si="66"/>
        <v>NO</v>
      </c>
      <c r="AA270" s="211" t="str">
        <f t="shared" si="66"/>
        <v>NO</v>
      </c>
      <c r="AB270" s="293" t="str">
        <f t="shared" si="67"/>
        <v>NO</v>
      </c>
      <c r="AC270" s="211" t="str">
        <f t="shared" si="68"/>
        <v>NO</v>
      </c>
      <c r="AD270" s="211" t="str">
        <f t="shared" si="69"/>
        <v>NO</v>
      </c>
      <c r="AE270" s="211" t="str">
        <f t="shared" si="70"/>
        <v>NO</v>
      </c>
      <c r="AF270" s="206"/>
      <c r="AG270" s="206"/>
      <c r="AH270" s="203">
        <f t="shared" si="60"/>
        <v>1.5834999999999999</v>
      </c>
      <c r="AI270" s="203">
        <f t="shared" si="61"/>
        <v>466.65</v>
      </c>
      <c r="AJ270" s="203">
        <f t="shared" si="62"/>
        <v>607.96222998694827</v>
      </c>
      <c r="AK270" s="203"/>
      <c r="AL270" s="203"/>
      <c r="AM270" s="203"/>
      <c r="AN270" s="207"/>
    </row>
    <row r="271" spans="1:40" s="204" customFormat="1" ht="15">
      <c r="A271" s="288" t="s">
        <v>625</v>
      </c>
      <c r="B271" s="287" t="s">
        <v>914</v>
      </c>
      <c r="C271" s="249">
        <v>809.1</v>
      </c>
      <c r="D271" s="280">
        <v>3.6</v>
      </c>
      <c r="E271" s="250" t="str">
        <f>VLOOKUP(B271,'Northwest Retail Cost Data'!$C$5:$F$275,4,FALSE)</f>
        <v>Top Load</v>
      </c>
      <c r="F271" s="251" t="s">
        <v>846</v>
      </c>
      <c r="G271" s="288">
        <v>2.46</v>
      </c>
      <c r="H271" s="288">
        <v>3.84</v>
      </c>
      <c r="I271" s="252">
        <f>D271*H271*SFAssumptions!$C$3</f>
        <v>3548.8046592000001</v>
      </c>
      <c r="J271" s="253">
        <f t="shared" si="56"/>
        <v>809.1</v>
      </c>
      <c r="K271" s="254">
        <f t="shared" si="56"/>
        <v>3.6</v>
      </c>
      <c r="L271" s="691">
        <f t="shared" si="57"/>
        <v>2.0190999999999999</v>
      </c>
      <c r="M271" s="691">
        <f t="shared" si="58"/>
        <v>4.3254760000000001</v>
      </c>
      <c r="N271" s="255">
        <v>2012</v>
      </c>
      <c r="O271" s="256">
        <f>C271*VLOOKUP(N271,SFAssumptions!$A$42:$B$51,2,FALSE)</f>
        <v>730.66170486397505</v>
      </c>
      <c r="P271" s="254">
        <f ca="1">O271+((SFAssumptions!$C$8-D271)*$AO$35)</f>
        <v>746.90002232782899</v>
      </c>
      <c r="Q271" s="190" t="str">
        <f>IF(OR(L271="",M271=""),"No",IF(AND(E271="Front Load",L271&gt;='Eff. Standards &amp; Certifications'!$B$21,M271&lt;='Eff. Standards &amp; Certifications'!$C$21),"Consider",IF(AND(E271="Top Load",L271&gt;='Eff. Standards &amp; Certifications'!$B$20,M271&lt;='Eff. Standards &amp; Certifications'!$C$20),"Consider","No")))</f>
        <v>Consider</v>
      </c>
      <c r="R271" s="203"/>
      <c r="S271" s="203"/>
      <c r="T271" s="293" t="str">
        <f t="shared" si="63"/>
        <v>YES</v>
      </c>
      <c r="U271" s="293" t="str">
        <f t="shared" si="63"/>
        <v>NO</v>
      </c>
      <c r="V271" s="293" t="str">
        <f t="shared" si="64"/>
        <v>YES</v>
      </c>
      <c r="W271" s="211" t="str">
        <f t="shared" si="59"/>
        <v>YES</v>
      </c>
      <c r="X271" s="211" t="str">
        <f t="shared" si="59"/>
        <v>NO</v>
      </c>
      <c r="Y271" s="211" t="str">
        <f t="shared" si="65"/>
        <v>YES</v>
      </c>
      <c r="Z271" s="211" t="str">
        <f t="shared" si="66"/>
        <v>NO</v>
      </c>
      <c r="AA271" s="211" t="str">
        <f t="shared" si="66"/>
        <v>NO</v>
      </c>
      <c r="AB271" s="293" t="str">
        <f t="shared" si="67"/>
        <v>NO</v>
      </c>
      <c r="AC271" s="211" t="str">
        <f t="shared" si="68"/>
        <v>NO</v>
      </c>
      <c r="AD271" s="211" t="str">
        <f t="shared" si="69"/>
        <v>NO</v>
      </c>
      <c r="AE271" s="211" t="str">
        <f t="shared" si="70"/>
        <v>NO</v>
      </c>
      <c r="AF271" s="206"/>
      <c r="AG271" s="206"/>
      <c r="AH271" s="203">
        <f t="shared" si="60"/>
        <v>2.0190999999999999</v>
      </c>
      <c r="AI271" s="203">
        <f t="shared" si="61"/>
        <v>809.1</v>
      </c>
      <c r="AJ271" s="203">
        <f t="shared" si="62"/>
        <v>745.70380621108836</v>
      </c>
      <c r="AK271" s="203"/>
      <c r="AL271" s="203"/>
      <c r="AM271" s="203"/>
      <c r="AN271" s="207"/>
    </row>
    <row r="272" spans="1:40" s="204" customFormat="1" ht="15">
      <c r="A272" s="288" t="s">
        <v>625</v>
      </c>
      <c r="B272" s="287" t="s">
        <v>1010</v>
      </c>
      <c r="C272" s="249">
        <v>539.1</v>
      </c>
      <c r="D272" s="280">
        <v>3.6</v>
      </c>
      <c r="E272" s="250" t="str">
        <f>VLOOKUP(B272,'Northwest Retail Cost Data'!$C$5:$F$275,4,FALSE)</f>
        <v>Top Load</v>
      </c>
      <c r="F272" s="251" t="s">
        <v>846</v>
      </c>
      <c r="G272" s="288">
        <v>2.46</v>
      </c>
      <c r="H272" s="288">
        <v>3.8</v>
      </c>
      <c r="I272" s="252">
        <f>D272*H272*SFAssumptions!$C$3</f>
        <v>3511.8379439999999</v>
      </c>
      <c r="J272" s="253">
        <f t="shared" si="56"/>
        <v>539.1</v>
      </c>
      <c r="K272" s="254">
        <f t="shared" si="56"/>
        <v>3.6</v>
      </c>
      <c r="L272" s="691">
        <f t="shared" si="57"/>
        <v>2.0190999999999999</v>
      </c>
      <c r="M272" s="691">
        <f t="shared" si="58"/>
        <v>4.28592</v>
      </c>
      <c r="N272" s="255">
        <v>2012</v>
      </c>
      <c r="O272" s="256">
        <f>C272*VLOOKUP(N272,SFAssumptions!$A$42:$B$51,2,FALSE)</f>
        <v>486.83688677811017</v>
      </c>
      <c r="P272" s="254">
        <f ca="1">O272+((SFAssumptions!$C$8-D272)*$AO$35)</f>
        <v>503.07520424196406</v>
      </c>
      <c r="Q272" s="190" t="str">
        <f>IF(OR(L272="",M272=""),"No",IF(AND(E272="Front Load",L272&gt;='Eff. Standards &amp; Certifications'!$B$21,M272&lt;='Eff. Standards &amp; Certifications'!$C$21),"Consider",IF(AND(E272="Top Load",L272&gt;='Eff. Standards &amp; Certifications'!$B$20,M272&lt;='Eff. Standards &amp; Certifications'!$C$20),"Consider","No")))</f>
        <v>Consider</v>
      </c>
      <c r="R272" s="203"/>
      <c r="S272" s="203"/>
      <c r="T272" s="293" t="str">
        <f t="shared" si="63"/>
        <v>YES</v>
      </c>
      <c r="U272" s="293" t="str">
        <f t="shared" si="63"/>
        <v>NO</v>
      </c>
      <c r="V272" s="293" t="str">
        <f t="shared" si="64"/>
        <v>YES</v>
      </c>
      <c r="W272" s="211" t="str">
        <f t="shared" si="59"/>
        <v>YES</v>
      </c>
      <c r="X272" s="211" t="str">
        <f t="shared" si="59"/>
        <v>NO</v>
      </c>
      <c r="Y272" s="211" t="str">
        <f t="shared" si="65"/>
        <v>YES</v>
      </c>
      <c r="Z272" s="211" t="str">
        <f t="shared" si="66"/>
        <v>NO</v>
      </c>
      <c r="AA272" s="211" t="str">
        <f t="shared" si="66"/>
        <v>NO</v>
      </c>
      <c r="AB272" s="293" t="str">
        <f t="shared" si="67"/>
        <v>NO</v>
      </c>
      <c r="AC272" s="211" t="str">
        <f t="shared" si="68"/>
        <v>NO</v>
      </c>
      <c r="AD272" s="211" t="str">
        <f t="shared" si="69"/>
        <v>NO</v>
      </c>
      <c r="AE272" s="211" t="str">
        <f t="shared" si="70"/>
        <v>NO</v>
      </c>
      <c r="AF272" s="206"/>
      <c r="AG272" s="206"/>
      <c r="AH272" s="203">
        <f t="shared" si="60"/>
        <v>2.0190999999999999</v>
      </c>
      <c r="AI272" s="203">
        <f t="shared" si="61"/>
        <v>539.1</v>
      </c>
      <c r="AJ272" s="203">
        <f t="shared" si="62"/>
        <v>745.97793910931762</v>
      </c>
      <c r="AK272" s="203"/>
      <c r="AL272" s="203"/>
      <c r="AM272" s="203"/>
      <c r="AN272" s="207"/>
    </row>
    <row r="273" spans="1:40" s="204" customFormat="1" ht="15">
      <c r="A273" s="288" t="s">
        <v>625</v>
      </c>
      <c r="B273" s="287" t="s">
        <v>917</v>
      </c>
      <c r="C273" s="249">
        <v>674.1</v>
      </c>
      <c r="D273" s="280">
        <v>3.6</v>
      </c>
      <c r="E273" s="250" t="str">
        <f>VLOOKUP(B273,'Northwest Retail Cost Data'!$C$5:$F$275,4,FALSE)</f>
        <v>Top Load</v>
      </c>
      <c r="F273" s="251" t="s">
        <v>846</v>
      </c>
      <c r="G273" s="288">
        <v>2.46</v>
      </c>
      <c r="H273" s="288">
        <v>3.84</v>
      </c>
      <c r="I273" s="252">
        <f>D273*H273*SFAssumptions!$C$3</f>
        <v>3548.8046592000001</v>
      </c>
      <c r="J273" s="253">
        <f t="shared" si="56"/>
        <v>674.1</v>
      </c>
      <c r="K273" s="254">
        <f t="shared" si="56"/>
        <v>3.6</v>
      </c>
      <c r="L273" s="691">
        <f t="shared" si="57"/>
        <v>2.0190999999999999</v>
      </c>
      <c r="M273" s="691">
        <f t="shared" si="58"/>
        <v>4.3254760000000001</v>
      </c>
      <c r="N273" s="255">
        <v>2012</v>
      </c>
      <c r="O273" s="256">
        <f>C273*VLOOKUP(N273,SFAssumptions!$A$42:$B$51,2,FALSE)</f>
        <v>608.74929582104255</v>
      </c>
      <c r="P273" s="254">
        <f ca="1">O273+((SFAssumptions!$C$8-D273)*$AO$35)</f>
        <v>624.9876132848965</v>
      </c>
      <c r="Q273" s="190" t="str">
        <f>IF(OR(L273="",M273=""),"No",IF(AND(E273="Front Load",L273&gt;='Eff. Standards &amp; Certifications'!$B$21,M273&lt;='Eff. Standards &amp; Certifications'!$C$21),"Consider",IF(AND(E273="Top Load",L273&gt;='Eff. Standards &amp; Certifications'!$B$20,M273&lt;='Eff. Standards &amp; Certifications'!$C$20),"Consider","No")))</f>
        <v>Consider</v>
      </c>
      <c r="R273" s="203"/>
      <c r="S273" s="203"/>
      <c r="T273" s="293" t="str">
        <f t="shared" si="63"/>
        <v>YES</v>
      </c>
      <c r="U273" s="293" t="str">
        <f t="shared" si="63"/>
        <v>NO</v>
      </c>
      <c r="V273" s="293" t="str">
        <f t="shared" si="64"/>
        <v>YES</v>
      </c>
      <c r="W273" s="211" t="str">
        <f t="shared" si="59"/>
        <v>YES</v>
      </c>
      <c r="X273" s="211" t="str">
        <f t="shared" si="59"/>
        <v>NO</v>
      </c>
      <c r="Y273" s="211" t="str">
        <f t="shared" si="65"/>
        <v>YES</v>
      </c>
      <c r="Z273" s="211" t="str">
        <f t="shared" si="66"/>
        <v>NO</v>
      </c>
      <c r="AA273" s="211" t="str">
        <f t="shared" si="66"/>
        <v>NO</v>
      </c>
      <c r="AB273" s="293" t="str">
        <f t="shared" si="67"/>
        <v>NO</v>
      </c>
      <c r="AC273" s="211" t="str">
        <f t="shared" si="68"/>
        <v>NO</v>
      </c>
      <c r="AD273" s="211" t="str">
        <f t="shared" si="69"/>
        <v>NO</v>
      </c>
      <c r="AE273" s="211" t="str">
        <f t="shared" si="70"/>
        <v>NO</v>
      </c>
      <c r="AF273" s="206"/>
      <c r="AG273" s="206"/>
      <c r="AH273" s="203">
        <f t="shared" si="60"/>
        <v>2.0190999999999999</v>
      </c>
      <c r="AI273" s="203">
        <f t="shared" si="61"/>
        <v>674.1</v>
      </c>
      <c r="AJ273" s="203">
        <f t="shared" si="62"/>
        <v>745.70380621108836</v>
      </c>
      <c r="AK273" s="203"/>
      <c r="AL273" s="203"/>
      <c r="AM273" s="203"/>
      <c r="AN273" s="207"/>
    </row>
    <row r="274" spans="1:40" s="204" customFormat="1" ht="15">
      <c r="A274" s="288" t="s">
        <v>625</v>
      </c>
      <c r="B274" s="287" t="s">
        <v>975</v>
      </c>
      <c r="C274" s="249">
        <v>899.1</v>
      </c>
      <c r="D274" s="280">
        <v>4.5999999999999996</v>
      </c>
      <c r="E274" s="250" t="str">
        <f>VLOOKUP(B274,'Northwest Retail Cost Data'!$C$5:$F$275,4,FALSE)</f>
        <v>Top Load</v>
      </c>
      <c r="F274" s="251" t="s">
        <v>846</v>
      </c>
      <c r="G274" s="288">
        <v>2.65</v>
      </c>
      <c r="H274" s="288">
        <v>3.71</v>
      </c>
      <c r="I274" s="252">
        <f>D274*H274*SFAssumptions!$C$3</f>
        <v>4381.0691778</v>
      </c>
      <c r="J274" s="253">
        <f t="shared" si="56"/>
        <v>899.1</v>
      </c>
      <c r="K274" s="254">
        <f t="shared" si="56"/>
        <v>4.5999999999999996</v>
      </c>
      <c r="L274" s="691">
        <f t="shared" si="57"/>
        <v>2.2071999999999998</v>
      </c>
      <c r="M274" s="691">
        <f t="shared" si="58"/>
        <v>4.1969190000000003</v>
      </c>
      <c r="N274" s="255">
        <v>2012</v>
      </c>
      <c r="O274" s="256">
        <f>C274*VLOOKUP(N274,SFAssumptions!$A$42:$B$51,2,FALSE)</f>
        <v>811.93664422592997</v>
      </c>
      <c r="P274" s="254">
        <f ca="1">O274+((SFAssumptions!$C$8-D274)*$AO$35)</f>
        <v>736.43683828574262</v>
      </c>
      <c r="Q274" s="190" t="str">
        <f>IF(OR(L274="",M274=""),"No",IF(AND(E274="Front Load",L274&gt;='Eff. Standards &amp; Certifications'!$B$21,M274&lt;='Eff. Standards &amp; Certifications'!$C$21),"Consider",IF(AND(E274="Top Load",L274&gt;='Eff. Standards &amp; Certifications'!$B$20,M274&lt;='Eff. Standards &amp; Certifications'!$C$20),"Consider","No")))</f>
        <v>Consider</v>
      </c>
      <c r="R274" s="203"/>
      <c r="S274" s="203"/>
      <c r="T274" s="293" t="str">
        <f t="shared" si="63"/>
        <v>YES</v>
      </c>
      <c r="U274" s="293" t="str">
        <f t="shared" si="63"/>
        <v>NO</v>
      </c>
      <c r="V274" s="293" t="str">
        <f t="shared" si="64"/>
        <v>YES</v>
      </c>
      <c r="W274" s="211" t="str">
        <f t="shared" si="59"/>
        <v>NO</v>
      </c>
      <c r="X274" s="211" t="str">
        <f t="shared" si="59"/>
        <v>NO</v>
      </c>
      <c r="Y274" s="211" t="str">
        <f t="shared" si="65"/>
        <v>NO</v>
      </c>
      <c r="Z274" s="211" t="str">
        <f t="shared" si="66"/>
        <v>YES</v>
      </c>
      <c r="AA274" s="211" t="str">
        <f t="shared" si="66"/>
        <v>NO</v>
      </c>
      <c r="AB274" s="293" t="str">
        <f t="shared" si="67"/>
        <v>YES</v>
      </c>
      <c r="AC274" s="211" t="str">
        <f t="shared" si="68"/>
        <v>NO</v>
      </c>
      <c r="AD274" s="211" t="str">
        <f t="shared" si="69"/>
        <v>NO</v>
      </c>
      <c r="AE274" s="211" t="str">
        <f t="shared" si="70"/>
        <v>NO</v>
      </c>
      <c r="AF274" s="206"/>
      <c r="AG274" s="206"/>
      <c r="AH274" s="203">
        <f t="shared" si="60"/>
        <v>2.2071999999999998</v>
      </c>
      <c r="AI274" s="203">
        <f t="shared" si="61"/>
        <v>899.1</v>
      </c>
      <c r="AJ274" s="203">
        <f t="shared" si="62"/>
        <v>883.79299877087396</v>
      </c>
      <c r="AK274" s="203"/>
      <c r="AL274" s="203"/>
      <c r="AM274" s="203"/>
      <c r="AN274" s="207"/>
    </row>
    <row r="275" spans="1:40" s="204" customFormat="1" ht="15">
      <c r="A275" s="288" t="s">
        <v>625</v>
      </c>
      <c r="B275" s="287" t="s">
        <v>1011</v>
      </c>
      <c r="C275" s="249">
        <v>674.1</v>
      </c>
      <c r="D275" s="280">
        <v>4.5999999999999996</v>
      </c>
      <c r="E275" s="250" t="str">
        <f>VLOOKUP(B275,'Northwest Retail Cost Data'!$C$5:$F$275,4,FALSE)</f>
        <v>Top Load</v>
      </c>
      <c r="F275" s="251" t="s">
        <v>846</v>
      </c>
      <c r="G275" s="288">
        <v>2.65</v>
      </c>
      <c r="H275" s="288">
        <v>3.7</v>
      </c>
      <c r="I275" s="252">
        <f>D275*H275*SFAssumptions!$C$3</f>
        <v>4369.2603659999995</v>
      </c>
      <c r="J275" s="253">
        <f t="shared" si="56"/>
        <v>674.1</v>
      </c>
      <c r="K275" s="254">
        <f t="shared" si="56"/>
        <v>4.5999999999999996</v>
      </c>
      <c r="L275" s="691">
        <f t="shared" si="57"/>
        <v>2.2071999999999998</v>
      </c>
      <c r="M275" s="691">
        <f t="shared" si="58"/>
        <v>4.18703</v>
      </c>
      <c r="N275" s="255">
        <v>2012</v>
      </c>
      <c r="O275" s="256">
        <f>C275*VLOOKUP(N275,SFAssumptions!$A$42:$B$51,2,FALSE)</f>
        <v>608.74929582104255</v>
      </c>
      <c r="P275" s="254">
        <f ca="1">O275+((SFAssumptions!$C$8-D275)*$AO$35)</f>
        <v>533.24948988085521</v>
      </c>
      <c r="Q275" s="190" t="str">
        <f>IF(OR(L275="",M275=""),"No",IF(AND(E275="Front Load",L275&gt;='Eff. Standards &amp; Certifications'!$B$21,M275&lt;='Eff. Standards &amp; Certifications'!$C$21),"Consider",IF(AND(E275="Top Load",L275&gt;='Eff. Standards &amp; Certifications'!$B$20,M275&lt;='Eff. Standards &amp; Certifications'!$C$20),"Consider","No")))</f>
        <v>Consider</v>
      </c>
      <c r="R275" s="203"/>
      <c r="S275" s="203"/>
      <c r="T275" s="293" t="str">
        <f t="shared" si="63"/>
        <v>YES</v>
      </c>
      <c r="U275" s="293" t="str">
        <f t="shared" si="63"/>
        <v>NO</v>
      </c>
      <c r="V275" s="293" t="str">
        <f t="shared" si="64"/>
        <v>YES</v>
      </c>
      <c r="W275" s="211" t="str">
        <f t="shared" si="59"/>
        <v>NO</v>
      </c>
      <c r="X275" s="211" t="str">
        <f t="shared" si="59"/>
        <v>NO</v>
      </c>
      <c r="Y275" s="211" t="str">
        <f t="shared" si="65"/>
        <v>NO</v>
      </c>
      <c r="Z275" s="211" t="str">
        <f t="shared" si="66"/>
        <v>YES</v>
      </c>
      <c r="AA275" s="211" t="str">
        <f t="shared" si="66"/>
        <v>NO</v>
      </c>
      <c r="AB275" s="293" t="str">
        <f t="shared" si="67"/>
        <v>YES</v>
      </c>
      <c r="AC275" s="211" t="str">
        <f t="shared" si="68"/>
        <v>NO</v>
      </c>
      <c r="AD275" s="211" t="str">
        <f t="shared" si="69"/>
        <v>NO</v>
      </c>
      <c r="AE275" s="211" t="str">
        <f t="shared" si="70"/>
        <v>NO</v>
      </c>
      <c r="AF275" s="206"/>
      <c r="AG275" s="206"/>
      <c r="AH275" s="203">
        <f t="shared" si="60"/>
        <v>2.2071999999999998</v>
      </c>
      <c r="AI275" s="203">
        <f t="shared" si="61"/>
        <v>674.1</v>
      </c>
      <c r="AJ275" s="203">
        <f t="shared" si="62"/>
        <v>883.86153199543128</v>
      </c>
      <c r="AK275" s="203"/>
      <c r="AL275" s="203"/>
      <c r="AM275" s="203"/>
      <c r="AN275" s="207"/>
    </row>
    <row r="276" spans="1:40" s="204" customFormat="1" ht="15">
      <c r="A276" s="288" t="s">
        <v>625</v>
      </c>
      <c r="B276" s="287" t="s">
        <v>915</v>
      </c>
      <c r="C276" s="249">
        <v>989.1</v>
      </c>
      <c r="D276" s="280">
        <v>4.5999999999999996</v>
      </c>
      <c r="E276" s="250" t="str">
        <f>VLOOKUP(B276,'Northwest Retail Cost Data'!$C$5:$F$275,4,FALSE)</f>
        <v>Top Load</v>
      </c>
      <c r="F276" s="251" t="s">
        <v>846</v>
      </c>
      <c r="G276" s="288">
        <v>2.65</v>
      </c>
      <c r="H276" s="288">
        <v>3.71</v>
      </c>
      <c r="I276" s="252">
        <f>D276*H276*SFAssumptions!$C$3</f>
        <v>4381.0691778</v>
      </c>
      <c r="J276" s="253">
        <f t="shared" si="56"/>
        <v>989.1</v>
      </c>
      <c r="K276" s="254">
        <f t="shared" si="56"/>
        <v>4.5999999999999996</v>
      </c>
      <c r="L276" s="691">
        <f t="shared" si="57"/>
        <v>2.2071999999999998</v>
      </c>
      <c r="M276" s="691">
        <f t="shared" si="58"/>
        <v>4.1969190000000003</v>
      </c>
      <c r="N276" s="255">
        <v>2012</v>
      </c>
      <c r="O276" s="256">
        <f>C276*VLOOKUP(N276,SFAssumptions!$A$42:$B$51,2,FALSE)</f>
        <v>893.21158358788489</v>
      </c>
      <c r="P276" s="254">
        <f ca="1">O276+((SFAssumptions!$C$8-D276)*$AO$35)</f>
        <v>817.71177764769755</v>
      </c>
      <c r="Q276" s="190" t="str">
        <f>IF(OR(L276="",M276=""),"No",IF(AND(E276="Front Load",L276&gt;='Eff. Standards &amp; Certifications'!$B$21,M276&lt;='Eff. Standards &amp; Certifications'!$C$21),"Consider",IF(AND(E276="Top Load",L276&gt;='Eff. Standards &amp; Certifications'!$B$20,M276&lt;='Eff. Standards &amp; Certifications'!$C$20),"Consider","No")))</f>
        <v>Consider</v>
      </c>
      <c r="R276" s="203"/>
      <c r="S276" s="203"/>
      <c r="T276" s="293" t="str">
        <f t="shared" si="63"/>
        <v>YES</v>
      </c>
      <c r="U276" s="293" t="str">
        <f t="shared" si="63"/>
        <v>NO</v>
      </c>
      <c r="V276" s="293" t="str">
        <f t="shared" si="64"/>
        <v>YES</v>
      </c>
      <c r="W276" s="211" t="str">
        <f t="shared" si="59"/>
        <v>NO</v>
      </c>
      <c r="X276" s="211" t="str">
        <f t="shared" si="59"/>
        <v>NO</v>
      </c>
      <c r="Y276" s="211" t="str">
        <f t="shared" si="65"/>
        <v>NO</v>
      </c>
      <c r="Z276" s="211" t="str">
        <f t="shared" si="66"/>
        <v>YES</v>
      </c>
      <c r="AA276" s="211" t="str">
        <f t="shared" si="66"/>
        <v>NO</v>
      </c>
      <c r="AB276" s="293" t="str">
        <f t="shared" si="67"/>
        <v>YES</v>
      </c>
      <c r="AC276" s="211" t="str">
        <f t="shared" si="68"/>
        <v>NO</v>
      </c>
      <c r="AD276" s="211" t="str">
        <f t="shared" si="69"/>
        <v>NO</v>
      </c>
      <c r="AE276" s="211" t="str">
        <f t="shared" si="70"/>
        <v>NO</v>
      </c>
      <c r="AF276" s="206"/>
      <c r="AG276" s="206"/>
      <c r="AH276" s="203">
        <f t="shared" si="60"/>
        <v>2.2071999999999998</v>
      </c>
      <c r="AI276" s="203">
        <f t="shared" si="61"/>
        <v>989.1</v>
      </c>
      <c r="AJ276" s="203">
        <f t="shared" si="62"/>
        <v>883.79299877087396</v>
      </c>
      <c r="AK276" s="203"/>
      <c r="AL276" s="203"/>
      <c r="AM276" s="203"/>
      <c r="AN276" s="207"/>
    </row>
    <row r="277" spans="1:40" s="204" customFormat="1" ht="15">
      <c r="A277" s="288" t="s">
        <v>625</v>
      </c>
      <c r="B277" s="287" t="s">
        <v>916</v>
      </c>
      <c r="C277" s="249">
        <v>809.1</v>
      </c>
      <c r="D277" s="280">
        <v>4.5999999999999996</v>
      </c>
      <c r="E277" s="250" t="str">
        <f>VLOOKUP(B277,'Northwest Retail Cost Data'!$C$5:$F$275,4,FALSE)</f>
        <v>Top Load</v>
      </c>
      <c r="F277" s="251" t="s">
        <v>846</v>
      </c>
      <c r="G277" s="288">
        <v>2.65</v>
      </c>
      <c r="H277" s="288">
        <v>3.71</v>
      </c>
      <c r="I277" s="252">
        <f>D277*H277*SFAssumptions!$C$3</f>
        <v>4381.0691778</v>
      </c>
      <c r="J277" s="253">
        <f t="shared" si="56"/>
        <v>809.1</v>
      </c>
      <c r="K277" s="254">
        <f t="shared" si="56"/>
        <v>4.5999999999999996</v>
      </c>
      <c r="L277" s="691">
        <f t="shared" si="57"/>
        <v>2.2071999999999998</v>
      </c>
      <c r="M277" s="691">
        <f t="shared" si="58"/>
        <v>4.1969190000000003</v>
      </c>
      <c r="N277" s="255">
        <v>2012</v>
      </c>
      <c r="O277" s="256">
        <f>C277*VLOOKUP(N277,SFAssumptions!$A$42:$B$51,2,FALSE)</f>
        <v>730.66170486397505</v>
      </c>
      <c r="P277" s="254">
        <f ca="1">O277+((SFAssumptions!$C$8-D277)*$AO$35)</f>
        <v>655.1618989237877</v>
      </c>
      <c r="Q277" s="190" t="str">
        <f>IF(OR(L277="",M277=""),"No",IF(AND(E277="Front Load",L277&gt;='Eff. Standards &amp; Certifications'!$B$21,M277&lt;='Eff. Standards &amp; Certifications'!$C$21),"Consider",IF(AND(E277="Top Load",L277&gt;='Eff. Standards &amp; Certifications'!$B$20,M277&lt;='Eff. Standards &amp; Certifications'!$C$20),"Consider","No")))</f>
        <v>Consider</v>
      </c>
      <c r="R277" s="203"/>
      <c r="S277" s="203"/>
      <c r="T277" s="293" t="str">
        <f t="shared" si="63"/>
        <v>YES</v>
      </c>
      <c r="U277" s="293" t="str">
        <f t="shared" si="63"/>
        <v>NO</v>
      </c>
      <c r="V277" s="293" t="str">
        <f t="shared" si="64"/>
        <v>YES</v>
      </c>
      <c r="W277" s="211" t="str">
        <f t="shared" si="59"/>
        <v>NO</v>
      </c>
      <c r="X277" s="211" t="str">
        <f t="shared" si="59"/>
        <v>NO</v>
      </c>
      <c r="Y277" s="211" t="str">
        <f t="shared" si="65"/>
        <v>NO</v>
      </c>
      <c r="Z277" s="211" t="str">
        <f t="shared" si="66"/>
        <v>YES</v>
      </c>
      <c r="AA277" s="211" t="str">
        <f t="shared" si="66"/>
        <v>NO</v>
      </c>
      <c r="AB277" s="293" t="str">
        <f t="shared" si="67"/>
        <v>YES</v>
      </c>
      <c r="AC277" s="211" t="str">
        <f t="shared" si="68"/>
        <v>NO</v>
      </c>
      <c r="AD277" s="211" t="str">
        <f t="shared" si="69"/>
        <v>NO</v>
      </c>
      <c r="AE277" s="211" t="str">
        <f t="shared" si="70"/>
        <v>NO</v>
      </c>
      <c r="AF277" s="206"/>
      <c r="AG277" s="206"/>
      <c r="AH277" s="203">
        <f t="shared" si="60"/>
        <v>2.2071999999999998</v>
      </c>
      <c r="AI277" s="203">
        <f t="shared" si="61"/>
        <v>809.1</v>
      </c>
      <c r="AJ277" s="203">
        <f t="shared" si="62"/>
        <v>883.79299877087396</v>
      </c>
      <c r="AK277" s="203"/>
      <c r="AL277" s="203"/>
      <c r="AM277" s="203"/>
      <c r="AN277" s="207"/>
    </row>
    <row r="278" spans="1:40" s="204" customFormat="1" ht="15">
      <c r="A278" s="288" t="s">
        <v>625</v>
      </c>
      <c r="B278" s="287" t="s">
        <v>919</v>
      </c>
      <c r="C278" s="249">
        <v>809.1</v>
      </c>
      <c r="D278" s="280">
        <v>4.5999999999999996</v>
      </c>
      <c r="E278" s="250" t="str">
        <f>VLOOKUP(B278,'Northwest Retail Cost Data'!$C$5:$F$275,4,FALSE)</f>
        <v>Top Load</v>
      </c>
      <c r="F278" s="251" t="s">
        <v>846</v>
      </c>
      <c r="G278" s="288">
        <v>2.65</v>
      </c>
      <c r="H278" s="288">
        <v>3.71</v>
      </c>
      <c r="I278" s="252">
        <f>D278*H278*SFAssumptions!$C$3</f>
        <v>4381.0691778</v>
      </c>
      <c r="J278" s="253">
        <f t="shared" si="56"/>
        <v>809.1</v>
      </c>
      <c r="K278" s="254">
        <f t="shared" si="56"/>
        <v>4.5999999999999996</v>
      </c>
      <c r="L278" s="691">
        <f t="shared" si="57"/>
        <v>2.2071999999999998</v>
      </c>
      <c r="M278" s="691">
        <f t="shared" si="58"/>
        <v>4.1969190000000003</v>
      </c>
      <c r="N278" s="255">
        <v>2012</v>
      </c>
      <c r="O278" s="256">
        <f>C278*VLOOKUP(N278,SFAssumptions!$A$42:$B$51,2,FALSE)</f>
        <v>730.66170486397505</v>
      </c>
      <c r="P278" s="254">
        <f ca="1">O278+((SFAssumptions!$C$8-D278)*$AO$35)</f>
        <v>655.1618989237877</v>
      </c>
      <c r="Q278" s="190" t="str">
        <f>IF(OR(L278="",M278=""),"No",IF(AND(E278="Front Load",L278&gt;='Eff. Standards &amp; Certifications'!$B$21,M278&lt;='Eff. Standards &amp; Certifications'!$C$21),"Consider",IF(AND(E278="Top Load",L278&gt;='Eff. Standards &amp; Certifications'!$B$20,M278&lt;='Eff. Standards &amp; Certifications'!$C$20),"Consider","No")))</f>
        <v>Consider</v>
      </c>
      <c r="R278" s="203"/>
      <c r="S278" s="203"/>
      <c r="T278" s="293" t="str">
        <f t="shared" si="63"/>
        <v>YES</v>
      </c>
      <c r="U278" s="293" t="str">
        <f t="shared" si="63"/>
        <v>NO</v>
      </c>
      <c r="V278" s="293" t="str">
        <f t="shared" si="64"/>
        <v>YES</v>
      </c>
      <c r="W278" s="211" t="str">
        <f t="shared" si="59"/>
        <v>NO</v>
      </c>
      <c r="X278" s="211" t="str">
        <f t="shared" si="59"/>
        <v>NO</v>
      </c>
      <c r="Y278" s="211" t="str">
        <f t="shared" si="65"/>
        <v>NO</v>
      </c>
      <c r="Z278" s="211" t="str">
        <f t="shared" si="66"/>
        <v>YES</v>
      </c>
      <c r="AA278" s="211" t="str">
        <f t="shared" si="66"/>
        <v>NO</v>
      </c>
      <c r="AB278" s="293" t="str">
        <f t="shared" si="67"/>
        <v>YES</v>
      </c>
      <c r="AC278" s="211" t="str">
        <f t="shared" si="68"/>
        <v>NO</v>
      </c>
      <c r="AD278" s="211" t="str">
        <f t="shared" si="69"/>
        <v>NO</v>
      </c>
      <c r="AE278" s="211" t="str">
        <f t="shared" si="70"/>
        <v>NO</v>
      </c>
      <c r="AF278" s="206"/>
      <c r="AG278" s="206"/>
      <c r="AH278" s="203">
        <f t="shared" si="60"/>
        <v>2.2071999999999998</v>
      </c>
      <c r="AI278" s="203">
        <f t="shared" si="61"/>
        <v>809.1</v>
      </c>
      <c r="AJ278" s="203">
        <f t="shared" si="62"/>
        <v>883.79299877087396</v>
      </c>
      <c r="AK278" s="203"/>
      <c r="AL278" s="203"/>
      <c r="AM278" s="203"/>
      <c r="AN278" s="207"/>
    </row>
    <row r="279" spans="1:40" s="204" customFormat="1" ht="15">
      <c r="A279" s="253"/>
      <c r="B279" s="253"/>
      <c r="C279" s="253"/>
      <c r="D279" s="291"/>
      <c r="E279" s="250"/>
      <c r="F279" s="251"/>
      <c r="G279" s="291"/>
      <c r="H279" s="292"/>
      <c r="I279" s="252"/>
      <c r="J279" s="253"/>
      <c r="K279" s="254"/>
      <c r="L279" s="691" t="str">
        <f t="shared" si="57"/>
        <v/>
      </c>
      <c r="M279" s="691" t="str">
        <f t="shared" si="58"/>
        <v/>
      </c>
      <c r="N279" s="255"/>
      <c r="O279" s="256"/>
      <c r="P279" s="293"/>
      <c r="Q279" s="190"/>
      <c r="R279" s="203"/>
      <c r="S279" s="203"/>
      <c r="T279" s="203"/>
      <c r="U279" s="203"/>
      <c r="V279" s="741"/>
      <c r="W279" s="203"/>
      <c r="X279" s="203"/>
      <c r="Y279" s="211" t="str">
        <f t="shared" si="65"/>
        <v>NO</v>
      </c>
      <c r="Z279" s="203"/>
      <c r="AA279" s="203"/>
      <c r="AB279" s="293" t="str">
        <f t="shared" si="67"/>
        <v>NO</v>
      </c>
      <c r="AC279" s="88"/>
      <c r="AD279" s="88"/>
      <c r="AE279" s="88"/>
      <c r="AF279" s="206"/>
      <c r="AG279" s="206"/>
      <c r="AH279" s="203"/>
      <c r="AI279" s="203"/>
      <c r="AJ279" s="203"/>
      <c r="AK279" s="203"/>
      <c r="AL279" s="203"/>
      <c r="AM279" s="203"/>
      <c r="AN279" s="207"/>
    </row>
  </sheetData>
  <autoFilter ref="A29:P23529"/>
  <conditionalFormatting sqref="AC30:AE279">
    <cfRule type="cellIs" dxfId="13" priority="13" operator="equal">
      <formula>"Yes"</formula>
    </cfRule>
    <cfRule type="cellIs" dxfId="12" priority="14" operator="equal">
      <formula>"No"</formula>
    </cfRule>
  </conditionalFormatting>
  <conditionalFormatting sqref="T30:V30 T31:U278 V31:V279">
    <cfRule type="cellIs" dxfId="11" priority="11" operator="equal">
      <formula>"Yes"</formula>
    </cfRule>
    <cfRule type="cellIs" dxfId="10" priority="12" operator="equal">
      <formula>"No"</formula>
    </cfRule>
  </conditionalFormatting>
  <conditionalFormatting sqref="W30:W278">
    <cfRule type="cellIs" dxfId="9" priority="9" operator="equal">
      <formula>"Yes"</formula>
    </cfRule>
    <cfRule type="cellIs" dxfId="8" priority="10" operator="equal">
      <formula>"No"</formula>
    </cfRule>
  </conditionalFormatting>
  <conditionalFormatting sqref="Z30:Z278">
    <cfRule type="cellIs" dxfId="7" priority="7" operator="equal">
      <formula>"Yes"</formula>
    </cfRule>
    <cfRule type="cellIs" dxfId="6" priority="8" operator="equal">
      <formula>"No"</formula>
    </cfRule>
  </conditionalFormatting>
  <conditionalFormatting sqref="X30:Y30 X31:X278 Y31:Y279">
    <cfRule type="cellIs" dxfId="5" priority="5" operator="equal">
      <formula>"Yes"</formula>
    </cfRule>
    <cfRule type="cellIs" dxfId="4" priority="6" operator="equal">
      <formula>"No"</formula>
    </cfRule>
  </conditionalFormatting>
  <conditionalFormatting sqref="AA30:AA278">
    <cfRule type="cellIs" dxfId="3" priority="3" operator="equal">
      <formula>"Yes"</formula>
    </cfRule>
    <cfRule type="cellIs" dxfId="2" priority="4" operator="equal">
      <formula>"No"</formula>
    </cfRule>
  </conditionalFormatting>
  <conditionalFormatting sqref="AB30:AB279">
    <cfRule type="cellIs" dxfId="1" priority="1" operator="equal">
      <formula>"Yes"</formula>
    </cfRule>
    <cfRule type="cellIs" dxfId="0" priority="2" operator="equal">
      <formula>"No"</formula>
    </cfRule>
  </conditionalFormatting>
  <printOptions horizontalCentered="1"/>
  <pageMargins left="0.25" right="0.25" top="0.75" bottom="0.75" header="0.5" footer="0.5"/>
  <headerFooter alignWithMargins="0"/>
  <legacyDrawing r:id="rId1"/>
</worksheet>
</file>

<file path=xl/worksheets/sheet18.xml><?xml version="1.0" encoding="utf-8"?>
<worksheet xmlns="http://schemas.openxmlformats.org/spreadsheetml/2006/main" xmlns:r="http://schemas.openxmlformats.org/officeDocument/2006/relationships">
  <dimension ref="B1:N306"/>
  <sheetViews>
    <sheetView workbookViewId="0">
      <selection activeCell="N267" sqref="N267"/>
    </sheetView>
  </sheetViews>
  <sheetFormatPr defaultRowHeight="12.75"/>
  <cols>
    <col min="1" max="1" width="3.7109375" style="198" customWidth="1"/>
    <col min="2" max="2" width="24" style="198" customWidth="1"/>
    <col min="3" max="3" width="16.140625" style="198" bestFit="1" customWidth="1"/>
    <col min="4" max="4" width="10.5703125" style="198" bestFit="1" customWidth="1"/>
    <col min="5" max="5" width="12.42578125" style="198" customWidth="1"/>
    <col min="6" max="6" width="13.5703125" style="198" customWidth="1"/>
    <col min="7" max="7" width="11.42578125" style="198" customWidth="1"/>
    <col min="8" max="8" width="7.28515625" style="198" customWidth="1"/>
    <col min="9" max="9" width="5.42578125" style="198" customWidth="1"/>
    <col min="10" max="10" width="12.85546875" style="198" customWidth="1"/>
    <col min="11" max="11" width="29.28515625" style="198" customWidth="1"/>
    <col min="12" max="12" width="13.5703125" style="198" customWidth="1"/>
    <col min="13" max="13" width="16.140625" style="198" bestFit="1" customWidth="1"/>
    <col min="14" max="16384" width="9.140625" style="198"/>
  </cols>
  <sheetData>
    <row r="1" spans="2:13" s="294" customFormat="1" ht="32.25" customHeight="1">
      <c r="B1" s="917" t="s">
        <v>1012</v>
      </c>
      <c r="C1" s="917"/>
      <c r="D1" s="917"/>
      <c r="E1" s="917"/>
      <c r="F1" s="917"/>
      <c r="G1" s="917"/>
      <c r="H1" s="917"/>
      <c r="I1" s="917"/>
      <c r="J1" s="917"/>
      <c r="K1" s="917"/>
      <c r="L1" s="917"/>
      <c r="M1" s="917"/>
    </row>
    <row r="2" spans="2:13" s="294" customFormat="1" ht="32.25" customHeight="1">
      <c r="B2" s="917"/>
      <c r="C2" s="917"/>
      <c r="D2" s="917"/>
      <c r="E2" s="917"/>
      <c r="F2" s="917"/>
      <c r="G2" s="917"/>
      <c r="H2" s="917"/>
      <c r="I2" s="917"/>
      <c r="J2" s="917"/>
      <c r="K2" s="917"/>
      <c r="L2" s="917"/>
      <c r="M2" s="917"/>
    </row>
    <row r="3" spans="2:13" ht="13.5" customHeight="1"/>
    <row r="4" spans="2:13" ht="45">
      <c r="B4" s="295" t="s">
        <v>1013</v>
      </c>
      <c r="C4" s="295" t="s">
        <v>1014</v>
      </c>
      <c r="D4" s="295" t="s">
        <v>1015</v>
      </c>
      <c r="E4" s="295" t="s">
        <v>1016</v>
      </c>
      <c r="F4" s="295" t="s">
        <v>1017</v>
      </c>
      <c r="G4" s="295" t="s">
        <v>1018</v>
      </c>
      <c r="H4" s="295" t="s">
        <v>824</v>
      </c>
      <c r="I4" s="295" t="s">
        <v>825</v>
      </c>
      <c r="J4" s="295" t="s">
        <v>1019</v>
      </c>
      <c r="K4" s="295" t="s">
        <v>1020</v>
      </c>
      <c r="L4" s="295" t="s">
        <v>1021</v>
      </c>
      <c r="M4" s="295" t="s">
        <v>1022</v>
      </c>
    </row>
    <row r="5" spans="2:13" ht="15">
      <c r="B5" s="248" t="s">
        <v>844</v>
      </c>
      <c r="C5" s="248" t="s">
        <v>845</v>
      </c>
      <c r="D5" s="249">
        <v>1149</v>
      </c>
      <c r="E5" s="250">
        <v>4.3</v>
      </c>
      <c r="F5" s="250" t="s">
        <v>1023</v>
      </c>
      <c r="G5" s="248" t="s">
        <v>1024</v>
      </c>
      <c r="H5" s="248">
        <v>3.33</v>
      </c>
      <c r="I5" s="248">
        <v>2.8</v>
      </c>
      <c r="J5" s="296">
        <v>4720</v>
      </c>
      <c r="K5" s="248" t="s">
        <v>1025</v>
      </c>
      <c r="L5" s="248" t="s">
        <v>204</v>
      </c>
      <c r="M5" s="197" t="str">
        <f>IF(AND(H5&lt;&gt;"NA",I5&lt;&gt;"NA"),"Yes","No")</f>
        <v>Yes</v>
      </c>
    </row>
    <row r="6" spans="2:13" ht="15">
      <c r="B6" s="248" t="s">
        <v>844</v>
      </c>
      <c r="C6" s="248" t="s">
        <v>848</v>
      </c>
      <c r="D6" s="249">
        <v>1049</v>
      </c>
      <c r="E6" s="250">
        <v>4.22</v>
      </c>
      <c r="F6" s="250" t="s">
        <v>1023</v>
      </c>
      <c r="G6" s="248" t="s">
        <v>1024</v>
      </c>
      <c r="H6" s="248">
        <v>2.88</v>
      </c>
      <c r="I6" s="248">
        <v>3.5</v>
      </c>
      <c r="J6" s="296">
        <v>5557</v>
      </c>
      <c r="K6" s="248" t="s">
        <v>1025</v>
      </c>
      <c r="L6" s="248" t="s">
        <v>204</v>
      </c>
      <c r="M6" s="197" t="str">
        <f t="shared" ref="M6:M69" si="0">IF(AND(H6&lt;&gt;"NA",I6&lt;&gt;"NA"),"Yes","No")</f>
        <v>Yes</v>
      </c>
    </row>
    <row r="7" spans="2:13" ht="15">
      <c r="B7" s="248" t="s">
        <v>850</v>
      </c>
      <c r="C7" s="248" t="s">
        <v>851</v>
      </c>
      <c r="D7" s="249">
        <v>699</v>
      </c>
      <c r="E7" s="250">
        <v>3.26</v>
      </c>
      <c r="F7" s="250" t="s">
        <v>1023</v>
      </c>
      <c r="G7" s="248" t="s">
        <v>1024</v>
      </c>
      <c r="H7" s="248">
        <v>3</v>
      </c>
      <c r="I7" s="248">
        <v>3.3</v>
      </c>
      <c r="J7" s="296">
        <v>4217</v>
      </c>
      <c r="K7" s="248" t="s">
        <v>1025</v>
      </c>
      <c r="L7" s="248" t="s">
        <v>204</v>
      </c>
      <c r="M7" s="197" t="str">
        <f t="shared" si="0"/>
        <v>Yes</v>
      </c>
    </row>
    <row r="8" spans="2:13" ht="15">
      <c r="B8" s="248" t="s">
        <v>852</v>
      </c>
      <c r="C8" s="248" t="s">
        <v>853</v>
      </c>
      <c r="D8" s="249">
        <v>899</v>
      </c>
      <c r="E8" s="250">
        <v>4.0999999999999996</v>
      </c>
      <c r="F8" s="250" t="s">
        <v>1023</v>
      </c>
      <c r="G8" s="248" t="s">
        <v>1024</v>
      </c>
      <c r="H8" s="248">
        <v>2.61</v>
      </c>
      <c r="I8" s="248">
        <v>3.9</v>
      </c>
      <c r="J8" s="296">
        <v>6338</v>
      </c>
      <c r="K8" s="248" t="s">
        <v>1025</v>
      </c>
      <c r="L8" s="248" t="s">
        <v>204</v>
      </c>
      <c r="M8" s="197" t="str">
        <f t="shared" si="0"/>
        <v>Yes</v>
      </c>
    </row>
    <row r="9" spans="2:13" ht="15">
      <c r="B9" s="248" t="s">
        <v>852</v>
      </c>
      <c r="C9" s="248" t="s">
        <v>855</v>
      </c>
      <c r="D9" s="249">
        <v>1099</v>
      </c>
      <c r="E9" s="250">
        <v>2.2000000000000002</v>
      </c>
      <c r="F9" s="250" t="s">
        <v>1023</v>
      </c>
      <c r="G9" s="248" t="s">
        <v>1024</v>
      </c>
      <c r="H9" s="248">
        <v>2.2999999999999998</v>
      </c>
      <c r="I9" s="248">
        <v>4.3</v>
      </c>
      <c r="J9" s="296">
        <v>3742</v>
      </c>
      <c r="K9" s="248" t="s">
        <v>1025</v>
      </c>
      <c r="L9" s="248" t="s">
        <v>204</v>
      </c>
      <c r="M9" s="197" t="str">
        <f t="shared" si="0"/>
        <v>Yes</v>
      </c>
    </row>
    <row r="10" spans="2:13" ht="15">
      <c r="B10" s="248" t="s">
        <v>852</v>
      </c>
      <c r="C10" s="248" t="s">
        <v>858</v>
      </c>
      <c r="D10" s="249">
        <v>899</v>
      </c>
      <c r="E10" s="250">
        <v>4.0999999999999996</v>
      </c>
      <c r="F10" s="250" t="s">
        <v>1023</v>
      </c>
      <c r="G10" s="248" t="s">
        <v>1024</v>
      </c>
      <c r="H10" s="248">
        <v>2.65</v>
      </c>
      <c r="I10" s="248">
        <v>3.6</v>
      </c>
      <c r="J10" s="296">
        <v>5790</v>
      </c>
      <c r="K10" s="248" t="s">
        <v>1025</v>
      </c>
      <c r="L10" s="248" t="s">
        <v>204</v>
      </c>
      <c r="M10" s="197" t="str">
        <f t="shared" si="0"/>
        <v>Yes</v>
      </c>
    </row>
    <row r="11" spans="2:13" ht="15">
      <c r="B11" s="248" t="s">
        <v>852</v>
      </c>
      <c r="C11" s="250" t="s">
        <v>860</v>
      </c>
      <c r="D11" s="249">
        <v>1099</v>
      </c>
      <c r="E11" s="250">
        <v>4.0999999999999996</v>
      </c>
      <c r="F11" s="250" t="s">
        <v>1023</v>
      </c>
      <c r="G11" s="248" t="s">
        <v>1024</v>
      </c>
      <c r="H11" s="248">
        <v>2.61</v>
      </c>
      <c r="I11" s="248">
        <v>3.9</v>
      </c>
      <c r="J11" s="296">
        <v>6338</v>
      </c>
      <c r="K11" s="248" t="s">
        <v>1025</v>
      </c>
      <c r="L11" s="248" t="s">
        <v>204</v>
      </c>
      <c r="M11" s="197" t="str">
        <f t="shared" si="0"/>
        <v>Yes</v>
      </c>
    </row>
    <row r="12" spans="2:13" ht="15">
      <c r="B12" s="248" t="s">
        <v>852</v>
      </c>
      <c r="C12" s="250" t="s">
        <v>862</v>
      </c>
      <c r="D12" s="249">
        <v>999</v>
      </c>
      <c r="E12" s="250">
        <v>4.0999999999999996</v>
      </c>
      <c r="F12" s="250" t="s">
        <v>1023</v>
      </c>
      <c r="G12" s="248" t="s">
        <v>1024</v>
      </c>
      <c r="H12" s="248">
        <v>2.65</v>
      </c>
      <c r="I12" s="248">
        <v>3.6</v>
      </c>
      <c r="J12" s="296">
        <v>5790</v>
      </c>
      <c r="K12" s="248" t="s">
        <v>1025</v>
      </c>
      <c r="L12" s="248" t="s">
        <v>204</v>
      </c>
      <c r="M12" s="197" t="str">
        <f t="shared" si="0"/>
        <v>Yes</v>
      </c>
    </row>
    <row r="13" spans="2:13" ht="15">
      <c r="B13" s="248" t="s">
        <v>852</v>
      </c>
      <c r="C13" s="248" t="s">
        <v>864</v>
      </c>
      <c r="D13" s="249">
        <v>799</v>
      </c>
      <c r="E13" s="250">
        <v>3.6</v>
      </c>
      <c r="F13" s="250" t="s">
        <v>1023</v>
      </c>
      <c r="G13" s="248" t="s">
        <v>1024</v>
      </c>
      <c r="H13" s="248">
        <v>2.41</v>
      </c>
      <c r="I13" s="248">
        <v>4</v>
      </c>
      <c r="J13" s="296">
        <v>5582</v>
      </c>
      <c r="K13" s="248" t="s">
        <v>1025</v>
      </c>
      <c r="L13" s="248" t="s">
        <v>204</v>
      </c>
      <c r="M13" s="197" t="str">
        <f t="shared" si="0"/>
        <v>Yes</v>
      </c>
    </row>
    <row r="14" spans="2:13" ht="15">
      <c r="B14" s="248" t="s">
        <v>852</v>
      </c>
      <c r="C14" s="248" t="s">
        <v>865</v>
      </c>
      <c r="D14" s="249">
        <v>599</v>
      </c>
      <c r="E14" s="248">
        <v>3.9</v>
      </c>
      <c r="F14" s="248" t="s">
        <v>1026</v>
      </c>
      <c r="G14" s="248" t="s">
        <v>1024</v>
      </c>
      <c r="H14" s="248">
        <v>2</v>
      </c>
      <c r="I14" s="248">
        <v>6</v>
      </c>
      <c r="J14" s="296">
        <v>9243</v>
      </c>
      <c r="K14" s="248" t="s">
        <v>1025</v>
      </c>
      <c r="L14" s="248" t="s">
        <v>204</v>
      </c>
      <c r="M14" s="197" t="str">
        <f t="shared" si="0"/>
        <v>Yes</v>
      </c>
    </row>
    <row r="15" spans="2:13" ht="15">
      <c r="B15" s="248" t="s">
        <v>852</v>
      </c>
      <c r="C15" s="248" t="s">
        <v>866</v>
      </c>
      <c r="D15" s="249">
        <v>599</v>
      </c>
      <c r="E15" s="248">
        <v>3.9</v>
      </c>
      <c r="F15" s="248" t="s">
        <v>1026</v>
      </c>
      <c r="G15" s="248" t="s">
        <v>1024</v>
      </c>
      <c r="H15" s="248">
        <v>2</v>
      </c>
      <c r="I15" s="248">
        <v>6</v>
      </c>
      <c r="J15" s="296">
        <v>9243</v>
      </c>
      <c r="K15" s="248" t="s">
        <v>1025</v>
      </c>
      <c r="L15" s="248" t="s">
        <v>204</v>
      </c>
      <c r="M15" s="197" t="str">
        <f t="shared" si="0"/>
        <v>Yes</v>
      </c>
    </row>
    <row r="16" spans="2:13" ht="15">
      <c r="B16" s="248" t="s">
        <v>852</v>
      </c>
      <c r="C16" s="248" t="s">
        <v>867</v>
      </c>
      <c r="D16" s="249">
        <v>699</v>
      </c>
      <c r="E16" s="248">
        <v>4</v>
      </c>
      <c r="F16" s="248" t="s">
        <v>1026</v>
      </c>
      <c r="G16" s="248" t="s">
        <v>1024</v>
      </c>
      <c r="H16" s="248">
        <v>2.2000000000000002</v>
      </c>
      <c r="I16" s="248">
        <v>4.5</v>
      </c>
      <c r="J16" s="296">
        <v>7038</v>
      </c>
      <c r="K16" s="248" t="s">
        <v>1025</v>
      </c>
      <c r="L16" s="248" t="s">
        <v>204</v>
      </c>
      <c r="M16" s="197" t="str">
        <f t="shared" si="0"/>
        <v>Yes</v>
      </c>
    </row>
    <row r="17" spans="2:13" ht="15">
      <c r="B17" s="248" t="s">
        <v>852</v>
      </c>
      <c r="C17" s="248" t="s">
        <v>868</v>
      </c>
      <c r="D17" s="249">
        <v>649</v>
      </c>
      <c r="E17" s="248">
        <v>3.9</v>
      </c>
      <c r="F17" s="248" t="s">
        <v>1026</v>
      </c>
      <c r="G17" s="248" t="s">
        <v>1024</v>
      </c>
      <c r="H17" s="248">
        <v>2</v>
      </c>
      <c r="I17" s="248">
        <v>6</v>
      </c>
      <c r="J17" s="296">
        <v>9243</v>
      </c>
      <c r="K17" s="248" t="s">
        <v>1025</v>
      </c>
      <c r="L17" s="248" t="s">
        <v>204</v>
      </c>
      <c r="M17" s="197" t="str">
        <f t="shared" si="0"/>
        <v>Yes</v>
      </c>
    </row>
    <row r="18" spans="2:13" ht="15">
      <c r="B18" s="248" t="s">
        <v>869</v>
      </c>
      <c r="C18" s="248" t="s">
        <v>870</v>
      </c>
      <c r="D18" s="249">
        <v>1098</v>
      </c>
      <c r="E18" s="250">
        <v>4.3</v>
      </c>
      <c r="F18" s="250" t="s">
        <v>1023</v>
      </c>
      <c r="G18" s="248" t="s">
        <v>1024</v>
      </c>
      <c r="H18" s="248">
        <v>2.69</v>
      </c>
      <c r="I18" s="248">
        <v>3.9</v>
      </c>
      <c r="J18" s="296">
        <v>6614</v>
      </c>
      <c r="K18" s="248" t="s">
        <v>1025</v>
      </c>
      <c r="L18" s="248" t="s">
        <v>204</v>
      </c>
      <c r="M18" s="197" t="str">
        <f t="shared" si="0"/>
        <v>Yes</v>
      </c>
    </row>
    <row r="19" spans="2:13" ht="15">
      <c r="B19" s="248" t="s">
        <v>871</v>
      </c>
      <c r="C19" s="248" t="s">
        <v>872</v>
      </c>
      <c r="D19" s="249">
        <v>499</v>
      </c>
      <c r="E19" s="248">
        <v>3.1</v>
      </c>
      <c r="F19" s="248" t="s">
        <v>1026</v>
      </c>
      <c r="G19" s="248" t="s">
        <v>1024</v>
      </c>
      <c r="H19" s="248">
        <v>2</v>
      </c>
      <c r="I19" s="248">
        <v>6</v>
      </c>
      <c r="J19" s="296">
        <v>7432</v>
      </c>
      <c r="K19" s="248" t="s">
        <v>1025</v>
      </c>
      <c r="L19" s="248" t="s">
        <v>204</v>
      </c>
      <c r="M19" s="197" t="str">
        <f t="shared" si="0"/>
        <v>Yes</v>
      </c>
    </row>
    <row r="20" spans="2:13" ht="15">
      <c r="B20" s="248" t="s">
        <v>873</v>
      </c>
      <c r="C20" s="248" t="s">
        <v>874</v>
      </c>
      <c r="D20" s="249">
        <v>1099</v>
      </c>
      <c r="E20" s="250">
        <v>4</v>
      </c>
      <c r="F20" s="250" t="s">
        <v>1023</v>
      </c>
      <c r="G20" s="248" t="s">
        <v>1024</v>
      </c>
      <c r="H20" s="248">
        <v>3.2</v>
      </c>
      <c r="I20" s="248">
        <v>3.3</v>
      </c>
      <c r="J20" s="296">
        <v>5123</v>
      </c>
      <c r="K20" s="248" t="s">
        <v>1025</v>
      </c>
      <c r="L20" s="248" t="s">
        <v>204</v>
      </c>
      <c r="M20" s="197" t="str">
        <f t="shared" si="0"/>
        <v>Yes</v>
      </c>
    </row>
    <row r="21" spans="2:13" ht="15">
      <c r="B21" s="248" t="s">
        <v>873</v>
      </c>
      <c r="C21" s="248" t="s">
        <v>875</v>
      </c>
      <c r="D21" s="249">
        <v>999</v>
      </c>
      <c r="E21" s="250">
        <v>3.6</v>
      </c>
      <c r="F21" s="250" t="s">
        <v>1023</v>
      </c>
      <c r="G21" s="248" t="s">
        <v>1024</v>
      </c>
      <c r="H21" s="248">
        <v>3</v>
      </c>
      <c r="I21" s="248">
        <v>3.3</v>
      </c>
      <c r="J21" s="296">
        <v>4657</v>
      </c>
      <c r="K21" s="248" t="s">
        <v>1025</v>
      </c>
      <c r="L21" s="248" t="s">
        <v>204</v>
      </c>
      <c r="M21" s="197" t="str">
        <f t="shared" si="0"/>
        <v>Yes</v>
      </c>
    </row>
    <row r="22" spans="2:13" ht="15">
      <c r="B22" s="248" t="s">
        <v>873</v>
      </c>
      <c r="C22" s="248" t="s">
        <v>876</v>
      </c>
      <c r="D22" s="249">
        <v>1399</v>
      </c>
      <c r="E22" s="250">
        <v>5.0999999999999996</v>
      </c>
      <c r="F22" s="250" t="s">
        <v>1023</v>
      </c>
      <c r="G22" s="248" t="s">
        <v>1024</v>
      </c>
      <c r="H22" s="248">
        <v>3.45</v>
      </c>
      <c r="I22" s="248">
        <v>3</v>
      </c>
      <c r="J22" s="296">
        <v>5967</v>
      </c>
      <c r="K22" s="248" t="s">
        <v>1025</v>
      </c>
      <c r="L22" s="248" t="s">
        <v>204</v>
      </c>
      <c r="M22" s="197" t="str">
        <f t="shared" si="0"/>
        <v>Yes</v>
      </c>
    </row>
    <row r="23" spans="2:13" ht="15">
      <c r="B23" s="248" t="s">
        <v>873</v>
      </c>
      <c r="C23" s="248" t="s">
        <v>877</v>
      </c>
      <c r="D23" s="249">
        <v>999</v>
      </c>
      <c r="E23" s="250">
        <v>2.2999999999999998</v>
      </c>
      <c r="F23" s="250" t="s">
        <v>1023</v>
      </c>
      <c r="G23" s="248" t="s">
        <v>1024</v>
      </c>
      <c r="H23" s="248">
        <v>2.4</v>
      </c>
      <c r="I23" s="248">
        <v>4.4000000000000004</v>
      </c>
      <c r="J23" s="296">
        <v>4036</v>
      </c>
      <c r="K23" s="248" t="s">
        <v>1025</v>
      </c>
      <c r="L23" s="248" t="s">
        <v>204</v>
      </c>
      <c r="M23" s="197" t="str">
        <f t="shared" si="0"/>
        <v>Yes</v>
      </c>
    </row>
    <row r="24" spans="2:13" ht="15">
      <c r="B24" s="248" t="s">
        <v>873</v>
      </c>
      <c r="C24" s="248" t="s">
        <v>878</v>
      </c>
      <c r="D24" s="249">
        <v>799</v>
      </c>
      <c r="E24" s="250">
        <v>3.6</v>
      </c>
      <c r="F24" s="250" t="s">
        <v>1023</v>
      </c>
      <c r="G24" s="248" t="s">
        <v>1024</v>
      </c>
      <c r="H24" s="248">
        <v>3</v>
      </c>
      <c r="I24" s="248">
        <v>3.3</v>
      </c>
      <c r="J24" s="296">
        <v>4657</v>
      </c>
      <c r="K24" s="248" t="s">
        <v>1025</v>
      </c>
      <c r="L24" s="248" t="s">
        <v>204</v>
      </c>
      <c r="M24" s="197" t="str">
        <f t="shared" si="0"/>
        <v>Yes</v>
      </c>
    </row>
    <row r="25" spans="2:13" ht="15">
      <c r="B25" s="248" t="s">
        <v>873</v>
      </c>
      <c r="C25" s="248" t="s">
        <v>879</v>
      </c>
      <c r="D25" s="249">
        <v>1199</v>
      </c>
      <c r="E25" s="250">
        <v>4</v>
      </c>
      <c r="F25" s="250" t="s">
        <v>1023</v>
      </c>
      <c r="G25" s="248" t="s">
        <v>1024</v>
      </c>
      <c r="H25" s="248">
        <v>3.2</v>
      </c>
      <c r="I25" s="248">
        <v>3.3</v>
      </c>
      <c r="J25" s="296">
        <v>5123</v>
      </c>
      <c r="K25" s="248" t="s">
        <v>1025</v>
      </c>
      <c r="L25" s="248" t="s">
        <v>204</v>
      </c>
      <c r="M25" s="197" t="str">
        <f t="shared" si="0"/>
        <v>Yes</v>
      </c>
    </row>
    <row r="26" spans="2:13" ht="15">
      <c r="B26" s="248" t="s">
        <v>873</v>
      </c>
      <c r="C26" s="248" t="s">
        <v>880</v>
      </c>
      <c r="D26" s="249">
        <v>999</v>
      </c>
      <c r="E26" s="250">
        <v>3.6</v>
      </c>
      <c r="F26" s="250" t="s">
        <v>1023</v>
      </c>
      <c r="G26" s="248" t="s">
        <v>1024</v>
      </c>
      <c r="H26" s="248">
        <v>3</v>
      </c>
      <c r="I26" s="248">
        <v>3.3</v>
      </c>
      <c r="J26" s="296">
        <v>4657</v>
      </c>
      <c r="K26" s="248" t="s">
        <v>1025</v>
      </c>
      <c r="L26" s="248" t="s">
        <v>204</v>
      </c>
      <c r="M26" s="197" t="str">
        <f t="shared" si="0"/>
        <v>Yes</v>
      </c>
    </row>
    <row r="27" spans="2:13" ht="15">
      <c r="B27" s="248" t="s">
        <v>873</v>
      </c>
      <c r="C27" s="248" t="s">
        <v>881</v>
      </c>
      <c r="D27" s="249">
        <v>899</v>
      </c>
      <c r="E27" s="250">
        <v>3.6</v>
      </c>
      <c r="F27" s="250" t="s">
        <v>1023</v>
      </c>
      <c r="G27" s="248" t="s">
        <v>1024</v>
      </c>
      <c r="H27" s="248">
        <v>3</v>
      </c>
      <c r="I27" s="248">
        <v>3.3</v>
      </c>
      <c r="J27" s="296">
        <v>4657</v>
      </c>
      <c r="K27" s="248" t="s">
        <v>1025</v>
      </c>
      <c r="L27" s="248" t="s">
        <v>204</v>
      </c>
      <c r="M27" s="197" t="str">
        <f t="shared" si="0"/>
        <v>Yes</v>
      </c>
    </row>
    <row r="28" spans="2:13" ht="15">
      <c r="B28" s="248" t="s">
        <v>873</v>
      </c>
      <c r="C28" s="248" t="s">
        <v>882</v>
      </c>
      <c r="D28" s="249">
        <v>1099</v>
      </c>
      <c r="E28" s="250">
        <v>3.7</v>
      </c>
      <c r="F28" s="250" t="s">
        <v>1023</v>
      </c>
      <c r="G28" s="248" t="s">
        <v>1024</v>
      </c>
      <c r="H28" s="248">
        <v>3.05</v>
      </c>
      <c r="I28" s="248">
        <v>3.3</v>
      </c>
      <c r="J28" s="296">
        <v>4825</v>
      </c>
      <c r="K28" s="248" t="s">
        <v>1025</v>
      </c>
      <c r="L28" s="248" t="s">
        <v>204</v>
      </c>
      <c r="M28" s="197" t="str">
        <f t="shared" si="0"/>
        <v>Yes</v>
      </c>
    </row>
    <row r="29" spans="2:13" ht="15">
      <c r="B29" s="248" t="s">
        <v>873</v>
      </c>
      <c r="C29" s="248" t="s">
        <v>883</v>
      </c>
      <c r="D29" s="249">
        <v>999</v>
      </c>
      <c r="E29" s="250">
        <v>3.7</v>
      </c>
      <c r="F29" s="250" t="s">
        <v>1023</v>
      </c>
      <c r="G29" s="248" t="s">
        <v>1024</v>
      </c>
      <c r="H29" s="248">
        <v>3.05</v>
      </c>
      <c r="I29" s="248">
        <v>3.3</v>
      </c>
      <c r="J29" s="296">
        <v>4825</v>
      </c>
      <c r="K29" s="248" t="s">
        <v>1025</v>
      </c>
      <c r="L29" s="248" t="s">
        <v>204</v>
      </c>
      <c r="M29" s="197" t="str">
        <f t="shared" si="0"/>
        <v>Yes</v>
      </c>
    </row>
    <row r="30" spans="2:13" ht="15">
      <c r="B30" s="248" t="s">
        <v>873</v>
      </c>
      <c r="C30" s="248" t="s">
        <v>884</v>
      </c>
      <c r="D30" s="249">
        <v>1099</v>
      </c>
      <c r="E30" s="248">
        <v>4.7</v>
      </c>
      <c r="F30" s="248" t="s">
        <v>1026</v>
      </c>
      <c r="G30" s="248" t="s">
        <v>1024</v>
      </c>
      <c r="H30" s="248">
        <v>2.75</v>
      </c>
      <c r="I30" s="248">
        <v>3.7</v>
      </c>
      <c r="J30" s="296">
        <v>6773</v>
      </c>
      <c r="K30" s="248" t="s">
        <v>1025</v>
      </c>
      <c r="L30" s="248" t="s">
        <v>204</v>
      </c>
      <c r="M30" s="197" t="str">
        <f t="shared" si="0"/>
        <v>Yes</v>
      </c>
    </row>
    <row r="31" spans="2:13" ht="15">
      <c r="B31" s="248" t="s">
        <v>873</v>
      </c>
      <c r="C31" s="248" t="s">
        <v>885</v>
      </c>
      <c r="D31" s="249">
        <v>749</v>
      </c>
      <c r="E31" s="248">
        <v>3.7</v>
      </c>
      <c r="F31" s="248" t="s">
        <v>1026</v>
      </c>
      <c r="G31" s="248" t="s">
        <v>1024</v>
      </c>
      <c r="H31" s="248">
        <v>2.41</v>
      </c>
      <c r="I31" s="248">
        <v>3.9</v>
      </c>
      <c r="J31" s="296">
        <v>5761</v>
      </c>
      <c r="K31" s="248" t="s">
        <v>1025</v>
      </c>
      <c r="L31" s="248" t="s">
        <v>204</v>
      </c>
      <c r="M31" s="197" t="str">
        <f t="shared" si="0"/>
        <v>Yes</v>
      </c>
    </row>
    <row r="32" spans="2:13" ht="15">
      <c r="B32" s="248" t="s">
        <v>873</v>
      </c>
      <c r="C32" s="248" t="s">
        <v>886</v>
      </c>
      <c r="D32" s="249">
        <v>999</v>
      </c>
      <c r="E32" s="248">
        <v>4.7</v>
      </c>
      <c r="F32" s="248" t="s">
        <v>1026</v>
      </c>
      <c r="G32" s="248" t="s">
        <v>1024</v>
      </c>
      <c r="H32" s="248">
        <v>2.75</v>
      </c>
      <c r="I32" s="248">
        <v>3.7</v>
      </c>
      <c r="J32" s="296">
        <v>6773</v>
      </c>
      <c r="K32" s="248" t="s">
        <v>1025</v>
      </c>
      <c r="L32" s="248" t="s">
        <v>204</v>
      </c>
      <c r="M32" s="197" t="str">
        <f t="shared" si="0"/>
        <v>Yes</v>
      </c>
    </row>
    <row r="33" spans="2:13" ht="15">
      <c r="B33" s="248" t="s">
        <v>873</v>
      </c>
      <c r="C33" s="248" t="s">
        <v>887</v>
      </c>
      <c r="D33" s="249">
        <v>1199</v>
      </c>
      <c r="E33" s="248">
        <v>4.7</v>
      </c>
      <c r="F33" s="248" t="s">
        <v>1026</v>
      </c>
      <c r="G33" s="248" t="s">
        <v>1024</v>
      </c>
      <c r="H33" s="248">
        <v>2.75</v>
      </c>
      <c r="I33" s="248">
        <v>3.7</v>
      </c>
      <c r="J33" s="296">
        <v>6773</v>
      </c>
      <c r="K33" s="248" t="s">
        <v>1025</v>
      </c>
      <c r="L33" s="248" t="s">
        <v>204</v>
      </c>
      <c r="M33" s="197" t="str">
        <f t="shared" si="0"/>
        <v>Yes</v>
      </c>
    </row>
    <row r="34" spans="2:13" ht="15">
      <c r="B34" s="248" t="s">
        <v>888</v>
      </c>
      <c r="C34" s="248" t="s">
        <v>889</v>
      </c>
      <c r="D34" s="249">
        <v>999</v>
      </c>
      <c r="E34" s="248">
        <v>4.5999999999999996</v>
      </c>
      <c r="F34" s="248" t="s">
        <v>1026</v>
      </c>
      <c r="G34" s="248" t="s">
        <v>1024</v>
      </c>
      <c r="H34" s="248">
        <v>2.57</v>
      </c>
      <c r="I34" s="250">
        <v>3.88</v>
      </c>
      <c r="J34" s="296">
        <v>6996.4159999999993</v>
      </c>
      <c r="K34" s="248" t="s">
        <v>1025</v>
      </c>
      <c r="L34" s="248" t="s">
        <v>204</v>
      </c>
      <c r="M34" s="197" t="str">
        <f t="shared" si="0"/>
        <v>Yes</v>
      </c>
    </row>
    <row r="35" spans="2:13" ht="15">
      <c r="B35" s="248" t="s">
        <v>888</v>
      </c>
      <c r="C35" s="248" t="s">
        <v>890</v>
      </c>
      <c r="D35" s="249">
        <v>799</v>
      </c>
      <c r="E35" s="248">
        <v>3.6</v>
      </c>
      <c r="F35" s="248" t="s">
        <v>1026</v>
      </c>
      <c r="G35" s="248" t="s">
        <v>1024</v>
      </c>
      <c r="H35" s="248">
        <v>2.46</v>
      </c>
      <c r="I35" s="250">
        <v>3.62</v>
      </c>
      <c r="J35" s="296">
        <v>5108.5439999999999</v>
      </c>
      <c r="K35" s="248" t="s">
        <v>1025</v>
      </c>
      <c r="L35" s="248" t="s">
        <v>204</v>
      </c>
      <c r="M35" s="197" t="str">
        <f t="shared" si="0"/>
        <v>Yes</v>
      </c>
    </row>
    <row r="36" spans="2:13" ht="15">
      <c r="B36" s="248" t="s">
        <v>888</v>
      </c>
      <c r="C36" s="248" t="s">
        <v>891</v>
      </c>
      <c r="D36" s="249">
        <v>1099</v>
      </c>
      <c r="E36" s="248">
        <v>4.5999999999999996</v>
      </c>
      <c r="F36" s="248" t="s">
        <v>1026</v>
      </c>
      <c r="G36" s="248" t="s">
        <v>1024</v>
      </c>
      <c r="H36" s="248">
        <v>2.57</v>
      </c>
      <c r="I36" s="250">
        <v>3.88</v>
      </c>
      <c r="J36" s="296">
        <v>6996.4159999999993</v>
      </c>
      <c r="K36" s="248" t="s">
        <v>1025</v>
      </c>
      <c r="L36" s="248" t="s">
        <v>204</v>
      </c>
      <c r="M36" s="197" t="str">
        <f t="shared" si="0"/>
        <v>Yes</v>
      </c>
    </row>
    <row r="37" spans="2:13" ht="15">
      <c r="B37" s="248" t="s">
        <v>888</v>
      </c>
      <c r="C37" s="248" t="s">
        <v>892</v>
      </c>
      <c r="D37" s="249">
        <v>598</v>
      </c>
      <c r="E37" s="248">
        <v>3.6</v>
      </c>
      <c r="F37" s="248" t="s">
        <v>1026</v>
      </c>
      <c r="G37" s="248" t="s">
        <v>1024</v>
      </c>
      <c r="H37" s="248">
        <v>2.46</v>
      </c>
      <c r="I37" s="250">
        <v>3.62</v>
      </c>
      <c r="J37" s="296">
        <v>5108.5439999999999</v>
      </c>
      <c r="K37" s="248" t="s">
        <v>1025</v>
      </c>
      <c r="L37" s="248" t="s">
        <v>204</v>
      </c>
      <c r="M37" s="197" t="str">
        <f t="shared" si="0"/>
        <v>Yes</v>
      </c>
    </row>
    <row r="38" spans="2:13" ht="15">
      <c r="B38" s="248" t="s">
        <v>888</v>
      </c>
      <c r="C38" s="248" t="s">
        <v>893</v>
      </c>
      <c r="D38" s="249">
        <v>899</v>
      </c>
      <c r="E38" s="248">
        <v>4.5999999999999996</v>
      </c>
      <c r="F38" s="248" t="s">
        <v>1026</v>
      </c>
      <c r="G38" s="248" t="s">
        <v>1024</v>
      </c>
      <c r="H38" s="248">
        <v>2.61</v>
      </c>
      <c r="I38" s="250">
        <v>3.69</v>
      </c>
      <c r="J38" s="296">
        <v>6653.808</v>
      </c>
      <c r="K38" s="248" t="s">
        <v>1025</v>
      </c>
      <c r="L38" s="248" t="s">
        <v>204</v>
      </c>
      <c r="M38" s="197" t="str">
        <f t="shared" si="0"/>
        <v>Yes</v>
      </c>
    </row>
    <row r="39" spans="2:13" ht="15">
      <c r="B39" s="248" t="s">
        <v>888</v>
      </c>
      <c r="C39" s="248" t="s">
        <v>894</v>
      </c>
      <c r="D39" s="249">
        <v>699</v>
      </c>
      <c r="E39" s="248">
        <v>3.6</v>
      </c>
      <c r="F39" s="248" t="s">
        <v>1026</v>
      </c>
      <c r="G39" s="248" t="s">
        <v>1024</v>
      </c>
      <c r="H39" s="248">
        <v>2.46</v>
      </c>
      <c r="I39" s="250">
        <v>3.62</v>
      </c>
      <c r="J39" s="296">
        <v>5108.5439999999999</v>
      </c>
      <c r="K39" s="248" t="s">
        <v>1025</v>
      </c>
      <c r="L39" s="248" t="s">
        <v>204</v>
      </c>
      <c r="M39" s="197" t="str">
        <f t="shared" si="0"/>
        <v>Yes</v>
      </c>
    </row>
    <row r="40" spans="2:13" ht="15">
      <c r="B40" s="248" t="s">
        <v>895</v>
      </c>
      <c r="C40" s="248" t="s">
        <v>896</v>
      </c>
      <c r="D40" s="249">
        <v>549</v>
      </c>
      <c r="E40" s="248">
        <v>3.4</v>
      </c>
      <c r="F40" s="248" t="s">
        <v>1026</v>
      </c>
      <c r="G40" s="248" t="s">
        <v>1024</v>
      </c>
      <c r="H40" s="248">
        <v>2.02</v>
      </c>
      <c r="I40" s="250">
        <v>5.89</v>
      </c>
      <c r="J40" s="296">
        <v>7734.7480000000005</v>
      </c>
      <c r="K40" s="248" t="s">
        <v>1025</v>
      </c>
      <c r="L40" s="248" t="s">
        <v>204</v>
      </c>
      <c r="M40" s="197" t="str">
        <f t="shared" si="0"/>
        <v>Yes</v>
      </c>
    </row>
    <row r="41" spans="2:13" ht="15">
      <c r="B41" s="248" t="s">
        <v>895</v>
      </c>
      <c r="C41" s="248" t="s">
        <v>897</v>
      </c>
      <c r="D41" s="249">
        <v>649</v>
      </c>
      <c r="E41" s="248">
        <v>3.6</v>
      </c>
      <c r="F41" s="248" t="s">
        <v>1026</v>
      </c>
      <c r="G41" s="248" t="s">
        <v>1024</v>
      </c>
      <c r="H41" s="248">
        <v>2.48</v>
      </c>
      <c r="I41" s="250">
        <v>3.64</v>
      </c>
      <c r="J41" s="296">
        <v>5136.768</v>
      </c>
      <c r="K41" s="248" t="s">
        <v>1025</v>
      </c>
      <c r="L41" s="248" t="s">
        <v>204</v>
      </c>
      <c r="M41" s="197" t="str">
        <f t="shared" si="0"/>
        <v>Yes</v>
      </c>
    </row>
    <row r="42" spans="2:13" ht="15">
      <c r="B42" s="248" t="s">
        <v>895</v>
      </c>
      <c r="C42" s="248" t="s">
        <v>898</v>
      </c>
      <c r="D42" s="249">
        <v>498</v>
      </c>
      <c r="E42" s="248">
        <v>3.4</v>
      </c>
      <c r="F42" s="248" t="s">
        <v>1026</v>
      </c>
      <c r="G42" s="248" t="s">
        <v>1024</v>
      </c>
      <c r="H42" s="248">
        <v>2.024</v>
      </c>
      <c r="I42" s="250">
        <v>5.8959999999999999</v>
      </c>
      <c r="J42" s="296">
        <v>7742.6271999999999</v>
      </c>
      <c r="K42" s="248" t="s">
        <v>1025</v>
      </c>
      <c r="L42" s="248" t="s">
        <v>204</v>
      </c>
      <c r="M42" s="197" t="str">
        <f t="shared" si="0"/>
        <v>Yes</v>
      </c>
    </row>
    <row r="43" spans="2:13" ht="15">
      <c r="B43" s="248" t="s">
        <v>899</v>
      </c>
      <c r="C43" s="248" t="s">
        <v>900</v>
      </c>
      <c r="D43" s="249">
        <v>1299</v>
      </c>
      <c r="E43" s="250">
        <v>4.3</v>
      </c>
      <c r="F43" s="250" t="s">
        <v>1023</v>
      </c>
      <c r="G43" s="248" t="s">
        <v>1024</v>
      </c>
      <c r="H43" s="248">
        <v>3</v>
      </c>
      <c r="I43" s="250">
        <v>2.68</v>
      </c>
      <c r="J43" s="296">
        <v>4548.9247999999998</v>
      </c>
      <c r="K43" s="248" t="s">
        <v>1025</v>
      </c>
      <c r="L43" s="248" t="s">
        <v>204</v>
      </c>
      <c r="M43" s="197" t="str">
        <f t="shared" si="0"/>
        <v>Yes</v>
      </c>
    </row>
    <row r="44" spans="2:13" ht="15">
      <c r="B44" s="248" t="s">
        <v>899</v>
      </c>
      <c r="C44" s="248" t="s">
        <v>901</v>
      </c>
      <c r="D44" s="249">
        <v>1299</v>
      </c>
      <c r="E44" s="250">
        <v>4.3</v>
      </c>
      <c r="F44" s="250" t="s">
        <v>1023</v>
      </c>
      <c r="G44" s="248" t="s">
        <v>1024</v>
      </c>
      <c r="H44" s="248">
        <v>3</v>
      </c>
      <c r="I44" s="250">
        <v>2.78</v>
      </c>
      <c r="J44" s="296">
        <v>4718.6607999999997</v>
      </c>
      <c r="K44" s="248" t="s">
        <v>1025</v>
      </c>
      <c r="L44" s="248" t="s">
        <v>204</v>
      </c>
      <c r="M44" s="197" t="str">
        <f t="shared" si="0"/>
        <v>Yes</v>
      </c>
    </row>
    <row r="45" spans="2:13" ht="15">
      <c r="B45" s="248" t="s">
        <v>899</v>
      </c>
      <c r="C45" s="248" t="s">
        <v>902</v>
      </c>
      <c r="D45" s="249">
        <v>1499</v>
      </c>
      <c r="E45" s="250">
        <v>4.3</v>
      </c>
      <c r="F45" s="250" t="s">
        <v>1023</v>
      </c>
      <c r="G45" s="248" t="s">
        <v>1024</v>
      </c>
      <c r="H45" s="248">
        <v>3</v>
      </c>
      <c r="I45" s="250">
        <v>2.72</v>
      </c>
      <c r="J45" s="296">
        <v>4616.8192000000008</v>
      </c>
      <c r="K45" s="248" t="s">
        <v>1025</v>
      </c>
      <c r="L45" s="248" t="s">
        <v>204</v>
      </c>
      <c r="M45" s="197" t="str">
        <f t="shared" si="0"/>
        <v>Yes</v>
      </c>
    </row>
    <row r="46" spans="2:13" ht="15">
      <c r="B46" s="248" t="s">
        <v>903</v>
      </c>
      <c r="C46" s="248" t="s">
        <v>904</v>
      </c>
      <c r="D46" s="249">
        <v>899</v>
      </c>
      <c r="E46" s="250">
        <v>3.5</v>
      </c>
      <c r="F46" s="250" t="s">
        <v>1023</v>
      </c>
      <c r="G46" s="248" t="s">
        <v>1024</v>
      </c>
      <c r="H46" s="248">
        <v>2.46</v>
      </c>
      <c r="I46" s="250">
        <v>3.69</v>
      </c>
      <c r="J46" s="296">
        <v>5004.8208000000004</v>
      </c>
      <c r="K46" s="248" t="s">
        <v>1025</v>
      </c>
      <c r="L46" s="248" t="s">
        <v>204</v>
      </c>
      <c r="M46" s="197" t="str">
        <f t="shared" si="0"/>
        <v>Yes</v>
      </c>
    </row>
    <row r="47" spans="2:13" ht="15">
      <c r="B47" s="248" t="s">
        <v>903</v>
      </c>
      <c r="C47" s="248" t="s">
        <v>905</v>
      </c>
      <c r="D47" s="249">
        <v>799</v>
      </c>
      <c r="E47" s="250">
        <v>3.5</v>
      </c>
      <c r="F47" s="250" t="s">
        <v>1023</v>
      </c>
      <c r="G47" s="248" t="s">
        <v>1024</v>
      </c>
      <c r="H47" s="248">
        <v>2.46</v>
      </c>
      <c r="I47" s="250">
        <v>3.69</v>
      </c>
      <c r="J47" s="296">
        <v>5004.8208000000004</v>
      </c>
      <c r="K47" s="248" t="s">
        <v>1025</v>
      </c>
      <c r="L47" s="248" t="s">
        <v>204</v>
      </c>
      <c r="M47" s="197" t="str">
        <f t="shared" si="0"/>
        <v>Yes</v>
      </c>
    </row>
    <row r="48" spans="2:13" ht="15">
      <c r="B48" s="248" t="s">
        <v>903</v>
      </c>
      <c r="C48" s="248" t="s">
        <v>906</v>
      </c>
      <c r="D48" s="249">
        <v>899</v>
      </c>
      <c r="E48" s="250">
        <v>3.5</v>
      </c>
      <c r="F48" s="250" t="s">
        <v>1023</v>
      </c>
      <c r="G48" s="248" t="s">
        <v>1024</v>
      </c>
      <c r="H48" s="248">
        <v>2.46</v>
      </c>
      <c r="I48" s="250">
        <v>3.69</v>
      </c>
      <c r="J48" s="296">
        <v>5004.8208000000004</v>
      </c>
      <c r="K48" s="248" t="s">
        <v>1025</v>
      </c>
      <c r="L48" s="248" t="s">
        <v>204</v>
      </c>
      <c r="M48" s="197" t="str">
        <f t="shared" si="0"/>
        <v>Yes</v>
      </c>
    </row>
    <row r="49" spans="2:13" ht="15">
      <c r="B49" s="248" t="s">
        <v>903</v>
      </c>
      <c r="C49" s="248" t="s">
        <v>907</v>
      </c>
      <c r="D49" s="249">
        <v>999</v>
      </c>
      <c r="E49" s="250">
        <v>3.9</v>
      </c>
      <c r="F49" s="250" t="s">
        <v>1023</v>
      </c>
      <c r="G49" s="248" t="s">
        <v>1024</v>
      </c>
      <c r="H49" s="248">
        <v>2.46</v>
      </c>
      <c r="I49" s="250">
        <v>2.94</v>
      </c>
      <c r="J49" s="296">
        <v>4448.5727999999999</v>
      </c>
      <c r="K49" s="248" t="s">
        <v>1025</v>
      </c>
      <c r="L49" s="248" t="s">
        <v>204</v>
      </c>
      <c r="M49" s="197" t="str">
        <f t="shared" si="0"/>
        <v>Yes</v>
      </c>
    </row>
    <row r="50" spans="2:13" ht="15">
      <c r="B50" s="248" t="s">
        <v>908</v>
      </c>
      <c r="C50" s="250" t="s">
        <v>909</v>
      </c>
      <c r="D50" s="249">
        <v>749</v>
      </c>
      <c r="E50" s="250">
        <v>2</v>
      </c>
      <c r="F50" s="250" t="s">
        <v>1023</v>
      </c>
      <c r="G50" s="248" t="s">
        <v>1024</v>
      </c>
      <c r="H50" s="248">
        <v>2.08</v>
      </c>
      <c r="I50" s="250">
        <v>5.22</v>
      </c>
      <c r="J50" s="296">
        <v>4031.0927999999994</v>
      </c>
      <c r="K50" s="248" t="s">
        <v>1025</v>
      </c>
      <c r="L50" s="248" t="s">
        <v>204</v>
      </c>
      <c r="M50" s="197" t="str">
        <f t="shared" si="0"/>
        <v>Yes</v>
      </c>
    </row>
    <row r="51" spans="2:13" ht="15">
      <c r="B51" s="248" t="s">
        <v>908</v>
      </c>
      <c r="C51" s="248" t="s">
        <v>910</v>
      </c>
      <c r="D51" s="249">
        <v>579</v>
      </c>
      <c r="E51" s="248">
        <v>3.4</v>
      </c>
      <c r="F51" s="248" t="s">
        <v>1026</v>
      </c>
      <c r="G51" s="248" t="s">
        <v>1024</v>
      </c>
      <c r="H51" s="248">
        <v>2.024</v>
      </c>
      <c r="I51" s="250">
        <v>5.8959999999999999</v>
      </c>
      <c r="J51" s="296">
        <v>7742.6271999999999</v>
      </c>
      <c r="K51" s="248" t="s">
        <v>1025</v>
      </c>
      <c r="L51" s="248" t="s">
        <v>204</v>
      </c>
      <c r="M51" s="197" t="str">
        <f t="shared" si="0"/>
        <v>Yes</v>
      </c>
    </row>
    <row r="52" spans="2:13" ht="15">
      <c r="B52" s="248" t="s">
        <v>908</v>
      </c>
      <c r="C52" s="248" t="s">
        <v>911</v>
      </c>
      <c r="D52" s="249">
        <v>649</v>
      </c>
      <c r="E52" s="248">
        <v>3.6</v>
      </c>
      <c r="F52" s="248" t="s">
        <v>1026</v>
      </c>
      <c r="G52" s="248" t="s">
        <v>1024</v>
      </c>
      <c r="H52" s="248">
        <v>2.4900000000000002</v>
      </c>
      <c r="I52" s="250">
        <v>3.91</v>
      </c>
      <c r="J52" s="296">
        <v>5517.7920000000004</v>
      </c>
      <c r="K52" s="248" t="s">
        <v>1025</v>
      </c>
      <c r="L52" s="248" t="s">
        <v>204</v>
      </c>
      <c r="M52" s="197" t="str">
        <f t="shared" si="0"/>
        <v>Yes</v>
      </c>
    </row>
    <row r="53" spans="2:13" ht="15">
      <c r="B53" s="248" t="s">
        <v>912</v>
      </c>
      <c r="C53" s="248" t="s">
        <v>913</v>
      </c>
      <c r="D53" s="249">
        <v>699</v>
      </c>
      <c r="E53" s="248">
        <v>3.6</v>
      </c>
      <c r="F53" s="248" t="s">
        <v>1026</v>
      </c>
      <c r="G53" s="248" t="s">
        <v>1024</v>
      </c>
      <c r="H53" s="248">
        <v>2.4900000000000002</v>
      </c>
      <c r="I53" s="250">
        <v>3.91</v>
      </c>
      <c r="J53" s="296">
        <v>5517.7920000000004</v>
      </c>
      <c r="K53" s="248" t="s">
        <v>1025</v>
      </c>
      <c r="L53" s="248" t="s">
        <v>204</v>
      </c>
      <c r="M53" s="197" t="str">
        <f t="shared" si="0"/>
        <v>Yes</v>
      </c>
    </row>
    <row r="54" spans="2:13" ht="15">
      <c r="B54" s="248" t="s">
        <v>912</v>
      </c>
      <c r="C54" s="248" t="s">
        <v>914</v>
      </c>
      <c r="D54" s="249">
        <v>899</v>
      </c>
      <c r="E54" s="248">
        <v>3.6</v>
      </c>
      <c r="F54" s="248" t="s">
        <v>1026</v>
      </c>
      <c r="G54" s="248" t="s">
        <v>1024</v>
      </c>
      <c r="H54" s="248">
        <v>2.46</v>
      </c>
      <c r="I54" s="250">
        <v>3.84</v>
      </c>
      <c r="J54" s="296">
        <v>5419.0079999999998</v>
      </c>
      <c r="K54" s="248" t="s">
        <v>1025</v>
      </c>
      <c r="L54" s="248" t="s">
        <v>204</v>
      </c>
      <c r="M54" s="197" t="str">
        <f t="shared" si="0"/>
        <v>Yes</v>
      </c>
    </row>
    <row r="55" spans="2:13" ht="15">
      <c r="B55" s="248" t="s">
        <v>912</v>
      </c>
      <c r="C55" s="248" t="s">
        <v>915</v>
      </c>
      <c r="D55" s="249">
        <v>1099</v>
      </c>
      <c r="E55" s="248">
        <v>4.5999999999999996</v>
      </c>
      <c r="F55" s="248" t="s">
        <v>1026</v>
      </c>
      <c r="G55" s="248" t="s">
        <v>1024</v>
      </c>
      <c r="H55" s="248">
        <v>2.65</v>
      </c>
      <c r="I55" s="250">
        <v>3.71</v>
      </c>
      <c r="J55" s="296">
        <v>6689.8719999999994</v>
      </c>
      <c r="K55" s="248" t="s">
        <v>1025</v>
      </c>
      <c r="L55" s="248" t="s">
        <v>204</v>
      </c>
      <c r="M55" s="197" t="str">
        <f t="shared" si="0"/>
        <v>Yes</v>
      </c>
    </row>
    <row r="56" spans="2:13" ht="15">
      <c r="B56" s="248" t="s">
        <v>912</v>
      </c>
      <c r="C56" s="248" t="s">
        <v>916</v>
      </c>
      <c r="D56" s="249">
        <v>999</v>
      </c>
      <c r="E56" s="248">
        <v>4.5999999999999996</v>
      </c>
      <c r="F56" s="248" t="s">
        <v>1026</v>
      </c>
      <c r="G56" s="248" t="s">
        <v>1024</v>
      </c>
      <c r="H56" s="248">
        <v>2.65</v>
      </c>
      <c r="I56" s="250">
        <v>3.71</v>
      </c>
      <c r="J56" s="296">
        <v>6689.8719999999994</v>
      </c>
      <c r="K56" s="248" t="s">
        <v>1025</v>
      </c>
      <c r="L56" s="248" t="s">
        <v>204</v>
      </c>
      <c r="M56" s="197" t="str">
        <f t="shared" si="0"/>
        <v>Yes</v>
      </c>
    </row>
    <row r="57" spans="2:13" ht="15">
      <c r="B57" s="248" t="s">
        <v>912</v>
      </c>
      <c r="C57" s="248" t="s">
        <v>917</v>
      </c>
      <c r="D57" s="249">
        <v>749</v>
      </c>
      <c r="E57" s="248">
        <v>3.6</v>
      </c>
      <c r="F57" s="248" t="s">
        <v>1026</v>
      </c>
      <c r="G57" s="248" t="s">
        <v>1024</v>
      </c>
      <c r="H57" s="248">
        <v>2.46</v>
      </c>
      <c r="I57" s="250">
        <v>3.84</v>
      </c>
      <c r="J57" s="296">
        <v>5419.0079999999998</v>
      </c>
      <c r="K57" s="248" t="s">
        <v>1025</v>
      </c>
      <c r="L57" s="248" t="s">
        <v>204</v>
      </c>
      <c r="M57" s="197" t="str">
        <f t="shared" si="0"/>
        <v>Yes</v>
      </c>
    </row>
    <row r="58" spans="2:13" ht="15">
      <c r="B58" s="248" t="s">
        <v>918</v>
      </c>
      <c r="C58" s="248" t="s">
        <v>919</v>
      </c>
      <c r="D58" s="249">
        <v>899</v>
      </c>
      <c r="E58" s="248">
        <v>4.5999999999999996</v>
      </c>
      <c r="F58" s="248" t="s">
        <v>1026</v>
      </c>
      <c r="G58" s="248" t="s">
        <v>1024</v>
      </c>
      <c r="H58" s="248">
        <v>2.65</v>
      </c>
      <c r="I58" s="250">
        <v>3.71</v>
      </c>
      <c r="J58" s="296">
        <v>6689.8719999999994</v>
      </c>
      <c r="K58" s="248" t="s">
        <v>1025</v>
      </c>
      <c r="L58" s="248" t="s">
        <v>204</v>
      </c>
      <c r="M58" s="197" t="str">
        <f t="shared" si="0"/>
        <v>Yes</v>
      </c>
    </row>
    <row r="59" spans="2:13" ht="15">
      <c r="B59" s="248" t="s">
        <v>920</v>
      </c>
      <c r="C59" s="248" t="s">
        <v>921</v>
      </c>
      <c r="D59" s="249">
        <v>1099</v>
      </c>
      <c r="E59" s="250">
        <v>3.8</v>
      </c>
      <c r="F59" s="250" t="s">
        <v>1023</v>
      </c>
      <c r="G59" s="248" t="s">
        <v>1024</v>
      </c>
      <c r="H59" s="248">
        <v>2.4300000000000002</v>
      </c>
      <c r="I59" s="250">
        <v>3.43</v>
      </c>
      <c r="J59" s="296">
        <v>5095.8824000000004</v>
      </c>
      <c r="K59" s="248" t="s">
        <v>1025</v>
      </c>
      <c r="L59" s="248" t="s">
        <v>204</v>
      </c>
      <c r="M59" s="197" t="str">
        <f t="shared" si="0"/>
        <v>Yes</v>
      </c>
    </row>
    <row r="60" spans="2:13" ht="15">
      <c r="B60" s="248" t="s">
        <v>920</v>
      </c>
      <c r="C60" s="248" t="s">
        <v>922</v>
      </c>
      <c r="D60" s="249">
        <v>1199</v>
      </c>
      <c r="E60" s="250">
        <v>4.3</v>
      </c>
      <c r="F60" s="250" t="s">
        <v>1023</v>
      </c>
      <c r="G60" s="248" t="s">
        <v>1024</v>
      </c>
      <c r="H60" s="248">
        <v>3</v>
      </c>
      <c r="I60" s="250">
        <v>2.48</v>
      </c>
      <c r="J60" s="296">
        <v>4209.4528</v>
      </c>
      <c r="K60" s="248" t="s">
        <v>1025</v>
      </c>
      <c r="L60" s="248" t="s">
        <v>204</v>
      </c>
      <c r="M60" s="197" t="str">
        <f t="shared" si="0"/>
        <v>Yes</v>
      </c>
    </row>
    <row r="61" spans="2:13" ht="15">
      <c r="B61" s="248" t="s">
        <v>920</v>
      </c>
      <c r="C61" s="250" t="s">
        <v>923</v>
      </c>
      <c r="D61" s="249">
        <v>899</v>
      </c>
      <c r="E61" s="250">
        <v>3.5</v>
      </c>
      <c r="F61" s="250" t="s">
        <v>1023</v>
      </c>
      <c r="G61" s="248" t="s">
        <v>1024</v>
      </c>
      <c r="H61" s="248">
        <v>2.46</v>
      </c>
      <c r="I61" s="250">
        <v>3.69</v>
      </c>
      <c r="J61" s="296">
        <v>5004.8208000000004</v>
      </c>
      <c r="K61" s="248" t="s">
        <v>1025</v>
      </c>
      <c r="L61" s="248" t="s">
        <v>204</v>
      </c>
      <c r="M61" s="197" t="str">
        <f t="shared" si="0"/>
        <v>Yes</v>
      </c>
    </row>
    <row r="62" spans="2:13" ht="15">
      <c r="B62" s="248" t="s">
        <v>920</v>
      </c>
      <c r="C62" s="250" t="s">
        <v>924</v>
      </c>
      <c r="D62" s="249">
        <v>1499</v>
      </c>
      <c r="E62" s="250">
        <v>4.3</v>
      </c>
      <c r="F62" s="250" t="s">
        <v>1023</v>
      </c>
      <c r="G62" s="248" t="s">
        <v>1024</v>
      </c>
      <c r="H62" s="248">
        <v>3</v>
      </c>
      <c r="I62" s="250">
        <v>2.83</v>
      </c>
      <c r="J62" s="296">
        <v>4803.5288</v>
      </c>
      <c r="K62" s="248" t="s">
        <v>1025</v>
      </c>
      <c r="L62" s="248" t="s">
        <v>204</v>
      </c>
      <c r="M62" s="197" t="str">
        <f t="shared" si="0"/>
        <v>Yes</v>
      </c>
    </row>
    <row r="63" spans="2:13" ht="15">
      <c r="B63" s="248" t="s">
        <v>920</v>
      </c>
      <c r="C63" s="250" t="s">
        <v>925</v>
      </c>
      <c r="D63" s="249">
        <v>1399</v>
      </c>
      <c r="E63" s="250">
        <v>4.3</v>
      </c>
      <c r="F63" s="250" t="s">
        <v>1023</v>
      </c>
      <c r="G63" s="248" t="s">
        <v>1024</v>
      </c>
      <c r="H63" s="248">
        <v>3</v>
      </c>
      <c r="I63" s="250">
        <v>2.78</v>
      </c>
      <c r="J63" s="296">
        <v>4718.6607999999997</v>
      </c>
      <c r="K63" s="248" t="s">
        <v>1025</v>
      </c>
      <c r="L63" s="248" t="s">
        <v>204</v>
      </c>
      <c r="M63" s="197" t="str">
        <f t="shared" si="0"/>
        <v>Yes</v>
      </c>
    </row>
    <row r="64" spans="2:13" ht="15">
      <c r="B64" s="248" t="s">
        <v>920</v>
      </c>
      <c r="C64" s="250" t="s">
        <v>926</v>
      </c>
      <c r="D64" s="249">
        <v>799</v>
      </c>
      <c r="E64" s="250">
        <v>3.5</v>
      </c>
      <c r="F64" s="250" t="s">
        <v>1023</v>
      </c>
      <c r="G64" s="248" t="s">
        <v>1024</v>
      </c>
      <c r="H64" s="248">
        <v>2.46</v>
      </c>
      <c r="I64" s="250">
        <v>3.69</v>
      </c>
      <c r="J64" s="296">
        <v>5004.8208000000004</v>
      </c>
      <c r="K64" s="248" t="s">
        <v>1025</v>
      </c>
      <c r="L64" s="248" t="s">
        <v>204</v>
      </c>
      <c r="M64" s="197" t="str">
        <f t="shared" si="0"/>
        <v>Yes</v>
      </c>
    </row>
    <row r="65" spans="2:13" ht="15">
      <c r="B65" s="248" t="s">
        <v>920</v>
      </c>
      <c r="C65" s="250" t="s">
        <v>927</v>
      </c>
      <c r="D65" s="249">
        <v>1199</v>
      </c>
      <c r="E65" s="250">
        <v>4.3</v>
      </c>
      <c r="F65" s="250" t="s">
        <v>1023</v>
      </c>
      <c r="G65" s="248" t="s">
        <v>1024</v>
      </c>
      <c r="H65" s="248">
        <v>3.3</v>
      </c>
      <c r="I65" s="250">
        <v>2.5499999999999998</v>
      </c>
      <c r="J65" s="296">
        <v>4328.268</v>
      </c>
      <c r="K65" s="248" t="s">
        <v>1025</v>
      </c>
      <c r="L65" s="248" t="s">
        <v>204</v>
      </c>
      <c r="M65" s="197" t="str">
        <f t="shared" si="0"/>
        <v>Yes</v>
      </c>
    </row>
    <row r="66" spans="2:13" ht="15">
      <c r="B66" s="248" t="s">
        <v>920</v>
      </c>
      <c r="C66" s="248" t="s">
        <v>928</v>
      </c>
      <c r="D66" s="249">
        <v>999</v>
      </c>
      <c r="E66" s="250">
        <v>3.8</v>
      </c>
      <c r="F66" s="250" t="s">
        <v>1023</v>
      </c>
      <c r="G66" s="248" t="s">
        <v>1024</v>
      </c>
      <c r="H66" s="248">
        <v>2.4300000000000002</v>
      </c>
      <c r="I66" s="250">
        <v>3.43</v>
      </c>
      <c r="J66" s="296">
        <v>5095.8824000000004</v>
      </c>
      <c r="K66" s="248" t="s">
        <v>1025</v>
      </c>
      <c r="L66" s="248" t="s">
        <v>204</v>
      </c>
      <c r="M66" s="197" t="str">
        <f t="shared" si="0"/>
        <v>Yes</v>
      </c>
    </row>
    <row r="67" spans="2:13" ht="15">
      <c r="B67" s="248" t="s">
        <v>626</v>
      </c>
      <c r="C67" s="248" t="s">
        <v>929</v>
      </c>
      <c r="D67" s="249">
        <v>399</v>
      </c>
      <c r="E67" s="248">
        <v>3.1</v>
      </c>
      <c r="F67" s="248" t="s">
        <v>1026</v>
      </c>
      <c r="G67" s="248" t="s">
        <v>388</v>
      </c>
      <c r="H67" s="248">
        <v>1.5</v>
      </c>
      <c r="I67" s="248">
        <v>9.5</v>
      </c>
      <c r="J67" s="296" t="s">
        <v>846</v>
      </c>
      <c r="K67" s="248" t="s">
        <v>1025</v>
      </c>
      <c r="L67" s="248" t="s">
        <v>1027</v>
      </c>
      <c r="M67" s="197" t="str">
        <f t="shared" si="0"/>
        <v>Yes</v>
      </c>
    </row>
    <row r="68" spans="2:13" ht="15">
      <c r="B68" s="248" t="s">
        <v>852</v>
      </c>
      <c r="C68" s="248" t="s">
        <v>930</v>
      </c>
      <c r="D68" s="249">
        <v>499</v>
      </c>
      <c r="E68" s="248">
        <v>3.7</v>
      </c>
      <c r="F68" s="248" t="s">
        <v>1026</v>
      </c>
      <c r="G68" s="248" t="s">
        <v>388</v>
      </c>
      <c r="H68" s="248">
        <v>1.26</v>
      </c>
      <c r="I68" s="248">
        <v>9.5</v>
      </c>
      <c r="J68" s="296" t="s">
        <v>846</v>
      </c>
      <c r="K68" s="248" t="s">
        <v>1025</v>
      </c>
      <c r="L68" s="248" t="s">
        <v>1027</v>
      </c>
      <c r="M68" s="197" t="str">
        <f t="shared" si="0"/>
        <v>Yes</v>
      </c>
    </row>
    <row r="69" spans="2:13" ht="15">
      <c r="B69" s="248" t="s">
        <v>852</v>
      </c>
      <c r="C69" s="248" t="s">
        <v>931</v>
      </c>
      <c r="D69" s="249">
        <v>429</v>
      </c>
      <c r="E69" s="248">
        <v>3.3</v>
      </c>
      <c r="F69" s="248" t="s">
        <v>1026</v>
      </c>
      <c r="G69" s="248" t="s">
        <v>388</v>
      </c>
      <c r="H69" s="248">
        <v>1.33</v>
      </c>
      <c r="I69" s="248">
        <v>8.5</v>
      </c>
      <c r="J69" s="296" t="s">
        <v>846</v>
      </c>
      <c r="K69" s="248" t="s">
        <v>1025</v>
      </c>
      <c r="L69" s="248" t="s">
        <v>1027</v>
      </c>
      <c r="M69" s="197" t="str">
        <f t="shared" si="0"/>
        <v>Yes</v>
      </c>
    </row>
    <row r="70" spans="2:13" ht="15">
      <c r="B70" s="248" t="s">
        <v>852</v>
      </c>
      <c r="C70" s="248" t="s">
        <v>932</v>
      </c>
      <c r="D70" s="249">
        <v>849</v>
      </c>
      <c r="E70" s="248">
        <v>2.7</v>
      </c>
      <c r="F70" s="248" t="s">
        <v>1026</v>
      </c>
      <c r="G70" s="248" t="s">
        <v>388</v>
      </c>
      <c r="H70" s="248">
        <v>1.33</v>
      </c>
      <c r="I70" s="248">
        <v>9.5</v>
      </c>
      <c r="J70" s="296" t="s">
        <v>846</v>
      </c>
      <c r="K70" s="248" t="s">
        <v>1025</v>
      </c>
      <c r="L70" s="248" t="s">
        <v>1027</v>
      </c>
      <c r="M70" s="197" t="str">
        <f t="shared" ref="M70:M133" si="1">IF(AND(H70&lt;&gt;"NA",I70&lt;&gt;"NA"),"Yes","No")</f>
        <v>Yes</v>
      </c>
    </row>
    <row r="71" spans="2:13" ht="15">
      <c r="B71" s="248" t="s">
        <v>489</v>
      </c>
      <c r="C71" s="248" t="s">
        <v>933</v>
      </c>
      <c r="D71" s="249">
        <v>449</v>
      </c>
      <c r="E71" s="248">
        <v>3.5</v>
      </c>
      <c r="F71" s="248" t="s">
        <v>1026</v>
      </c>
      <c r="G71" s="248" t="s">
        <v>388</v>
      </c>
      <c r="H71" s="248">
        <v>1.26</v>
      </c>
      <c r="I71" s="248">
        <v>9.5</v>
      </c>
      <c r="J71" s="296" t="s">
        <v>846</v>
      </c>
      <c r="K71" s="248" t="s">
        <v>1025</v>
      </c>
      <c r="L71" s="248" t="s">
        <v>1027</v>
      </c>
      <c r="M71" s="197" t="str">
        <f t="shared" si="1"/>
        <v>Yes</v>
      </c>
    </row>
    <row r="72" spans="2:13" ht="15">
      <c r="B72" s="248" t="s">
        <v>489</v>
      </c>
      <c r="C72" s="248" t="s">
        <v>934</v>
      </c>
      <c r="D72" s="249">
        <v>419</v>
      </c>
      <c r="E72" s="248">
        <v>3.5</v>
      </c>
      <c r="F72" s="248" t="s">
        <v>1026</v>
      </c>
      <c r="G72" s="248" t="s">
        <v>388</v>
      </c>
      <c r="H72" s="248">
        <v>1.26</v>
      </c>
      <c r="I72" s="248">
        <v>9.5</v>
      </c>
      <c r="J72" s="296" t="s">
        <v>846</v>
      </c>
      <c r="K72" s="248" t="s">
        <v>1025</v>
      </c>
      <c r="L72" s="248" t="s">
        <v>1027</v>
      </c>
      <c r="M72" s="197" t="str">
        <f t="shared" si="1"/>
        <v>Yes</v>
      </c>
    </row>
    <row r="73" spans="2:13" ht="15">
      <c r="B73" s="248" t="s">
        <v>908</v>
      </c>
      <c r="C73" s="248" t="s">
        <v>935</v>
      </c>
      <c r="D73" s="249">
        <v>499</v>
      </c>
      <c r="E73" s="248">
        <v>3.4</v>
      </c>
      <c r="F73" s="248" t="s">
        <v>1026</v>
      </c>
      <c r="G73" s="248" t="s">
        <v>388</v>
      </c>
      <c r="H73" s="248">
        <v>1.41</v>
      </c>
      <c r="I73" s="248">
        <v>8.6</v>
      </c>
      <c r="J73" s="296" t="s">
        <v>846</v>
      </c>
      <c r="K73" s="248" t="s">
        <v>1025</v>
      </c>
      <c r="L73" s="248" t="s">
        <v>1027</v>
      </c>
      <c r="M73" s="197" t="str">
        <f t="shared" si="1"/>
        <v>Yes</v>
      </c>
    </row>
    <row r="74" spans="2:13" ht="15">
      <c r="B74" s="248" t="s">
        <v>936</v>
      </c>
      <c r="C74" s="248" t="s">
        <v>937</v>
      </c>
      <c r="D74" s="249">
        <v>649</v>
      </c>
      <c r="E74" s="248">
        <v>3.9</v>
      </c>
      <c r="F74" s="248" t="s">
        <v>1026</v>
      </c>
      <c r="G74" s="248" t="s">
        <v>1024</v>
      </c>
      <c r="H74" s="279">
        <v>2</v>
      </c>
      <c r="I74" s="279">
        <v>6</v>
      </c>
      <c r="J74" s="296" t="s">
        <v>846</v>
      </c>
      <c r="K74" s="248" t="s">
        <v>1025</v>
      </c>
      <c r="L74" s="248" t="s">
        <v>1027</v>
      </c>
      <c r="M74" s="197" t="str">
        <f t="shared" si="1"/>
        <v>Yes</v>
      </c>
    </row>
    <row r="75" spans="2:13" ht="15">
      <c r="B75" s="248" t="s">
        <v>938</v>
      </c>
      <c r="C75" s="248" t="s">
        <v>939</v>
      </c>
      <c r="D75" s="249">
        <v>1199</v>
      </c>
      <c r="E75" s="248">
        <v>4.5</v>
      </c>
      <c r="F75" s="248" t="s">
        <v>1026</v>
      </c>
      <c r="G75" s="248" t="s">
        <v>1024</v>
      </c>
      <c r="H75" s="279">
        <v>2.21</v>
      </c>
      <c r="I75" s="279">
        <v>4.5</v>
      </c>
      <c r="J75" s="296" t="s">
        <v>846</v>
      </c>
      <c r="K75" s="248" t="s">
        <v>1025</v>
      </c>
      <c r="L75" s="248" t="s">
        <v>1027</v>
      </c>
      <c r="M75" s="197" t="str">
        <f t="shared" si="1"/>
        <v>Yes</v>
      </c>
    </row>
    <row r="76" spans="2:13" ht="15">
      <c r="B76" s="248" t="s">
        <v>626</v>
      </c>
      <c r="C76" s="248" t="s">
        <v>1028</v>
      </c>
      <c r="D76" s="249">
        <v>399</v>
      </c>
      <c r="E76" s="248">
        <v>3.4</v>
      </c>
      <c r="F76" s="248" t="s">
        <v>1026</v>
      </c>
      <c r="G76" s="248" t="s">
        <v>388</v>
      </c>
      <c r="H76" s="279"/>
      <c r="I76" s="279"/>
      <c r="J76" s="248" t="s">
        <v>846</v>
      </c>
      <c r="K76" s="248" t="s">
        <v>1025</v>
      </c>
      <c r="L76" s="248" t="s">
        <v>846</v>
      </c>
      <c r="M76" s="197" t="str">
        <f t="shared" si="1"/>
        <v>Yes</v>
      </c>
    </row>
    <row r="77" spans="2:13" ht="15">
      <c r="B77" s="248" t="s">
        <v>852</v>
      </c>
      <c r="C77" s="248" t="s">
        <v>963</v>
      </c>
      <c r="D77" s="249">
        <v>549</v>
      </c>
      <c r="E77" s="248">
        <v>3.9</v>
      </c>
      <c r="F77" s="248" t="s">
        <v>1026</v>
      </c>
      <c r="G77" s="248" t="s">
        <v>388</v>
      </c>
      <c r="H77" s="279"/>
      <c r="I77" s="279"/>
      <c r="J77" s="248" t="s">
        <v>846</v>
      </c>
      <c r="K77" s="248" t="s">
        <v>1025</v>
      </c>
      <c r="L77" s="248" t="s">
        <v>846</v>
      </c>
      <c r="M77" s="197" t="str">
        <f t="shared" si="1"/>
        <v>Yes</v>
      </c>
    </row>
    <row r="78" spans="2:13" ht="15">
      <c r="B78" s="248" t="s">
        <v>852</v>
      </c>
      <c r="C78" s="248" t="s">
        <v>940</v>
      </c>
      <c r="D78" s="249">
        <v>849</v>
      </c>
      <c r="E78" s="248">
        <v>2.7</v>
      </c>
      <c r="F78" s="248" t="s">
        <v>1026</v>
      </c>
      <c r="G78" s="248" t="s">
        <v>388</v>
      </c>
      <c r="H78" s="279">
        <v>1.33</v>
      </c>
      <c r="I78" s="279">
        <v>9.5</v>
      </c>
      <c r="J78" s="248" t="s">
        <v>846</v>
      </c>
      <c r="K78" s="248" t="s">
        <v>1025</v>
      </c>
      <c r="L78" s="248" t="s">
        <v>1027</v>
      </c>
      <c r="M78" s="197" t="str">
        <f t="shared" si="1"/>
        <v>Yes</v>
      </c>
    </row>
    <row r="79" spans="2:13" ht="15">
      <c r="B79" s="248" t="s">
        <v>852</v>
      </c>
      <c r="C79" s="248" t="s">
        <v>941</v>
      </c>
      <c r="D79" s="249">
        <v>499</v>
      </c>
      <c r="E79" s="248">
        <v>3.7</v>
      </c>
      <c r="F79" s="248" t="s">
        <v>1026</v>
      </c>
      <c r="G79" s="248" t="s">
        <v>388</v>
      </c>
      <c r="H79" s="279">
        <v>1.26</v>
      </c>
      <c r="I79" s="279">
        <v>9.5</v>
      </c>
      <c r="J79" s="248" t="s">
        <v>846</v>
      </c>
      <c r="K79" s="248" t="s">
        <v>1025</v>
      </c>
      <c r="L79" s="248" t="s">
        <v>1027</v>
      </c>
      <c r="M79" s="197" t="str">
        <f t="shared" si="1"/>
        <v>Yes</v>
      </c>
    </row>
    <row r="80" spans="2:13" ht="15">
      <c r="B80" s="248" t="s">
        <v>1004</v>
      </c>
      <c r="C80" s="248" t="s">
        <v>1029</v>
      </c>
      <c r="D80" s="249">
        <v>299</v>
      </c>
      <c r="E80" s="248">
        <v>1</v>
      </c>
      <c r="F80" s="248" t="s">
        <v>1026</v>
      </c>
      <c r="G80" s="248" t="s">
        <v>388</v>
      </c>
      <c r="H80" s="279"/>
      <c r="I80" s="279"/>
      <c r="J80" s="248" t="s">
        <v>846</v>
      </c>
      <c r="K80" s="248" t="s">
        <v>1025</v>
      </c>
      <c r="L80" s="248" t="s">
        <v>846</v>
      </c>
      <c r="M80" s="197" t="str">
        <f t="shared" si="1"/>
        <v>Yes</v>
      </c>
    </row>
    <row r="81" spans="2:13" ht="15">
      <c r="B81" s="248" t="s">
        <v>1004</v>
      </c>
      <c r="C81" s="248" t="s">
        <v>1030</v>
      </c>
      <c r="D81" s="249">
        <v>259</v>
      </c>
      <c r="E81" s="248">
        <v>1.46</v>
      </c>
      <c r="F81" s="248" t="s">
        <v>1026</v>
      </c>
      <c r="G81" s="248" t="s">
        <v>388</v>
      </c>
      <c r="H81" s="279"/>
      <c r="I81" s="279"/>
      <c r="J81" s="248" t="s">
        <v>846</v>
      </c>
      <c r="K81" s="248" t="s">
        <v>1025</v>
      </c>
      <c r="L81" s="248" t="s">
        <v>846</v>
      </c>
      <c r="M81" s="197" t="str">
        <f t="shared" si="1"/>
        <v>Yes</v>
      </c>
    </row>
    <row r="82" spans="2:13" ht="15">
      <c r="B82" s="248" t="s">
        <v>1004</v>
      </c>
      <c r="C82" s="248" t="s">
        <v>1031</v>
      </c>
      <c r="D82" s="249">
        <v>479</v>
      </c>
      <c r="E82" s="248">
        <v>3</v>
      </c>
      <c r="F82" s="248" t="s">
        <v>1026</v>
      </c>
      <c r="G82" s="248" t="s">
        <v>388</v>
      </c>
      <c r="H82" s="279"/>
      <c r="I82" s="279"/>
      <c r="J82" s="248" t="s">
        <v>846</v>
      </c>
      <c r="K82" s="248" t="s">
        <v>1025</v>
      </c>
      <c r="L82" s="248" t="s">
        <v>846</v>
      </c>
      <c r="M82" s="197" t="str">
        <f t="shared" si="1"/>
        <v>Yes</v>
      </c>
    </row>
    <row r="83" spans="2:13" ht="15">
      <c r="B83" s="248" t="s">
        <v>895</v>
      </c>
      <c r="C83" s="248" t="s">
        <v>1032</v>
      </c>
      <c r="D83" s="249">
        <v>499</v>
      </c>
      <c r="E83" s="248">
        <v>3.4</v>
      </c>
      <c r="F83" s="248" t="s">
        <v>1026</v>
      </c>
      <c r="G83" s="248" t="s">
        <v>388</v>
      </c>
      <c r="H83" s="279"/>
      <c r="I83" s="279"/>
      <c r="J83" s="248" t="s">
        <v>846</v>
      </c>
      <c r="K83" s="248" t="s">
        <v>1025</v>
      </c>
      <c r="L83" s="248" t="s">
        <v>846</v>
      </c>
      <c r="M83" s="197" t="str">
        <f t="shared" si="1"/>
        <v>Yes</v>
      </c>
    </row>
    <row r="84" spans="2:13" ht="15">
      <c r="B84" s="280" t="s">
        <v>942</v>
      </c>
      <c r="C84" s="281">
        <v>41473</v>
      </c>
      <c r="D84" s="249">
        <v>1058.24</v>
      </c>
      <c r="E84" s="248">
        <v>4</v>
      </c>
      <c r="F84" s="280" t="s">
        <v>1033</v>
      </c>
      <c r="G84" s="280" t="s">
        <v>1024</v>
      </c>
      <c r="H84" s="279">
        <v>3.2</v>
      </c>
      <c r="I84" s="279">
        <v>3.3</v>
      </c>
      <c r="J84" s="248" t="s">
        <v>846</v>
      </c>
      <c r="K84" s="280" t="s">
        <v>1034</v>
      </c>
      <c r="L84" s="297" t="s">
        <v>1035</v>
      </c>
      <c r="M84" s="197" t="str">
        <f t="shared" si="1"/>
        <v>Yes</v>
      </c>
    </row>
    <row r="85" spans="2:13" ht="15">
      <c r="B85" s="280" t="s">
        <v>942</v>
      </c>
      <c r="C85" s="281">
        <v>41472</v>
      </c>
      <c r="D85" s="249">
        <v>970.49</v>
      </c>
      <c r="E85" s="248">
        <v>4</v>
      </c>
      <c r="F85" s="280" t="s">
        <v>1033</v>
      </c>
      <c r="G85" s="280" t="s">
        <v>1024</v>
      </c>
      <c r="H85" s="279">
        <v>3.2</v>
      </c>
      <c r="I85" s="279">
        <v>3.3</v>
      </c>
      <c r="J85" s="248" t="s">
        <v>846</v>
      </c>
      <c r="K85" s="280" t="s">
        <v>1034</v>
      </c>
      <c r="L85" s="297" t="s">
        <v>1035</v>
      </c>
      <c r="M85" s="197" t="str">
        <f t="shared" si="1"/>
        <v>Yes</v>
      </c>
    </row>
    <row r="86" spans="2:13" ht="15">
      <c r="B86" s="280" t="s">
        <v>942</v>
      </c>
      <c r="C86" s="281">
        <v>41172</v>
      </c>
      <c r="D86" s="249">
        <v>658.69</v>
      </c>
      <c r="E86" s="248">
        <v>3.6</v>
      </c>
      <c r="F86" s="280" t="s">
        <v>1033</v>
      </c>
      <c r="G86" s="280" t="s">
        <v>1024</v>
      </c>
      <c r="H86" s="279">
        <v>3</v>
      </c>
      <c r="I86" s="279">
        <v>3.3</v>
      </c>
      <c r="J86" s="248" t="s">
        <v>846</v>
      </c>
      <c r="K86" s="280" t="s">
        <v>1034</v>
      </c>
      <c r="L86" s="297" t="s">
        <v>1035</v>
      </c>
      <c r="M86" s="197" t="str">
        <f t="shared" si="1"/>
        <v>Yes</v>
      </c>
    </row>
    <row r="87" spans="2:13" ht="15">
      <c r="B87" s="280" t="s">
        <v>873</v>
      </c>
      <c r="C87" s="281" t="s">
        <v>874</v>
      </c>
      <c r="D87" s="249">
        <v>989.99</v>
      </c>
      <c r="E87" s="248">
        <v>4</v>
      </c>
      <c r="F87" s="280" t="s">
        <v>1033</v>
      </c>
      <c r="G87" s="280" t="s">
        <v>1024</v>
      </c>
      <c r="H87" s="279">
        <v>3.2</v>
      </c>
      <c r="I87" s="279">
        <v>3.3</v>
      </c>
      <c r="J87" s="248" t="s">
        <v>846</v>
      </c>
      <c r="K87" s="280" t="s">
        <v>1034</v>
      </c>
      <c r="L87" s="297" t="s">
        <v>1035</v>
      </c>
      <c r="M87" s="197" t="str">
        <f t="shared" si="1"/>
        <v>Yes</v>
      </c>
    </row>
    <row r="88" spans="2:13" ht="15">
      <c r="B88" s="280" t="s">
        <v>625</v>
      </c>
      <c r="C88" s="281" t="s">
        <v>922</v>
      </c>
      <c r="D88" s="249">
        <v>1199.99</v>
      </c>
      <c r="E88" s="248">
        <v>4.3</v>
      </c>
      <c r="F88" s="280" t="s">
        <v>1033</v>
      </c>
      <c r="G88" s="280" t="s">
        <v>1024</v>
      </c>
      <c r="H88" s="279">
        <v>3</v>
      </c>
      <c r="I88" s="279">
        <v>2.48</v>
      </c>
      <c r="J88" s="248" t="s">
        <v>846</v>
      </c>
      <c r="K88" s="280" t="s">
        <v>1034</v>
      </c>
      <c r="L88" s="297" t="s">
        <v>1035</v>
      </c>
      <c r="M88" s="197" t="str">
        <f t="shared" si="1"/>
        <v>Yes</v>
      </c>
    </row>
    <row r="89" spans="2:13" ht="15">
      <c r="B89" s="280" t="s">
        <v>873</v>
      </c>
      <c r="C89" s="281" t="s">
        <v>878</v>
      </c>
      <c r="D89" s="249">
        <v>799.99</v>
      </c>
      <c r="E89" s="248">
        <v>3.6</v>
      </c>
      <c r="F89" s="280" t="s">
        <v>1033</v>
      </c>
      <c r="G89" s="280" t="s">
        <v>1024</v>
      </c>
      <c r="H89" s="279">
        <v>3</v>
      </c>
      <c r="I89" s="279">
        <v>3.3</v>
      </c>
      <c r="J89" s="248" t="s">
        <v>846</v>
      </c>
      <c r="K89" s="280" t="s">
        <v>1034</v>
      </c>
      <c r="L89" s="297" t="s">
        <v>1035</v>
      </c>
      <c r="M89" s="197" t="str">
        <f t="shared" si="1"/>
        <v>Yes</v>
      </c>
    </row>
    <row r="90" spans="2:13" ht="15">
      <c r="B90" s="280" t="s">
        <v>850</v>
      </c>
      <c r="C90" s="281" t="s">
        <v>851</v>
      </c>
      <c r="D90" s="249">
        <v>619.99</v>
      </c>
      <c r="E90" s="248">
        <v>3.3</v>
      </c>
      <c r="F90" s="280" t="s">
        <v>1033</v>
      </c>
      <c r="G90" s="280" t="s">
        <v>1024</v>
      </c>
      <c r="H90" s="282">
        <v>3</v>
      </c>
      <c r="I90" s="282">
        <v>3.3</v>
      </c>
      <c r="J90" s="248">
        <v>4217</v>
      </c>
      <c r="K90" s="280" t="s">
        <v>1034</v>
      </c>
      <c r="L90" s="248" t="s">
        <v>204</v>
      </c>
      <c r="M90" s="197" t="str">
        <f t="shared" si="1"/>
        <v>Yes</v>
      </c>
    </row>
    <row r="91" spans="2:13" ht="15">
      <c r="B91" s="280" t="s">
        <v>873</v>
      </c>
      <c r="C91" s="281" t="s">
        <v>879</v>
      </c>
      <c r="D91" s="249">
        <v>1079.99</v>
      </c>
      <c r="E91" s="248">
        <v>4</v>
      </c>
      <c r="F91" s="280" t="s">
        <v>1033</v>
      </c>
      <c r="G91" s="280" t="s">
        <v>1024</v>
      </c>
      <c r="H91" s="279">
        <v>3.2</v>
      </c>
      <c r="I91" s="279">
        <v>3.3</v>
      </c>
      <c r="J91" s="248" t="s">
        <v>846</v>
      </c>
      <c r="K91" s="280" t="s">
        <v>1034</v>
      </c>
      <c r="L91" s="297" t="s">
        <v>1035</v>
      </c>
      <c r="M91" s="197" t="str">
        <f t="shared" si="1"/>
        <v>Yes</v>
      </c>
    </row>
    <row r="92" spans="2:13" ht="15">
      <c r="B92" s="280" t="s">
        <v>873</v>
      </c>
      <c r="C92" s="281" t="s">
        <v>881</v>
      </c>
      <c r="D92" s="249">
        <v>899.99</v>
      </c>
      <c r="E92" s="248">
        <v>3.6</v>
      </c>
      <c r="F92" s="280" t="s">
        <v>1033</v>
      </c>
      <c r="G92" s="280" t="s">
        <v>1024</v>
      </c>
      <c r="H92" s="279">
        <v>3</v>
      </c>
      <c r="I92" s="279">
        <v>3.3</v>
      </c>
      <c r="J92" s="248" t="s">
        <v>846</v>
      </c>
      <c r="K92" s="280" t="s">
        <v>1034</v>
      </c>
      <c r="L92" s="297" t="s">
        <v>1035</v>
      </c>
      <c r="M92" s="197" t="str">
        <f t="shared" si="1"/>
        <v>Yes</v>
      </c>
    </row>
    <row r="93" spans="2:13" ht="15">
      <c r="B93" s="280" t="s">
        <v>459</v>
      </c>
      <c r="C93" s="281">
        <v>41272</v>
      </c>
      <c r="D93" s="249">
        <v>740.59</v>
      </c>
      <c r="E93" s="248">
        <v>3.7</v>
      </c>
      <c r="F93" s="280" t="s">
        <v>1033</v>
      </c>
      <c r="G93" s="280" t="s">
        <v>1024</v>
      </c>
      <c r="H93" s="279">
        <v>3</v>
      </c>
      <c r="I93" s="279">
        <v>3.3</v>
      </c>
      <c r="J93" s="248" t="s">
        <v>846</v>
      </c>
      <c r="K93" s="280" t="s">
        <v>1034</v>
      </c>
      <c r="L93" s="297" t="s">
        <v>1035</v>
      </c>
      <c r="M93" s="197" t="str">
        <f t="shared" si="1"/>
        <v>Yes</v>
      </c>
    </row>
    <row r="94" spans="2:13" ht="15">
      <c r="B94" s="280" t="s">
        <v>459</v>
      </c>
      <c r="C94" s="281">
        <v>41379</v>
      </c>
      <c r="D94" s="249">
        <v>799.99</v>
      </c>
      <c r="E94" s="248">
        <v>3.7</v>
      </c>
      <c r="F94" s="280" t="s">
        <v>1033</v>
      </c>
      <c r="G94" s="280" t="s">
        <v>1024</v>
      </c>
      <c r="H94" s="279">
        <v>3.05</v>
      </c>
      <c r="I94" s="279">
        <v>3.3</v>
      </c>
      <c r="J94" s="248" t="s">
        <v>846</v>
      </c>
      <c r="K94" s="280" t="s">
        <v>1034</v>
      </c>
      <c r="L94" s="297" t="s">
        <v>1035</v>
      </c>
      <c r="M94" s="197" t="str">
        <f t="shared" si="1"/>
        <v>Yes</v>
      </c>
    </row>
    <row r="95" spans="2:13" ht="15">
      <c r="B95" s="280" t="s">
        <v>625</v>
      </c>
      <c r="C95" s="281" t="s">
        <v>926</v>
      </c>
      <c r="D95" s="249">
        <v>799.99</v>
      </c>
      <c r="E95" s="248">
        <v>3.5</v>
      </c>
      <c r="F95" s="280" t="s">
        <v>1033</v>
      </c>
      <c r="G95" s="280" t="s">
        <v>1024</v>
      </c>
      <c r="H95" s="279">
        <v>2.46</v>
      </c>
      <c r="I95" s="279">
        <v>3.69</v>
      </c>
      <c r="J95" s="248" t="s">
        <v>846</v>
      </c>
      <c r="K95" s="280" t="s">
        <v>1034</v>
      </c>
      <c r="L95" s="297" t="s">
        <v>1035</v>
      </c>
      <c r="M95" s="197" t="str">
        <f t="shared" si="1"/>
        <v>Yes</v>
      </c>
    </row>
    <row r="96" spans="2:13" ht="15">
      <c r="B96" s="280" t="s">
        <v>942</v>
      </c>
      <c r="C96" s="281">
        <v>41100</v>
      </c>
      <c r="D96" s="249">
        <v>1278.74</v>
      </c>
      <c r="E96" s="248">
        <v>4.3</v>
      </c>
      <c r="F96" s="280" t="s">
        <v>1033</v>
      </c>
      <c r="G96" s="280" t="s">
        <v>1024</v>
      </c>
      <c r="H96" s="282"/>
      <c r="I96" s="282"/>
      <c r="J96" s="248" t="s">
        <v>846</v>
      </c>
      <c r="K96" s="280" t="s">
        <v>1034</v>
      </c>
      <c r="L96" s="248" t="s">
        <v>846</v>
      </c>
      <c r="M96" s="197" t="str">
        <f t="shared" si="1"/>
        <v>Yes</v>
      </c>
    </row>
    <row r="97" spans="2:13" ht="15">
      <c r="B97" s="280" t="s">
        <v>459</v>
      </c>
      <c r="C97" s="281">
        <v>41372</v>
      </c>
      <c r="D97" s="249">
        <v>799.99</v>
      </c>
      <c r="E97" s="248">
        <v>3.7</v>
      </c>
      <c r="F97" s="280" t="s">
        <v>1033</v>
      </c>
      <c r="G97" s="280" t="s">
        <v>1024</v>
      </c>
      <c r="H97" s="279">
        <v>3.05</v>
      </c>
      <c r="I97" s="279">
        <v>3.3</v>
      </c>
      <c r="J97" s="248" t="s">
        <v>846</v>
      </c>
      <c r="K97" s="280" t="s">
        <v>1034</v>
      </c>
      <c r="L97" s="297" t="s">
        <v>1035</v>
      </c>
      <c r="M97" s="197" t="str">
        <f t="shared" si="1"/>
        <v>Yes</v>
      </c>
    </row>
    <row r="98" spans="2:13" ht="15">
      <c r="B98" s="280" t="s">
        <v>873</v>
      </c>
      <c r="C98" s="281" t="s">
        <v>876</v>
      </c>
      <c r="D98" s="249">
        <v>1259.99</v>
      </c>
      <c r="E98" s="248">
        <v>5.0999999999999996</v>
      </c>
      <c r="F98" s="280" t="s">
        <v>1033</v>
      </c>
      <c r="G98" s="280" t="s">
        <v>1024</v>
      </c>
      <c r="H98" s="279">
        <v>3.55</v>
      </c>
      <c r="I98" s="279">
        <v>2.95</v>
      </c>
      <c r="J98" s="248" t="s">
        <v>846</v>
      </c>
      <c r="K98" s="280" t="s">
        <v>1034</v>
      </c>
      <c r="L98" s="297" t="s">
        <v>1035</v>
      </c>
      <c r="M98" s="197" t="str">
        <f t="shared" si="1"/>
        <v>Yes</v>
      </c>
    </row>
    <row r="99" spans="2:13" ht="15">
      <c r="B99" s="280" t="s">
        <v>557</v>
      </c>
      <c r="C99" s="281" t="s">
        <v>905</v>
      </c>
      <c r="D99" s="249">
        <v>799.99</v>
      </c>
      <c r="E99" s="248">
        <v>3.5</v>
      </c>
      <c r="F99" s="280" t="s">
        <v>1033</v>
      </c>
      <c r="G99" s="280" t="s">
        <v>1024</v>
      </c>
      <c r="H99" s="279">
        <v>2.46</v>
      </c>
      <c r="I99" s="279">
        <v>3.69</v>
      </c>
      <c r="J99" s="248" t="s">
        <v>846</v>
      </c>
      <c r="K99" s="280" t="s">
        <v>1034</v>
      </c>
      <c r="L99" s="297" t="s">
        <v>1035</v>
      </c>
      <c r="M99" s="197" t="str">
        <f t="shared" si="1"/>
        <v>Yes</v>
      </c>
    </row>
    <row r="100" spans="2:13" ht="15">
      <c r="B100" s="280" t="s">
        <v>597</v>
      </c>
      <c r="C100" s="281" t="s">
        <v>943</v>
      </c>
      <c r="D100" s="249">
        <v>799.99</v>
      </c>
      <c r="E100" s="248">
        <v>3.5</v>
      </c>
      <c r="F100" s="280" t="s">
        <v>1033</v>
      </c>
      <c r="G100" s="280" t="s">
        <v>1024</v>
      </c>
      <c r="H100" s="279">
        <v>2.5</v>
      </c>
      <c r="I100" s="279">
        <v>3.3</v>
      </c>
      <c r="J100" s="248" t="s">
        <v>846</v>
      </c>
      <c r="K100" s="280" t="s">
        <v>1034</v>
      </c>
      <c r="L100" s="297" t="s">
        <v>1035</v>
      </c>
      <c r="M100" s="197" t="str">
        <f t="shared" si="1"/>
        <v>Yes</v>
      </c>
    </row>
    <row r="101" spans="2:13" ht="15">
      <c r="B101" s="280" t="s">
        <v>459</v>
      </c>
      <c r="C101" s="281">
        <v>41102</v>
      </c>
      <c r="D101" s="249">
        <v>1190.99</v>
      </c>
      <c r="E101" s="248">
        <v>4.3</v>
      </c>
      <c r="F101" s="280" t="s">
        <v>1033</v>
      </c>
      <c r="G101" s="280" t="s">
        <v>1024</v>
      </c>
      <c r="H101" s="282"/>
      <c r="I101" s="282"/>
      <c r="J101" s="248" t="s">
        <v>846</v>
      </c>
      <c r="K101" s="280" t="s">
        <v>1034</v>
      </c>
      <c r="L101" s="248" t="s">
        <v>846</v>
      </c>
      <c r="M101" s="197" t="str">
        <f t="shared" si="1"/>
        <v>Yes</v>
      </c>
    </row>
    <row r="102" spans="2:13" ht="15">
      <c r="B102" s="280" t="s">
        <v>597</v>
      </c>
      <c r="C102" s="281" t="s">
        <v>944</v>
      </c>
      <c r="D102" s="249">
        <v>1199.99</v>
      </c>
      <c r="E102" s="248">
        <v>4</v>
      </c>
      <c r="F102" s="280" t="s">
        <v>1033</v>
      </c>
      <c r="G102" s="280" t="s">
        <v>1024</v>
      </c>
      <c r="H102" s="279">
        <v>3.35</v>
      </c>
      <c r="I102" s="279">
        <v>2.9</v>
      </c>
      <c r="J102" s="248" t="s">
        <v>846</v>
      </c>
      <c r="K102" s="280" t="s">
        <v>1034</v>
      </c>
      <c r="L102" s="297" t="s">
        <v>1035</v>
      </c>
      <c r="M102" s="197" t="str">
        <f t="shared" si="1"/>
        <v>Yes</v>
      </c>
    </row>
    <row r="103" spans="2:13" ht="15">
      <c r="B103" s="280" t="s">
        <v>557</v>
      </c>
      <c r="C103" s="281" t="s">
        <v>945</v>
      </c>
      <c r="D103" s="249">
        <v>1199.99</v>
      </c>
      <c r="E103" s="248">
        <v>4.3</v>
      </c>
      <c r="F103" s="280" t="s">
        <v>1033</v>
      </c>
      <c r="G103" s="280" t="s">
        <v>1024</v>
      </c>
      <c r="H103" s="279">
        <v>3</v>
      </c>
      <c r="I103" s="279">
        <v>2.484</v>
      </c>
      <c r="J103" s="248" t="s">
        <v>846</v>
      </c>
      <c r="K103" s="280" t="s">
        <v>1034</v>
      </c>
      <c r="L103" s="297" t="s">
        <v>1035</v>
      </c>
      <c r="M103" s="197" t="str">
        <f t="shared" si="1"/>
        <v>Yes</v>
      </c>
    </row>
    <row r="104" spans="2:13" ht="15">
      <c r="B104" s="280" t="s">
        <v>873</v>
      </c>
      <c r="C104" s="281" t="s">
        <v>877</v>
      </c>
      <c r="D104" s="249">
        <v>929.99</v>
      </c>
      <c r="E104" s="248">
        <v>2.2999999999999998</v>
      </c>
      <c r="F104" s="280" t="s">
        <v>1033</v>
      </c>
      <c r="G104" s="280" t="s">
        <v>1024</v>
      </c>
      <c r="H104" s="279">
        <v>2.4</v>
      </c>
      <c r="I104" s="279">
        <v>4.4000000000000004</v>
      </c>
      <c r="J104" s="248" t="s">
        <v>846</v>
      </c>
      <c r="K104" s="280" t="s">
        <v>1034</v>
      </c>
      <c r="L104" s="297" t="s">
        <v>1035</v>
      </c>
      <c r="M104" s="197" t="str">
        <f t="shared" si="1"/>
        <v>Yes</v>
      </c>
    </row>
    <row r="105" spans="2:13" ht="15">
      <c r="B105" s="280" t="s">
        <v>873</v>
      </c>
      <c r="C105" s="281" t="s">
        <v>880</v>
      </c>
      <c r="D105" s="249">
        <v>999.99</v>
      </c>
      <c r="E105" s="248">
        <v>3.6</v>
      </c>
      <c r="F105" s="280" t="s">
        <v>1033</v>
      </c>
      <c r="G105" s="280" t="s">
        <v>1024</v>
      </c>
      <c r="H105" s="279">
        <v>3</v>
      </c>
      <c r="I105" s="279">
        <v>3.3</v>
      </c>
      <c r="J105" s="248" t="s">
        <v>846</v>
      </c>
      <c r="K105" s="280" t="s">
        <v>1034</v>
      </c>
      <c r="L105" s="297" t="s">
        <v>1035</v>
      </c>
      <c r="M105" s="197" t="str">
        <f t="shared" si="1"/>
        <v>Yes</v>
      </c>
    </row>
    <row r="106" spans="2:13" ht="15">
      <c r="B106" s="280" t="s">
        <v>557</v>
      </c>
      <c r="C106" s="281" t="s">
        <v>946</v>
      </c>
      <c r="D106" s="249">
        <v>1299.99</v>
      </c>
      <c r="E106" s="248">
        <v>4.3</v>
      </c>
      <c r="F106" s="280" t="s">
        <v>1033</v>
      </c>
      <c r="G106" s="280" t="s">
        <v>1024</v>
      </c>
      <c r="H106" s="279">
        <v>3</v>
      </c>
      <c r="I106" s="279">
        <v>2.484</v>
      </c>
      <c r="J106" s="248" t="s">
        <v>846</v>
      </c>
      <c r="K106" s="280" t="s">
        <v>1034</v>
      </c>
      <c r="L106" s="297" t="s">
        <v>1035</v>
      </c>
      <c r="M106" s="197" t="str">
        <f t="shared" si="1"/>
        <v>Yes</v>
      </c>
    </row>
    <row r="107" spans="2:13" ht="15">
      <c r="B107" s="280" t="s">
        <v>844</v>
      </c>
      <c r="C107" s="281" t="s">
        <v>947</v>
      </c>
      <c r="D107" s="249">
        <v>1029.99</v>
      </c>
      <c r="E107" s="248">
        <v>4.0999999999999996</v>
      </c>
      <c r="F107" s="280" t="s">
        <v>1033</v>
      </c>
      <c r="G107" s="280" t="s">
        <v>1024</v>
      </c>
      <c r="H107" s="282">
        <v>3.1</v>
      </c>
      <c r="I107" s="282">
        <v>2.7</v>
      </c>
      <c r="J107" s="248">
        <v>4466</v>
      </c>
      <c r="K107" s="280" t="s">
        <v>1034</v>
      </c>
      <c r="L107" s="248" t="s">
        <v>204</v>
      </c>
      <c r="M107" s="197" t="str">
        <f t="shared" si="1"/>
        <v>Yes</v>
      </c>
    </row>
    <row r="108" spans="2:13" ht="15">
      <c r="B108" s="280" t="s">
        <v>942</v>
      </c>
      <c r="C108" s="281">
        <v>41542</v>
      </c>
      <c r="D108" s="249">
        <v>1099.8800000000001</v>
      </c>
      <c r="E108" s="248">
        <v>4.3</v>
      </c>
      <c r="F108" s="280" t="s">
        <v>1033</v>
      </c>
      <c r="G108" s="280" t="s">
        <v>1024</v>
      </c>
      <c r="H108" s="279">
        <v>3.4</v>
      </c>
      <c r="I108" s="279">
        <v>2.8</v>
      </c>
      <c r="J108" s="248" t="s">
        <v>846</v>
      </c>
      <c r="K108" s="280" t="s">
        <v>1034</v>
      </c>
      <c r="L108" s="297" t="s">
        <v>1035</v>
      </c>
      <c r="M108" s="197" t="str">
        <f t="shared" si="1"/>
        <v>Yes</v>
      </c>
    </row>
    <row r="109" spans="2:13" ht="15">
      <c r="B109" s="280" t="s">
        <v>625</v>
      </c>
      <c r="C109" s="281" t="s">
        <v>909</v>
      </c>
      <c r="D109" s="249">
        <v>712.49</v>
      </c>
      <c r="E109" s="248">
        <v>2</v>
      </c>
      <c r="F109" s="280" t="s">
        <v>1033</v>
      </c>
      <c r="G109" s="280" t="s">
        <v>1024</v>
      </c>
      <c r="H109" s="279">
        <v>2.0499999999999998</v>
      </c>
      <c r="I109" s="279">
        <v>5.8</v>
      </c>
      <c r="J109" s="248" t="s">
        <v>846</v>
      </c>
      <c r="K109" s="280" t="s">
        <v>1034</v>
      </c>
      <c r="L109" s="297" t="s">
        <v>1035</v>
      </c>
      <c r="M109" s="197" t="str">
        <f t="shared" si="1"/>
        <v>Yes</v>
      </c>
    </row>
    <row r="110" spans="2:13" ht="15">
      <c r="B110" s="280" t="s">
        <v>942</v>
      </c>
      <c r="C110" s="281">
        <v>41532</v>
      </c>
      <c r="D110" s="249">
        <v>999.98</v>
      </c>
      <c r="E110" s="248">
        <v>4.3</v>
      </c>
      <c r="F110" s="280" t="s">
        <v>1033</v>
      </c>
      <c r="G110" s="280" t="s">
        <v>1024</v>
      </c>
      <c r="H110" s="279">
        <v>3.4</v>
      </c>
      <c r="I110" s="279">
        <v>2.9</v>
      </c>
      <c r="J110" s="248" t="s">
        <v>846</v>
      </c>
      <c r="K110" s="280" t="s">
        <v>1034</v>
      </c>
      <c r="L110" s="297" t="s">
        <v>1035</v>
      </c>
      <c r="M110" s="197" t="str">
        <f t="shared" si="1"/>
        <v>Yes</v>
      </c>
    </row>
    <row r="111" spans="2:13" ht="15">
      <c r="B111" s="280" t="s">
        <v>415</v>
      </c>
      <c r="C111" s="281" t="s">
        <v>416</v>
      </c>
      <c r="D111" s="249">
        <v>949.99</v>
      </c>
      <c r="E111" s="248">
        <v>2.2000000000000002</v>
      </c>
      <c r="F111" s="280" t="s">
        <v>1033</v>
      </c>
      <c r="G111" s="280" t="s">
        <v>1024</v>
      </c>
      <c r="H111" s="279">
        <v>2.0499999999999998</v>
      </c>
      <c r="I111" s="279">
        <v>4.8</v>
      </c>
      <c r="J111" s="248" t="s">
        <v>846</v>
      </c>
      <c r="K111" s="280" t="s">
        <v>1034</v>
      </c>
      <c r="L111" s="297" t="s">
        <v>1035</v>
      </c>
      <c r="M111" s="197" t="str">
        <f t="shared" si="1"/>
        <v>Yes</v>
      </c>
    </row>
    <row r="112" spans="2:13" ht="15">
      <c r="B112" s="280" t="s">
        <v>597</v>
      </c>
      <c r="C112" s="281" t="s">
        <v>948</v>
      </c>
      <c r="D112" s="249">
        <v>1499.99</v>
      </c>
      <c r="E112" s="248">
        <v>4.3</v>
      </c>
      <c r="F112" s="280" t="s">
        <v>1033</v>
      </c>
      <c r="G112" s="280" t="s">
        <v>1024</v>
      </c>
      <c r="H112" s="279">
        <v>3.32</v>
      </c>
      <c r="I112" s="279">
        <v>2.9</v>
      </c>
      <c r="J112" s="248" t="s">
        <v>846</v>
      </c>
      <c r="K112" s="280" t="s">
        <v>1034</v>
      </c>
      <c r="L112" s="297" t="s">
        <v>1035</v>
      </c>
      <c r="M112" s="197" t="str">
        <f t="shared" si="1"/>
        <v>Yes</v>
      </c>
    </row>
    <row r="113" spans="2:13" ht="15">
      <c r="B113" s="280" t="s">
        <v>597</v>
      </c>
      <c r="C113" s="281" t="s">
        <v>949</v>
      </c>
      <c r="D113" s="249">
        <v>1399.99</v>
      </c>
      <c r="E113" s="248">
        <v>4.3</v>
      </c>
      <c r="F113" s="280" t="s">
        <v>1033</v>
      </c>
      <c r="G113" s="280" t="s">
        <v>1024</v>
      </c>
      <c r="H113" s="279">
        <v>3.32</v>
      </c>
      <c r="I113" s="279">
        <v>2.9</v>
      </c>
      <c r="J113" s="248" t="s">
        <v>846</v>
      </c>
      <c r="K113" s="280" t="s">
        <v>1034</v>
      </c>
      <c r="L113" s="297" t="s">
        <v>1035</v>
      </c>
      <c r="M113" s="197" t="str">
        <f t="shared" si="1"/>
        <v>Yes</v>
      </c>
    </row>
    <row r="114" spans="2:13" ht="15">
      <c r="B114" s="280" t="s">
        <v>557</v>
      </c>
      <c r="C114" s="281" t="s">
        <v>900</v>
      </c>
      <c r="D114" s="249">
        <v>1299.99</v>
      </c>
      <c r="E114" s="248">
        <v>4.3</v>
      </c>
      <c r="F114" s="280" t="s">
        <v>1033</v>
      </c>
      <c r="G114" s="280" t="s">
        <v>1024</v>
      </c>
      <c r="H114" s="279">
        <v>3</v>
      </c>
      <c r="I114" s="279">
        <v>2.484</v>
      </c>
      <c r="J114" s="248" t="s">
        <v>846</v>
      </c>
      <c r="K114" s="280" t="s">
        <v>1034</v>
      </c>
      <c r="L114" s="297" t="s">
        <v>1035</v>
      </c>
      <c r="M114" s="197" t="str">
        <f t="shared" si="1"/>
        <v>Yes</v>
      </c>
    </row>
    <row r="115" spans="2:13" ht="15">
      <c r="B115" s="280" t="s">
        <v>625</v>
      </c>
      <c r="C115" s="281" t="s">
        <v>950</v>
      </c>
      <c r="D115" s="249">
        <v>1299.99</v>
      </c>
      <c r="E115" s="248">
        <v>4.3</v>
      </c>
      <c r="F115" s="280" t="s">
        <v>1033</v>
      </c>
      <c r="G115" s="280" t="s">
        <v>1024</v>
      </c>
      <c r="H115" s="279">
        <v>3.0019999999999998</v>
      </c>
      <c r="I115" s="279">
        <v>2.7829999999999999</v>
      </c>
      <c r="J115" s="248" t="s">
        <v>846</v>
      </c>
      <c r="K115" s="280" t="s">
        <v>1034</v>
      </c>
      <c r="L115" s="297" t="s">
        <v>1035</v>
      </c>
      <c r="M115" s="197" t="str">
        <f t="shared" si="1"/>
        <v>Yes</v>
      </c>
    </row>
    <row r="116" spans="2:13" ht="15">
      <c r="B116" s="280" t="s">
        <v>844</v>
      </c>
      <c r="C116" s="281" t="s">
        <v>951</v>
      </c>
      <c r="D116" s="249">
        <v>1472.49</v>
      </c>
      <c r="E116" s="248">
        <v>4.4000000000000004</v>
      </c>
      <c r="F116" s="280" t="s">
        <v>1033</v>
      </c>
      <c r="G116" s="280" t="s">
        <v>1024</v>
      </c>
      <c r="H116" s="282">
        <v>3.29</v>
      </c>
      <c r="I116" s="282">
        <v>2.8</v>
      </c>
      <c r="J116" s="248">
        <v>4851</v>
      </c>
      <c r="K116" s="280" t="s">
        <v>1034</v>
      </c>
      <c r="L116" s="248" t="s">
        <v>204</v>
      </c>
      <c r="M116" s="197" t="str">
        <f t="shared" si="1"/>
        <v>Yes</v>
      </c>
    </row>
    <row r="117" spans="2:13" ht="15">
      <c r="B117" s="280" t="s">
        <v>873</v>
      </c>
      <c r="C117" s="281" t="s">
        <v>952</v>
      </c>
      <c r="D117" s="249">
        <v>1349.99</v>
      </c>
      <c r="E117" s="248">
        <v>5.0999999999999996</v>
      </c>
      <c r="F117" s="280" t="s">
        <v>1033</v>
      </c>
      <c r="G117" s="280" t="s">
        <v>1024</v>
      </c>
      <c r="H117" s="279">
        <v>3.55</v>
      </c>
      <c r="I117" s="279">
        <v>2.95</v>
      </c>
      <c r="J117" s="248" t="s">
        <v>846</v>
      </c>
      <c r="K117" s="280" t="s">
        <v>1034</v>
      </c>
      <c r="L117" s="297" t="s">
        <v>1035</v>
      </c>
      <c r="M117" s="197" t="str">
        <f t="shared" si="1"/>
        <v>Yes</v>
      </c>
    </row>
    <row r="118" spans="2:13" ht="15">
      <c r="B118" s="280" t="s">
        <v>625</v>
      </c>
      <c r="C118" s="281" t="s">
        <v>928</v>
      </c>
      <c r="D118" s="249">
        <v>899.99</v>
      </c>
      <c r="E118" s="248">
        <v>3.8</v>
      </c>
      <c r="F118" s="280" t="s">
        <v>1033</v>
      </c>
      <c r="G118" s="280" t="s">
        <v>1024</v>
      </c>
      <c r="H118" s="279">
        <v>2.4300000000000002</v>
      </c>
      <c r="I118" s="279">
        <v>3.4289999999999998</v>
      </c>
      <c r="J118" s="248" t="s">
        <v>846</v>
      </c>
      <c r="K118" s="280" t="s">
        <v>1034</v>
      </c>
      <c r="L118" s="297" t="s">
        <v>1035</v>
      </c>
      <c r="M118" s="197" t="str">
        <f t="shared" si="1"/>
        <v>Yes</v>
      </c>
    </row>
    <row r="119" spans="2:13" ht="15">
      <c r="B119" s="280" t="s">
        <v>557</v>
      </c>
      <c r="C119" s="281" t="s">
        <v>953</v>
      </c>
      <c r="D119" s="249">
        <v>1299.99</v>
      </c>
      <c r="E119" s="248">
        <v>4.3</v>
      </c>
      <c r="F119" s="280" t="s">
        <v>1033</v>
      </c>
      <c r="G119" s="280" t="s">
        <v>1024</v>
      </c>
      <c r="H119" s="279">
        <v>3.0019999999999998</v>
      </c>
      <c r="I119" s="279">
        <v>2.7829999999999999</v>
      </c>
      <c r="J119" s="248" t="s">
        <v>846</v>
      </c>
      <c r="K119" s="280" t="s">
        <v>1034</v>
      </c>
      <c r="L119" s="297" t="s">
        <v>1035</v>
      </c>
      <c r="M119" s="197" t="str">
        <f t="shared" si="1"/>
        <v>Yes</v>
      </c>
    </row>
    <row r="120" spans="2:13" ht="15">
      <c r="B120" s="280" t="s">
        <v>942</v>
      </c>
      <c r="C120" s="281">
        <v>41549</v>
      </c>
      <c r="D120" s="249">
        <v>1299.8800000000001</v>
      </c>
      <c r="E120" s="248">
        <v>4.3</v>
      </c>
      <c r="F120" s="280" t="s">
        <v>1033</v>
      </c>
      <c r="G120" s="280" t="s">
        <v>1024</v>
      </c>
      <c r="H120" s="279">
        <v>3.4</v>
      </c>
      <c r="I120" s="279">
        <v>2.8</v>
      </c>
      <c r="J120" s="248" t="s">
        <v>846</v>
      </c>
      <c r="K120" s="280" t="s">
        <v>1034</v>
      </c>
      <c r="L120" s="297" t="s">
        <v>1035</v>
      </c>
      <c r="M120" s="197" t="str">
        <f t="shared" si="1"/>
        <v>Yes</v>
      </c>
    </row>
    <row r="121" spans="2:13" ht="15">
      <c r="B121" s="280" t="s">
        <v>597</v>
      </c>
      <c r="C121" s="281" t="s">
        <v>954</v>
      </c>
      <c r="D121" s="249">
        <v>1099.99</v>
      </c>
      <c r="E121" s="248">
        <v>4</v>
      </c>
      <c r="F121" s="280" t="s">
        <v>1033</v>
      </c>
      <c r="G121" s="280" t="s">
        <v>1024</v>
      </c>
      <c r="H121" s="279">
        <v>3.35</v>
      </c>
      <c r="I121" s="279">
        <v>2.9</v>
      </c>
      <c r="J121" s="248" t="s">
        <v>846</v>
      </c>
      <c r="K121" s="280" t="s">
        <v>1034</v>
      </c>
      <c r="L121" s="297" t="s">
        <v>1035</v>
      </c>
      <c r="M121" s="197" t="str">
        <f t="shared" si="1"/>
        <v>Yes</v>
      </c>
    </row>
    <row r="122" spans="2:13" ht="15">
      <c r="B122" s="280" t="s">
        <v>597</v>
      </c>
      <c r="C122" s="281" t="s">
        <v>955</v>
      </c>
      <c r="D122" s="249">
        <v>899.99</v>
      </c>
      <c r="E122" s="248">
        <v>3.6</v>
      </c>
      <c r="F122" s="280" t="s">
        <v>1033</v>
      </c>
      <c r="G122" s="280" t="s">
        <v>1024</v>
      </c>
      <c r="H122" s="282">
        <v>3.13</v>
      </c>
      <c r="I122" s="282">
        <v>3</v>
      </c>
      <c r="J122" s="248">
        <v>4187</v>
      </c>
      <c r="K122" s="280" t="s">
        <v>1034</v>
      </c>
      <c r="L122" s="248" t="s">
        <v>204</v>
      </c>
      <c r="M122" s="197" t="str">
        <f t="shared" si="1"/>
        <v>Yes</v>
      </c>
    </row>
    <row r="123" spans="2:13" ht="15">
      <c r="B123" s="280" t="s">
        <v>844</v>
      </c>
      <c r="C123" s="281" t="s">
        <v>956</v>
      </c>
      <c r="D123" s="249">
        <v>1299.99</v>
      </c>
      <c r="E123" s="248">
        <v>4.3</v>
      </c>
      <c r="F123" s="280" t="s">
        <v>1033</v>
      </c>
      <c r="G123" s="280" t="s">
        <v>1024</v>
      </c>
      <c r="H123" s="279">
        <v>3.33</v>
      </c>
      <c r="I123" s="279">
        <v>2.8</v>
      </c>
      <c r="J123" s="248" t="s">
        <v>846</v>
      </c>
      <c r="K123" s="280" t="s">
        <v>1034</v>
      </c>
      <c r="L123" s="297" t="s">
        <v>1035</v>
      </c>
      <c r="M123" s="197" t="str">
        <f t="shared" si="1"/>
        <v>Yes</v>
      </c>
    </row>
    <row r="124" spans="2:13" ht="15">
      <c r="B124" s="280" t="s">
        <v>597</v>
      </c>
      <c r="C124" s="281" t="s">
        <v>957</v>
      </c>
      <c r="D124" s="249">
        <v>1399.99</v>
      </c>
      <c r="E124" s="248">
        <v>4.3</v>
      </c>
      <c r="F124" s="280" t="s">
        <v>1033</v>
      </c>
      <c r="G124" s="280" t="s">
        <v>1024</v>
      </c>
      <c r="H124" s="282">
        <v>3.32</v>
      </c>
      <c r="I124" s="282">
        <v>2.9</v>
      </c>
      <c r="J124" s="248">
        <v>4860</v>
      </c>
      <c r="K124" s="280" t="s">
        <v>1034</v>
      </c>
      <c r="L124" s="248" t="s">
        <v>204</v>
      </c>
      <c r="M124" s="197" t="str">
        <f t="shared" si="1"/>
        <v>Yes</v>
      </c>
    </row>
    <row r="125" spans="2:13" ht="15">
      <c r="B125" s="280" t="s">
        <v>844</v>
      </c>
      <c r="C125" s="281" t="s">
        <v>958</v>
      </c>
      <c r="D125" s="249">
        <v>1234.99</v>
      </c>
      <c r="E125" s="248">
        <v>4.4000000000000004</v>
      </c>
      <c r="F125" s="280" t="s">
        <v>1033</v>
      </c>
      <c r="G125" s="280" t="s">
        <v>1024</v>
      </c>
      <c r="H125" s="282">
        <v>3.29</v>
      </c>
      <c r="I125" s="282">
        <v>2.8</v>
      </c>
      <c r="J125" s="248">
        <v>4851</v>
      </c>
      <c r="K125" s="280" t="s">
        <v>1034</v>
      </c>
      <c r="L125" s="248" t="s">
        <v>204</v>
      </c>
      <c r="M125" s="197" t="str">
        <f t="shared" si="1"/>
        <v>Yes</v>
      </c>
    </row>
    <row r="126" spans="2:13" ht="15">
      <c r="B126" s="280" t="s">
        <v>557</v>
      </c>
      <c r="C126" s="281" t="s">
        <v>901</v>
      </c>
      <c r="D126" s="249">
        <v>1219.99</v>
      </c>
      <c r="E126" s="248">
        <v>4.3</v>
      </c>
      <c r="F126" s="280" t="s">
        <v>1033</v>
      </c>
      <c r="G126" s="280" t="s">
        <v>1024</v>
      </c>
      <c r="H126" s="279">
        <v>3.0019999999999998</v>
      </c>
      <c r="I126" s="279">
        <v>2.7829999999999999</v>
      </c>
      <c r="J126" s="248" t="s">
        <v>846</v>
      </c>
      <c r="K126" s="280" t="s">
        <v>1034</v>
      </c>
      <c r="L126" s="297" t="s">
        <v>1035</v>
      </c>
      <c r="M126" s="197" t="str">
        <f t="shared" si="1"/>
        <v>Yes</v>
      </c>
    </row>
    <row r="127" spans="2:13" ht="15">
      <c r="B127" s="280" t="s">
        <v>625</v>
      </c>
      <c r="C127" s="281" t="s">
        <v>959</v>
      </c>
      <c r="D127" s="249">
        <v>1299.99</v>
      </c>
      <c r="E127" s="248">
        <v>4.3</v>
      </c>
      <c r="F127" s="280" t="s">
        <v>1033</v>
      </c>
      <c r="G127" s="280" t="s">
        <v>1024</v>
      </c>
      <c r="H127" s="279">
        <v>3</v>
      </c>
      <c r="I127" s="279">
        <v>2.48</v>
      </c>
      <c r="J127" s="248" t="s">
        <v>846</v>
      </c>
      <c r="K127" s="280" t="s">
        <v>1034</v>
      </c>
      <c r="L127" s="297" t="s">
        <v>1035</v>
      </c>
      <c r="M127" s="197" t="str">
        <f t="shared" si="1"/>
        <v>Yes</v>
      </c>
    </row>
    <row r="128" spans="2:13" ht="15">
      <c r="B128" s="280" t="s">
        <v>844</v>
      </c>
      <c r="C128" s="281" t="s">
        <v>845</v>
      </c>
      <c r="D128" s="249">
        <v>1139.05</v>
      </c>
      <c r="E128" s="248">
        <v>4.3</v>
      </c>
      <c r="F128" s="280" t="s">
        <v>1033</v>
      </c>
      <c r="G128" s="280" t="s">
        <v>1024</v>
      </c>
      <c r="H128" s="279">
        <v>3.3</v>
      </c>
      <c r="I128" s="279">
        <v>2.8</v>
      </c>
      <c r="J128" s="248" t="s">
        <v>846</v>
      </c>
      <c r="K128" s="280" t="s">
        <v>1034</v>
      </c>
      <c r="L128" s="297" t="s">
        <v>1035</v>
      </c>
      <c r="M128" s="197" t="str">
        <f t="shared" si="1"/>
        <v>Yes</v>
      </c>
    </row>
    <row r="129" spans="2:13" ht="15">
      <c r="B129" s="280" t="s">
        <v>597</v>
      </c>
      <c r="C129" s="281" t="s">
        <v>960</v>
      </c>
      <c r="D129" s="249">
        <v>999.99</v>
      </c>
      <c r="E129" s="248">
        <v>3.9</v>
      </c>
      <c r="F129" s="280" t="s">
        <v>1033</v>
      </c>
      <c r="G129" s="280" t="s">
        <v>1024</v>
      </c>
      <c r="H129" s="279">
        <v>3.35</v>
      </c>
      <c r="I129" s="279">
        <v>2.9</v>
      </c>
      <c r="J129" s="248" t="s">
        <v>846</v>
      </c>
      <c r="K129" s="280" t="s">
        <v>1034</v>
      </c>
      <c r="L129" s="297" t="s">
        <v>1035</v>
      </c>
      <c r="M129" s="197" t="str">
        <f t="shared" si="1"/>
        <v>Yes</v>
      </c>
    </row>
    <row r="130" spans="2:13" ht="15">
      <c r="B130" s="248" t="s">
        <v>557</v>
      </c>
      <c r="C130" s="281" t="s">
        <v>907</v>
      </c>
      <c r="D130" s="249">
        <v>999.99</v>
      </c>
      <c r="E130" s="248">
        <v>3.9</v>
      </c>
      <c r="F130" s="280" t="s">
        <v>1033</v>
      </c>
      <c r="G130" s="280" t="s">
        <v>1024</v>
      </c>
      <c r="H130" s="279">
        <v>2.4569999999999999</v>
      </c>
      <c r="I130" s="279">
        <v>2.94</v>
      </c>
      <c r="J130" s="248" t="s">
        <v>846</v>
      </c>
      <c r="K130" s="280" t="s">
        <v>1034</v>
      </c>
      <c r="L130" s="297" t="s">
        <v>1035</v>
      </c>
      <c r="M130" s="197" t="str">
        <f t="shared" si="1"/>
        <v>Yes</v>
      </c>
    </row>
    <row r="131" spans="2:13" ht="15">
      <c r="B131" s="248" t="s">
        <v>625</v>
      </c>
      <c r="C131" s="281" t="s">
        <v>923</v>
      </c>
      <c r="D131" s="249">
        <v>809.99</v>
      </c>
      <c r="E131" s="248">
        <v>3.5</v>
      </c>
      <c r="F131" s="280" t="s">
        <v>1033</v>
      </c>
      <c r="G131" s="280" t="s">
        <v>1024</v>
      </c>
      <c r="H131" s="279">
        <v>2.46</v>
      </c>
      <c r="I131" s="279">
        <v>3.69</v>
      </c>
      <c r="J131" s="248" t="s">
        <v>846</v>
      </c>
      <c r="K131" s="280" t="s">
        <v>1034</v>
      </c>
      <c r="L131" s="297" t="s">
        <v>1035</v>
      </c>
      <c r="M131" s="197" t="str">
        <f t="shared" si="1"/>
        <v>Yes</v>
      </c>
    </row>
    <row r="132" spans="2:13" ht="15">
      <c r="B132" s="248" t="s">
        <v>625</v>
      </c>
      <c r="C132" s="281" t="s">
        <v>921</v>
      </c>
      <c r="D132" s="249">
        <v>999.99</v>
      </c>
      <c r="E132" s="248">
        <v>3.8</v>
      </c>
      <c r="F132" s="280" t="s">
        <v>1033</v>
      </c>
      <c r="G132" s="280" t="s">
        <v>1024</v>
      </c>
      <c r="H132" s="279">
        <v>2.4300000000000002</v>
      </c>
      <c r="I132" s="279">
        <v>3.4289999999999998</v>
      </c>
      <c r="J132" s="248" t="s">
        <v>846</v>
      </c>
      <c r="K132" s="280" t="s">
        <v>1034</v>
      </c>
      <c r="L132" s="297" t="s">
        <v>1035</v>
      </c>
      <c r="M132" s="197" t="str">
        <f t="shared" si="1"/>
        <v>Yes</v>
      </c>
    </row>
    <row r="133" spans="2:13" ht="15">
      <c r="B133" s="280" t="s">
        <v>844</v>
      </c>
      <c r="C133" s="281" t="s">
        <v>848</v>
      </c>
      <c r="D133" s="283">
        <v>849.99</v>
      </c>
      <c r="E133" s="280">
        <v>4.0999999999999996</v>
      </c>
      <c r="F133" s="280" t="s">
        <v>1033</v>
      </c>
      <c r="G133" s="280" t="s">
        <v>1024</v>
      </c>
      <c r="H133" s="284">
        <v>3.1</v>
      </c>
      <c r="I133" s="284">
        <v>2.7</v>
      </c>
      <c r="J133" s="285">
        <v>4466</v>
      </c>
      <c r="K133" s="280" t="s">
        <v>1034</v>
      </c>
      <c r="L133" s="248" t="s">
        <v>204</v>
      </c>
      <c r="M133" s="197" t="str">
        <f t="shared" si="1"/>
        <v>Yes</v>
      </c>
    </row>
    <row r="134" spans="2:13" ht="15">
      <c r="B134" s="280" t="s">
        <v>459</v>
      </c>
      <c r="C134" s="281" t="s">
        <v>961</v>
      </c>
      <c r="D134" s="283">
        <v>411.59</v>
      </c>
      <c r="E134" s="285">
        <v>3.4</v>
      </c>
      <c r="F134" s="280" t="s">
        <v>1026</v>
      </c>
      <c r="G134" s="286" t="s">
        <v>1024</v>
      </c>
      <c r="H134" s="285">
        <v>2.75</v>
      </c>
      <c r="I134" s="285">
        <v>3.7</v>
      </c>
      <c r="J134" s="286" t="s">
        <v>846</v>
      </c>
      <c r="K134" s="280" t="s">
        <v>1034</v>
      </c>
      <c r="L134" s="297" t="s">
        <v>1035</v>
      </c>
      <c r="M134" s="197" t="str">
        <f t="shared" ref="M134:M197" si="2">IF(AND(H134&lt;&gt;"NA",I134&lt;&gt;"NA"),"Yes","No")</f>
        <v>Yes</v>
      </c>
    </row>
    <row r="135" spans="2:13" ht="15">
      <c r="B135" s="280" t="s">
        <v>873</v>
      </c>
      <c r="C135" s="281" t="s">
        <v>886</v>
      </c>
      <c r="D135" s="283">
        <v>999.99</v>
      </c>
      <c r="E135" s="285">
        <v>4.7</v>
      </c>
      <c r="F135" s="280" t="s">
        <v>1026</v>
      </c>
      <c r="G135" s="286" t="s">
        <v>1024</v>
      </c>
      <c r="H135" s="285">
        <v>2.75</v>
      </c>
      <c r="I135" s="285">
        <v>3.7</v>
      </c>
      <c r="J135" s="286" t="s">
        <v>846</v>
      </c>
      <c r="K135" s="280" t="s">
        <v>1034</v>
      </c>
      <c r="L135" s="297" t="s">
        <v>1035</v>
      </c>
      <c r="M135" s="197" t="str">
        <f t="shared" si="2"/>
        <v>Yes</v>
      </c>
    </row>
    <row r="136" spans="2:13" ht="15">
      <c r="B136" s="280" t="s">
        <v>557</v>
      </c>
      <c r="C136" s="281" t="s">
        <v>889</v>
      </c>
      <c r="D136" s="283">
        <v>899.99</v>
      </c>
      <c r="E136" s="285">
        <v>4.5999999999999996</v>
      </c>
      <c r="F136" s="280" t="s">
        <v>1026</v>
      </c>
      <c r="G136" s="286" t="s">
        <v>1024</v>
      </c>
      <c r="H136" s="285">
        <v>2.57</v>
      </c>
      <c r="I136" s="285">
        <v>3.88</v>
      </c>
      <c r="J136" s="286" t="s">
        <v>846</v>
      </c>
      <c r="K136" s="280" t="s">
        <v>1034</v>
      </c>
      <c r="L136" s="297" t="s">
        <v>1035</v>
      </c>
      <c r="M136" s="197" t="str">
        <f t="shared" si="2"/>
        <v>Yes</v>
      </c>
    </row>
    <row r="137" spans="2:13" ht="15">
      <c r="B137" s="280" t="s">
        <v>625</v>
      </c>
      <c r="C137" s="281" t="s">
        <v>917</v>
      </c>
      <c r="D137" s="283">
        <v>599.99</v>
      </c>
      <c r="E137" s="285">
        <v>3.6</v>
      </c>
      <c r="F137" s="280" t="s">
        <v>1026</v>
      </c>
      <c r="G137" s="286" t="s">
        <v>1024</v>
      </c>
      <c r="H137" s="285">
        <v>2.4409999999999998</v>
      </c>
      <c r="I137" s="285">
        <v>3.84</v>
      </c>
      <c r="J137" s="286" t="s">
        <v>846</v>
      </c>
      <c r="K137" s="280" t="s">
        <v>1034</v>
      </c>
      <c r="L137" s="297" t="s">
        <v>1035</v>
      </c>
      <c r="M137" s="197" t="str">
        <f t="shared" si="2"/>
        <v>Yes</v>
      </c>
    </row>
    <row r="138" spans="2:13" ht="15">
      <c r="B138" s="280" t="s">
        <v>459</v>
      </c>
      <c r="C138" s="281">
        <v>20022</v>
      </c>
      <c r="D138" s="283">
        <v>299.99</v>
      </c>
      <c r="E138" s="285">
        <v>3.4</v>
      </c>
      <c r="F138" s="280" t="s">
        <v>1026</v>
      </c>
      <c r="G138" s="286" t="s">
        <v>388</v>
      </c>
      <c r="H138" s="284">
        <v>1.39</v>
      </c>
      <c r="I138" s="284">
        <v>8.9</v>
      </c>
      <c r="J138" s="286" t="s">
        <v>846</v>
      </c>
      <c r="K138" s="280" t="s">
        <v>1034</v>
      </c>
      <c r="L138" s="285" t="s">
        <v>1027</v>
      </c>
      <c r="M138" s="197" t="str">
        <f t="shared" si="2"/>
        <v>Yes</v>
      </c>
    </row>
    <row r="139" spans="2:13" ht="15">
      <c r="B139" s="280" t="s">
        <v>459</v>
      </c>
      <c r="C139" s="281">
        <v>31512</v>
      </c>
      <c r="D139" s="283">
        <v>599.99</v>
      </c>
      <c r="E139" s="285">
        <v>4.7</v>
      </c>
      <c r="F139" s="280" t="s">
        <v>1026</v>
      </c>
      <c r="G139" s="286" t="s">
        <v>1024</v>
      </c>
      <c r="H139" s="285">
        <v>2.75</v>
      </c>
      <c r="I139" s="285">
        <v>3.68</v>
      </c>
      <c r="J139" s="286" t="s">
        <v>846</v>
      </c>
      <c r="K139" s="280" t="s">
        <v>1034</v>
      </c>
      <c r="L139" s="297" t="s">
        <v>1035</v>
      </c>
      <c r="M139" s="197" t="str">
        <f t="shared" si="2"/>
        <v>Yes</v>
      </c>
    </row>
    <row r="140" spans="2:13" ht="15">
      <c r="B140" s="280" t="s">
        <v>489</v>
      </c>
      <c r="C140" s="281" t="s">
        <v>962</v>
      </c>
      <c r="D140" s="283">
        <v>359.99</v>
      </c>
      <c r="E140" s="285">
        <v>3.5</v>
      </c>
      <c r="F140" s="280" t="s">
        <v>1026</v>
      </c>
      <c r="G140" s="286" t="s">
        <v>388</v>
      </c>
      <c r="H140" s="285">
        <v>1.26</v>
      </c>
      <c r="I140" s="285">
        <v>9.5</v>
      </c>
      <c r="J140" s="286" t="s">
        <v>846</v>
      </c>
      <c r="K140" s="280" t="s">
        <v>1034</v>
      </c>
      <c r="L140" s="297" t="s">
        <v>1035</v>
      </c>
      <c r="M140" s="197" t="str">
        <f t="shared" si="2"/>
        <v>Yes</v>
      </c>
    </row>
    <row r="141" spans="2:13" ht="15">
      <c r="B141" s="280" t="s">
        <v>459</v>
      </c>
      <c r="C141" s="281">
        <v>21302</v>
      </c>
      <c r="D141" s="283">
        <v>499.99</v>
      </c>
      <c r="E141" s="285">
        <v>3.6</v>
      </c>
      <c r="F141" s="280" t="s">
        <v>1026</v>
      </c>
      <c r="G141" s="286" t="s">
        <v>1024</v>
      </c>
      <c r="H141" s="284">
        <v>2.48</v>
      </c>
      <c r="I141" s="284">
        <v>3.6</v>
      </c>
      <c r="J141" s="285">
        <v>5137</v>
      </c>
      <c r="K141" s="280" t="s">
        <v>1034</v>
      </c>
      <c r="L141" s="248" t="s">
        <v>204</v>
      </c>
      <c r="M141" s="197" t="str">
        <f t="shared" si="2"/>
        <v>Yes</v>
      </c>
    </row>
    <row r="142" spans="2:13" ht="15">
      <c r="B142" s="280" t="s">
        <v>459</v>
      </c>
      <c r="C142" s="281">
        <v>26002</v>
      </c>
      <c r="D142" s="283">
        <v>617.24</v>
      </c>
      <c r="E142" s="285">
        <v>3.6</v>
      </c>
      <c r="F142" s="280" t="s">
        <v>1026</v>
      </c>
      <c r="G142" s="286" t="s">
        <v>1024</v>
      </c>
      <c r="H142" s="284">
        <v>2.4500000000000002</v>
      </c>
      <c r="I142" s="284">
        <v>3.6</v>
      </c>
      <c r="J142" s="285">
        <v>5052</v>
      </c>
      <c r="K142" s="280" t="s">
        <v>1034</v>
      </c>
      <c r="L142" s="248" t="s">
        <v>204</v>
      </c>
      <c r="M142" s="197" t="str">
        <f t="shared" si="2"/>
        <v>Yes</v>
      </c>
    </row>
    <row r="143" spans="2:13" ht="15">
      <c r="B143" s="280" t="s">
        <v>852</v>
      </c>
      <c r="C143" s="281" t="s">
        <v>963</v>
      </c>
      <c r="D143" s="283">
        <v>467.49</v>
      </c>
      <c r="E143" s="285">
        <v>3.9</v>
      </c>
      <c r="F143" s="280" t="s">
        <v>1026</v>
      </c>
      <c r="G143" s="286" t="s">
        <v>388</v>
      </c>
      <c r="H143" s="285">
        <v>1.26</v>
      </c>
      <c r="I143" s="285">
        <v>9.5</v>
      </c>
      <c r="J143" s="286" t="s">
        <v>846</v>
      </c>
      <c r="K143" s="280" t="s">
        <v>1034</v>
      </c>
      <c r="L143" s="297" t="s">
        <v>1035</v>
      </c>
      <c r="M143" s="197" t="str">
        <f t="shared" si="2"/>
        <v>Yes</v>
      </c>
    </row>
    <row r="144" spans="2:13" ht="15">
      <c r="B144" s="280" t="s">
        <v>873</v>
      </c>
      <c r="C144" s="281" t="s">
        <v>885</v>
      </c>
      <c r="D144" s="283">
        <v>749.99</v>
      </c>
      <c r="E144" s="285">
        <v>3.7</v>
      </c>
      <c r="F144" s="280" t="s">
        <v>1026</v>
      </c>
      <c r="G144" s="286" t="s">
        <v>1024</v>
      </c>
      <c r="H144" s="285">
        <v>2.41</v>
      </c>
      <c r="I144" s="285">
        <v>3.9</v>
      </c>
      <c r="J144" s="286" t="s">
        <v>846</v>
      </c>
      <c r="K144" s="280" t="s">
        <v>1034</v>
      </c>
      <c r="L144" s="297" t="s">
        <v>1035</v>
      </c>
      <c r="M144" s="197" t="str">
        <f t="shared" si="2"/>
        <v>Yes</v>
      </c>
    </row>
    <row r="145" spans="2:13" ht="15">
      <c r="B145" s="280" t="s">
        <v>852</v>
      </c>
      <c r="C145" s="281" t="s">
        <v>868</v>
      </c>
      <c r="D145" s="283">
        <v>549.99</v>
      </c>
      <c r="E145" s="285">
        <v>3.9</v>
      </c>
      <c r="F145" s="280" t="s">
        <v>1026</v>
      </c>
      <c r="G145" s="286" t="s">
        <v>1024</v>
      </c>
      <c r="H145" s="285">
        <v>2</v>
      </c>
      <c r="I145" s="285">
        <v>6</v>
      </c>
      <c r="J145" s="286" t="s">
        <v>846</v>
      </c>
      <c r="K145" s="280" t="s">
        <v>1034</v>
      </c>
      <c r="L145" s="297" t="s">
        <v>1035</v>
      </c>
      <c r="M145" s="197" t="str">
        <f t="shared" si="2"/>
        <v>Yes</v>
      </c>
    </row>
    <row r="146" spans="2:13" ht="15">
      <c r="B146" s="280" t="s">
        <v>625</v>
      </c>
      <c r="C146" s="281" t="s">
        <v>919</v>
      </c>
      <c r="D146" s="283">
        <v>749.99</v>
      </c>
      <c r="E146" s="285">
        <v>4.5999999999999996</v>
      </c>
      <c r="F146" s="280" t="s">
        <v>1026</v>
      </c>
      <c r="G146" s="286" t="s">
        <v>1024</v>
      </c>
      <c r="H146" s="285">
        <v>2.65</v>
      </c>
      <c r="I146" s="285">
        <v>3.71</v>
      </c>
      <c r="J146" s="286" t="s">
        <v>846</v>
      </c>
      <c r="K146" s="280" t="s">
        <v>1034</v>
      </c>
      <c r="L146" s="297" t="s">
        <v>1035</v>
      </c>
      <c r="M146" s="197" t="str">
        <f t="shared" si="2"/>
        <v>Yes</v>
      </c>
    </row>
    <row r="147" spans="2:13" ht="15">
      <c r="B147" s="280" t="s">
        <v>459</v>
      </c>
      <c r="C147" s="281">
        <v>28002</v>
      </c>
      <c r="D147" s="283">
        <v>705.24</v>
      </c>
      <c r="E147" s="285">
        <v>3.6</v>
      </c>
      <c r="F147" s="280" t="s">
        <v>1026</v>
      </c>
      <c r="G147" s="286" t="s">
        <v>1024</v>
      </c>
      <c r="H147" s="284">
        <v>2.4500000000000002</v>
      </c>
      <c r="I147" s="284">
        <v>3.6</v>
      </c>
      <c r="J147" s="285">
        <v>5052</v>
      </c>
      <c r="K147" s="280" t="s">
        <v>1034</v>
      </c>
      <c r="L147" s="286" t="s">
        <v>204</v>
      </c>
      <c r="M147" s="197" t="str">
        <f t="shared" si="2"/>
        <v>Yes</v>
      </c>
    </row>
    <row r="148" spans="2:13" ht="15">
      <c r="B148" s="280" t="s">
        <v>625</v>
      </c>
      <c r="C148" s="281" t="s">
        <v>935</v>
      </c>
      <c r="D148" s="283">
        <v>499.99</v>
      </c>
      <c r="E148" s="285">
        <v>3.4</v>
      </c>
      <c r="F148" s="280" t="s">
        <v>1026</v>
      </c>
      <c r="G148" s="286" t="s">
        <v>388</v>
      </c>
      <c r="H148" s="284">
        <v>1.41</v>
      </c>
      <c r="I148" s="284">
        <v>8.6</v>
      </c>
      <c r="J148" s="286" t="s">
        <v>846</v>
      </c>
      <c r="K148" s="280" t="s">
        <v>1034</v>
      </c>
      <c r="L148" s="285" t="s">
        <v>1027</v>
      </c>
      <c r="M148" s="197" t="str">
        <f t="shared" si="2"/>
        <v>Yes</v>
      </c>
    </row>
    <row r="149" spans="2:13" ht="15">
      <c r="B149" s="280" t="s">
        <v>852</v>
      </c>
      <c r="C149" s="281" t="s">
        <v>930</v>
      </c>
      <c r="D149" s="283">
        <v>403.2</v>
      </c>
      <c r="E149" s="285">
        <v>3.7</v>
      </c>
      <c r="F149" s="280" t="s">
        <v>1026</v>
      </c>
      <c r="G149" s="286" t="s">
        <v>388</v>
      </c>
      <c r="H149" s="285">
        <v>1.26</v>
      </c>
      <c r="I149" s="285">
        <v>9.5</v>
      </c>
      <c r="J149" s="286" t="s">
        <v>846</v>
      </c>
      <c r="K149" s="280" t="s">
        <v>1034</v>
      </c>
      <c r="L149" s="297" t="s">
        <v>1035</v>
      </c>
      <c r="M149" s="197" t="str">
        <f t="shared" si="2"/>
        <v>Yes</v>
      </c>
    </row>
    <row r="150" spans="2:13" ht="15">
      <c r="B150" s="280" t="s">
        <v>459</v>
      </c>
      <c r="C150" s="281">
        <v>21252</v>
      </c>
      <c r="D150" s="283">
        <v>399.99</v>
      </c>
      <c r="E150" s="285">
        <v>3.4</v>
      </c>
      <c r="F150" s="280" t="s">
        <v>1026</v>
      </c>
      <c r="G150" s="286" t="s">
        <v>1024</v>
      </c>
      <c r="H150" s="286">
        <v>2.04</v>
      </c>
      <c r="I150" s="286">
        <v>5.9</v>
      </c>
      <c r="J150" s="285">
        <v>7774</v>
      </c>
      <c r="K150" s="280" t="s">
        <v>1034</v>
      </c>
      <c r="L150" s="248" t="s">
        <v>204</v>
      </c>
      <c r="M150" s="197" t="str">
        <f t="shared" si="2"/>
        <v>Yes</v>
      </c>
    </row>
    <row r="151" spans="2:13" ht="15">
      <c r="B151" s="280" t="s">
        <v>942</v>
      </c>
      <c r="C151" s="281">
        <v>29272</v>
      </c>
      <c r="D151" s="283">
        <v>899.88</v>
      </c>
      <c r="E151" s="285">
        <v>4.5</v>
      </c>
      <c r="F151" s="280" t="s">
        <v>1026</v>
      </c>
      <c r="G151" s="286" t="s">
        <v>1024</v>
      </c>
      <c r="H151" s="285">
        <v>2.41</v>
      </c>
      <c r="I151" s="285">
        <v>4</v>
      </c>
      <c r="J151" s="286" t="s">
        <v>846</v>
      </c>
      <c r="K151" s="280" t="s">
        <v>1034</v>
      </c>
      <c r="L151" s="297" t="s">
        <v>1035</v>
      </c>
      <c r="M151" s="197" t="str">
        <f t="shared" si="2"/>
        <v>Yes</v>
      </c>
    </row>
    <row r="152" spans="2:13" ht="15">
      <c r="B152" s="280" t="s">
        <v>852</v>
      </c>
      <c r="C152" s="281" t="s">
        <v>865</v>
      </c>
      <c r="D152" s="283">
        <v>499.99</v>
      </c>
      <c r="E152" s="285">
        <v>3.9</v>
      </c>
      <c r="F152" s="280" t="s">
        <v>1026</v>
      </c>
      <c r="G152" s="286" t="s">
        <v>1024</v>
      </c>
      <c r="H152" s="285">
        <v>2</v>
      </c>
      <c r="I152" s="285">
        <v>6</v>
      </c>
      <c r="J152" s="286" t="s">
        <v>846</v>
      </c>
      <c r="K152" s="280" t="s">
        <v>1034</v>
      </c>
      <c r="L152" s="297" t="s">
        <v>1035</v>
      </c>
      <c r="M152" s="197" t="str">
        <f t="shared" si="2"/>
        <v>Yes</v>
      </c>
    </row>
    <row r="153" spans="2:13" ht="15">
      <c r="B153" s="280" t="s">
        <v>625</v>
      </c>
      <c r="C153" s="281" t="s">
        <v>964</v>
      </c>
      <c r="D153" s="283">
        <v>749.99</v>
      </c>
      <c r="E153" s="285">
        <v>3.6</v>
      </c>
      <c r="F153" s="280" t="s">
        <v>1026</v>
      </c>
      <c r="G153" s="286" t="s">
        <v>1024</v>
      </c>
      <c r="H153" s="285">
        <v>2.4409999999999998</v>
      </c>
      <c r="I153" s="285">
        <v>3.84</v>
      </c>
      <c r="J153" s="286" t="s">
        <v>846</v>
      </c>
      <c r="K153" s="280" t="s">
        <v>1034</v>
      </c>
      <c r="L153" s="297" t="s">
        <v>1035</v>
      </c>
      <c r="M153" s="197" t="str">
        <f t="shared" si="2"/>
        <v>Yes</v>
      </c>
    </row>
    <row r="154" spans="2:13" ht="15">
      <c r="B154" s="280" t="s">
        <v>597</v>
      </c>
      <c r="C154" s="281" t="s">
        <v>965</v>
      </c>
      <c r="D154" s="283">
        <v>899.99</v>
      </c>
      <c r="E154" s="285">
        <v>4.5</v>
      </c>
      <c r="F154" s="280" t="s">
        <v>1026</v>
      </c>
      <c r="G154" s="286" t="s">
        <v>1024</v>
      </c>
      <c r="H154" s="285">
        <v>2.4500000000000002</v>
      </c>
      <c r="I154" s="285">
        <v>3.55</v>
      </c>
      <c r="J154" s="286" t="s">
        <v>846</v>
      </c>
      <c r="K154" s="280" t="s">
        <v>1034</v>
      </c>
      <c r="L154" s="297" t="s">
        <v>1035</v>
      </c>
      <c r="M154" s="197" t="str">
        <f t="shared" si="2"/>
        <v>Yes</v>
      </c>
    </row>
    <row r="155" spans="2:13" ht="15">
      <c r="B155" s="280" t="s">
        <v>625</v>
      </c>
      <c r="C155" s="281" t="s">
        <v>911</v>
      </c>
      <c r="D155" s="283">
        <v>649.99</v>
      </c>
      <c r="E155" s="285">
        <v>3.6</v>
      </c>
      <c r="F155" s="280" t="s">
        <v>1026</v>
      </c>
      <c r="G155" s="286" t="s">
        <v>1024</v>
      </c>
      <c r="H155" s="285">
        <v>2.4750000000000001</v>
      </c>
      <c r="I155" s="285">
        <v>3.6379999999999999</v>
      </c>
      <c r="J155" s="286" t="s">
        <v>846</v>
      </c>
      <c r="K155" s="280" t="s">
        <v>1034</v>
      </c>
      <c r="L155" s="297" t="s">
        <v>1035</v>
      </c>
      <c r="M155" s="197" t="str">
        <f t="shared" si="2"/>
        <v>Yes</v>
      </c>
    </row>
    <row r="156" spans="2:13" ht="15">
      <c r="B156" s="280" t="s">
        <v>873</v>
      </c>
      <c r="C156" s="281" t="s">
        <v>884</v>
      </c>
      <c r="D156" s="283">
        <v>989.99</v>
      </c>
      <c r="E156" s="285">
        <v>4.7</v>
      </c>
      <c r="F156" s="280" t="s">
        <v>1026</v>
      </c>
      <c r="G156" s="286" t="s">
        <v>1024</v>
      </c>
      <c r="H156" s="285">
        <v>2.75</v>
      </c>
      <c r="I156" s="285">
        <v>3.7</v>
      </c>
      <c r="J156" s="286" t="s">
        <v>846</v>
      </c>
      <c r="K156" s="280" t="s">
        <v>1034</v>
      </c>
      <c r="L156" s="297" t="s">
        <v>1035</v>
      </c>
      <c r="M156" s="197" t="str">
        <f t="shared" si="2"/>
        <v>Yes</v>
      </c>
    </row>
    <row r="157" spans="2:13" ht="15">
      <c r="B157" s="280" t="s">
        <v>557</v>
      </c>
      <c r="C157" s="281" t="s">
        <v>897</v>
      </c>
      <c r="D157" s="283">
        <v>649.99</v>
      </c>
      <c r="E157" s="285">
        <v>3.6</v>
      </c>
      <c r="F157" s="280" t="s">
        <v>1026</v>
      </c>
      <c r="G157" s="286" t="s">
        <v>1024</v>
      </c>
      <c r="H157" s="285">
        <v>2.4750000000000001</v>
      </c>
      <c r="I157" s="285">
        <v>3.6379999999999999</v>
      </c>
      <c r="J157" s="286" t="s">
        <v>846</v>
      </c>
      <c r="K157" s="280" t="s">
        <v>1034</v>
      </c>
      <c r="L157" s="297" t="s">
        <v>1035</v>
      </c>
      <c r="M157" s="197" t="str">
        <f t="shared" si="2"/>
        <v>Yes</v>
      </c>
    </row>
    <row r="158" spans="2:13" ht="15">
      <c r="B158" s="280" t="s">
        <v>966</v>
      </c>
      <c r="C158" s="281" t="s">
        <v>967</v>
      </c>
      <c r="D158" s="283">
        <v>999.99</v>
      </c>
      <c r="E158" s="285">
        <v>4.5</v>
      </c>
      <c r="F158" s="280" t="s">
        <v>1026</v>
      </c>
      <c r="G158" s="286" t="s">
        <v>1024</v>
      </c>
      <c r="H158" s="285">
        <v>2.21</v>
      </c>
      <c r="I158" s="285">
        <v>4.49</v>
      </c>
      <c r="J158" s="286" t="s">
        <v>846</v>
      </c>
      <c r="K158" s="280" t="s">
        <v>1034</v>
      </c>
      <c r="L158" s="297" t="s">
        <v>1035</v>
      </c>
      <c r="M158" s="197" t="str">
        <f t="shared" si="2"/>
        <v>Yes</v>
      </c>
    </row>
    <row r="159" spans="2:13" ht="15">
      <c r="B159" s="280" t="s">
        <v>597</v>
      </c>
      <c r="C159" s="281" t="s">
        <v>968</v>
      </c>
      <c r="D159" s="283">
        <v>849.99</v>
      </c>
      <c r="E159" s="285">
        <v>4.5</v>
      </c>
      <c r="F159" s="280" t="s">
        <v>1026</v>
      </c>
      <c r="G159" s="286" t="s">
        <v>1024</v>
      </c>
      <c r="H159" s="285">
        <v>2.6</v>
      </c>
      <c r="I159" s="285">
        <v>3.55</v>
      </c>
      <c r="J159" s="286" t="s">
        <v>846</v>
      </c>
      <c r="K159" s="280" t="s">
        <v>1034</v>
      </c>
      <c r="L159" s="297" t="s">
        <v>1035</v>
      </c>
      <c r="M159" s="197" t="str">
        <f t="shared" si="2"/>
        <v>Yes</v>
      </c>
    </row>
    <row r="160" spans="2:13" ht="15">
      <c r="B160" s="280" t="s">
        <v>557</v>
      </c>
      <c r="C160" s="281" t="s">
        <v>893</v>
      </c>
      <c r="D160" s="283">
        <v>899.99</v>
      </c>
      <c r="E160" s="285">
        <v>4.5999999999999996</v>
      </c>
      <c r="F160" s="280" t="s">
        <v>1026</v>
      </c>
      <c r="G160" s="286" t="s">
        <v>1024</v>
      </c>
      <c r="H160" s="285">
        <v>2.61</v>
      </c>
      <c r="I160" s="285">
        <v>3.69</v>
      </c>
      <c r="J160" s="286" t="s">
        <v>846</v>
      </c>
      <c r="K160" s="280" t="s">
        <v>1034</v>
      </c>
      <c r="L160" s="297" t="s">
        <v>1035</v>
      </c>
      <c r="M160" s="197" t="str">
        <f t="shared" si="2"/>
        <v>Yes</v>
      </c>
    </row>
    <row r="161" spans="2:13" ht="15">
      <c r="B161" s="280" t="s">
        <v>942</v>
      </c>
      <c r="C161" s="281">
        <v>31523</v>
      </c>
      <c r="D161" s="283">
        <v>1058.24</v>
      </c>
      <c r="E161" s="285">
        <v>4.7</v>
      </c>
      <c r="F161" s="280" t="s">
        <v>1026</v>
      </c>
      <c r="G161" s="286" t="s">
        <v>1024</v>
      </c>
      <c r="H161" s="285">
        <v>2.75</v>
      </c>
      <c r="I161" s="285">
        <v>3.68</v>
      </c>
      <c r="J161" s="286" t="s">
        <v>846</v>
      </c>
      <c r="K161" s="280" t="s">
        <v>1034</v>
      </c>
      <c r="L161" s="297" t="s">
        <v>1035</v>
      </c>
      <c r="M161" s="197" t="str">
        <f t="shared" si="2"/>
        <v>Yes</v>
      </c>
    </row>
    <row r="162" spans="2:13" ht="15">
      <c r="B162" s="280" t="s">
        <v>625</v>
      </c>
      <c r="C162" s="281" t="s">
        <v>915</v>
      </c>
      <c r="D162" s="283">
        <v>989.99</v>
      </c>
      <c r="E162" s="285">
        <v>4.5999999999999996</v>
      </c>
      <c r="F162" s="280" t="s">
        <v>1026</v>
      </c>
      <c r="G162" s="286" t="s">
        <v>1024</v>
      </c>
      <c r="H162" s="285">
        <v>2.65</v>
      </c>
      <c r="I162" s="285">
        <v>3.71</v>
      </c>
      <c r="J162" s="286" t="s">
        <v>846</v>
      </c>
      <c r="K162" s="280" t="s">
        <v>1034</v>
      </c>
      <c r="L162" s="297" t="s">
        <v>1035</v>
      </c>
      <c r="M162" s="197" t="str">
        <f t="shared" si="2"/>
        <v>Yes</v>
      </c>
    </row>
    <row r="163" spans="2:13" ht="15">
      <c r="B163" s="280" t="s">
        <v>597</v>
      </c>
      <c r="C163" s="281" t="s">
        <v>969</v>
      </c>
      <c r="D163" s="283">
        <v>999.99</v>
      </c>
      <c r="E163" s="285">
        <v>4.8</v>
      </c>
      <c r="F163" s="280" t="s">
        <v>1026</v>
      </c>
      <c r="G163" s="286" t="s">
        <v>1024</v>
      </c>
      <c r="H163" s="285">
        <v>2.4</v>
      </c>
      <c r="I163" s="285">
        <v>4</v>
      </c>
      <c r="J163" s="286" t="s">
        <v>846</v>
      </c>
      <c r="K163" s="280" t="s">
        <v>1034</v>
      </c>
      <c r="L163" s="297" t="s">
        <v>1035</v>
      </c>
      <c r="M163" s="197" t="str">
        <f t="shared" si="2"/>
        <v>Yes</v>
      </c>
    </row>
    <row r="164" spans="2:13" ht="15">
      <c r="B164" s="280" t="s">
        <v>597</v>
      </c>
      <c r="C164" s="281" t="s">
        <v>970</v>
      </c>
      <c r="D164" s="283">
        <v>699.99</v>
      </c>
      <c r="E164" s="285">
        <v>4</v>
      </c>
      <c r="F164" s="280" t="s">
        <v>1026</v>
      </c>
      <c r="G164" s="286" t="s">
        <v>1024</v>
      </c>
      <c r="H164" s="285">
        <v>2.41</v>
      </c>
      <c r="I164" s="285">
        <v>3.7</v>
      </c>
      <c r="J164" s="286" t="s">
        <v>846</v>
      </c>
      <c r="K164" s="280" t="s">
        <v>1034</v>
      </c>
      <c r="L164" s="297" t="s">
        <v>1035</v>
      </c>
      <c r="M164" s="197" t="str">
        <f t="shared" si="2"/>
        <v>Yes</v>
      </c>
    </row>
    <row r="165" spans="2:13" ht="15">
      <c r="B165" s="280" t="s">
        <v>942</v>
      </c>
      <c r="C165" s="281">
        <v>31522</v>
      </c>
      <c r="D165" s="283">
        <v>970.49</v>
      </c>
      <c r="E165" s="285">
        <v>4.7</v>
      </c>
      <c r="F165" s="280" t="s">
        <v>1026</v>
      </c>
      <c r="G165" s="286" t="s">
        <v>1024</v>
      </c>
      <c r="H165" s="285">
        <v>2.75</v>
      </c>
      <c r="I165" s="285">
        <v>3.68</v>
      </c>
      <c r="J165" s="286" t="s">
        <v>846</v>
      </c>
      <c r="K165" s="280" t="s">
        <v>1034</v>
      </c>
      <c r="L165" s="297" t="s">
        <v>1035</v>
      </c>
      <c r="M165" s="197" t="str">
        <f t="shared" si="2"/>
        <v>Yes</v>
      </c>
    </row>
    <row r="166" spans="2:13" ht="15">
      <c r="B166" s="280" t="s">
        <v>557</v>
      </c>
      <c r="C166" s="281" t="s">
        <v>971</v>
      </c>
      <c r="D166" s="283">
        <v>849.99</v>
      </c>
      <c r="E166" s="285">
        <v>3.6</v>
      </c>
      <c r="F166" s="280" t="s">
        <v>1026</v>
      </c>
      <c r="G166" s="286" t="s">
        <v>1024</v>
      </c>
      <c r="H166" s="285">
        <v>2.4580000000000002</v>
      </c>
      <c r="I166" s="285">
        <v>3.6179999999999999</v>
      </c>
      <c r="J166" s="286" t="s">
        <v>846</v>
      </c>
      <c r="K166" s="280" t="s">
        <v>1034</v>
      </c>
      <c r="L166" s="297" t="s">
        <v>1035</v>
      </c>
      <c r="M166" s="197" t="str">
        <f t="shared" si="2"/>
        <v>Yes</v>
      </c>
    </row>
    <row r="167" spans="2:13" ht="15">
      <c r="B167" s="280" t="s">
        <v>597</v>
      </c>
      <c r="C167" s="281" t="s">
        <v>972</v>
      </c>
      <c r="D167" s="283">
        <v>649.99</v>
      </c>
      <c r="E167" s="285">
        <v>4.2</v>
      </c>
      <c r="F167" s="280" t="s">
        <v>1026</v>
      </c>
      <c r="G167" s="286" t="s">
        <v>1024</v>
      </c>
      <c r="H167" s="285">
        <v>2.4500000000000002</v>
      </c>
      <c r="I167" s="285">
        <v>3.55</v>
      </c>
      <c r="J167" s="286" t="s">
        <v>846</v>
      </c>
      <c r="K167" s="280" t="s">
        <v>1034</v>
      </c>
      <c r="L167" s="297" t="s">
        <v>1035</v>
      </c>
      <c r="M167" s="197" t="str">
        <f t="shared" si="2"/>
        <v>Yes</v>
      </c>
    </row>
    <row r="168" spans="2:13" ht="15">
      <c r="B168" s="280" t="s">
        <v>888</v>
      </c>
      <c r="C168" s="281" t="s">
        <v>891</v>
      </c>
      <c r="D168" s="283">
        <v>989.99</v>
      </c>
      <c r="E168" s="285">
        <v>4.5999999999999996</v>
      </c>
      <c r="F168" s="280" t="s">
        <v>1026</v>
      </c>
      <c r="G168" s="286" t="s">
        <v>1024</v>
      </c>
      <c r="H168" s="285">
        <v>2.57</v>
      </c>
      <c r="I168" s="285">
        <v>3.88</v>
      </c>
      <c r="J168" s="286" t="s">
        <v>846</v>
      </c>
      <c r="K168" s="280" t="s">
        <v>1034</v>
      </c>
      <c r="L168" s="297" t="s">
        <v>1035</v>
      </c>
      <c r="M168" s="197" t="str">
        <f t="shared" si="2"/>
        <v>Yes</v>
      </c>
    </row>
    <row r="169" spans="2:13" ht="15">
      <c r="B169" s="280" t="s">
        <v>852</v>
      </c>
      <c r="C169" s="281" t="s">
        <v>973</v>
      </c>
      <c r="D169" s="283">
        <v>479.99</v>
      </c>
      <c r="E169" s="285">
        <v>3.7</v>
      </c>
      <c r="F169" s="280" t="s">
        <v>1026</v>
      </c>
      <c r="G169" s="286" t="s">
        <v>388</v>
      </c>
      <c r="H169" s="285">
        <v>1.26</v>
      </c>
      <c r="I169" s="285">
        <v>9.5</v>
      </c>
      <c r="J169" s="286" t="s">
        <v>846</v>
      </c>
      <c r="K169" s="280" t="s">
        <v>1034</v>
      </c>
      <c r="L169" s="297" t="s">
        <v>1035</v>
      </c>
      <c r="M169" s="197" t="str">
        <f t="shared" si="2"/>
        <v>Yes</v>
      </c>
    </row>
    <row r="170" spans="2:13" ht="15">
      <c r="B170" s="280" t="s">
        <v>557</v>
      </c>
      <c r="C170" s="281" t="s">
        <v>1032</v>
      </c>
      <c r="D170" s="283">
        <v>499.99</v>
      </c>
      <c r="E170" s="285">
        <v>3.4</v>
      </c>
      <c r="F170" s="280" t="s">
        <v>1026</v>
      </c>
      <c r="G170" s="286" t="s">
        <v>1024</v>
      </c>
      <c r="H170" s="286"/>
      <c r="I170" s="286"/>
      <c r="J170" s="286" t="s">
        <v>846</v>
      </c>
      <c r="K170" s="280" t="s">
        <v>1034</v>
      </c>
      <c r="L170" s="285" t="s">
        <v>846</v>
      </c>
      <c r="M170" s="197" t="str">
        <f t="shared" si="2"/>
        <v>Yes</v>
      </c>
    </row>
    <row r="171" spans="2:13" ht="15">
      <c r="B171" s="280" t="s">
        <v>888</v>
      </c>
      <c r="C171" s="281" t="s">
        <v>974</v>
      </c>
      <c r="D171" s="283">
        <v>1199.99</v>
      </c>
      <c r="E171" s="285">
        <v>4.5999999999999996</v>
      </c>
      <c r="F171" s="280" t="s">
        <v>1026</v>
      </c>
      <c r="G171" s="286" t="s">
        <v>1024</v>
      </c>
      <c r="H171" s="285">
        <v>2.57</v>
      </c>
      <c r="I171" s="285">
        <v>3.88</v>
      </c>
      <c r="J171" s="286" t="s">
        <v>846</v>
      </c>
      <c r="K171" s="280" t="s">
        <v>1034</v>
      </c>
      <c r="L171" s="297" t="s">
        <v>1035</v>
      </c>
      <c r="M171" s="197" t="str">
        <f t="shared" si="2"/>
        <v>Yes</v>
      </c>
    </row>
    <row r="172" spans="2:13" ht="15">
      <c r="B172" s="280" t="s">
        <v>557</v>
      </c>
      <c r="C172" s="281" t="s">
        <v>892</v>
      </c>
      <c r="D172" s="283">
        <v>699.99</v>
      </c>
      <c r="E172" s="285">
        <v>3.6</v>
      </c>
      <c r="F172" s="280" t="s">
        <v>1026</v>
      </c>
      <c r="G172" s="286" t="s">
        <v>1024</v>
      </c>
      <c r="H172" s="285">
        <v>2.4580000000000002</v>
      </c>
      <c r="I172" s="285">
        <v>3.6179999999999999</v>
      </c>
      <c r="J172" s="286" t="s">
        <v>846</v>
      </c>
      <c r="K172" s="280" t="s">
        <v>1034</v>
      </c>
      <c r="L172" s="297" t="s">
        <v>1035</v>
      </c>
      <c r="M172" s="197" t="str">
        <f t="shared" si="2"/>
        <v>Yes</v>
      </c>
    </row>
    <row r="173" spans="2:13" ht="15">
      <c r="B173" s="280" t="s">
        <v>625</v>
      </c>
      <c r="C173" s="281" t="s">
        <v>916</v>
      </c>
      <c r="D173" s="283">
        <v>999.99</v>
      </c>
      <c r="E173" s="285">
        <v>4.5999999999999996</v>
      </c>
      <c r="F173" s="280" t="s">
        <v>1026</v>
      </c>
      <c r="G173" s="286" t="s">
        <v>1024</v>
      </c>
      <c r="H173" s="285">
        <v>2.65</v>
      </c>
      <c r="I173" s="285">
        <v>3.71</v>
      </c>
      <c r="J173" s="286" t="s">
        <v>846</v>
      </c>
      <c r="K173" s="280" t="s">
        <v>1034</v>
      </c>
      <c r="L173" s="297" t="s">
        <v>1035</v>
      </c>
      <c r="M173" s="197" t="str">
        <f t="shared" si="2"/>
        <v>Yes</v>
      </c>
    </row>
    <row r="174" spans="2:13" ht="15">
      <c r="B174" s="280" t="s">
        <v>459</v>
      </c>
      <c r="C174" s="281">
        <v>44722</v>
      </c>
      <c r="D174" s="283">
        <v>800.84</v>
      </c>
      <c r="E174" s="285">
        <v>2.1</v>
      </c>
      <c r="F174" s="280" t="s">
        <v>1026</v>
      </c>
      <c r="G174" s="286" t="s">
        <v>388</v>
      </c>
      <c r="H174" s="286"/>
      <c r="I174" s="286"/>
      <c r="J174" s="286" t="s">
        <v>846</v>
      </c>
      <c r="K174" s="280" t="s">
        <v>1034</v>
      </c>
      <c r="L174" s="285" t="s">
        <v>846</v>
      </c>
      <c r="M174" s="197" t="str">
        <f t="shared" si="2"/>
        <v>Yes</v>
      </c>
    </row>
    <row r="175" spans="2:13" ht="15">
      <c r="B175" s="280" t="s">
        <v>557</v>
      </c>
      <c r="C175" s="281" t="s">
        <v>890</v>
      </c>
      <c r="D175" s="283">
        <v>799.99</v>
      </c>
      <c r="E175" s="285">
        <v>3.6</v>
      </c>
      <c r="F175" s="280" t="s">
        <v>1026</v>
      </c>
      <c r="G175" s="286" t="s">
        <v>1024</v>
      </c>
      <c r="H175" s="285">
        <v>2.4580000000000002</v>
      </c>
      <c r="I175" s="285">
        <v>3.6179999999999999</v>
      </c>
      <c r="J175" s="286" t="s">
        <v>846</v>
      </c>
      <c r="K175" s="280" t="s">
        <v>1034</v>
      </c>
      <c r="L175" s="297" t="s">
        <v>1035</v>
      </c>
      <c r="M175" s="197" t="str">
        <f t="shared" si="2"/>
        <v>Yes</v>
      </c>
    </row>
    <row r="176" spans="2:13" ht="15">
      <c r="B176" s="280" t="s">
        <v>852</v>
      </c>
      <c r="C176" s="281" t="s">
        <v>867</v>
      </c>
      <c r="D176" s="283">
        <v>699.99</v>
      </c>
      <c r="E176" s="285">
        <v>4</v>
      </c>
      <c r="F176" s="280" t="s">
        <v>1026</v>
      </c>
      <c r="G176" s="286" t="s">
        <v>1024</v>
      </c>
      <c r="H176" s="285">
        <v>2.2000000000000002</v>
      </c>
      <c r="I176" s="285">
        <v>4.5</v>
      </c>
      <c r="J176" s="286" t="s">
        <v>846</v>
      </c>
      <c r="K176" s="280" t="s">
        <v>1034</v>
      </c>
      <c r="L176" s="297" t="s">
        <v>1035</v>
      </c>
      <c r="M176" s="197" t="str">
        <f t="shared" si="2"/>
        <v>Yes</v>
      </c>
    </row>
    <row r="177" spans="2:14" ht="15">
      <c r="B177" s="280" t="s">
        <v>625</v>
      </c>
      <c r="C177" s="281" t="s">
        <v>913</v>
      </c>
      <c r="D177" s="283">
        <v>699.99</v>
      </c>
      <c r="E177" s="285">
        <v>3.6</v>
      </c>
      <c r="F177" s="280" t="s">
        <v>1026</v>
      </c>
      <c r="G177" s="286" t="s">
        <v>1024</v>
      </c>
      <c r="H177" s="285">
        <v>2.4929999999999999</v>
      </c>
      <c r="I177" s="285">
        <v>3.9129999999999998</v>
      </c>
      <c r="J177" s="286" t="s">
        <v>846</v>
      </c>
      <c r="K177" s="280" t="s">
        <v>1034</v>
      </c>
      <c r="L177" s="297" t="s">
        <v>1035</v>
      </c>
      <c r="M177" s="197" t="str">
        <f t="shared" si="2"/>
        <v>Yes</v>
      </c>
    </row>
    <row r="178" spans="2:14" ht="15">
      <c r="B178" s="280" t="s">
        <v>873</v>
      </c>
      <c r="C178" s="281" t="s">
        <v>887</v>
      </c>
      <c r="D178" s="283">
        <v>1079.99</v>
      </c>
      <c r="E178" s="285">
        <v>4.7</v>
      </c>
      <c r="F178" s="280" t="s">
        <v>1026</v>
      </c>
      <c r="G178" s="286" t="s">
        <v>1024</v>
      </c>
      <c r="H178" s="285">
        <v>2.75</v>
      </c>
      <c r="I178" s="285">
        <v>3.7</v>
      </c>
      <c r="J178" s="286" t="s">
        <v>846</v>
      </c>
      <c r="K178" s="280" t="s">
        <v>1034</v>
      </c>
      <c r="L178" s="297" t="s">
        <v>1035</v>
      </c>
      <c r="M178" s="197" t="str">
        <f t="shared" si="2"/>
        <v>Yes</v>
      </c>
    </row>
    <row r="179" spans="2:14" ht="15">
      <c r="B179" s="280" t="s">
        <v>557</v>
      </c>
      <c r="C179" s="281" t="s">
        <v>896</v>
      </c>
      <c r="D179" s="283">
        <v>519.88</v>
      </c>
      <c r="E179" s="285">
        <v>3.4</v>
      </c>
      <c r="F179" s="280" t="s">
        <v>1026</v>
      </c>
      <c r="G179" s="286" t="s">
        <v>1024</v>
      </c>
      <c r="H179" s="286">
        <v>2.02</v>
      </c>
      <c r="I179" s="286">
        <v>5.9</v>
      </c>
      <c r="J179" s="285">
        <v>7735</v>
      </c>
      <c r="K179" s="280" t="s">
        <v>1034</v>
      </c>
      <c r="L179" s="285" t="s">
        <v>204</v>
      </c>
      <c r="M179" s="197" t="str">
        <f t="shared" si="2"/>
        <v>Yes</v>
      </c>
    </row>
    <row r="180" spans="2:14" ht="15">
      <c r="B180" s="280" t="s">
        <v>852</v>
      </c>
      <c r="C180" s="281" t="s">
        <v>932</v>
      </c>
      <c r="D180" s="283">
        <v>807.49</v>
      </c>
      <c r="E180" s="285">
        <v>2.7</v>
      </c>
      <c r="F180" s="280" t="s">
        <v>1026</v>
      </c>
      <c r="G180" s="286" t="s">
        <v>388</v>
      </c>
      <c r="H180" s="286">
        <v>1.33</v>
      </c>
      <c r="I180" s="286">
        <v>9.5</v>
      </c>
      <c r="J180" s="286" t="s">
        <v>846</v>
      </c>
      <c r="K180" s="280" t="s">
        <v>1034</v>
      </c>
      <c r="L180" s="285" t="s">
        <v>1027</v>
      </c>
      <c r="M180" s="197" t="str">
        <f t="shared" si="2"/>
        <v>Yes</v>
      </c>
      <c r="N180" s="201"/>
    </row>
    <row r="181" spans="2:14" ht="15">
      <c r="B181" s="280" t="s">
        <v>966</v>
      </c>
      <c r="C181" s="281" t="s">
        <v>939</v>
      </c>
      <c r="D181" s="283">
        <v>1119.99</v>
      </c>
      <c r="E181" s="285">
        <v>4.5</v>
      </c>
      <c r="F181" s="280" t="s">
        <v>1026</v>
      </c>
      <c r="G181" s="286" t="s">
        <v>1024</v>
      </c>
      <c r="H181" s="285">
        <v>2.21</v>
      </c>
      <c r="I181" s="285">
        <v>4.49</v>
      </c>
      <c r="J181" s="286" t="s">
        <v>846</v>
      </c>
      <c r="K181" s="280" t="s">
        <v>1034</v>
      </c>
      <c r="L181" s="297" t="s">
        <v>1035</v>
      </c>
      <c r="M181" s="197" t="str">
        <f t="shared" si="2"/>
        <v>Yes</v>
      </c>
      <c r="N181" s="201"/>
    </row>
    <row r="182" spans="2:14" ht="15">
      <c r="B182" s="280" t="s">
        <v>852</v>
      </c>
      <c r="C182" s="281" t="s">
        <v>940</v>
      </c>
      <c r="D182" s="283">
        <v>807.49</v>
      </c>
      <c r="E182" s="285">
        <v>2.7</v>
      </c>
      <c r="F182" s="280" t="s">
        <v>1026</v>
      </c>
      <c r="G182" s="286" t="s">
        <v>388</v>
      </c>
      <c r="H182" s="286">
        <v>1.33</v>
      </c>
      <c r="I182" s="286">
        <v>9.5</v>
      </c>
      <c r="J182" s="286" t="s">
        <v>846</v>
      </c>
      <c r="K182" s="280" t="s">
        <v>1034</v>
      </c>
      <c r="L182" s="285" t="s">
        <v>1027</v>
      </c>
      <c r="M182" s="197" t="str">
        <f t="shared" si="2"/>
        <v>Yes</v>
      </c>
    </row>
    <row r="183" spans="2:14" ht="15">
      <c r="B183" s="280" t="s">
        <v>625</v>
      </c>
      <c r="C183" s="281" t="s">
        <v>975</v>
      </c>
      <c r="D183" s="283">
        <v>1079.99</v>
      </c>
      <c r="E183" s="285">
        <v>4.5999999999999996</v>
      </c>
      <c r="F183" s="280" t="s">
        <v>1026</v>
      </c>
      <c r="G183" s="286" t="s">
        <v>1024</v>
      </c>
      <c r="H183" s="285">
        <v>2.65</v>
      </c>
      <c r="I183" s="285">
        <v>3.71</v>
      </c>
      <c r="J183" s="286" t="s">
        <v>846</v>
      </c>
      <c r="K183" s="280" t="s">
        <v>1034</v>
      </c>
      <c r="L183" s="297" t="s">
        <v>1035</v>
      </c>
      <c r="M183" s="197" t="str">
        <f t="shared" si="2"/>
        <v>Yes</v>
      </c>
    </row>
    <row r="184" spans="2:14" ht="15">
      <c r="B184" s="287" t="s">
        <v>415</v>
      </c>
      <c r="C184" s="280" t="s">
        <v>418</v>
      </c>
      <c r="D184" s="249">
        <v>1259.0999999999999</v>
      </c>
      <c r="E184" s="280">
        <v>2.16</v>
      </c>
      <c r="F184" s="280" t="s">
        <v>1023</v>
      </c>
      <c r="G184" s="288" t="s">
        <v>1024</v>
      </c>
      <c r="H184" s="288">
        <v>2.2200000000000002</v>
      </c>
      <c r="I184" s="288">
        <v>4.5</v>
      </c>
      <c r="J184" s="286" t="s">
        <v>846</v>
      </c>
      <c r="K184" s="280" t="s">
        <v>1036</v>
      </c>
      <c r="L184" s="289" t="s">
        <v>1027</v>
      </c>
      <c r="M184" s="197" t="str">
        <f t="shared" si="2"/>
        <v>Yes</v>
      </c>
    </row>
    <row r="185" spans="2:14" ht="15">
      <c r="B185" s="287" t="s">
        <v>415</v>
      </c>
      <c r="C185" s="280" t="s">
        <v>416</v>
      </c>
      <c r="D185" s="249">
        <v>999</v>
      </c>
      <c r="E185" s="280">
        <v>2.16</v>
      </c>
      <c r="F185" s="280" t="s">
        <v>1023</v>
      </c>
      <c r="G185" s="288" t="s">
        <v>1024</v>
      </c>
      <c r="H185" s="288">
        <v>2.0499999999999998</v>
      </c>
      <c r="I185" s="288">
        <v>4.8</v>
      </c>
      <c r="J185" s="286" t="s">
        <v>846</v>
      </c>
      <c r="K185" s="280" t="s">
        <v>1036</v>
      </c>
      <c r="L185" s="288" t="s">
        <v>1035</v>
      </c>
      <c r="M185" s="197" t="str">
        <f t="shared" si="2"/>
        <v>Yes</v>
      </c>
    </row>
    <row r="186" spans="2:14" ht="15">
      <c r="B186" s="287" t="s">
        <v>415</v>
      </c>
      <c r="C186" s="280" t="s">
        <v>1037</v>
      </c>
      <c r="D186" s="249">
        <v>809.1</v>
      </c>
      <c r="E186" s="280">
        <v>1.9</v>
      </c>
      <c r="F186" s="280" t="s">
        <v>1023</v>
      </c>
      <c r="G186" s="288" t="s">
        <v>1024</v>
      </c>
      <c r="H186" s="298"/>
      <c r="I186" s="298"/>
      <c r="J186" s="286" t="s">
        <v>846</v>
      </c>
      <c r="K186" s="280" t="s">
        <v>1036</v>
      </c>
      <c r="L186" s="288" t="s">
        <v>846</v>
      </c>
      <c r="M186" s="197" t="str">
        <f t="shared" si="2"/>
        <v>Yes</v>
      </c>
    </row>
    <row r="187" spans="2:14" ht="15">
      <c r="B187" s="287" t="s">
        <v>844</v>
      </c>
      <c r="C187" s="287" t="s">
        <v>958</v>
      </c>
      <c r="D187" s="249">
        <v>1304.0999999999999</v>
      </c>
      <c r="E187" s="280">
        <v>4.4000000000000004</v>
      </c>
      <c r="F187" s="280" t="s">
        <v>1023</v>
      </c>
      <c r="G187" s="288" t="s">
        <v>1024</v>
      </c>
      <c r="H187" s="288">
        <v>3.29</v>
      </c>
      <c r="I187" s="288">
        <v>2.8</v>
      </c>
      <c r="J187" s="288">
        <v>4851</v>
      </c>
      <c r="K187" s="280" t="s">
        <v>1036</v>
      </c>
      <c r="L187" s="288" t="s">
        <v>204</v>
      </c>
      <c r="M187" s="197" t="str">
        <f t="shared" si="2"/>
        <v>Yes</v>
      </c>
    </row>
    <row r="188" spans="2:14" ht="15">
      <c r="B188" s="287" t="s">
        <v>844</v>
      </c>
      <c r="C188" s="287" t="s">
        <v>951</v>
      </c>
      <c r="D188" s="249">
        <v>1259.0999999999999</v>
      </c>
      <c r="E188" s="280">
        <v>4.4000000000000004</v>
      </c>
      <c r="F188" s="280" t="s">
        <v>1023</v>
      </c>
      <c r="G188" s="288" t="s">
        <v>1024</v>
      </c>
      <c r="H188" s="288">
        <v>3.29</v>
      </c>
      <c r="I188" s="288">
        <v>2.8</v>
      </c>
      <c r="J188" s="288">
        <v>4851</v>
      </c>
      <c r="K188" s="280" t="s">
        <v>1036</v>
      </c>
      <c r="L188" s="288" t="s">
        <v>204</v>
      </c>
      <c r="M188" s="197" t="str">
        <f t="shared" si="2"/>
        <v>Yes</v>
      </c>
    </row>
    <row r="189" spans="2:14" ht="15">
      <c r="B189" s="287" t="s">
        <v>976</v>
      </c>
      <c r="C189" s="280" t="s">
        <v>947</v>
      </c>
      <c r="D189" s="249">
        <v>1199</v>
      </c>
      <c r="E189" s="280">
        <v>4.2</v>
      </c>
      <c r="F189" s="280" t="s">
        <v>1023</v>
      </c>
      <c r="G189" s="288" t="s">
        <v>1024</v>
      </c>
      <c r="H189" s="288">
        <v>3.1</v>
      </c>
      <c r="I189" s="288">
        <v>2.7</v>
      </c>
      <c r="J189" s="288">
        <v>4466</v>
      </c>
      <c r="K189" s="280" t="s">
        <v>1036</v>
      </c>
      <c r="L189" s="288" t="s">
        <v>204</v>
      </c>
      <c r="M189" s="197" t="str">
        <f t="shared" si="2"/>
        <v>Yes</v>
      </c>
    </row>
    <row r="190" spans="2:14" ht="15">
      <c r="B190" s="287" t="s">
        <v>976</v>
      </c>
      <c r="C190" s="287" t="s">
        <v>977</v>
      </c>
      <c r="D190" s="249">
        <v>999</v>
      </c>
      <c r="E190" s="280">
        <v>4.3</v>
      </c>
      <c r="F190" s="280" t="s">
        <v>1023</v>
      </c>
      <c r="G190" s="288" t="s">
        <v>1024</v>
      </c>
      <c r="H190" s="288">
        <v>3.33</v>
      </c>
      <c r="I190" s="288">
        <v>2.8</v>
      </c>
      <c r="J190" s="289" t="s">
        <v>846</v>
      </c>
      <c r="K190" s="280" t="s">
        <v>1036</v>
      </c>
      <c r="L190" s="288" t="s">
        <v>1027</v>
      </c>
      <c r="M190" s="197" t="str">
        <f t="shared" si="2"/>
        <v>Yes</v>
      </c>
    </row>
    <row r="191" spans="2:14" ht="15">
      <c r="B191" s="287" t="s">
        <v>844</v>
      </c>
      <c r="C191" s="287" t="s">
        <v>848</v>
      </c>
      <c r="D191" s="249">
        <v>899.1</v>
      </c>
      <c r="E191" s="280">
        <v>4.2</v>
      </c>
      <c r="F191" s="280" t="s">
        <v>1023</v>
      </c>
      <c r="G191" s="280" t="s">
        <v>1024</v>
      </c>
      <c r="H191" s="288">
        <v>2.88</v>
      </c>
      <c r="I191" s="288">
        <v>3.5</v>
      </c>
      <c r="J191" s="288">
        <v>5557</v>
      </c>
      <c r="K191" s="280" t="s">
        <v>1036</v>
      </c>
      <c r="L191" s="288" t="s">
        <v>204</v>
      </c>
      <c r="M191" s="197" t="str">
        <f t="shared" si="2"/>
        <v>Yes</v>
      </c>
    </row>
    <row r="192" spans="2:14" ht="15">
      <c r="B192" s="287" t="s">
        <v>844</v>
      </c>
      <c r="C192" s="287" t="s">
        <v>978</v>
      </c>
      <c r="D192" s="249">
        <v>799.2</v>
      </c>
      <c r="E192" s="280">
        <v>4.2</v>
      </c>
      <c r="F192" s="280" t="s">
        <v>1023</v>
      </c>
      <c r="G192" s="280" t="s">
        <v>1024</v>
      </c>
      <c r="H192" s="288">
        <v>3.1</v>
      </c>
      <c r="I192" s="288">
        <v>2.8</v>
      </c>
      <c r="J192" s="289" t="s">
        <v>846</v>
      </c>
      <c r="K192" s="280" t="s">
        <v>1036</v>
      </c>
      <c r="L192" s="288" t="s">
        <v>1027</v>
      </c>
      <c r="M192" s="197" t="str">
        <f t="shared" si="2"/>
        <v>Yes</v>
      </c>
    </row>
    <row r="193" spans="2:13" ht="15">
      <c r="B193" s="287" t="s">
        <v>979</v>
      </c>
      <c r="C193" s="280" t="s">
        <v>845</v>
      </c>
      <c r="D193" s="249">
        <v>999</v>
      </c>
      <c r="E193" s="280">
        <v>4.2</v>
      </c>
      <c r="F193" s="280" t="s">
        <v>1023</v>
      </c>
      <c r="G193" s="288" t="s">
        <v>1024</v>
      </c>
      <c r="H193" s="288">
        <v>3.33</v>
      </c>
      <c r="I193" s="288">
        <v>2.8</v>
      </c>
      <c r="J193" s="288">
        <v>4720</v>
      </c>
      <c r="K193" s="280" t="s">
        <v>1036</v>
      </c>
      <c r="L193" s="288" t="s">
        <v>204</v>
      </c>
      <c r="M193" s="197" t="str">
        <f t="shared" si="2"/>
        <v>Yes</v>
      </c>
    </row>
    <row r="194" spans="2:13" ht="15">
      <c r="B194" s="280" t="s">
        <v>850</v>
      </c>
      <c r="C194" s="287" t="s">
        <v>851</v>
      </c>
      <c r="D194" s="249">
        <v>584.1</v>
      </c>
      <c r="E194" s="280">
        <v>3.3</v>
      </c>
      <c r="F194" s="280" t="s">
        <v>1023</v>
      </c>
      <c r="G194" s="280" t="s">
        <v>1024</v>
      </c>
      <c r="H194" s="288">
        <v>3</v>
      </c>
      <c r="I194" s="288">
        <v>3.3</v>
      </c>
      <c r="J194" s="288">
        <v>4217</v>
      </c>
      <c r="K194" s="280" t="s">
        <v>1036</v>
      </c>
      <c r="L194" s="288" t="s">
        <v>204</v>
      </c>
      <c r="M194" s="197" t="str">
        <f t="shared" si="2"/>
        <v>Yes</v>
      </c>
    </row>
    <row r="195" spans="2:13" ht="15">
      <c r="B195" s="287" t="s">
        <v>850</v>
      </c>
      <c r="C195" s="280" t="s">
        <v>980</v>
      </c>
      <c r="D195" s="249">
        <v>854.1</v>
      </c>
      <c r="E195" s="280">
        <v>3.8</v>
      </c>
      <c r="F195" s="280" t="s">
        <v>1023</v>
      </c>
      <c r="G195" s="288" t="s">
        <v>1024</v>
      </c>
      <c r="H195" s="288">
        <v>3.41</v>
      </c>
      <c r="I195" s="288">
        <v>2.8</v>
      </c>
      <c r="J195" s="289" t="s">
        <v>846</v>
      </c>
      <c r="K195" s="280" t="s">
        <v>1036</v>
      </c>
      <c r="L195" s="288" t="s">
        <v>1027</v>
      </c>
      <c r="M195" s="197" t="str">
        <f t="shared" si="2"/>
        <v>Yes</v>
      </c>
    </row>
    <row r="196" spans="2:13" ht="15">
      <c r="B196" s="287" t="s">
        <v>981</v>
      </c>
      <c r="C196" s="287" t="s">
        <v>982</v>
      </c>
      <c r="D196" s="249">
        <v>854.1</v>
      </c>
      <c r="E196" s="280">
        <v>3.8</v>
      </c>
      <c r="F196" s="280" t="s">
        <v>1023</v>
      </c>
      <c r="G196" s="288" t="s">
        <v>1024</v>
      </c>
      <c r="H196" s="288">
        <v>3.41</v>
      </c>
      <c r="I196" s="288">
        <v>2.8</v>
      </c>
      <c r="J196" s="289" t="s">
        <v>846</v>
      </c>
      <c r="K196" s="280" t="s">
        <v>1036</v>
      </c>
      <c r="L196" s="288" t="s">
        <v>1027</v>
      </c>
      <c r="M196" s="197" t="str">
        <f t="shared" si="2"/>
        <v>Yes</v>
      </c>
    </row>
    <row r="197" spans="2:13" ht="15">
      <c r="B197" s="287" t="s">
        <v>850</v>
      </c>
      <c r="C197" s="287" t="s">
        <v>983</v>
      </c>
      <c r="D197" s="249">
        <v>944.1</v>
      </c>
      <c r="E197" s="280">
        <v>3.9</v>
      </c>
      <c r="F197" s="280" t="s">
        <v>1023</v>
      </c>
      <c r="G197" s="288" t="s">
        <v>1024</v>
      </c>
      <c r="H197" s="288">
        <v>3.37</v>
      </c>
      <c r="I197" s="288">
        <v>2.7</v>
      </c>
      <c r="J197" s="289" t="s">
        <v>846</v>
      </c>
      <c r="K197" s="280" t="s">
        <v>1036</v>
      </c>
      <c r="L197" s="288" t="s">
        <v>1027</v>
      </c>
      <c r="M197" s="197" t="str">
        <f t="shared" si="2"/>
        <v>Yes</v>
      </c>
    </row>
    <row r="198" spans="2:13" ht="15">
      <c r="B198" s="287" t="s">
        <v>850</v>
      </c>
      <c r="C198" s="280" t="s">
        <v>984</v>
      </c>
      <c r="D198" s="249">
        <v>944.1</v>
      </c>
      <c r="E198" s="280">
        <v>3.9</v>
      </c>
      <c r="F198" s="280" t="s">
        <v>1023</v>
      </c>
      <c r="G198" s="288" t="s">
        <v>1024</v>
      </c>
      <c r="H198" s="288">
        <v>3.37</v>
      </c>
      <c r="I198" s="288">
        <v>2.7</v>
      </c>
      <c r="J198" s="289" t="s">
        <v>846</v>
      </c>
      <c r="K198" s="280" t="s">
        <v>1036</v>
      </c>
      <c r="L198" s="288" t="s">
        <v>1027</v>
      </c>
      <c r="M198" s="197" t="str">
        <f t="shared" ref="M198:M261" si="3">IF(AND(H198&lt;&gt;"NA",I198&lt;&gt;"NA"),"Yes","No")</f>
        <v>Yes</v>
      </c>
    </row>
    <row r="199" spans="2:13" ht="15">
      <c r="B199" s="287" t="s">
        <v>850</v>
      </c>
      <c r="C199" s="280" t="s">
        <v>985</v>
      </c>
      <c r="D199" s="249">
        <v>764.1</v>
      </c>
      <c r="E199" s="280">
        <v>3.8</v>
      </c>
      <c r="F199" s="280" t="s">
        <v>1023</v>
      </c>
      <c r="G199" s="288" t="s">
        <v>1024</v>
      </c>
      <c r="H199" s="288">
        <v>3.41</v>
      </c>
      <c r="I199" s="288">
        <v>2.8</v>
      </c>
      <c r="J199" s="289" t="s">
        <v>846</v>
      </c>
      <c r="K199" s="280" t="s">
        <v>1036</v>
      </c>
      <c r="L199" s="288" t="s">
        <v>1027</v>
      </c>
      <c r="M199" s="197" t="str">
        <f t="shared" si="3"/>
        <v>Yes</v>
      </c>
    </row>
    <row r="200" spans="2:13" ht="15">
      <c r="B200" s="287" t="s">
        <v>850</v>
      </c>
      <c r="C200" s="280" t="s">
        <v>986</v>
      </c>
      <c r="D200" s="249">
        <v>854.1</v>
      </c>
      <c r="E200" s="280">
        <v>3.9</v>
      </c>
      <c r="F200" s="280" t="s">
        <v>1023</v>
      </c>
      <c r="G200" s="288" t="s">
        <v>1024</v>
      </c>
      <c r="H200" s="288">
        <v>3.37</v>
      </c>
      <c r="I200" s="288">
        <v>2.7</v>
      </c>
      <c r="J200" s="289" t="s">
        <v>846</v>
      </c>
      <c r="K200" s="280" t="s">
        <v>1036</v>
      </c>
      <c r="L200" s="288" t="s">
        <v>1027</v>
      </c>
      <c r="M200" s="197" t="str">
        <f t="shared" si="3"/>
        <v>Yes</v>
      </c>
    </row>
    <row r="201" spans="2:13" ht="15">
      <c r="B201" s="287" t="s">
        <v>850</v>
      </c>
      <c r="C201" s="280" t="s">
        <v>987</v>
      </c>
      <c r="D201" s="249">
        <v>719.1</v>
      </c>
      <c r="E201" s="280">
        <v>3.7</v>
      </c>
      <c r="F201" s="280" t="s">
        <v>1023</v>
      </c>
      <c r="G201" s="288" t="s">
        <v>1024</v>
      </c>
      <c r="H201" s="288">
        <v>3.35</v>
      </c>
      <c r="I201" s="288">
        <v>2.9</v>
      </c>
      <c r="J201" s="289" t="s">
        <v>846</v>
      </c>
      <c r="K201" s="280" t="s">
        <v>1036</v>
      </c>
      <c r="L201" s="288" t="s">
        <v>1027</v>
      </c>
      <c r="M201" s="197" t="str">
        <f t="shared" si="3"/>
        <v>Yes</v>
      </c>
    </row>
    <row r="202" spans="2:13" ht="15">
      <c r="B202" s="287" t="s">
        <v>557</v>
      </c>
      <c r="C202" s="280" t="s">
        <v>1038</v>
      </c>
      <c r="D202" s="249">
        <v>674.1</v>
      </c>
      <c r="E202" s="280">
        <v>2</v>
      </c>
      <c r="F202" s="280" t="s">
        <v>1023</v>
      </c>
      <c r="G202" s="288" t="s">
        <v>1024</v>
      </c>
      <c r="H202" s="298"/>
      <c r="I202" s="298"/>
      <c r="J202" s="289" t="s">
        <v>846</v>
      </c>
      <c r="K202" s="280" t="s">
        <v>1036</v>
      </c>
      <c r="L202" s="288" t="s">
        <v>846</v>
      </c>
      <c r="M202" s="197" t="str">
        <f t="shared" si="3"/>
        <v>Yes</v>
      </c>
    </row>
    <row r="203" spans="2:13" ht="15">
      <c r="B203" s="287" t="s">
        <v>899</v>
      </c>
      <c r="C203" s="287" t="s">
        <v>946</v>
      </c>
      <c r="D203" s="249">
        <v>1169.0999999999999</v>
      </c>
      <c r="E203" s="280">
        <v>4.3</v>
      </c>
      <c r="F203" s="280" t="s">
        <v>1023</v>
      </c>
      <c r="G203" s="288" t="s">
        <v>1024</v>
      </c>
      <c r="H203" s="288">
        <v>3</v>
      </c>
      <c r="I203" s="288">
        <v>2.484</v>
      </c>
      <c r="J203" s="289" t="s">
        <v>846</v>
      </c>
      <c r="K203" s="280" t="s">
        <v>1036</v>
      </c>
      <c r="L203" s="288" t="s">
        <v>1035</v>
      </c>
      <c r="M203" s="197" t="str">
        <f t="shared" si="3"/>
        <v>Yes</v>
      </c>
    </row>
    <row r="204" spans="2:13" ht="15">
      <c r="B204" s="287" t="s">
        <v>988</v>
      </c>
      <c r="C204" s="287" t="s">
        <v>953</v>
      </c>
      <c r="D204" s="249">
        <v>1399</v>
      </c>
      <c r="E204" s="280">
        <v>4.3</v>
      </c>
      <c r="F204" s="280" t="s">
        <v>1023</v>
      </c>
      <c r="G204" s="288" t="s">
        <v>1024</v>
      </c>
      <c r="H204" s="288">
        <v>3.0019999999999998</v>
      </c>
      <c r="I204" s="288">
        <v>2.7829999999999999</v>
      </c>
      <c r="J204" s="289" t="s">
        <v>846</v>
      </c>
      <c r="K204" s="280" t="s">
        <v>1036</v>
      </c>
      <c r="L204" s="288" t="s">
        <v>1035</v>
      </c>
      <c r="M204" s="197" t="str">
        <f t="shared" si="3"/>
        <v>Yes</v>
      </c>
    </row>
    <row r="205" spans="2:13" ht="15">
      <c r="B205" s="287" t="s">
        <v>899</v>
      </c>
      <c r="C205" s="280" t="s">
        <v>989</v>
      </c>
      <c r="D205" s="249">
        <v>1259.0999999999999</v>
      </c>
      <c r="E205" s="280">
        <v>4.3</v>
      </c>
      <c r="F205" s="280" t="s">
        <v>1023</v>
      </c>
      <c r="G205" s="288" t="s">
        <v>1024</v>
      </c>
      <c r="H205" s="288">
        <v>3.3</v>
      </c>
      <c r="I205" s="288">
        <v>2.7</v>
      </c>
      <c r="J205" s="289" t="s">
        <v>846</v>
      </c>
      <c r="K205" s="280" t="s">
        <v>1036</v>
      </c>
      <c r="L205" s="289" t="s">
        <v>1027</v>
      </c>
      <c r="M205" s="197" t="str">
        <f t="shared" si="3"/>
        <v>Yes</v>
      </c>
    </row>
    <row r="206" spans="2:13" ht="15">
      <c r="B206" s="287" t="s">
        <v>899</v>
      </c>
      <c r="C206" s="280" t="s">
        <v>900</v>
      </c>
      <c r="D206" s="249">
        <v>1169.0999999999999</v>
      </c>
      <c r="E206" s="280">
        <v>4.3</v>
      </c>
      <c r="F206" s="280" t="s">
        <v>1023</v>
      </c>
      <c r="G206" s="288" t="s">
        <v>1024</v>
      </c>
      <c r="H206" s="288">
        <v>3</v>
      </c>
      <c r="I206" s="288">
        <v>2.68</v>
      </c>
      <c r="J206" s="288">
        <v>4548.9247999999998</v>
      </c>
      <c r="K206" s="280" t="s">
        <v>1036</v>
      </c>
      <c r="L206" s="288" t="s">
        <v>204</v>
      </c>
      <c r="M206" s="197" t="str">
        <f t="shared" si="3"/>
        <v>Yes</v>
      </c>
    </row>
    <row r="207" spans="2:13" ht="15">
      <c r="B207" s="287" t="s">
        <v>899</v>
      </c>
      <c r="C207" s="280" t="s">
        <v>902</v>
      </c>
      <c r="D207" s="249">
        <v>1349.1</v>
      </c>
      <c r="E207" s="280">
        <v>4.3</v>
      </c>
      <c r="F207" s="280" t="s">
        <v>1023</v>
      </c>
      <c r="G207" s="288" t="s">
        <v>1024</v>
      </c>
      <c r="H207" s="288">
        <v>3</v>
      </c>
      <c r="I207" s="288">
        <v>2.72</v>
      </c>
      <c r="J207" s="288">
        <v>4616.8192000000008</v>
      </c>
      <c r="K207" s="280" t="s">
        <v>1036</v>
      </c>
      <c r="L207" s="288" t="s">
        <v>204</v>
      </c>
      <c r="M207" s="197" t="str">
        <f t="shared" si="3"/>
        <v>Yes</v>
      </c>
    </row>
    <row r="208" spans="2:13" ht="15">
      <c r="B208" s="287" t="s">
        <v>899</v>
      </c>
      <c r="C208" s="280" t="s">
        <v>945</v>
      </c>
      <c r="D208" s="249">
        <v>1079.0999999999999</v>
      </c>
      <c r="E208" s="280">
        <v>4.3</v>
      </c>
      <c r="F208" s="280" t="s">
        <v>1023</v>
      </c>
      <c r="G208" s="288" t="s">
        <v>1024</v>
      </c>
      <c r="H208" s="288">
        <v>3</v>
      </c>
      <c r="I208" s="288">
        <v>2.484</v>
      </c>
      <c r="J208" s="289" t="s">
        <v>846</v>
      </c>
      <c r="K208" s="280" t="s">
        <v>1036</v>
      </c>
      <c r="L208" s="288" t="s">
        <v>1035</v>
      </c>
      <c r="M208" s="197" t="str">
        <f t="shared" si="3"/>
        <v>Yes</v>
      </c>
    </row>
    <row r="209" spans="2:13" ht="15">
      <c r="B209" s="287" t="s">
        <v>899</v>
      </c>
      <c r="C209" s="280" t="s">
        <v>901</v>
      </c>
      <c r="D209" s="249">
        <v>1169.0999999999999</v>
      </c>
      <c r="E209" s="280">
        <v>4.3</v>
      </c>
      <c r="F209" s="280" t="s">
        <v>1023</v>
      </c>
      <c r="G209" s="288" t="s">
        <v>1024</v>
      </c>
      <c r="H209" s="288">
        <v>3</v>
      </c>
      <c r="I209" s="288">
        <v>2.78</v>
      </c>
      <c r="J209" s="288">
        <v>4718.6607999999997</v>
      </c>
      <c r="K209" s="280" t="s">
        <v>1036</v>
      </c>
      <c r="L209" s="288" t="s">
        <v>204</v>
      </c>
      <c r="M209" s="197" t="str">
        <f t="shared" si="3"/>
        <v>Yes</v>
      </c>
    </row>
    <row r="210" spans="2:13" ht="15">
      <c r="B210" s="287" t="s">
        <v>899</v>
      </c>
      <c r="C210" s="280" t="s">
        <v>990</v>
      </c>
      <c r="D210" s="249">
        <v>1349.1</v>
      </c>
      <c r="E210" s="280">
        <v>4.3</v>
      </c>
      <c r="F210" s="280" t="s">
        <v>1023</v>
      </c>
      <c r="G210" s="288" t="s">
        <v>1024</v>
      </c>
      <c r="H210" s="288">
        <v>3</v>
      </c>
      <c r="I210" s="288">
        <v>2.7</v>
      </c>
      <c r="J210" s="288">
        <v>4617</v>
      </c>
      <c r="K210" s="280" t="s">
        <v>1036</v>
      </c>
      <c r="L210" s="288" t="s">
        <v>204</v>
      </c>
      <c r="M210" s="197" t="str">
        <f t="shared" si="3"/>
        <v>Yes</v>
      </c>
    </row>
    <row r="211" spans="2:13" ht="15">
      <c r="B211" s="287" t="s">
        <v>991</v>
      </c>
      <c r="C211" s="280" t="s">
        <v>904</v>
      </c>
      <c r="D211" s="249">
        <v>809.1</v>
      </c>
      <c r="E211" s="280">
        <v>3.5</v>
      </c>
      <c r="F211" s="280" t="s">
        <v>1023</v>
      </c>
      <c r="G211" s="288" t="s">
        <v>1024</v>
      </c>
      <c r="H211" s="288">
        <v>2.46</v>
      </c>
      <c r="I211" s="288">
        <v>3.69</v>
      </c>
      <c r="J211" s="288">
        <v>5004.8208000000004</v>
      </c>
      <c r="K211" s="280" t="s">
        <v>1036</v>
      </c>
      <c r="L211" s="288" t="s">
        <v>204</v>
      </c>
      <c r="M211" s="197" t="str">
        <f t="shared" si="3"/>
        <v>Yes</v>
      </c>
    </row>
    <row r="212" spans="2:13" ht="15">
      <c r="B212" s="287" t="s">
        <v>991</v>
      </c>
      <c r="C212" s="287" t="s">
        <v>907</v>
      </c>
      <c r="D212" s="249">
        <v>999</v>
      </c>
      <c r="E212" s="280">
        <v>3.9</v>
      </c>
      <c r="F212" s="280" t="s">
        <v>1023</v>
      </c>
      <c r="G212" s="288" t="s">
        <v>1024</v>
      </c>
      <c r="H212" s="288">
        <v>2.46</v>
      </c>
      <c r="I212" s="288">
        <v>2.94</v>
      </c>
      <c r="J212" s="288">
        <v>4448.5727999999999</v>
      </c>
      <c r="K212" s="280" t="s">
        <v>1036</v>
      </c>
      <c r="L212" s="288" t="s">
        <v>204</v>
      </c>
      <c r="M212" s="197" t="str">
        <f t="shared" si="3"/>
        <v>Yes</v>
      </c>
    </row>
    <row r="213" spans="2:13" ht="15">
      <c r="B213" s="287" t="s">
        <v>991</v>
      </c>
      <c r="C213" s="280" t="s">
        <v>906</v>
      </c>
      <c r="D213" s="249">
        <v>809.1</v>
      </c>
      <c r="E213" s="280">
        <v>3.5</v>
      </c>
      <c r="F213" s="280" t="s">
        <v>1023</v>
      </c>
      <c r="G213" s="288" t="s">
        <v>1024</v>
      </c>
      <c r="H213" s="288">
        <v>2.46</v>
      </c>
      <c r="I213" s="288">
        <v>3.69</v>
      </c>
      <c r="J213" s="288">
        <v>5004.8208000000004</v>
      </c>
      <c r="K213" s="280" t="s">
        <v>1036</v>
      </c>
      <c r="L213" s="288" t="s">
        <v>204</v>
      </c>
      <c r="M213" s="197" t="str">
        <f t="shared" si="3"/>
        <v>Yes</v>
      </c>
    </row>
    <row r="214" spans="2:13" ht="15">
      <c r="B214" s="280" t="s">
        <v>597</v>
      </c>
      <c r="C214" s="280" t="s">
        <v>943</v>
      </c>
      <c r="D214" s="249">
        <v>719.1</v>
      </c>
      <c r="E214" s="280">
        <v>3.5</v>
      </c>
      <c r="F214" s="280" t="s">
        <v>1023</v>
      </c>
      <c r="G214" s="280" t="s">
        <v>1024</v>
      </c>
      <c r="H214" s="288">
        <v>2.5</v>
      </c>
      <c r="I214" s="288">
        <v>3.3</v>
      </c>
      <c r="J214" s="289" t="s">
        <v>846</v>
      </c>
      <c r="K214" s="280" t="s">
        <v>1036</v>
      </c>
      <c r="L214" s="288" t="s">
        <v>1035</v>
      </c>
      <c r="M214" s="197" t="str">
        <f t="shared" si="3"/>
        <v>Yes</v>
      </c>
    </row>
    <row r="215" spans="2:13" ht="15">
      <c r="B215" s="287" t="s">
        <v>597</v>
      </c>
      <c r="C215" s="280" t="s">
        <v>954</v>
      </c>
      <c r="D215" s="249">
        <v>989.1</v>
      </c>
      <c r="E215" s="280">
        <v>4</v>
      </c>
      <c r="F215" s="280" t="s">
        <v>1023</v>
      </c>
      <c r="G215" s="280" t="s">
        <v>1024</v>
      </c>
      <c r="H215" s="288">
        <v>3.35</v>
      </c>
      <c r="I215" s="288">
        <v>2.9</v>
      </c>
      <c r="J215" s="289" t="s">
        <v>846</v>
      </c>
      <c r="K215" s="280" t="s">
        <v>1036</v>
      </c>
      <c r="L215" s="288" t="s">
        <v>1035</v>
      </c>
      <c r="M215" s="197" t="str">
        <f t="shared" si="3"/>
        <v>Yes</v>
      </c>
    </row>
    <row r="216" spans="2:13" ht="15">
      <c r="B216" s="287" t="s">
        <v>597</v>
      </c>
      <c r="C216" s="280" t="s">
        <v>992</v>
      </c>
      <c r="D216" s="249">
        <v>989.1</v>
      </c>
      <c r="E216" s="280">
        <v>3.7</v>
      </c>
      <c r="F216" s="280" t="s">
        <v>1023</v>
      </c>
      <c r="G216" s="288" t="s">
        <v>1024</v>
      </c>
      <c r="H216" s="288">
        <v>3.1</v>
      </c>
      <c r="I216" s="288">
        <v>2.76</v>
      </c>
      <c r="J216" s="289" t="s">
        <v>846</v>
      </c>
      <c r="K216" s="280" t="s">
        <v>1036</v>
      </c>
      <c r="L216" s="288" t="s">
        <v>1027</v>
      </c>
      <c r="M216" s="197" t="str">
        <f t="shared" si="3"/>
        <v>Yes</v>
      </c>
    </row>
    <row r="217" spans="2:13" ht="15">
      <c r="B217" s="287" t="s">
        <v>597</v>
      </c>
      <c r="C217" s="280" t="s">
        <v>944</v>
      </c>
      <c r="D217" s="249">
        <v>1079.0999999999999</v>
      </c>
      <c r="E217" s="280">
        <v>4.4000000000000004</v>
      </c>
      <c r="F217" s="280" t="s">
        <v>1023</v>
      </c>
      <c r="G217" s="288" t="s">
        <v>1024</v>
      </c>
      <c r="H217" s="288">
        <v>3.35</v>
      </c>
      <c r="I217" s="288">
        <v>2.9</v>
      </c>
      <c r="J217" s="289" t="s">
        <v>846</v>
      </c>
      <c r="K217" s="280" t="s">
        <v>1036</v>
      </c>
      <c r="L217" s="288" t="s">
        <v>1035</v>
      </c>
      <c r="M217" s="197" t="str">
        <f t="shared" si="3"/>
        <v>Yes</v>
      </c>
    </row>
    <row r="218" spans="2:13" ht="15">
      <c r="B218" s="287" t="s">
        <v>597</v>
      </c>
      <c r="C218" s="280" t="s">
        <v>993</v>
      </c>
      <c r="D218" s="249">
        <v>1529.1</v>
      </c>
      <c r="E218" s="280">
        <v>4.5</v>
      </c>
      <c r="F218" s="280" t="s">
        <v>1023</v>
      </c>
      <c r="G218" s="288" t="s">
        <v>1024</v>
      </c>
      <c r="H218" s="288">
        <v>3.42</v>
      </c>
      <c r="I218" s="288">
        <v>2.7</v>
      </c>
      <c r="J218" s="289" t="s">
        <v>846</v>
      </c>
      <c r="K218" s="280" t="s">
        <v>1036</v>
      </c>
      <c r="L218" s="288" t="s">
        <v>1027</v>
      </c>
      <c r="M218" s="197" t="str">
        <f t="shared" si="3"/>
        <v>Yes</v>
      </c>
    </row>
    <row r="219" spans="2:13" ht="15">
      <c r="B219" s="287" t="s">
        <v>994</v>
      </c>
      <c r="C219" s="280" t="s">
        <v>995</v>
      </c>
      <c r="D219" s="249">
        <v>989.1</v>
      </c>
      <c r="E219" s="280">
        <v>3.7</v>
      </c>
      <c r="F219" s="280" t="s">
        <v>1023</v>
      </c>
      <c r="G219" s="288" t="s">
        <v>1024</v>
      </c>
      <c r="H219" s="288">
        <v>3.1</v>
      </c>
      <c r="I219" s="288">
        <v>2.76</v>
      </c>
      <c r="J219" s="289" t="s">
        <v>846</v>
      </c>
      <c r="K219" s="280" t="s">
        <v>1036</v>
      </c>
      <c r="L219" s="288" t="s">
        <v>1027</v>
      </c>
      <c r="M219" s="197" t="str">
        <f t="shared" si="3"/>
        <v>Yes</v>
      </c>
    </row>
    <row r="220" spans="2:13" ht="15">
      <c r="B220" s="287" t="s">
        <v>597</v>
      </c>
      <c r="C220" s="280" t="s">
        <v>996</v>
      </c>
      <c r="D220" s="249">
        <v>699</v>
      </c>
      <c r="E220" s="280">
        <v>3.7</v>
      </c>
      <c r="F220" s="280" t="s">
        <v>1023</v>
      </c>
      <c r="G220" s="288" t="s">
        <v>1024</v>
      </c>
      <c r="H220" s="288">
        <v>3.1</v>
      </c>
      <c r="I220" s="288">
        <v>2.76</v>
      </c>
      <c r="J220" s="289" t="s">
        <v>846</v>
      </c>
      <c r="K220" s="280" t="s">
        <v>1036</v>
      </c>
      <c r="L220" s="288" t="s">
        <v>1027</v>
      </c>
      <c r="M220" s="197" t="str">
        <f t="shared" si="3"/>
        <v>Yes</v>
      </c>
    </row>
    <row r="221" spans="2:13" ht="15">
      <c r="B221" s="287" t="s">
        <v>597</v>
      </c>
      <c r="C221" s="287" t="s">
        <v>997</v>
      </c>
      <c r="D221" s="249">
        <v>1439.1</v>
      </c>
      <c r="E221" s="280">
        <v>4.5</v>
      </c>
      <c r="F221" s="280" t="s">
        <v>1023</v>
      </c>
      <c r="G221" s="288" t="s">
        <v>1024</v>
      </c>
      <c r="H221" s="288">
        <v>3.42</v>
      </c>
      <c r="I221" s="288">
        <v>2.7</v>
      </c>
      <c r="J221" s="289" t="s">
        <v>846</v>
      </c>
      <c r="K221" s="280" t="s">
        <v>1036</v>
      </c>
      <c r="L221" s="288" t="s">
        <v>1027</v>
      </c>
      <c r="M221" s="197" t="str">
        <f t="shared" si="3"/>
        <v>Yes</v>
      </c>
    </row>
    <row r="222" spans="2:13" ht="15">
      <c r="B222" s="287" t="s">
        <v>920</v>
      </c>
      <c r="C222" s="280" t="s">
        <v>926</v>
      </c>
      <c r="D222" s="249">
        <v>584.1</v>
      </c>
      <c r="E222" s="280">
        <v>3.5</v>
      </c>
      <c r="F222" s="280" t="s">
        <v>1023</v>
      </c>
      <c r="G222" s="280" t="s">
        <v>1024</v>
      </c>
      <c r="H222" s="288">
        <v>2.46</v>
      </c>
      <c r="I222" s="288">
        <v>3.69</v>
      </c>
      <c r="J222" s="288">
        <v>5004.8208000000004</v>
      </c>
      <c r="K222" s="280" t="s">
        <v>1036</v>
      </c>
      <c r="L222" s="288" t="s">
        <v>204</v>
      </c>
      <c r="M222" s="197" t="str">
        <f t="shared" si="3"/>
        <v>Yes</v>
      </c>
    </row>
    <row r="223" spans="2:13" ht="15">
      <c r="B223" s="287" t="s">
        <v>920</v>
      </c>
      <c r="C223" s="280" t="s">
        <v>923</v>
      </c>
      <c r="D223" s="249">
        <v>809.1</v>
      </c>
      <c r="E223" s="280">
        <v>3.5</v>
      </c>
      <c r="F223" s="280" t="s">
        <v>1023</v>
      </c>
      <c r="G223" s="288" t="s">
        <v>1024</v>
      </c>
      <c r="H223" s="288">
        <v>2.46</v>
      </c>
      <c r="I223" s="288">
        <v>3.69</v>
      </c>
      <c r="J223" s="288">
        <v>5004.8208000000004</v>
      </c>
      <c r="K223" s="280" t="s">
        <v>1036</v>
      </c>
      <c r="L223" s="288" t="s">
        <v>204</v>
      </c>
      <c r="M223" s="197" t="str">
        <f t="shared" si="3"/>
        <v>Yes</v>
      </c>
    </row>
    <row r="224" spans="2:13" ht="15">
      <c r="B224" s="287" t="s">
        <v>920</v>
      </c>
      <c r="C224" s="280" t="s">
        <v>959</v>
      </c>
      <c r="D224" s="249">
        <v>1169.0999999999999</v>
      </c>
      <c r="E224" s="280">
        <v>4.3</v>
      </c>
      <c r="F224" s="280" t="s">
        <v>1023</v>
      </c>
      <c r="G224" s="288" t="s">
        <v>1024</v>
      </c>
      <c r="H224" s="288">
        <v>3</v>
      </c>
      <c r="I224" s="288">
        <v>2.48</v>
      </c>
      <c r="J224" s="289" t="s">
        <v>846</v>
      </c>
      <c r="K224" s="280" t="s">
        <v>1036</v>
      </c>
      <c r="L224" s="288" t="s">
        <v>1035</v>
      </c>
      <c r="M224" s="197" t="str">
        <f t="shared" si="3"/>
        <v>Yes</v>
      </c>
    </row>
    <row r="225" spans="2:13" ht="15">
      <c r="B225" s="287" t="s">
        <v>920</v>
      </c>
      <c r="C225" s="280" t="s">
        <v>928</v>
      </c>
      <c r="D225" s="249">
        <v>999</v>
      </c>
      <c r="E225" s="280">
        <v>3.8</v>
      </c>
      <c r="F225" s="280" t="s">
        <v>1023</v>
      </c>
      <c r="G225" s="288" t="s">
        <v>1024</v>
      </c>
      <c r="H225" s="288">
        <v>2.4300000000000002</v>
      </c>
      <c r="I225" s="288">
        <v>3.43</v>
      </c>
      <c r="J225" s="288">
        <v>5095.8824000000004</v>
      </c>
      <c r="K225" s="280" t="s">
        <v>1036</v>
      </c>
      <c r="L225" s="288" t="s">
        <v>204</v>
      </c>
      <c r="M225" s="197" t="str">
        <f t="shared" si="3"/>
        <v>Yes</v>
      </c>
    </row>
    <row r="226" spans="2:13" ht="15">
      <c r="B226" s="287" t="s">
        <v>920</v>
      </c>
      <c r="C226" s="280" t="s">
        <v>998</v>
      </c>
      <c r="D226" s="249">
        <v>809.1</v>
      </c>
      <c r="E226" s="280">
        <v>3.9</v>
      </c>
      <c r="F226" s="280" t="s">
        <v>1023</v>
      </c>
      <c r="G226" s="280" t="s">
        <v>1024</v>
      </c>
      <c r="H226" s="289">
        <v>2.65</v>
      </c>
      <c r="I226" s="289">
        <v>2.8</v>
      </c>
      <c r="J226" s="288">
        <v>4206</v>
      </c>
      <c r="K226" s="280" t="s">
        <v>1036</v>
      </c>
      <c r="L226" s="289" t="s">
        <v>204</v>
      </c>
      <c r="M226" s="197" t="str">
        <f t="shared" si="3"/>
        <v>Yes</v>
      </c>
    </row>
    <row r="227" spans="2:13" ht="15">
      <c r="B227" s="287" t="s">
        <v>920</v>
      </c>
      <c r="C227" s="287" t="s">
        <v>924</v>
      </c>
      <c r="D227" s="249">
        <v>1349.1</v>
      </c>
      <c r="E227" s="280">
        <v>4.3</v>
      </c>
      <c r="F227" s="280" t="s">
        <v>1023</v>
      </c>
      <c r="G227" s="288" t="s">
        <v>1024</v>
      </c>
      <c r="H227" s="288">
        <v>3</v>
      </c>
      <c r="I227" s="288">
        <v>2.83</v>
      </c>
      <c r="J227" s="288">
        <v>4803.5288</v>
      </c>
      <c r="K227" s="280" t="s">
        <v>1036</v>
      </c>
      <c r="L227" s="288" t="s">
        <v>204</v>
      </c>
      <c r="M227" s="197" t="str">
        <f t="shared" si="3"/>
        <v>Yes</v>
      </c>
    </row>
    <row r="228" spans="2:13" ht="15">
      <c r="B228" s="287" t="s">
        <v>920</v>
      </c>
      <c r="C228" s="280" t="s">
        <v>921</v>
      </c>
      <c r="D228" s="249">
        <v>989.1</v>
      </c>
      <c r="E228" s="280">
        <v>3.8</v>
      </c>
      <c r="F228" s="280" t="s">
        <v>1023</v>
      </c>
      <c r="G228" s="288" t="s">
        <v>1024</v>
      </c>
      <c r="H228" s="288">
        <v>2.4300000000000002</v>
      </c>
      <c r="I228" s="288">
        <v>3.43</v>
      </c>
      <c r="J228" s="288">
        <v>5095.8824000000004</v>
      </c>
      <c r="K228" s="280" t="s">
        <v>1036</v>
      </c>
      <c r="L228" s="288" t="s">
        <v>204</v>
      </c>
      <c r="M228" s="197" t="str">
        <f t="shared" si="3"/>
        <v>Yes</v>
      </c>
    </row>
    <row r="229" spans="2:13" ht="15">
      <c r="B229" s="287" t="s">
        <v>920</v>
      </c>
      <c r="C229" s="290" t="s">
        <v>999</v>
      </c>
      <c r="D229" s="249">
        <v>1169.0999999999999</v>
      </c>
      <c r="E229" s="280">
        <v>4.3</v>
      </c>
      <c r="F229" s="280" t="s">
        <v>1023</v>
      </c>
      <c r="G229" s="288" t="s">
        <v>1024</v>
      </c>
      <c r="H229" s="288">
        <v>3</v>
      </c>
      <c r="I229" s="288">
        <v>2.5</v>
      </c>
      <c r="J229" s="289" t="s">
        <v>846</v>
      </c>
      <c r="K229" s="280" t="s">
        <v>1036</v>
      </c>
      <c r="L229" s="289" t="s">
        <v>1027</v>
      </c>
      <c r="M229" s="197" t="str">
        <f t="shared" si="3"/>
        <v>Yes</v>
      </c>
    </row>
    <row r="230" spans="2:13" ht="15">
      <c r="B230" s="287" t="s">
        <v>920</v>
      </c>
      <c r="C230" s="280" t="s">
        <v>925</v>
      </c>
      <c r="D230" s="249">
        <v>1259.0999999999999</v>
      </c>
      <c r="E230" s="280">
        <v>4.3</v>
      </c>
      <c r="F230" s="280" t="s">
        <v>1023</v>
      </c>
      <c r="G230" s="288" t="s">
        <v>1024</v>
      </c>
      <c r="H230" s="288">
        <v>3</v>
      </c>
      <c r="I230" s="288">
        <v>2.78</v>
      </c>
      <c r="J230" s="288">
        <v>4718.6607999999997</v>
      </c>
      <c r="K230" s="280" t="s">
        <v>1036</v>
      </c>
      <c r="L230" s="288" t="s">
        <v>204</v>
      </c>
      <c r="M230" s="197" t="str">
        <f t="shared" si="3"/>
        <v>Yes</v>
      </c>
    </row>
    <row r="231" spans="2:13" ht="15">
      <c r="B231" s="287" t="s">
        <v>471</v>
      </c>
      <c r="C231" s="287" t="s">
        <v>1000</v>
      </c>
      <c r="D231" s="249">
        <v>649</v>
      </c>
      <c r="E231" s="280">
        <v>3</v>
      </c>
      <c r="F231" s="280" t="s">
        <v>1026</v>
      </c>
      <c r="G231" s="288" t="s">
        <v>1024</v>
      </c>
      <c r="H231" s="288">
        <v>2.0699999999999998</v>
      </c>
      <c r="I231" s="288">
        <v>6</v>
      </c>
      <c r="J231" s="288">
        <v>7056</v>
      </c>
      <c r="K231" s="280" t="s">
        <v>1036</v>
      </c>
      <c r="L231" s="288" t="s">
        <v>204</v>
      </c>
      <c r="M231" s="197" t="str">
        <f t="shared" si="3"/>
        <v>Yes</v>
      </c>
    </row>
    <row r="232" spans="2:13" ht="15">
      <c r="B232" s="287" t="s">
        <v>471</v>
      </c>
      <c r="C232" s="287" t="s">
        <v>1001</v>
      </c>
      <c r="D232" s="249">
        <v>949</v>
      </c>
      <c r="E232" s="280">
        <v>3.1</v>
      </c>
      <c r="F232" s="280" t="s">
        <v>1026</v>
      </c>
      <c r="G232" s="288" t="s">
        <v>1024</v>
      </c>
      <c r="H232" s="288">
        <v>2.25</v>
      </c>
      <c r="I232" s="288">
        <v>4.3</v>
      </c>
      <c r="J232" s="288">
        <v>5225</v>
      </c>
      <c r="K232" s="280" t="s">
        <v>1036</v>
      </c>
      <c r="L232" s="288" t="s">
        <v>204</v>
      </c>
      <c r="M232" s="197" t="str">
        <f t="shared" si="3"/>
        <v>Yes</v>
      </c>
    </row>
    <row r="233" spans="2:13" ht="15">
      <c r="B233" s="287" t="s">
        <v>852</v>
      </c>
      <c r="C233" s="287" t="s">
        <v>940</v>
      </c>
      <c r="D233" s="249">
        <v>764.1</v>
      </c>
      <c r="E233" s="280">
        <v>2.7</v>
      </c>
      <c r="F233" s="280" t="s">
        <v>1026</v>
      </c>
      <c r="G233" s="288" t="s">
        <v>388</v>
      </c>
      <c r="H233" s="288">
        <v>1.33</v>
      </c>
      <c r="I233" s="288">
        <v>9.5</v>
      </c>
      <c r="J233" s="289" t="s">
        <v>846</v>
      </c>
      <c r="K233" s="280" t="s">
        <v>1036</v>
      </c>
      <c r="L233" s="289" t="s">
        <v>1027</v>
      </c>
      <c r="M233" s="197" t="str">
        <f t="shared" si="3"/>
        <v>Yes</v>
      </c>
    </row>
    <row r="234" spans="2:13" ht="15">
      <c r="B234" s="287" t="s">
        <v>852</v>
      </c>
      <c r="C234" s="287" t="s">
        <v>941</v>
      </c>
      <c r="D234" s="249">
        <v>431.1</v>
      </c>
      <c r="E234" s="280">
        <v>3.7</v>
      </c>
      <c r="F234" s="280" t="s">
        <v>1026</v>
      </c>
      <c r="G234" s="288" t="s">
        <v>388</v>
      </c>
      <c r="H234" s="288">
        <v>1.26</v>
      </c>
      <c r="I234" s="288">
        <v>9.5</v>
      </c>
      <c r="J234" s="289" t="s">
        <v>846</v>
      </c>
      <c r="K234" s="280" t="s">
        <v>1036</v>
      </c>
      <c r="L234" s="289" t="s">
        <v>1027</v>
      </c>
      <c r="M234" s="197" t="str">
        <f t="shared" si="3"/>
        <v>Yes</v>
      </c>
    </row>
    <row r="235" spans="2:13" ht="15">
      <c r="B235" s="287" t="s">
        <v>852</v>
      </c>
      <c r="C235" s="287" t="s">
        <v>930</v>
      </c>
      <c r="D235" s="249">
        <v>431.1</v>
      </c>
      <c r="E235" s="280">
        <v>3.7</v>
      </c>
      <c r="F235" s="280" t="s">
        <v>1026</v>
      </c>
      <c r="G235" s="288" t="s">
        <v>388</v>
      </c>
      <c r="H235" s="288">
        <v>1.26</v>
      </c>
      <c r="I235" s="288">
        <v>9.5</v>
      </c>
      <c r="J235" s="289" t="s">
        <v>846</v>
      </c>
      <c r="K235" s="280" t="s">
        <v>1036</v>
      </c>
      <c r="L235" s="288" t="s">
        <v>1027</v>
      </c>
      <c r="M235" s="197" t="str">
        <f t="shared" si="3"/>
        <v>Yes</v>
      </c>
    </row>
    <row r="236" spans="2:13" ht="15">
      <c r="B236" s="287" t="s">
        <v>852</v>
      </c>
      <c r="C236" s="287" t="s">
        <v>1039</v>
      </c>
      <c r="D236" s="249">
        <v>449.1</v>
      </c>
      <c r="E236" s="280">
        <v>3.9</v>
      </c>
      <c r="F236" s="280" t="s">
        <v>1026</v>
      </c>
      <c r="G236" s="288" t="s">
        <v>388</v>
      </c>
      <c r="H236" s="289"/>
      <c r="I236" s="289"/>
      <c r="J236" s="289" t="s">
        <v>846</v>
      </c>
      <c r="K236" s="280" t="s">
        <v>1036</v>
      </c>
      <c r="L236" s="289" t="s">
        <v>846</v>
      </c>
      <c r="M236" s="197" t="str">
        <f t="shared" si="3"/>
        <v>Yes</v>
      </c>
    </row>
    <row r="237" spans="2:13" ht="15">
      <c r="B237" s="287" t="s">
        <v>852</v>
      </c>
      <c r="C237" s="287" t="s">
        <v>865</v>
      </c>
      <c r="D237" s="249">
        <v>449.1</v>
      </c>
      <c r="E237" s="280">
        <v>3.9</v>
      </c>
      <c r="F237" s="280" t="s">
        <v>1026</v>
      </c>
      <c r="G237" s="288" t="s">
        <v>1024</v>
      </c>
      <c r="H237" s="288">
        <v>2</v>
      </c>
      <c r="I237" s="288">
        <v>6</v>
      </c>
      <c r="J237" s="288">
        <v>9243</v>
      </c>
      <c r="K237" s="280" t="s">
        <v>1036</v>
      </c>
      <c r="L237" s="288" t="s">
        <v>204</v>
      </c>
      <c r="M237" s="197" t="str">
        <f t="shared" si="3"/>
        <v>Yes</v>
      </c>
    </row>
    <row r="238" spans="2:13" ht="15">
      <c r="B238" s="287" t="s">
        <v>852</v>
      </c>
      <c r="C238" s="287" t="s">
        <v>1002</v>
      </c>
      <c r="D238" s="249">
        <v>494.1</v>
      </c>
      <c r="E238" s="280">
        <v>3.9</v>
      </c>
      <c r="F238" s="280" t="s">
        <v>1026</v>
      </c>
      <c r="G238" s="289" t="s">
        <v>1024</v>
      </c>
      <c r="H238" s="288">
        <v>2</v>
      </c>
      <c r="I238" s="288">
        <v>6</v>
      </c>
      <c r="J238" s="289" t="s">
        <v>846</v>
      </c>
      <c r="K238" s="280" t="s">
        <v>1036</v>
      </c>
      <c r="L238" s="289" t="s">
        <v>1027</v>
      </c>
      <c r="M238" s="197" t="str">
        <f t="shared" si="3"/>
        <v>Yes</v>
      </c>
    </row>
    <row r="239" spans="2:13" ht="15">
      <c r="B239" s="287" t="s">
        <v>852</v>
      </c>
      <c r="C239" s="287" t="s">
        <v>963</v>
      </c>
      <c r="D239" s="249">
        <v>494.1</v>
      </c>
      <c r="E239" s="280">
        <v>3.9</v>
      </c>
      <c r="F239" s="280" t="s">
        <v>1026</v>
      </c>
      <c r="G239" s="288" t="s">
        <v>1024</v>
      </c>
      <c r="H239" s="288"/>
      <c r="I239" s="288"/>
      <c r="J239" s="288" t="s">
        <v>846</v>
      </c>
      <c r="K239" s="280" t="s">
        <v>1036</v>
      </c>
      <c r="L239" s="288" t="s">
        <v>846</v>
      </c>
      <c r="M239" s="197" t="str">
        <f t="shared" si="3"/>
        <v>Yes</v>
      </c>
    </row>
    <row r="240" spans="2:13" ht="15">
      <c r="B240" s="287" t="s">
        <v>852</v>
      </c>
      <c r="C240" s="287" t="s">
        <v>1003</v>
      </c>
      <c r="D240" s="249">
        <v>629.1</v>
      </c>
      <c r="E240" s="280">
        <v>4</v>
      </c>
      <c r="F240" s="280" t="s">
        <v>1026</v>
      </c>
      <c r="G240" s="288" t="s">
        <v>1024</v>
      </c>
      <c r="H240" s="288">
        <v>2.2000000000000002</v>
      </c>
      <c r="I240" s="288">
        <v>4.5</v>
      </c>
      <c r="J240" s="289" t="s">
        <v>846</v>
      </c>
      <c r="K240" s="280" t="s">
        <v>1036</v>
      </c>
      <c r="L240" s="289" t="s">
        <v>1027</v>
      </c>
      <c r="M240" s="197" t="str">
        <f t="shared" si="3"/>
        <v>Yes</v>
      </c>
    </row>
    <row r="241" spans="2:13" ht="15">
      <c r="B241" s="287" t="s">
        <v>852</v>
      </c>
      <c r="C241" s="287" t="s">
        <v>939</v>
      </c>
      <c r="D241" s="249">
        <v>1169.0999999999999</v>
      </c>
      <c r="E241" s="280">
        <v>4.5</v>
      </c>
      <c r="F241" s="280" t="s">
        <v>1026</v>
      </c>
      <c r="G241" s="280" t="s">
        <v>1024</v>
      </c>
      <c r="H241" s="279">
        <v>2.21</v>
      </c>
      <c r="I241" s="279">
        <v>4.5</v>
      </c>
      <c r="J241" s="289" t="s">
        <v>846</v>
      </c>
      <c r="K241" s="280" t="s">
        <v>1036</v>
      </c>
      <c r="L241" s="289" t="s">
        <v>1027</v>
      </c>
      <c r="M241" s="197" t="str">
        <f t="shared" si="3"/>
        <v>Yes</v>
      </c>
    </row>
    <row r="242" spans="2:13" ht="15">
      <c r="B242" s="287" t="s">
        <v>852</v>
      </c>
      <c r="C242" s="287" t="s">
        <v>967</v>
      </c>
      <c r="D242" s="249">
        <v>1199</v>
      </c>
      <c r="E242" s="280">
        <v>4.5</v>
      </c>
      <c r="F242" s="280" t="s">
        <v>1026</v>
      </c>
      <c r="G242" s="280" t="s">
        <v>1024</v>
      </c>
      <c r="H242" s="288">
        <v>2.21</v>
      </c>
      <c r="I242" s="288">
        <v>4.49</v>
      </c>
      <c r="J242" s="289" t="s">
        <v>846</v>
      </c>
      <c r="K242" s="280" t="s">
        <v>1036</v>
      </c>
      <c r="L242" s="288" t="s">
        <v>1035</v>
      </c>
      <c r="M242" s="197" t="str">
        <f t="shared" si="3"/>
        <v>Yes</v>
      </c>
    </row>
    <row r="243" spans="2:13" ht="15">
      <c r="B243" s="288" t="s">
        <v>1004</v>
      </c>
      <c r="C243" s="287" t="s">
        <v>1029</v>
      </c>
      <c r="D243" s="249">
        <v>274.29000000000002</v>
      </c>
      <c r="E243" s="280">
        <v>1</v>
      </c>
      <c r="F243" s="280" t="s">
        <v>1026</v>
      </c>
      <c r="G243" s="288" t="s">
        <v>388</v>
      </c>
      <c r="H243" s="288"/>
      <c r="I243" s="288"/>
      <c r="J243" s="288" t="s">
        <v>846</v>
      </c>
      <c r="K243" s="280" t="s">
        <v>1036</v>
      </c>
      <c r="L243" s="288" t="s">
        <v>846</v>
      </c>
      <c r="M243" s="197" t="str">
        <f t="shared" si="3"/>
        <v>Yes</v>
      </c>
    </row>
    <row r="244" spans="2:13" ht="15">
      <c r="B244" s="288" t="s">
        <v>1004</v>
      </c>
      <c r="C244" s="287" t="s">
        <v>1030</v>
      </c>
      <c r="D244" s="249">
        <v>349</v>
      </c>
      <c r="E244" s="280">
        <v>1.46</v>
      </c>
      <c r="F244" s="280" t="s">
        <v>1026</v>
      </c>
      <c r="G244" s="288" t="s">
        <v>388</v>
      </c>
      <c r="H244" s="288"/>
      <c r="I244" s="288"/>
      <c r="J244" s="288" t="s">
        <v>846</v>
      </c>
      <c r="K244" s="280" t="s">
        <v>1036</v>
      </c>
      <c r="L244" s="288" t="s">
        <v>846</v>
      </c>
      <c r="M244" s="197" t="str">
        <f t="shared" si="3"/>
        <v>Yes</v>
      </c>
    </row>
    <row r="245" spans="2:13" ht="15">
      <c r="B245" s="288" t="s">
        <v>1004</v>
      </c>
      <c r="C245" s="287" t="s">
        <v>1031</v>
      </c>
      <c r="D245" s="249">
        <v>504</v>
      </c>
      <c r="E245" s="280">
        <v>3</v>
      </c>
      <c r="F245" s="280" t="s">
        <v>1026</v>
      </c>
      <c r="G245" s="288" t="s">
        <v>388</v>
      </c>
      <c r="H245" s="288"/>
      <c r="I245" s="288"/>
      <c r="J245" s="288" t="s">
        <v>846</v>
      </c>
      <c r="K245" s="280" t="s">
        <v>1036</v>
      </c>
      <c r="L245" s="288" t="s">
        <v>846</v>
      </c>
      <c r="M245" s="197" t="str">
        <f t="shared" si="3"/>
        <v>Yes</v>
      </c>
    </row>
    <row r="246" spans="2:13" ht="15">
      <c r="B246" s="288" t="s">
        <v>1004</v>
      </c>
      <c r="C246" s="287" t="s">
        <v>933</v>
      </c>
      <c r="D246" s="249">
        <v>394</v>
      </c>
      <c r="E246" s="280">
        <v>3.5</v>
      </c>
      <c r="F246" s="280" t="s">
        <v>1026</v>
      </c>
      <c r="G246" s="288" t="s">
        <v>388</v>
      </c>
      <c r="H246" s="288">
        <v>1.26</v>
      </c>
      <c r="I246" s="288">
        <v>9.5</v>
      </c>
      <c r="J246" s="288">
        <v>13034</v>
      </c>
      <c r="K246" s="280" t="s">
        <v>1036</v>
      </c>
      <c r="L246" s="288" t="s">
        <v>1027</v>
      </c>
      <c r="M246" s="197" t="str">
        <f t="shared" si="3"/>
        <v>Yes</v>
      </c>
    </row>
    <row r="247" spans="2:13" ht="15">
      <c r="B247" s="288" t="s">
        <v>1040</v>
      </c>
      <c r="C247" s="287" t="s">
        <v>1032</v>
      </c>
      <c r="D247" s="249">
        <v>449.1</v>
      </c>
      <c r="E247" s="280">
        <v>3.4</v>
      </c>
      <c r="F247" s="280" t="s">
        <v>1026</v>
      </c>
      <c r="G247" s="288" t="s">
        <v>388</v>
      </c>
      <c r="H247" s="288"/>
      <c r="I247" s="288"/>
      <c r="J247" s="288" t="s">
        <v>846</v>
      </c>
      <c r="K247" s="280" t="s">
        <v>1036</v>
      </c>
      <c r="L247" s="288" t="s">
        <v>846</v>
      </c>
      <c r="M247" s="197" t="str">
        <f t="shared" si="3"/>
        <v>Yes</v>
      </c>
    </row>
    <row r="248" spans="2:13" ht="15">
      <c r="B248" s="288" t="s">
        <v>557</v>
      </c>
      <c r="C248" s="287" t="s">
        <v>893</v>
      </c>
      <c r="D248" s="249">
        <v>809.1</v>
      </c>
      <c r="E248" s="280">
        <v>4.5999999999999996</v>
      </c>
      <c r="F248" s="280" t="s">
        <v>1026</v>
      </c>
      <c r="G248" s="288" t="s">
        <v>1024</v>
      </c>
      <c r="H248" s="288">
        <v>2.61</v>
      </c>
      <c r="I248" s="288">
        <v>3.69</v>
      </c>
      <c r="J248" s="288">
        <v>6653.808</v>
      </c>
      <c r="K248" s="280" t="s">
        <v>1036</v>
      </c>
      <c r="L248" s="288" t="s">
        <v>204</v>
      </c>
      <c r="M248" s="197" t="str">
        <f t="shared" si="3"/>
        <v>Yes</v>
      </c>
    </row>
    <row r="249" spans="2:13" ht="15">
      <c r="B249" s="288" t="s">
        <v>1005</v>
      </c>
      <c r="C249" s="287" t="s">
        <v>892</v>
      </c>
      <c r="D249" s="249">
        <v>629.1</v>
      </c>
      <c r="E249" s="280">
        <v>3.6</v>
      </c>
      <c r="F249" s="280" t="s">
        <v>1026</v>
      </c>
      <c r="G249" s="288" t="s">
        <v>1024</v>
      </c>
      <c r="H249" s="288">
        <v>2.46</v>
      </c>
      <c r="I249" s="288">
        <v>3.62</v>
      </c>
      <c r="J249" s="288">
        <v>5108.5439999999999</v>
      </c>
      <c r="K249" s="280" t="s">
        <v>1036</v>
      </c>
      <c r="L249" s="288" t="s">
        <v>204</v>
      </c>
      <c r="M249" s="197" t="str">
        <f t="shared" si="3"/>
        <v>Yes</v>
      </c>
    </row>
    <row r="250" spans="2:13" ht="15">
      <c r="B250" s="288" t="s">
        <v>1005</v>
      </c>
      <c r="C250" s="287" t="s">
        <v>1041</v>
      </c>
      <c r="D250" s="249">
        <v>809.1</v>
      </c>
      <c r="E250" s="280">
        <v>3.6</v>
      </c>
      <c r="F250" s="280" t="s">
        <v>1026</v>
      </c>
      <c r="G250" s="288" t="s">
        <v>1024</v>
      </c>
      <c r="H250" s="289"/>
      <c r="I250" s="289"/>
      <c r="J250" s="289" t="s">
        <v>846</v>
      </c>
      <c r="K250" s="280" t="s">
        <v>1036</v>
      </c>
      <c r="L250" s="289" t="s">
        <v>846</v>
      </c>
      <c r="M250" s="197" t="str">
        <f t="shared" si="3"/>
        <v>Yes</v>
      </c>
    </row>
    <row r="251" spans="2:13" ht="15">
      <c r="B251" s="288" t="s">
        <v>1006</v>
      </c>
      <c r="C251" s="287" t="s">
        <v>974</v>
      </c>
      <c r="D251" s="249">
        <v>1079.0999999999999</v>
      </c>
      <c r="E251" s="280">
        <v>4.5999999999999996</v>
      </c>
      <c r="F251" s="280" t="s">
        <v>1026</v>
      </c>
      <c r="G251" s="288" t="s">
        <v>1024</v>
      </c>
      <c r="H251" s="288">
        <v>2.57</v>
      </c>
      <c r="I251" s="288">
        <v>3.88</v>
      </c>
      <c r="J251" s="289" t="s">
        <v>846</v>
      </c>
      <c r="K251" s="280" t="s">
        <v>1036</v>
      </c>
      <c r="L251" s="288" t="s">
        <v>1035</v>
      </c>
      <c r="M251" s="197" t="str">
        <f t="shared" si="3"/>
        <v>Yes</v>
      </c>
    </row>
    <row r="252" spans="2:13" ht="15">
      <c r="B252" s="288" t="s">
        <v>1006</v>
      </c>
      <c r="C252" s="287" t="s">
        <v>891</v>
      </c>
      <c r="D252" s="249">
        <v>989.1</v>
      </c>
      <c r="E252" s="280">
        <v>4.5999999999999996</v>
      </c>
      <c r="F252" s="280" t="s">
        <v>1026</v>
      </c>
      <c r="G252" s="288" t="s">
        <v>1024</v>
      </c>
      <c r="H252" s="288">
        <v>2.57</v>
      </c>
      <c r="I252" s="288">
        <v>3.88</v>
      </c>
      <c r="J252" s="288">
        <v>6996.4159999999993</v>
      </c>
      <c r="K252" s="280" t="s">
        <v>1036</v>
      </c>
      <c r="L252" s="288" t="s">
        <v>204</v>
      </c>
      <c r="M252" s="197" t="str">
        <f t="shared" si="3"/>
        <v>Yes</v>
      </c>
    </row>
    <row r="253" spans="2:13" ht="15">
      <c r="B253" s="288" t="s">
        <v>1006</v>
      </c>
      <c r="C253" s="287" t="s">
        <v>889</v>
      </c>
      <c r="D253" s="249">
        <v>809.1</v>
      </c>
      <c r="E253" s="280">
        <v>4.5999999999999996</v>
      </c>
      <c r="F253" s="280" t="s">
        <v>1026</v>
      </c>
      <c r="G253" s="288" t="s">
        <v>1024</v>
      </c>
      <c r="H253" s="288">
        <v>2.57</v>
      </c>
      <c r="I253" s="288">
        <v>3.88</v>
      </c>
      <c r="J253" s="288">
        <v>6996.4159999999993</v>
      </c>
      <c r="K253" s="280" t="s">
        <v>1036</v>
      </c>
      <c r="L253" s="288" t="s">
        <v>204</v>
      </c>
      <c r="M253" s="197" t="str">
        <f t="shared" si="3"/>
        <v>Yes</v>
      </c>
    </row>
    <row r="254" spans="2:13" ht="15">
      <c r="B254" s="288" t="s">
        <v>1006</v>
      </c>
      <c r="C254" s="287" t="s">
        <v>1042</v>
      </c>
      <c r="D254" s="249">
        <v>989.1</v>
      </c>
      <c r="E254" s="280">
        <v>4.5999999999999996</v>
      </c>
      <c r="F254" s="280" t="s">
        <v>1026</v>
      </c>
      <c r="G254" s="288" t="s">
        <v>1024</v>
      </c>
      <c r="H254" s="289"/>
      <c r="I254" s="289"/>
      <c r="J254" s="289" t="s">
        <v>846</v>
      </c>
      <c r="K254" s="280" t="s">
        <v>1036</v>
      </c>
      <c r="L254" s="289" t="s">
        <v>846</v>
      </c>
      <c r="M254" s="197" t="str">
        <f t="shared" si="3"/>
        <v>Yes</v>
      </c>
    </row>
    <row r="255" spans="2:13" ht="15">
      <c r="B255" s="288" t="s">
        <v>557</v>
      </c>
      <c r="C255" s="287" t="s">
        <v>897</v>
      </c>
      <c r="D255" s="249">
        <v>449.1</v>
      </c>
      <c r="E255" s="280">
        <v>3.4</v>
      </c>
      <c r="F255" s="280" t="s">
        <v>1026</v>
      </c>
      <c r="G255" s="288" t="s">
        <v>1024</v>
      </c>
      <c r="H255" s="288">
        <v>2.48</v>
      </c>
      <c r="I255" s="288">
        <v>3.64</v>
      </c>
      <c r="J255" s="288">
        <v>5136.768</v>
      </c>
      <c r="K255" s="280" t="s">
        <v>1036</v>
      </c>
      <c r="L255" s="288" t="s">
        <v>204</v>
      </c>
      <c r="M255" s="197" t="str">
        <f t="shared" si="3"/>
        <v>Yes</v>
      </c>
    </row>
    <row r="256" spans="2:13" ht="15">
      <c r="B256" s="288" t="s">
        <v>557</v>
      </c>
      <c r="C256" s="287" t="s">
        <v>890</v>
      </c>
      <c r="D256" s="249">
        <v>674.1</v>
      </c>
      <c r="E256" s="280">
        <v>3.6</v>
      </c>
      <c r="F256" s="280" t="s">
        <v>1026</v>
      </c>
      <c r="G256" s="288" t="s">
        <v>1024</v>
      </c>
      <c r="H256" s="288">
        <v>2.46</v>
      </c>
      <c r="I256" s="288">
        <v>3.62</v>
      </c>
      <c r="J256" s="288">
        <v>5108.5439999999999</v>
      </c>
      <c r="K256" s="280" t="s">
        <v>1036</v>
      </c>
      <c r="L256" s="288" t="s">
        <v>204</v>
      </c>
      <c r="M256" s="197" t="str">
        <f t="shared" si="3"/>
        <v>Yes</v>
      </c>
    </row>
    <row r="257" spans="2:13" ht="15">
      <c r="B257" s="288" t="s">
        <v>1043</v>
      </c>
      <c r="C257" s="287" t="s">
        <v>1044</v>
      </c>
      <c r="D257" s="249">
        <v>389</v>
      </c>
      <c r="E257" s="280">
        <v>3.4</v>
      </c>
      <c r="F257" s="280" t="s">
        <v>1026</v>
      </c>
      <c r="G257" s="288" t="s">
        <v>388</v>
      </c>
      <c r="H257" s="289"/>
      <c r="I257" s="289"/>
      <c r="J257" s="289" t="s">
        <v>846</v>
      </c>
      <c r="K257" s="280" t="s">
        <v>1036</v>
      </c>
      <c r="L257" s="289" t="s">
        <v>846</v>
      </c>
      <c r="M257" s="197" t="str">
        <f t="shared" si="3"/>
        <v>Yes</v>
      </c>
    </row>
    <row r="258" spans="2:13" ht="15">
      <c r="B258" s="288" t="s">
        <v>1043</v>
      </c>
      <c r="C258" s="287" t="s">
        <v>1045</v>
      </c>
      <c r="D258" s="249">
        <v>404.1</v>
      </c>
      <c r="E258" s="280">
        <v>3.4</v>
      </c>
      <c r="F258" s="280" t="s">
        <v>1026</v>
      </c>
      <c r="G258" s="288" t="s">
        <v>388</v>
      </c>
      <c r="H258" s="289"/>
      <c r="I258" s="289"/>
      <c r="J258" s="289" t="s">
        <v>846</v>
      </c>
      <c r="K258" s="280" t="s">
        <v>1036</v>
      </c>
      <c r="L258" s="289" t="s">
        <v>846</v>
      </c>
      <c r="M258" s="197" t="str">
        <f t="shared" si="3"/>
        <v>Yes</v>
      </c>
    </row>
    <row r="259" spans="2:13" ht="15">
      <c r="B259" s="288" t="s">
        <v>597</v>
      </c>
      <c r="C259" s="287" t="s">
        <v>970</v>
      </c>
      <c r="D259" s="249">
        <v>629.1</v>
      </c>
      <c r="E259" s="280">
        <v>4</v>
      </c>
      <c r="F259" s="280" t="s">
        <v>1026</v>
      </c>
      <c r="G259" s="288" t="s">
        <v>1024</v>
      </c>
      <c r="H259" s="288">
        <v>2.41</v>
      </c>
      <c r="I259" s="288">
        <v>3.7</v>
      </c>
      <c r="J259" s="289" t="s">
        <v>846</v>
      </c>
      <c r="K259" s="280" t="s">
        <v>1036</v>
      </c>
      <c r="L259" s="288" t="s">
        <v>1035</v>
      </c>
      <c r="M259" s="197" t="str">
        <f t="shared" si="3"/>
        <v>Yes</v>
      </c>
    </row>
    <row r="260" spans="2:13" ht="15">
      <c r="B260" s="288" t="s">
        <v>597</v>
      </c>
      <c r="C260" s="287" t="s">
        <v>965</v>
      </c>
      <c r="D260" s="249">
        <v>674.1</v>
      </c>
      <c r="E260" s="280">
        <v>4.5</v>
      </c>
      <c r="F260" s="280" t="s">
        <v>1026</v>
      </c>
      <c r="G260" s="288" t="s">
        <v>1024</v>
      </c>
      <c r="H260" s="288">
        <v>2.4500000000000002</v>
      </c>
      <c r="I260" s="288">
        <v>3.55</v>
      </c>
      <c r="J260" s="289" t="s">
        <v>846</v>
      </c>
      <c r="K260" s="280" t="s">
        <v>1036</v>
      </c>
      <c r="L260" s="288" t="s">
        <v>1035</v>
      </c>
      <c r="M260" s="197" t="str">
        <f t="shared" si="3"/>
        <v>Yes</v>
      </c>
    </row>
    <row r="261" spans="2:13" ht="15">
      <c r="B261" s="288" t="s">
        <v>597</v>
      </c>
      <c r="C261" s="287" t="s">
        <v>1007</v>
      </c>
      <c r="D261" s="249">
        <v>899.1</v>
      </c>
      <c r="E261" s="280">
        <v>4.7</v>
      </c>
      <c r="F261" s="280" t="s">
        <v>1026</v>
      </c>
      <c r="G261" s="288" t="s">
        <v>1024</v>
      </c>
      <c r="H261" s="288">
        <v>2.41</v>
      </c>
      <c r="I261" s="288">
        <v>4</v>
      </c>
      <c r="J261" s="289" t="s">
        <v>846</v>
      </c>
      <c r="K261" s="280" t="s">
        <v>1036</v>
      </c>
      <c r="L261" s="289" t="s">
        <v>1027</v>
      </c>
      <c r="M261" s="197" t="str">
        <f t="shared" si="3"/>
        <v>Yes</v>
      </c>
    </row>
    <row r="262" spans="2:13" ht="15">
      <c r="B262" s="288" t="s">
        <v>597</v>
      </c>
      <c r="C262" s="287" t="s">
        <v>972</v>
      </c>
      <c r="D262" s="249">
        <v>719.1</v>
      </c>
      <c r="E262" s="280">
        <v>4.2</v>
      </c>
      <c r="F262" s="280" t="s">
        <v>1026</v>
      </c>
      <c r="G262" s="288" t="s">
        <v>1024</v>
      </c>
      <c r="H262" s="288">
        <v>2.4500000000000002</v>
      </c>
      <c r="I262" s="288">
        <v>3.55</v>
      </c>
      <c r="J262" s="289" t="s">
        <v>846</v>
      </c>
      <c r="K262" s="280" t="s">
        <v>1036</v>
      </c>
      <c r="L262" s="288" t="s">
        <v>1035</v>
      </c>
      <c r="M262" s="197" t="str">
        <f t="shared" ref="M262:M275" si="4">IF(AND(H262&lt;&gt;"NA",I262&lt;&gt;"NA"),"Yes","No")</f>
        <v>Yes</v>
      </c>
    </row>
    <row r="263" spans="2:13" ht="15">
      <c r="B263" s="288" t="s">
        <v>625</v>
      </c>
      <c r="C263" s="287" t="s">
        <v>935</v>
      </c>
      <c r="D263" s="249">
        <v>449.1</v>
      </c>
      <c r="E263" s="280">
        <v>3.4</v>
      </c>
      <c r="F263" s="280" t="s">
        <v>1026</v>
      </c>
      <c r="G263" s="288" t="s">
        <v>388</v>
      </c>
      <c r="H263" s="288">
        <v>1.41</v>
      </c>
      <c r="I263" s="288">
        <v>8.6</v>
      </c>
      <c r="J263" s="288">
        <v>11462.08</v>
      </c>
      <c r="K263" s="280" t="s">
        <v>1036</v>
      </c>
      <c r="L263" s="289" t="s">
        <v>204</v>
      </c>
      <c r="M263" s="197" t="str">
        <f t="shared" si="4"/>
        <v>Yes</v>
      </c>
    </row>
    <row r="264" spans="2:13" ht="15">
      <c r="B264" s="288" t="s">
        <v>1008</v>
      </c>
      <c r="C264" s="287" t="s">
        <v>910</v>
      </c>
      <c r="D264" s="249">
        <v>521.1</v>
      </c>
      <c r="E264" s="280">
        <v>3.4</v>
      </c>
      <c r="F264" s="280" t="s">
        <v>1026</v>
      </c>
      <c r="G264" s="288" t="s">
        <v>1024</v>
      </c>
      <c r="H264" s="288">
        <v>2.024</v>
      </c>
      <c r="I264" s="288">
        <v>5.8959999999999999</v>
      </c>
      <c r="J264" s="288">
        <v>7742.6271999999999</v>
      </c>
      <c r="K264" s="280" t="s">
        <v>1036</v>
      </c>
      <c r="L264" s="288" t="s">
        <v>204</v>
      </c>
      <c r="M264" s="197" t="str">
        <f t="shared" si="4"/>
        <v>Yes</v>
      </c>
    </row>
    <row r="265" spans="2:13" ht="15">
      <c r="B265" s="288" t="s">
        <v>625</v>
      </c>
      <c r="C265" s="287" t="s">
        <v>913</v>
      </c>
      <c r="D265" s="249">
        <v>584.1</v>
      </c>
      <c r="E265" s="280">
        <v>3.6</v>
      </c>
      <c r="F265" s="280" t="s">
        <v>1026</v>
      </c>
      <c r="G265" s="288" t="s">
        <v>1024</v>
      </c>
      <c r="H265" s="288">
        <v>2.4900000000000002</v>
      </c>
      <c r="I265" s="288">
        <v>3.91</v>
      </c>
      <c r="J265" s="288">
        <v>5517.7920000000004</v>
      </c>
      <c r="K265" s="280" t="s">
        <v>1036</v>
      </c>
      <c r="L265" s="288" t="s">
        <v>204</v>
      </c>
      <c r="M265" s="197" t="str">
        <f t="shared" si="4"/>
        <v>Yes</v>
      </c>
    </row>
    <row r="266" spans="2:13" ht="15">
      <c r="B266" s="288" t="s">
        <v>625</v>
      </c>
      <c r="C266" s="287" t="s">
        <v>911</v>
      </c>
      <c r="D266" s="249">
        <v>584.1</v>
      </c>
      <c r="E266" s="280">
        <v>3.6</v>
      </c>
      <c r="F266" s="280" t="s">
        <v>1026</v>
      </c>
      <c r="G266" s="288" t="s">
        <v>1024</v>
      </c>
      <c r="H266" s="288">
        <v>2.4900000000000002</v>
      </c>
      <c r="I266" s="288">
        <v>3.91</v>
      </c>
      <c r="J266" s="288">
        <v>5517.7920000000004</v>
      </c>
      <c r="K266" s="280" t="s">
        <v>1036</v>
      </c>
      <c r="L266" s="288" t="s">
        <v>204</v>
      </c>
      <c r="M266" s="197" t="str">
        <f t="shared" si="4"/>
        <v>Yes</v>
      </c>
    </row>
    <row r="267" spans="2:13" ht="15">
      <c r="B267" s="288" t="s">
        <v>625</v>
      </c>
      <c r="C267" s="287" t="s">
        <v>1009</v>
      </c>
      <c r="D267" s="249">
        <v>466.65</v>
      </c>
      <c r="E267" s="280">
        <v>3.4</v>
      </c>
      <c r="F267" s="280" t="s">
        <v>1026</v>
      </c>
      <c r="G267" s="288" t="s">
        <v>1024</v>
      </c>
      <c r="H267" s="288">
        <v>2.02</v>
      </c>
      <c r="I267" s="288">
        <v>5.9</v>
      </c>
      <c r="J267" s="288">
        <v>7735</v>
      </c>
      <c r="K267" s="280" t="s">
        <v>1036</v>
      </c>
      <c r="L267" s="289" t="s">
        <v>204</v>
      </c>
      <c r="M267" s="197" t="str">
        <f t="shared" si="4"/>
        <v>Yes</v>
      </c>
    </row>
    <row r="268" spans="2:13" ht="15">
      <c r="B268" s="288" t="s">
        <v>625</v>
      </c>
      <c r="C268" s="287" t="s">
        <v>914</v>
      </c>
      <c r="D268" s="249">
        <v>809.1</v>
      </c>
      <c r="E268" s="280">
        <v>3.6</v>
      </c>
      <c r="F268" s="280" t="s">
        <v>1026</v>
      </c>
      <c r="G268" s="288" t="s">
        <v>1024</v>
      </c>
      <c r="H268" s="288">
        <v>2.46</v>
      </c>
      <c r="I268" s="288">
        <v>3.84</v>
      </c>
      <c r="J268" s="288">
        <v>5419.0079999999998</v>
      </c>
      <c r="K268" s="280" t="s">
        <v>1036</v>
      </c>
      <c r="L268" s="288" t="s">
        <v>204</v>
      </c>
      <c r="M268" s="197" t="str">
        <f t="shared" si="4"/>
        <v>Yes</v>
      </c>
    </row>
    <row r="269" spans="2:13" ht="15">
      <c r="B269" s="288" t="s">
        <v>625</v>
      </c>
      <c r="C269" s="287" t="s">
        <v>1010</v>
      </c>
      <c r="D269" s="249">
        <v>539.1</v>
      </c>
      <c r="E269" s="280">
        <v>3.6</v>
      </c>
      <c r="F269" s="280" t="s">
        <v>1026</v>
      </c>
      <c r="G269" s="288" t="s">
        <v>1024</v>
      </c>
      <c r="H269" s="288">
        <v>2.46</v>
      </c>
      <c r="I269" s="288">
        <v>3.8</v>
      </c>
      <c r="J269" s="288">
        <v>5419</v>
      </c>
      <c r="K269" s="280" t="s">
        <v>1036</v>
      </c>
      <c r="L269" s="288" t="s">
        <v>204</v>
      </c>
      <c r="M269" s="197" t="str">
        <f t="shared" si="4"/>
        <v>Yes</v>
      </c>
    </row>
    <row r="270" spans="2:13" ht="15">
      <c r="B270" s="288" t="s">
        <v>625</v>
      </c>
      <c r="C270" s="287" t="s">
        <v>917</v>
      </c>
      <c r="D270" s="249">
        <v>674.1</v>
      </c>
      <c r="E270" s="280">
        <v>3.6</v>
      </c>
      <c r="F270" s="280" t="s">
        <v>1026</v>
      </c>
      <c r="G270" s="288" t="s">
        <v>1024</v>
      </c>
      <c r="H270" s="288">
        <v>2.46</v>
      </c>
      <c r="I270" s="288">
        <v>3.84</v>
      </c>
      <c r="J270" s="288">
        <v>5419.0079999999998</v>
      </c>
      <c r="K270" s="280" t="s">
        <v>1036</v>
      </c>
      <c r="L270" s="288" t="s">
        <v>204</v>
      </c>
      <c r="M270" s="197" t="str">
        <f t="shared" si="4"/>
        <v>Yes</v>
      </c>
    </row>
    <row r="271" spans="2:13" ht="15">
      <c r="B271" s="288" t="s">
        <v>625</v>
      </c>
      <c r="C271" s="287" t="s">
        <v>975</v>
      </c>
      <c r="D271" s="249">
        <v>899.1</v>
      </c>
      <c r="E271" s="280">
        <v>4.5999999999999996</v>
      </c>
      <c r="F271" s="280" t="s">
        <v>1026</v>
      </c>
      <c r="G271" s="288" t="s">
        <v>1024</v>
      </c>
      <c r="H271" s="288">
        <v>2.65</v>
      </c>
      <c r="I271" s="288">
        <v>3.71</v>
      </c>
      <c r="J271" s="289" t="s">
        <v>846</v>
      </c>
      <c r="K271" s="280" t="s">
        <v>1036</v>
      </c>
      <c r="L271" s="288" t="s">
        <v>1035</v>
      </c>
      <c r="M271" s="197" t="str">
        <f t="shared" si="4"/>
        <v>Yes</v>
      </c>
    </row>
    <row r="272" spans="2:13" ht="15">
      <c r="B272" s="288" t="s">
        <v>625</v>
      </c>
      <c r="C272" s="287" t="s">
        <v>1011</v>
      </c>
      <c r="D272" s="249">
        <v>674.1</v>
      </c>
      <c r="E272" s="280">
        <v>4.5999999999999996</v>
      </c>
      <c r="F272" s="280" t="s">
        <v>1026</v>
      </c>
      <c r="G272" s="288" t="s">
        <v>1024</v>
      </c>
      <c r="H272" s="288">
        <v>2.65</v>
      </c>
      <c r="I272" s="288">
        <v>3.7</v>
      </c>
      <c r="J272" s="288">
        <v>6690</v>
      </c>
      <c r="K272" s="280" t="s">
        <v>1036</v>
      </c>
      <c r="L272" s="289" t="s">
        <v>204</v>
      </c>
      <c r="M272" s="197" t="str">
        <f t="shared" si="4"/>
        <v>Yes</v>
      </c>
    </row>
    <row r="273" spans="2:13" ht="15">
      <c r="B273" s="288" t="s">
        <v>625</v>
      </c>
      <c r="C273" s="287" t="s">
        <v>915</v>
      </c>
      <c r="D273" s="249">
        <v>989.1</v>
      </c>
      <c r="E273" s="280">
        <v>4.5999999999999996</v>
      </c>
      <c r="F273" s="280" t="s">
        <v>1026</v>
      </c>
      <c r="G273" s="288" t="s">
        <v>1024</v>
      </c>
      <c r="H273" s="288">
        <v>2.65</v>
      </c>
      <c r="I273" s="288">
        <v>3.71</v>
      </c>
      <c r="J273" s="288">
        <v>6689.8719999999994</v>
      </c>
      <c r="K273" s="280" t="s">
        <v>1036</v>
      </c>
      <c r="L273" s="288" t="s">
        <v>204</v>
      </c>
      <c r="M273" s="197" t="str">
        <f t="shared" si="4"/>
        <v>Yes</v>
      </c>
    </row>
    <row r="274" spans="2:13" ht="15">
      <c r="B274" s="288" t="s">
        <v>625</v>
      </c>
      <c r="C274" s="287" t="s">
        <v>916</v>
      </c>
      <c r="D274" s="249">
        <v>809.1</v>
      </c>
      <c r="E274" s="280">
        <v>4.5999999999999996</v>
      </c>
      <c r="F274" s="280" t="s">
        <v>1026</v>
      </c>
      <c r="G274" s="288" t="s">
        <v>1024</v>
      </c>
      <c r="H274" s="288">
        <v>2.65</v>
      </c>
      <c r="I274" s="288">
        <v>3.71</v>
      </c>
      <c r="J274" s="288">
        <v>6689.8719999999994</v>
      </c>
      <c r="K274" s="280" t="s">
        <v>1036</v>
      </c>
      <c r="L274" s="288" t="s">
        <v>204</v>
      </c>
      <c r="M274" s="197" t="str">
        <f t="shared" si="4"/>
        <v>Yes</v>
      </c>
    </row>
    <row r="275" spans="2:13" ht="15">
      <c r="B275" s="288" t="s">
        <v>625</v>
      </c>
      <c r="C275" s="287" t="s">
        <v>919</v>
      </c>
      <c r="D275" s="249">
        <v>809.1</v>
      </c>
      <c r="E275" s="280">
        <v>4.5999999999999996</v>
      </c>
      <c r="F275" s="280" t="s">
        <v>1026</v>
      </c>
      <c r="G275" s="288" t="s">
        <v>1024</v>
      </c>
      <c r="H275" s="288">
        <v>2.65</v>
      </c>
      <c r="I275" s="288">
        <v>3.71</v>
      </c>
      <c r="J275" s="288">
        <v>6689.8719999999994</v>
      </c>
      <c r="K275" s="280" t="s">
        <v>1036</v>
      </c>
      <c r="L275" s="288" t="s">
        <v>204</v>
      </c>
      <c r="M275" s="197" t="str">
        <f t="shared" si="4"/>
        <v>Yes</v>
      </c>
    </row>
    <row r="277" spans="2:13">
      <c r="B277" s="299" t="s">
        <v>1046</v>
      </c>
    </row>
    <row r="278" spans="2:13">
      <c r="B278" s="300" t="s">
        <v>1047</v>
      </c>
      <c r="C278" s="198">
        <f>COUNTIF(M5:M275,"Yes")</f>
        <v>271</v>
      </c>
    </row>
    <row r="279" spans="2:13">
      <c r="B279" s="300" t="s">
        <v>1048</v>
      </c>
      <c r="C279" s="301">
        <f>AVERAGEIF($M$5:$M$275,"Yes",$H$5:$H$275)</f>
        <v>2.5956465863453846</v>
      </c>
    </row>
    <row r="280" spans="2:13">
      <c r="B280" s="300" t="s">
        <v>1049</v>
      </c>
      <c r="C280" s="301">
        <f>AVERAGEIF($M$5:$M$275,"Yes",$I$5:$I$275)</f>
        <v>4.1106064257028123</v>
      </c>
    </row>
    <row r="281" spans="2:13">
      <c r="B281" s="300" t="s">
        <v>1050</v>
      </c>
      <c r="C281" s="301">
        <f>AVERAGEIF($M$5:$M$275,"Yes",$E$5:$E$275)</f>
        <v>3.8380811808118085</v>
      </c>
    </row>
    <row r="282" spans="2:13">
      <c r="B282" s="300" t="s">
        <v>1051</v>
      </c>
      <c r="C282" s="301">
        <f>MIN(H5:H275)</f>
        <v>1.26</v>
      </c>
    </row>
    <row r="283" spans="2:13">
      <c r="B283" s="300" t="s">
        <v>1052</v>
      </c>
      <c r="C283" s="301">
        <f>MAX(H5:H275)</f>
        <v>3.55</v>
      </c>
    </row>
    <row r="284" spans="2:13">
      <c r="B284" s="300" t="s">
        <v>1053</v>
      </c>
      <c r="C284" s="301">
        <f>MIN(I5:I275)</f>
        <v>2.48</v>
      </c>
    </row>
    <row r="285" spans="2:13">
      <c r="B285" s="300" t="s">
        <v>1054</v>
      </c>
      <c r="C285" s="301">
        <f>MAX(I5:I275)</f>
        <v>9.5</v>
      </c>
    </row>
    <row r="287" spans="2:13">
      <c r="B287" s="299" t="s">
        <v>1055</v>
      </c>
    </row>
    <row r="288" spans="2:13">
      <c r="B288" s="300" t="s">
        <v>1047</v>
      </c>
      <c r="C288" s="198">
        <f>COUNTIFS($M$5:$M$275,"Yes",$G$5:$G$275,"Yes")</f>
        <v>235</v>
      </c>
    </row>
    <row r="289" spans="2:4">
      <c r="B289" s="300" t="s">
        <v>1048</v>
      </c>
      <c r="C289" s="301">
        <f>AVERAGEIFS($H$5:$H$275,$M$5:$M$275,"Yes",$G$5:$G$275,"Yes")</f>
        <v>2.7196299559471395</v>
      </c>
    </row>
    <row r="290" spans="2:4">
      <c r="B290" s="300" t="s">
        <v>1049</v>
      </c>
      <c r="C290" s="301">
        <f>AVERAGEIFS($I$5:$I$275,$M$5:$M$275,"Yes",$G$5:$G$275,"Yes")</f>
        <v>3.6072290748898679</v>
      </c>
    </row>
    <row r="291" spans="2:4">
      <c r="B291" s="300" t="s">
        <v>1050</v>
      </c>
      <c r="C291" s="301">
        <f>AVERAGEIFS($E$5:$E$275,$M$5:$M$275,"Yes",$G$5:$G$275,"Yes")</f>
        <v>3.951914893617023</v>
      </c>
    </row>
    <row r="292" spans="2:4">
      <c r="B292" s="300" t="s">
        <v>1056</v>
      </c>
      <c r="C292" s="302">
        <f>AVERAGEIFS($D$5:$D$275,$M$5:$M$275,"Yes",$G$5:$G$275,"Yes")</f>
        <v>928.67191489361949</v>
      </c>
    </row>
    <row r="293" spans="2:4">
      <c r="B293" s="300" t="s">
        <v>1057</v>
      </c>
      <c r="C293" s="302">
        <f>SFAssumptions!$B$49*C292</f>
        <v>870.14123317818235</v>
      </c>
    </row>
    <row r="294" spans="2:4">
      <c r="B294" s="300"/>
    </row>
    <row r="295" spans="2:4">
      <c r="B295" s="299" t="s">
        <v>1058</v>
      </c>
    </row>
    <row r="296" spans="2:4">
      <c r="B296" s="300" t="s">
        <v>1047</v>
      </c>
      <c r="C296" s="198">
        <f>COUNTIFS($M$5:$M$275,"Yes",$G$5:$G$275,"No")</f>
        <v>36</v>
      </c>
    </row>
    <row r="297" spans="2:4">
      <c r="B297" s="300" t="s">
        <v>1048</v>
      </c>
      <c r="C297" s="301">
        <f>AVERAGEIFS($H$5:$H$275,$M$5:$M$275,"Yes",$G$5:$G$275,"No")</f>
        <v>1.3163636363636364</v>
      </c>
    </row>
    <row r="298" spans="2:4">
      <c r="B298" s="300" t="s">
        <v>1049</v>
      </c>
      <c r="C298" s="301">
        <f>AVERAGEIFS($I$5:$I$275,$M$5:$M$275,"Yes",$G$5:$G$275,"No")</f>
        <v>9.3045454545454547</v>
      </c>
    </row>
    <row r="299" spans="2:4">
      <c r="B299" s="300" t="s">
        <v>1050</v>
      </c>
      <c r="C299" s="301">
        <f>AVERAGEIFS($E$5:$E$275,$M$5:$M$275,"Yes",$G$5:$G$275,"No")</f>
        <v>3.0950000000000006</v>
      </c>
    </row>
    <row r="300" spans="2:4">
      <c r="B300" s="300" t="s">
        <v>1056</v>
      </c>
      <c r="C300" s="302">
        <f>AVERAGEIFS($D$5:$D$275,$M$5:$M$275,"Yes",$G$5:$G$275,"No")</f>
        <v>488.5961111111111</v>
      </c>
    </row>
    <row r="301" spans="2:4">
      <c r="B301" s="300" t="s">
        <v>1057</v>
      </c>
      <c r="C301" s="302">
        <f>SFAssumptions!$B$49*C300</f>
        <v>457.80174443736416</v>
      </c>
    </row>
    <row r="304" spans="2:4" ht="15">
      <c r="C304" s="303"/>
      <c r="D304" s="304"/>
    </row>
    <row r="305" spans="3:5" ht="15">
      <c r="C305" s="303"/>
      <c r="D305" s="304"/>
    </row>
    <row r="306" spans="3:5">
      <c r="C306" s="305"/>
      <c r="E306" s="306"/>
    </row>
  </sheetData>
  <autoFilter ref="B4:M275"/>
  <mergeCells count="1">
    <mergeCell ref="B1:M2"/>
  </mergeCells>
  <hyperlinks>
    <hyperlink ref="L84" r:id="rId1"/>
    <hyperlink ref="L85:L89" r:id="rId2" display="www.sears.com"/>
    <hyperlink ref="L91" r:id="rId3"/>
    <hyperlink ref="L97" r:id="rId4"/>
    <hyperlink ref="L102" r:id="rId5"/>
    <hyperlink ref="L108" r:id="rId6"/>
    <hyperlink ref="L92:L95" r:id="rId7" display="www.sears.com"/>
    <hyperlink ref="L98:L100" r:id="rId8" display="www.sears.com"/>
    <hyperlink ref="L103:L106" r:id="rId9" display="www.sears.com"/>
    <hyperlink ref="L109:L115" r:id="rId10" display="www.sears.com"/>
    <hyperlink ref="L117" r:id="rId11"/>
    <hyperlink ref="L123" r:id="rId12"/>
    <hyperlink ref="L126" r:id="rId13"/>
    <hyperlink ref="L118:L121" r:id="rId14" display="www.sears.com"/>
    <hyperlink ref="L127:L132" r:id="rId15" display="www.sears.com"/>
    <hyperlink ref="L134" r:id="rId16"/>
    <hyperlink ref="L139" r:id="rId17"/>
    <hyperlink ref="L143" r:id="rId18"/>
    <hyperlink ref="L149" r:id="rId19"/>
    <hyperlink ref="L151" r:id="rId20"/>
    <hyperlink ref="L171" r:id="rId21"/>
    <hyperlink ref="L175" r:id="rId22"/>
    <hyperlink ref="L181" r:id="rId23"/>
    <hyperlink ref="L183" r:id="rId24"/>
    <hyperlink ref="L135:L137" r:id="rId25" display="www.sears.com"/>
    <hyperlink ref="L140" r:id="rId26"/>
    <hyperlink ref="L144:L146" r:id="rId27" display="www.sears.com"/>
    <hyperlink ref="L152:L169" r:id="rId28" display="www.sears.com"/>
    <hyperlink ref="L172:L173" r:id="rId29" display="www.sears.com"/>
    <hyperlink ref="L176:L178" r:id="rId30" display="www.sears.com"/>
    <hyperlink ref="L121" r:id="rId31"/>
  </hyperlinks>
  <pageMargins left="0.7" right="0.7" top="0.75" bottom="0.75" header="0.3" footer="0.3"/>
  <pageSetup orientation="portrait" verticalDpi="0" r:id="rId32"/>
  <drawing r:id="rId33"/>
</worksheet>
</file>

<file path=xl/worksheets/sheet19.xml><?xml version="1.0" encoding="utf-8"?>
<worksheet xmlns="http://schemas.openxmlformats.org/spreadsheetml/2006/main" xmlns:r="http://schemas.openxmlformats.org/officeDocument/2006/relationships">
  <dimension ref="A1:N33"/>
  <sheetViews>
    <sheetView topLeftCell="B1" workbookViewId="0">
      <selection activeCell="C7" sqref="C7"/>
    </sheetView>
  </sheetViews>
  <sheetFormatPr defaultColWidth="8.85546875" defaultRowHeight="12.75"/>
  <cols>
    <col min="1" max="1" width="8.85546875" style="198"/>
    <col min="2" max="2" width="48.140625" style="198" customWidth="1"/>
    <col min="3" max="3" width="16.28515625" style="198" customWidth="1"/>
    <col min="4" max="4" width="16" style="198" customWidth="1"/>
    <col min="5" max="5" width="1.85546875" style="198" customWidth="1"/>
    <col min="6" max="6" width="14.140625" style="198" customWidth="1"/>
    <col min="7" max="8" width="13.42578125" style="198" customWidth="1"/>
    <col min="9" max="10" width="11" style="198" customWidth="1"/>
    <col min="11" max="11" width="12.85546875" style="198" customWidth="1"/>
    <col min="12" max="16384" width="8.85546875" style="198"/>
  </cols>
  <sheetData>
    <row r="1" spans="1:14">
      <c r="C1" s="307" t="s">
        <v>1059</v>
      </c>
      <c r="D1" s="307"/>
      <c r="F1" s="308" t="s">
        <v>1060</v>
      </c>
      <c r="G1" s="308"/>
      <c r="H1" s="308"/>
      <c r="I1" s="309"/>
      <c r="J1" s="309"/>
      <c r="K1" s="309"/>
    </row>
    <row r="2" spans="1:14" ht="39" thickBot="1">
      <c r="F2" s="310" t="str">
        <f>SFAssumptions!D59</f>
        <v>ENERGY STAR - Top-Load</v>
      </c>
      <c r="G2" s="310" t="str">
        <f>SFAssumptions!D60</f>
        <v>ENERGY STAR - Front-Load</v>
      </c>
      <c r="H2" s="311" t="str">
        <f>H3</f>
        <v>Any ENERGY STAR (Top- or Front-Load)</v>
      </c>
      <c r="I2" s="311" t="str">
        <f>SFAssumptions!D61</f>
        <v>CEE Tier 1</v>
      </c>
      <c r="J2" s="311" t="str">
        <f>SFAssumptions!D62</f>
        <v>CEE Tier 2</v>
      </c>
      <c r="K2" s="311" t="str">
        <f>SFAssumptions!D63</f>
        <v>CEE Tier 3</v>
      </c>
    </row>
    <row r="3" spans="1:14" ht="64.5" thickBot="1">
      <c r="A3" s="198">
        <v>1</v>
      </c>
      <c r="C3" s="592" t="str">
        <f>'SavingsData&amp;Analysis'!BH1</f>
        <v>Current Practice Baseline Using 31% ENERGY STAR Penetration</v>
      </c>
      <c r="D3" s="592" t="str">
        <f>'SavingsData&amp;Analysis'!BI1</f>
        <v>Current Practice Baseline Using 54% ENERGY STAR Penetration</v>
      </c>
      <c r="E3" s="312"/>
      <c r="F3" s="313" t="str">
        <f>'SavingsData&amp;Analysis'!BB1</f>
        <v>ENERGY STAR - Top-Load</v>
      </c>
      <c r="G3" s="593" t="str">
        <f>'SavingsData&amp;Analysis'!BC1</f>
        <v>ENERGY STAR - Front-Load</v>
      </c>
      <c r="H3" s="593" t="str">
        <f>'SavingsData&amp;Analysis'!BD1</f>
        <v>Any ENERGY STAR (Top- or Front-Load)</v>
      </c>
      <c r="I3" s="314" t="str">
        <f>'SavingsData&amp;Analysis'!BE1</f>
        <v>CEE Tier 1</v>
      </c>
      <c r="J3" s="314" t="str">
        <f>'SavingsData&amp;Analysis'!BF1</f>
        <v>CEE Tier 2</v>
      </c>
      <c r="K3" s="315" t="str">
        <f>'SavingsData&amp;Analysis'!BG1</f>
        <v>CEE Tier 3</v>
      </c>
    </row>
    <row r="4" spans="1:14">
      <c r="A4" s="198">
        <v>2</v>
      </c>
      <c r="B4" s="316" t="s">
        <v>824</v>
      </c>
      <c r="C4" s="317">
        <f ca="1">'SavingsData&amp;Analysis'!BH7</f>
        <v>2.1767894525547438</v>
      </c>
      <c r="D4" s="317">
        <f ca="1">'SavingsData&amp;Analysis'!BI7</f>
        <v>2.3161001848580569</v>
      </c>
      <c r="E4" s="318"/>
      <c r="F4" s="319">
        <f ca="1">HLOOKUP(F$3,'SavingsData&amp;Analysis'!$AV$1:$BG$14,7,FALSE)</f>
        <v>2.31115</v>
      </c>
      <c r="G4" s="594">
        <f ca="1">HLOOKUP(G$3,'SavingsData&amp;Analysis'!$AV$1:$BG$14,7,FALSE)</f>
        <v>2.6988296721311471</v>
      </c>
      <c r="H4" s="594">
        <f ca="1">HLOOKUP(H$3,'SavingsData&amp;Analysis'!$AV$1:$BG$14,7,FALSE)</f>
        <v>2.5893671764705872</v>
      </c>
      <c r="I4" s="320">
        <f ca="1">HLOOKUP(I$3,'SavingsData&amp;Analysis'!$AV$1:$BG$14,7,FALSE)</f>
        <v>2.5856956944444445</v>
      </c>
      <c r="J4" s="320">
        <f ca="1">HLOOKUP(J$3,'SavingsData&amp;Analysis'!$AV$1:$BG$14,7,FALSE)</f>
        <v>2.8331187499999997</v>
      </c>
      <c r="K4" s="321">
        <f ca="1">HLOOKUP(K$3,'SavingsData&amp;Analysis'!$AV$1:$BG$14,7,FALSE)</f>
        <v>2.9762379999999999</v>
      </c>
      <c r="M4" s="384"/>
      <c r="N4" s="300"/>
    </row>
    <row r="5" spans="1:14">
      <c r="A5" s="198">
        <v>3</v>
      </c>
      <c r="B5" s="322" t="s">
        <v>825</v>
      </c>
      <c r="C5" s="323">
        <f ca="1">'SavingsData&amp;Analysis'!BH9</f>
        <v>4.1747655474452543</v>
      </c>
      <c r="D5" s="323">
        <f ca="1">'SavingsData&amp;Analysis'!BI9</f>
        <v>3.9217127286166567</v>
      </c>
      <c r="E5" s="318"/>
      <c r="F5" s="324">
        <f ca="1">HLOOKUP(F$3,'SavingsData&amp;Analysis'!$AV$1:$BG$14,9,FALSE)</f>
        <v>4.0922604166666652</v>
      </c>
      <c r="G5" s="595">
        <f ca="1">HLOOKUP(G$3,'SavingsData&amp;Analysis'!$AV$1:$BG$14,9,FALSE)</f>
        <v>3.1629357377049185</v>
      </c>
      <c r="H5" s="595">
        <f ca="1">HLOOKUP(H$3,'SavingsData&amp;Analysis'!$AV$1:$BG$14,9,FALSE)</f>
        <v>3.4253332941176473</v>
      </c>
      <c r="I5" s="325">
        <f ca="1">HLOOKUP(I$3,'SavingsData&amp;Analysis'!$AV$1:$BG$14,9,FALSE)</f>
        <v>3.2865300000000008</v>
      </c>
      <c r="J5" s="325">
        <f ca="1">HLOOKUP(J$3,'SavingsData&amp;Analysis'!$AV$1:$BG$14,9,FALSE)</f>
        <v>2.9900809999999991</v>
      </c>
      <c r="K5" s="326">
        <f ca="1">HLOOKUP(K$3,'SavingsData&amp;Analysis'!$AV$1:$BG$14,9,FALSE)</f>
        <v>2.9644759999999999</v>
      </c>
      <c r="M5" s="384"/>
      <c r="N5" s="384"/>
    </row>
    <row r="6" spans="1:14">
      <c r="A6" s="198">
        <v>4</v>
      </c>
      <c r="B6" s="322" t="s">
        <v>1061</v>
      </c>
      <c r="C6" s="323">
        <f ca="1">'SavingsData&amp;Analysis'!BH11</f>
        <v>3.7770072992700716</v>
      </c>
      <c r="D6" s="323">
        <f ca="1">'SavingsData&amp;Analysis'!BI11</f>
        <v>3.9257934407096169</v>
      </c>
      <c r="E6" s="318"/>
      <c r="F6" s="324">
        <f ca="1">HLOOKUP(F$3,'SavingsData&amp;Analysis'!$AV$1:$BG$14,11,FALSE)</f>
        <v>4.5916666666666668</v>
      </c>
      <c r="G6" s="595">
        <f ca="1">HLOOKUP(G$3,'SavingsData&amp;Analysis'!$AV$1:$BG$14,11,FALSE)</f>
        <v>4.0704918032786903</v>
      </c>
      <c r="H6" s="595">
        <f ca="1">HLOOKUP(H$3,'SavingsData&amp;Analysis'!$AV$1:$BG$14,11,FALSE)</f>
        <v>4.2176470588235304</v>
      </c>
      <c r="I6" s="325">
        <f ca="1">HLOOKUP(I$3,'SavingsData&amp;Analysis'!$AV$1:$BG$14,11,FALSE)</f>
        <v>3.9638888888888895</v>
      </c>
      <c r="J6" s="325">
        <f ca="1">HLOOKUP(J$3,'SavingsData&amp;Analysis'!$AV$1:$BG$14,11,FALSE)</f>
        <v>4.0849999999999991</v>
      </c>
      <c r="K6" s="326">
        <f ca="1">HLOOKUP(K$3,'SavingsData&amp;Analysis'!$AV$1:$BG$14,11,FALSE)</f>
        <v>4.7799999999999994</v>
      </c>
    </row>
    <row r="7" spans="1:14">
      <c r="A7" s="198">
        <v>5</v>
      </c>
      <c r="B7" s="322" t="s">
        <v>1062</v>
      </c>
      <c r="C7" s="327">
        <f ca="1">'SavingsData&amp;Analysis'!BH12</f>
        <v>36.113650200160976</v>
      </c>
      <c r="D7" s="327">
        <f ca="1">'SavingsData&amp;Analysis'!BI12</f>
        <v>34.923898397154204</v>
      </c>
      <c r="E7" s="328"/>
      <c r="F7" s="329">
        <f ca="1">HLOOKUP(F$3,'SavingsData&amp;Analysis'!$AV$1:$BG$14,12,FALSE)</f>
        <v>34.299999999999997</v>
      </c>
      <c r="G7" s="596">
        <f ca="1">HLOOKUP(G$3,'SavingsData&amp;Analysis'!$AV$1:$BG$14,12,FALSE)</f>
        <v>32.029508196721316</v>
      </c>
      <c r="H7" s="596">
        <f ca="1">HLOOKUP(H$3,'SavingsData&amp;Analysis'!$AV$1:$BG$14,12,FALSE)</f>
        <v>32.590123456790117</v>
      </c>
      <c r="I7" s="330">
        <f ca="1">HLOOKUP(I$3,'SavingsData&amp;Analysis'!$AV$1:$BG$14,12,FALSE)</f>
        <v>32.638888888888893</v>
      </c>
      <c r="J7" s="330">
        <f ca="1">HLOOKUP(J$3,'SavingsData&amp;Analysis'!$AV$1:$BG$14,12,FALSE)</f>
        <v>31.444999999999993</v>
      </c>
      <c r="K7" s="331">
        <f ca="1">HLOOKUP(K$3,'SavingsData&amp;Analysis'!$AV$1:$BG$14,12,FALSE)</f>
        <v>29.98</v>
      </c>
    </row>
    <row r="8" spans="1:14">
      <c r="A8" s="198">
        <v>6</v>
      </c>
      <c r="B8" s="597" t="str">
        <f ca="1">CONCATENATE("Normalized kWh/Year (@ ",ROUND(C6,2)," cubic foot tub volume)")</f>
        <v>Normalized kWh/Year (@ 3.78 cubic foot tub volume)</v>
      </c>
      <c r="C8" s="327">
        <f ca="1">'SavingsData&amp;Analysis'!BH13</f>
        <v>461.07511996810217</v>
      </c>
      <c r="D8" s="327">
        <f ca="1">'SavingsData&amp;Analysis'!BI13</f>
        <v>433.10134090607494</v>
      </c>
      <c r="E8" s="333"/>
      <c r="F8" s="334">
        <f ca="1">HLOOKUP(F$3,'SavingsData&amp;Analysis'!$AV$1:$BG$14,13,FALSE)</f>
        <v>422.64446052978178</v>
      </c>
      <c r="G8" s="598">
        <f ca="1">HLOOKUP(G$3,'SavingsData&amp;Analysis'!$AV$1:$BG$14,13,FALSE)</f>
        <v>360.75402016396106</v>
      </c>
      <c r="H8" s="598">
        <f ca="1">HLOOKUP(H$3,'SavingsData&amp;Analysis'!$AV$1:$BG$14,13,FALSE)</f>
        <v>378.22896803195749</v>
      </c>
      <c r="I8" s="335">
        <f ca="1">HLOOKUP(I$3,'SavingsData&amp;Analysis'!$AV$1:$BG$14,13,FALSE)</f>
        <v>375.83477824196774</v>
      </c>
      <c r="J8" s="335">
        <f ca="1">HLOOKUP(J$3,'SavingsData&amp;Analysis'!$AV$1:$BG$14,13,FALSE)</f>
        <v>342.32766956622078</v>
      </c>
      <c r="K8" s="336">
        <f ca="1">HLOOKUP(K$3,'SavingsData&amp;Analysis'!$AV$1:$BG$14,13,FALSE)</f>
        <v>325.87796439327468</v>
      </c>
    </row>
    <row r="9" spans="1:14">
      <c r="A9" s="198">
        <v>7</v>
      </c>
      <c r="B9" s="332" t="str">
        <f ca="1">CONCATENATE("Normalized Gallons/Year (@ ",ROUND(C6,2)," cubic foot tub volume)")</f>
        <v>Normalized Gallons/Year (@ 3.78 cubic foot tub volume)</v>
      </c>
      <c r="C9" s="337">
        <f ca="1">'SavingsData&amp;Analysis'!BH14</f>
        <v>4047.8861059902265</v>
      </c>
      <c r="D9" s="337">
        <f ca="1">'SavingsData&amp;Analysis'!BI14</f>
        <v>3802.5240664273615</v>
      </c>
      <c r="E9" s="318"/>
      <c r="F9" s="329">
        <f ca="1">HLOOKUP(F$3,'SavingsData&amp;Analysis'!$AV$1:$BG$14,14,FALSE)</f>
        <v>3967.88847049284</v>
      </c>
      <c r="G9" s="596">
        <f ca="1">HLOOKUP(G$3,'SavingsData&amp;Analysis'!$AV$1:$BG$14,14,FALSE)</f>
        <v>3066.8078198141188</v>
      </c>
      <c r="H9" s="596">
        <f ca="1">HLOOKUP(H$3,'SavingsData&amp;Analysis'!$AV$1:$BG$14,14,FALSE)</f>
        <v>3321.230591770463</v>
      </c>
      <c r="I9" s="330">
        <f ca="1">HLOOKUP(I$3,'SavingsData&amp;Analysis'!$AV$1:$BG$14,14,FALSE)</f>
        <v>3186.6458062683578</v>
      </c>
      <c r="J9" s="330">
        <f ca="1">HLOOKUP(J$3,'SavingsData&amp;Analysis'!$AV$1:$BG$14,14,FALSE)</f>
        <v>2899.206481928567</v>
      </c>
      <c r="K9" s="331">
        <f ca="1">HLOOKUP(K$3,'SavingsData&amp;Analysis'!$AV$1:$BG$14,14,FALSE)</f>
        <v>2874.3796688857838</v>
      </c>
    </row>
    <row r="10" spans="1:14" ht="13.5" thickBot="1">
      <c r="A10" s="198">
        <v>8</v>
      </c>
      <c r="B10" s="338" t="str">
        <f ca="1">CONCATENATE("Normalized Cost ($2006 @ ",ROUND(C6,2)," cubic foot tub volume)")</f>
        <v>Normalized Cost ($2006 @ 3.78 cubic foot tub volume)</v>
      </c>
      <c r="C10" s="339">
        <f ca="1">'CostData&amp;Analysis'!AF19</f>
        <v>776.31603614450796</v>
      </c>
      <c r="D10" s="339">
        <f ca="1">'CostData&amp;Analysis'!AG19</f>
        <v>825.23457500176619</v>
      </c>
      <c r="E10" s="318"/>
      <c r="F10" s="340">
        <f ca="1">'CostData&amp;Analysis'!Z19</f>
        <v>754.7360149776722</v>
      </c>
      <c r="G10" s="599">
        <f ca="1">'CostData&amp;Analysis'!AA19</f>
        <v>969.81887509547198</v>
      </c>
      <c r="H10" s="599">
        <f ca="1">'CostData&amp;Analysis'!AB19</f>
        <v>921.19144585144784</v>
      </c>
      <c r="I10" s="341">
        <f ca="1">'CostData&amp;Analysis'!AC19</f>
        <v>951.49912384722427</v>
      </c>
      <c r="J10" s="341">
        <f ca="1">'CostData&amp;Analysis'!AD19</f>
        <v>1001.0825583529517</v>
      </c>
      <c r="K10" s="342">
        <f ca="1">'CostData&amp;Analysis'!AE19</f>
        <v>996.04811179834417</v>
      </c>
    </row>
    <row r="11" spans="1:14" ht="14.25" customHeight="1" thickBot="1">
      <c r="A11" s="198">
        <v>9</v>
      </c>
      <c r="B11" s="343" t="s">
        <v>1063</v>
      </c>
      <c r="C11" s="344">
        <f ca="1">SFAssumptions!$C$3*SFAssumptions!$C$9*C5/$C$5</f>
        <v>47.558261685804517</v>
      </c>
      <c r="D11" s="344">
        <f ca="1">SFAssumptions!$C$3*SFAssumptions!$C$9*D5/$C$5</f>
        <v>44.675524429925424</v>
      </c>
      <c r="E11" s="345"/>
      <c r="F11" s="346">
        <f ca="1">SFAssumptions!$C$3*SFAssumptions!$C$9*F5/$C$5</f>
        <v>46.61837642628597</v>
      </c>
      <c r="G11" s="600">
        <f ca="1">SFAssumptions!$C$3*SFAssumptions!$C$9*G5/$C$5</f>
        <v>36.031658257121869</v>
      </c>
      <c r="H11" s="600">
        <f ca="1">SFAssumptions!$C$3*SFAssumptions!$C$9*H5/$C$5</f>
        <v>39.020849269591736</v>
      </c>
      <c r="I11" s="601">
        <f ca="1">SFAssumptions!$C$3*SFAssumptions!$C$9*I5/$C$5</f>
        <v>37.439624333849331</v>
      </c>
      <c r="J11" s="601">
        <f ca="1">SFAssumptions!$C$3*SFAssumptions!$C$9*J5/$C$5</f>
        <v>34.062524719926635</v>
      </c>
      <c r="K11" s="347">
        <f ca="1">SFAssumptions!$C$3*SFAssumptions!$C$9*K5/$C$5</f>
        <v>33.77083665346499</v>
      </c>
    </row>
    <row r="12" spans="1:14">
      <c r="A12" s="198">
        <v>10</v>
      </c>
    </row>
    <row r="13" spans="1:14" s="349" customFormat="1" ht="13.5" thickBot="1">
      <c r="A13" s="198">
        <v>11</v>
      </c>
      <c r="B13" s="348" t="s">
        <v>1064</v>
      </c>
      <c r="E13" s="198"/>
    </row>
    <row r="14" spans="1:14" ht="15">
      <c r="A14" s="198">
        <v>12</v>
      </c>
      <c r="B14" s="350" t="s">
        <v>1065</v>
      </c>
      <c r="C14" s="351">
        <f ca="1">'DOE Res Data'!$C$33+'DOE Res Data'!$B$33*(C7/100)</f>
        <v>1.3096069259156635</v>
      </c>
      <c r="D14" s="351">
        <f ca="1">'DOE Res Data'!$C$33+'DOE Res Data'!$B$33*(D7/100)</f>
        <v>1.2652842682500836</v>
      </c>
      <c r="F14" s="352">
        <f ca="1">'DOE Res Data'!$C$33+'DOE Res Data'!$B$33*(F7/100)</f>
        <v>1.2420417440485778</v>
      </c>
      <c r="G14" s="602">
        <f ca="1">'DOE Res Data'!$C$33+'DOE Res Data'!$B$33*(G7/100)</f>
        <v>1.1574575217974319</v>
      </c>
      <c r="H14" s="602">
        <f ca="1">'DOE Res Data'!$C$33+'DOE Res Data'!$B$33*(H7/100)</f>
        <v>1.1783425149458626</v>
      </c>
      <c r="I14" s="603">
        <f ca="1">'DOE Res Data'!$C$33+'DOE Res Data'!$B$33*(I7/100)</f>
        <v>1.180159207761428</v>
      </c>
      <c r="J14" s="603">
        <f ca="1">'DOE Res Data'!$C$33+'DOE Res Data'!$B$33*(J7/100)</f>
        <v>1.1356824283363152</v>
      </c>
      <c r="K14" s="353">
        <f ca="1">'DOE Res Data'!$C$33+'DOE Res Data'!$B$33*(K7/100)</f>
        <v>1.0811057567011264</v>
      </c>
      <c r="L14" s="301"/>
    </row>
    <row r="15" spans="1:14" ht="15">
      <c r="A15" s="198">
        <v>13</v>
      </c>
      <c r="B15" s="354" t="s">
        <v>1066</v>
      </c>
      <c r="C15" s="355">
        <f ca="1">C14*SFAssumptions!$C$3*SFAssumptions!$C$4</f>
        <v>299.88461596396166</v>
      </c>
      <c r="D15" s="355">
        <f ca="1">D14*SFAssumptions!$C$3*SFAssumptions!$C$4</f>
        <v>289.73524754698326</v>
      </c>
      <c r="F15" s="356">
        <f ca="1">F14*SFAssumptions!$C$3*SFAssumptions!$C$4</f>
        <v>284.41298228839946</v>
      </c>
      <c r="G15" s="604">
        <f ca="1">G14*SFAssumptions!$C$3*SFAssumptions!$C$4</f>
        <v>265.0441881071531</v>
      </c>
      <c r="H15" s="604">
        <f ca="1">H14*SFAssumptions!$C$3*SFAssumptions!$C$4</f>
        <v>269.82660642351016</v>
      </c>
      <c r="I15" s="335">
        <f ca="1">I14*SFAssumptions!$C$3*SFAssumptions!$C$4</f>
        <v>270.24260775684104</v>
      </c>
      <c r="J15" s="335">
        <f ca="1">J14*SFAssumptions!$C$3*SFAssumptions!$C$4</f>
        <v>260.05794726576426</v>
      </c>
      <c r="K15" s="357">
        <f ca="1">K14*SFAssumptions!$C$3*SFAssumptions!$C$4</f>
        <v>247.560529994955</v>
      </c>
      <c r="L15" s="301"/>
    </row>
    <row r="16" spans="1:14" ht="15">
      <c r="A16" s="198">
        <v>14</v>
      </c>
      <c r="B16" s="354" t="s">
        <v>1067</v>
      </c>
      <c r="C16" s="358">
        <v>0.2</v>
      </c>
      <c r="D16" s="358">
        <v>0.2</v>
      </c>
      <c r="E16" s="359"/>
      <c r="F16" s="360">
        <v>0.2</v>
      </c>
      <c r="G16" s="605">
        <v>0.2</v>
      </c>
      <c r="H16" s="605">
        <v>0.2</v>
      </c>
      <c r="I16" s="361">
        <v>0.2</v>
      </c>
      <c r="J16" s="361">
        <v>0.2</v>
      </c>
      <c r="K16" s="362">
        <v>0.2</v>
      </c>
    </row>
    <row r="17" spans="1:12" ht="15">
      <c r="A17" s="198">
        <v>15</v>
      </c>
      <c r="B17" s="354" t="s">
        <v>1068</v>
      </c>
      <c r="C17" s="355">
        <f>C16*SFAssumptions!$C$3</f>
        <v>51.342660000000002</v>
      </c>
      <c r="D17" s="355">
        <f>D16*SFAssumptions!$C$3</f>
        <v>51.342660000000002</v>
      </c>
      <c r="F17" s="356">
        <f>F16*SFAssumptions!$C$3</f>
        <v>51.342660000000002</v>
      </c>
      <c r="G17" s="604">
        <f>G16*SFAssumptions!$C$3</f>
        <v>51.342660000000002</v>
      </c>
      <c r="H17" s="604">
        <f>H16*SFAssumptions!$C$3</f>
        <v>51.342660000000002</v>
      </c>
      <c r="I17" s="335">
        <f>I16*SFAssumptions!$C$3</f>
        <v>51.342660000000002</v>
      </c>
      <c r="J17" s="335">
        <f>J16*SFAssumptions!$C$3</f>
        <v>51.342660000000002</v>
      </c>
      <c r="K17" s="357">
        <f>K16*SFAssumptions!$C$3</f>
        <v>51.342660000000002</v>
      </c>
    </row>
    <row r="18" spans="1:12" ht="15">
      <c r="A18" s="198">
        <v>16</v>
      </c>
      <c r="B18" s="354" t="s">
        <v>1069</v>
      </c>
      <c r="C18" s="363">
        <v>0.13</v>
      </c>
      <c r="D18" s="363">
        <v>0.13</v>
      </c>
      <c r="E18" s="364"/>
      <c r="F18" s="365">
        <v>0.13</v>
      </c>
      <c r="G18" s="606">
        <v>0.13</v>
      </c>
      <c r="H18" s="606">
        <v>0.13</v>
      </c>
      <c r="I18" s="366">
        <v>0.13</v>
      </c>
      <c r="J18" s="366">
        <v>0.13</v>
      </c>
      <c r="K18" s="367">
        <v>0.13</v>
      </c>
      <c r="L18" s="301"/>
    </row>
    <row r="19" spans="1:12" ht="15">
      <c r="A19" s="198">
        <v>17</v>
      </c>
      <c r="B19" s="354" t="s">
        <v>1070</v>
      </c>
      <c r="C19" s="355">
        <f ca="1">C9*C18</f>
        <v>526.22519377872948</v>
      </c>
      <c r="D19" s="355">
        <f ca="1">D9*D18</f>
        <v>494.32812863555699</v>
      </c>
      <c r="F19" s="356">
        <f t="shared" ref="F19:K19" ca="1" si="0">F9*F18</f>
        <v>515.82550116406924</v>
      </c>
      <c r="G19" s="604">
        <f t="shared" ca="1" si="0"/>
        <v>398.68501657583545</v>
      </c>
      <c r="H19" s="604">
        <f t="shared" ca="1" si="0"/>
        <v>431.75997693016018</v>
      </c>
      <c r="I19" s="335">
        <f t="shared" ca="1" si="0"/>
        <v>414.26395481488652</v>
      </c>
      <c r="J19" s="335">
        <f t="shared" ca="1" si="0"/>
        <v>376.89684265071372</v>
      </c>
      <c r="K19" s="357">
        <f t="shared" ca="1" si="0"/>
        <v>373.6693569551519</v>
      </c>
    </row>
    <row r="20" spans="1:12" ht="15.75" thickBot="1">
      <c r="A20" s="198">
        <v>18</v>
      </c>
      <c r="B20" s="368" t="s">
        <v>1071</v>
      </c>
      <c r="C20" s="369">
        <f ca="1">C19*SFAssumptions!$A$35*SFAssumptions!$B$76/SFAssumptions!$B$77</f>
        <v>85.426610612386526</v>
      </c>
      <c r="D20" s="369">
        <f ca="1">D19*SFAssumptions!$A$35*SFAssumptions!$B$76/SFAssumptions!$B$77</f>
        <v>80.24848878188844</v>
      </c>
      <c r="F20" s="370">
        <f ca="1">F19*SFAssumptions!$A$35*SFAssumptions!$B$76/SFAssumptions!$B$77</f>
        <v>83.738340073491244</v>
      </c>
      <c r="G20" s="607">
        <f ca="1">G19*SFAssumptions!$A$35*SFAssumptions!$B$76/SFAssumptions!$B$77</f>
        <v>64.72192907270383</v>
      </c>
      <c r="H20" s="607">
        <f ca="1">H19*SFAssumptions!$A$35*SFAssumptions!$B$76/SFAssumptions!$B$77</f>
        <v>70.091268649396724</v>
      </c>
      <c r="I20" s="608">
        <f ca="1">I19*SFAssumptions!$A$35*SFAssumptions!$B$76/SFAssumptions!$B$77</f>
        <v>67.250990597001447</v>
      </c>
      <c r="J20" s="608">
        <f ca="1">J19*SFAssumptions!$A$35*SFAssumptions!$B$76/SFAssumptions!$B$77</f>
        <v>61.184869517476663</v>
      </c>
      <c r="K20" s="371">
        <f ca="1">K19*SFAssumptions!$A$35*SFAssumptions!$B$76/SFAssumptions!$B$77</f>
        <v>60.660924318669359</v>
      </c>
      <c r="L20" s="301"/>
    </row>
    <row r="21" spans="1:12" ht="13.5" thickBot="1">
      <c r="A21" s="198">
        <v>19</v>
      </c>
    </row>
    <row r="22" spans="1:12" ht="15">
      <c r="A22" s="198">
        <v>20</v>
      </c>
      <c r="B22" s="350" t="s">
        <v>1072</v>
      </c>
      <c r="C22" s="372">
        <f ca="1">C15+C17+C20</f>
        <v>436.65388657634821</v>
      </c>
      <c r="D22" s="372">
        <f ca="1">D15+D17+D20</f>
        <v>421.32639632887174</v>
      </c>
      <c r="F22" s="373">
        <f t="shared" ref="F22:K22" ca="1" si="1">F15+F17+F20</f>
        <v>419.49398236189074</v>
      </c>
      <c r="G22" s="609">
        <f t="shared" ca="1" si="1"/>
        <v>381.10877717985693</v>
      </c>
      <c r="H22" s="609">
        <f t="shared" ca="1" si="1"/>
        <v>391.26053507290692</v>
      </c>
      <c r="I22" s="610">
        <f t="shared" ca="1" si="1"/>
        <v>388.83625835384248</v>
      </c>
      <c r="J22" s="610">
        <f t="shared" ca="1" si="1"/>
        <v>372.58547678324095</v>
      </c>
      <c r="K22" s="374">
        <f t="shared" ca="1" si="1"/>
        <v>359.56411431362437</v>
      </c>
    </row>
    <row r="23" spans="1:12" ht="15">
      <c r="A23" s="198">
        <v>21</v>
      </c>
      <c r="B23" s="354" t="s">
        <v>1073</v>
      </c>
      <c r="C23" s="375">
        <f ca="1">C17/C22</f>
        <v>0.11758205200590335</v>
      </c>
      <c r="D23" s="375">
        <f ca="1">D17/D22</f>
        <v>0.12185958546001906</v>
      </c>
      <c r="F23" s="376">
        <f t="shared" ref="F23:K23" ca="1" si="2">F17/F22</f>
        <v>0.12239188679399818</v>
      </c>
      <c r="G23" s="611">
        <f t="shared" ca="1" si="2"/>
        <v>0.13471917487686152</v>
      </c>
      <c r="H23" s="611">
        <f t="shared" ca="1" si="2"/>
        <v>0.13122371258433435</v>
      </c>
      <c r="I23" s="612">
        <f t="shared" ca="1" si="2"/>
        <v>0.13204185282864744</v>
      </c>
      <c r="J23" s="612">
        <f t="shared" ca="1" si="2"/>
        <v>0.13780102338736522</v>
      </c>
      <c r="K23" s="377">
        <f t="shared" ca="1" si="2"/>
        <v>0.14279139089841747</v>
      </c>
    </row>
    <row r="24" spans="1:12" ht="15">
      <c r="A24" s="198">
        <v>22</v>
      </c>
      <c r="B24" s="354" t="s">
        <v>1074</v>
      </c>
      <c r="C24" s="375">
        <f ca="1">C15/C22</f>
        <v>0.68677876272956828</v>
      </c>
      <c r="D24" s="375">
        <f ca="1">D15/D22</f>
        <v>0.68767409322445272</v>
      </c>
      <c r="F24" s="376">
        <f t="shared" ref="F24:K24" ca="1" si="3">F15/F22</f>
        <v>0.67799061308832065</v>
      </c>
      <c r="G24" s="611">
        <f t="shared" ca="1" si="3"/>
        <v>0.69545548142038882</v>
      </c>
      <c r="H24" s="611">
        <f t="shared" ca="1" si="3"/>
        <v>0.68963409860192282</v>
      </c>
      <c r="I24" s="612">
        <f t="shared" ca="1" si="3"/>
        <v>0.69500362157821005</v>
      </c>
      <c r="J24" s="612">
        <f t="shared" ca="1" si="3"/>
        <v>0.6979819758703536</v>
      </c>
      <c r="K24" s="377">
        <f t="shared" ca="1" si="3"/>
        <v>0.68850177239607413</v>
      </c>
    </row>
    <row r="25" spans="1:12" ht="15.75" thickBot="1">
      <c r="A25" s="198">
        <v>23</v>
      </c>
      <c r="B25" s="368" t="s">
        <v>1075</v>
      </c>
      <c r="C25" s="378">
        <f ca="1">C20/C22</f>
        <v>0.19563918526452834</v>
      </c>
      <c r="D25" s="378">
        <f ca="1">D20/D22</f>
        <v>0.19046632131552815</v>
      </c>
      <c r="F25" s="379">
        <f t="shared" ref="F25:K25" ca="1" si="4">F20/F22</f>
        <v>0.19961750011768112</v>
      </c>
      <c r="G25" s="613">
        <f t="shared" ca="1" si="4"/>
        <v>0.16982534370274963</v>
      </c>
      <c r="H25" s="613">
        <f t="shared" ca="1" si="4"/>
        <v>0.1791421888137428</v>
      </c>
      <c r="I25" s="614">
        <f t="shared" ca="1" si="4"/>
        <v>0.17295452559314256</v>
      </c>
      <c r="J25" s="614">
        <f t="shared" ca="1" si="4"/>
        <v>0.16421700074228118</v>
      </c>
      <c r="K25" s="380">
        <f t="shared" ca="1" si="4"/>
        <v>0.16870683670550835</v>
      </c>
    </row>
    <row r="26" spans="1:12" ht="15.75" thickBot="1">
      <c r="A26" s="198">
        <v>24</v>
      </c>
      <c r="B26" s="381" t="s">
        <v>1076</v>
      </c>
      <c r="C26" s="349"/>
      <c r="D26" s="349"/>
      <c r="E26" s="349"/>
      <c r="F26" s="349"/>
      <c r="G26" s="349"/>
      <c r="H26" s="349"/>
      <c r="I26" s="349"/>
      <c r="J26" s="349"/>
      <c r="K26" s="349"/>
    </row>
    <row r="27" spans="1:12" ht="15">
      <c r="A27" s="198">
        <v>25</v>
      </c>
      <c r="B27" s="382" t="s">
        <v>1077</v>
      </c>
      <c r="C27" s="385">
        <f t="shared" ref="C27:D29" ca="1" si="5">C23*C$8</f>
        <v>54.214158734717515</v>
      </c>
      <c r="D27" s="372">
        <f t="shared" ca="1" si="5"/>
        <v>52.777549864992686</v>
      </c>
      <c r="F27" s="373">
        <f t="shared" ref="F27:K29" ca="1" si="6">F23*F$8</f>
        <v>51.72825296727148</v>
      </c>
      <c r="G27" s="609">
        <f t="shared" ca="1" si="6"/>
        <v>48.600483929999498</v>
      </c>
      <c r="H27" s="609">
        <f t="shared" ca="1" si="6"/>
        <v>49.632609392094977</v>
      </c>
      <c r="I27" s="610">
        <f t="shared" ca="1" si="6"/>
        <v>49.625920476513251</v>
      </c>
      <c r="J27" s="610">
        <f t="shared" ca="1" si="6"/>
        <v>47.173103200037019</v>
      </c>
      <c r="K27" s="374">
        <f t="shared" ca="1" si="6"/>
        <v>46.532567798860654</v>
      </c>
    </row>
    <row r="28" spans="1:12" ht="15">
      <c r="A28" s="198">
        <v>26</v>
      </c>
      <c r="B28" s="383" t="s">
        <v>1078</v>
      </c>
      <c r="C28" s="355">
        <f t="shared" ca="1" si="5"/>
        <v>316.65660041708048</v>
      </c>
      <c r="D28" s="355">
        <f t="shared" ca="1" si="5"/>
        <v>297.83257188187963</v>
      </c>
      <c r="F28" s="356">
        <f t="shared" ca="1" si="6"/>
        <v>286.54897691296929</v>
      </c>
      <c r="G28" s="604">
        <f t="shared" ca="1" si="6"/>
        <v>250.88836076746819</v>
      </c>
      <c r="H28" s="604">
        <f t="shared" ca="1" si="6"/>
        <v>260.83959343385447</v>
      </c>
      <c r="I28" s="335">
        <f t="shared" ca="1" si="6"/>
        <v>261.20653199321106</v>
      </c>
      <c r="J28" s="335">
        <f t="shared" ca="1" si="6"/>
        <v>238.93854319892429</v>
      </c>
      <c r="K28" s="357">
        <f t="shared" ca="1" si="6"/>
        <v>224.36755606959434</v>
      </c>
    </row>
    <row r="29" spans="1:12" ht="15.75" thickBot="1">
      <c r="A29" s="198">
        <v>27</v>
      </c>
      <c r="B29" s="368" t="s">
        <v>1079</v>
      </c>
      <c r="C29" s="369">
        <f t="shared" ca="1" si="5"/>
        <v>90.204360816304174</v>
      </c>
      <c r="D29" s="369">
        <f t="shared" ca="1" si="5"/>
        <v>82.491219159202572</v>
      </c>
      <c r="F29" s="370">
        <f t="shared" ca="1" si="6"/>
        <v>84.367230649540986</v>
      </c>
      <c r="G29" s="607">
        <f t="shared" ca="1" si="6"/>
        <v>61.265175466493353</v>
      </c>
      <c r="H29" s="607">
        <f t="shared" ca="1" si="6"/>
        <v>67.756765206008026</v>
      </c>
      <c r="I29" s="608">
        <f t="shared" ca="1" si="6"/>
        <v>65.002325772243466</v>
      </c>
      <c r="J29" s="608">
        <f t="shared" ca="1" si="6"/>
        <v>56.216023167259465</v>
      </c>
      <c r="K29" s="371">
        <f t="shared" ca="1" si="6"/>
        <v>54.977840524819655</v>
      </c>
    </row>
    <row r="30" spans="1:12" s="384" customFormat="1" ht="15.75" thickBot="1">
      <c r="A30" s="198">
        <v>28</v>
      </c>
      <c r="B30" s="381" t="s">
        <v>1080</v>
      </c>
      <c r="C30" s="349"/>
      <c r="D30" s="349"/>
      <c r="E30" s="349"/>
      <c r="F30" s="349"/>
      <c r="G30" s="349"/>
      <c r="H30" s="349"/>
      <c r="I30" s="349"/>
      <c r="J30" s="349"/>
      <c r="K30" s="349"/>
    </row>
    <row r="31" spans="1:12" ht="15">
      <c r="A31" s="198">
        <v>29</v>
      </c>
      <c r="B31" s="382" t="s">
        <v>1081</v>
      </c>
      <c r="C31" s="385">
        <v>0</v>
      </c>
      <c r="D31" s="385">
        <v>0</v>
      </c>
      <c r="E31" s="306"/>
      <c r="F31" s="386">
        <v>0</v>
      </c>
      <c r="G31" s="615">
        <v>0</v>
      </c>
      <c r="H31" s="615">
        <v>0</v>
      </c>
      <c r="I31" s="616">
        <v>0</v>
      </c>
      <c r="J31" s="616">
        <v>0</v>
      </c>
      <c r="K31" s="387">
        <v>0</v>
      </c>
    </row>
    <row r="32" spans="1:12" ht="15">
      <c r="A32" s="198">
        <v>30</v>
      </c>
      <c r="B32" s="383" t="s">
        <v>1082</v>
      </c>
      <c r="C32" s="388">
        <f ca="1">C28*SFAssumptions!$B$79*SFAssumptions!$B$75/100000</f>
        <v>12.104388544903154</v>
      </c>
      <c r="D32" s="388">
        <f ca="1">D28*SFAssumptions!$B$79*SFAssumptions!$B$75/100000</f>
        <v>11.384828759727979</v>
      </c>
      <c r="E32" s="306"/>
      <c r="F32" s="389">
        <f ca="1">F28*SFAssumptions!$B$79*SFAssumptions!$B$75/100000</f>
        <v>10.9535065718844</v>
      </c>
      <c r="G32" s="617">
        <f ca="1">G28*SFAssumptions!$B$79*SFAssumptions!$B$75/100000</f>
        <v>9.5903581233529334</v>
      </c>
      <c r="H32" s="617">
        <f ca="1">H28*SFAssumptions!$B$79*SFAssumptions!$B$75/100000</f>
        <v>9.970749962765149</v>
      </c>
      <c r="I32" s="618">
        <f ca="1">I28*SFAssumptions!$B$79*SFAssumptions!B75/100000</f>
        <v>9.9847764093596894</v>
      </c>
      <c r="J32" s="618">
        <f ca="1">J28*SFAssumptions!$B$79*SFAssumptions!B75/100000</f>
        <v>9.1335691769048033</v>
      </c>
      <c r="K32" s="390">
        <f ca="1">K28*SFAssumptions!$B$79*SFAssumptions!B75/100000</f>
        <v>8.5765844512938862</v>
      </c>
    </row>
    <row r="33" spans="1:11" ht="15.75" thickBot="1">
      <c r="A33" s="198">
        <v>31</v>
      </c>
      <c r="B33" s="368" t="s">
        <v>1083</v>
      </c>
      <c r="C33" s="391">
        <f ca="1">(C29*SFAssumptions!$B$75/100000)/SFAssumptions!$B$78</f>
        <v>4.1048997795472824</v>
      </c>
      <c r="D33" s="391">
        <f ca="1">(D29*SFAssumptions!$B$75/100000)/SFAssumptions!$B$78</f>
        <v>3.7539004132047786</v>
      </c>
      <c r="E33" s="306"/>
      <c r="F33" s="392">
        <f ca="1">(F29*SFAssumptions!$B$75/100000)/SFAssumptions!$B$78</f>
        <v>3.8392714427584451</v>
      </c>
      <c r="G33" s="619">
        <f ca="1">(G29*SFAssumptions!$B$75/100000)/SFAssumptions!$B$78</f>
        <v>2.7879739182285577</v>
      </c>
      <c r="H33" s="619">
        <f ca="1">(H29*SFAssumptions!$B$75/100000)/SFAssumptions!$B$78</f>
        <v>3.0833845286414054</v>
      </c>
      <c r="I33" s="620">
        <f ca="1">(I29*SFAssumptions!B75/100000)/SFAssumptions!$B$78</f>
        <v>2.9580391714755589</v>
      </c>
      <c r="J33" s="620">
        <f ca="1">(J29*SFAssumptions!B75/100000)/SFAssumptions!$B$78</f>
        <v>2.5582038275980876</v>
      </c>
      <c r="K33" s="393">
        <f ca="1">(K29*SFAssumptions!B75/100000)/SFAssumptions!$B$78</f>
        <v>2.5018582628161266</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dimension ref="A1:BD26"/>
  <sheetViews>
    <sheetView workbookViewId="0">
      <selection activeCell="C34" sqref="C34"/>
    </sheetView>
  </sheetViews>
  <sheetFormatPr defaultRowHeight="12.75"/>
  <cols>
    <col min="1" max="2" width="21.85546875" customWidth="1"/>
    <col min="3" max="3" width="40.28515625" bestFit="1" customWidth="1"/>
    <col min="4" max="4" width="12.28515625" bestFit="1" customWidth="1"/>
    <col min="5" max="5" width="30.5703125" bestFit="1" customWidth="1"/>
    <col min="10" max="10" width="15.42578125" bestFit="1" customWidth="1"/>
  </cols>
  <sheetData>
    <row r="1" spans="1:56" ht="15.75" thickBot="1">
      <c r="A1" s="63" t="s">
        <v>1212</v>
      </c>
      <c r="B1" s="63" t="s">
        <v>1213</v>
      </c>
      <c r="C1" s="63" t="s">
        <v>1214</v>
      </c>
      <c r="D1" s="63" t="s">
        <v>1215</v>
      </c>
      <c r="E1" s="63" t="s">
        <v>1216</v>
      </c>
      <c r="F1" s="63" t="s">
        <v>1217</v>
      </c>
      <c r="G1" s="63" t="s">
        <v>1218</v>
      </c>
      <c r="H1" s="63" t="s">
        <v>1219</v>
      </c>
      <c r="I1" s="63" t="s">
        <v>72</v>
      </c>
      <c r="J1" s="63" t="s">
        <v>73</v>
      </c>
      <c r="K1" s="74">
        <v>2016</v>
      </c>
      <c r="L1" s="68">
        <v>2017</v>
      </c>
      <c r="M1" s="68">
        <v>2018</v>
      </c>
      <c r="N1" s="68">
        <v>2019</v>
      </c>
      <c r="O1" s="68">
        <v>2020</v>
      </c>
      <c r="P1" s="68">
        <v>2021</v>
      </c>
      <c r="Q1" s="68">
        <v>2022</v>
      </c>
      <c r="R1" s="68">
        <v>2023</v>
      </c>
      <c r="S1" s="68">
        <v>2024</v>
      </c>
      <c r="T1" s="68">
        <v>2025</v>
      </c>
      <c r="U1" s="68">
        <v>2026</v>
      </c>
      <c r="V1" s="68">
        <v>2027</v>
      </c>
      <c r="W1" s="68">
        <v>2028</v>
      </c>
      <c r="X1" s="68">
        <v>2029</v>
      </c>
      <c r="Y1" s="68">
        <v>2030</v>
      </c>
      <c r="Z1" s="68">
        <v>2031</v>
      </c>
      <c r="AA1" s="68">
        <v>2032</v>
      </c>
      <c r="AB1" s="68">
        <v>2033</v>
      </c>
      <c r="AC1" s="68">
        <v>2034</v>
      </c>
      <c r="AD1" s="68">
        <v>2035</v>
      </c>
      <c r="AE1" s="69" t="s">
        <v>153</v>
      </c>
      <c r="AF1" s="46" t="s">
        <v>1220</v>
      </c>
      <c r="AG1" s="47"/>
      <c r="AH1" s="47"/>
      <c r="AI1" s="47"/>
      <c r="AJ1" s="47"/>
      <c r="AK1" s="47"/>
      <c r="AL1" s="47"/>
      <c r="AM1" s="47"/>
      <c r="AN1" s="47"/>
      <c r="AO1" s="47"/>
      <c r="AP1" s="47"/>
      <c r="AQ1" s="41"/>
      <c r="AR1" s="45"/>
      <c r="AS1" s="46" t="s">
        <v>1221</v>
      </c>
      <c r="AT1" s="47"/>
      <c r="AU1" s="47"/>
      <c r="AV1" s="47"/>
      <c r="AW1" s="47"/>
      <c r="AX1" s="47"/>
      <c r="AY1" s="47"/>
      <c r="AZ1" s="47"/>
      <c r="BA1" s="47"/>
      <c r="BB1" s="47"/>
      <c r="BC1" s="47"/>
      <c r="BD1" s="41"/>
    </row>
    <row r="2" spans="1:56" ht="15">
      <c r="A2" s="63"/>
      <c r="B2" s="63"/>
      <c r="C2" s="63"/>
      <c r="D2" s="63"/>
      <c r="E2" s="63"/>
      <c r="F2" s="63" t="s">
        <v>1222</v>
      </c>
      <c r="G2" s="63" t="s">
        <v>49</v>
      </c>
      <c r="H2" s="63" t="s">
        <v>71</v>
      </c>
      <c r="I2" s="63">
        <v>1</v>
      </c>
      <c r="J2" s="63"/>
      <c r="K2" s="75" t="str">
        <f t="shared" ref="K2:AD2" si="0">CONCATENATE("aMW_",K$1)</f>
        <v>aMW_2016</v>
      </c>
      <c r="L2" s="70" t="str">
        <f t="shared" si="0"/>
        <v>aMW_2017</v>
      </c>
      <c r="M2" s="70" t="str">
        <f t="shared" si="0"/>
        <v>aMW_2018</v>
      </c>
      <c r="N2" s="70" t="str">
        <f t="shared" si="0"/>
        <v>aMW_2019</v>
      </c>
      <c r="O2" s="70" t="str">
        <f t="shared" si="0"/>
        <v>aMW_2020</v>
      </c>
      <c r="P2" s="70" t="str">
        <f t="shared" si="0"/>
        <v>aMW_2021</v>
      </c>
      <c r="Q2" s="70" t="str">
        <f t="shared" si="0"/>
        <v>aMW_2022</v>
      </c>
      <c r="R2" s="70" t="str">
        <f t="shared" si="0"/>
        <v>aMW_2023</v>
      </c>
      <c r="S2" s="70" t="str">
        <f t="shared" si="0"/>
        <v>aMW_2024</v>
      </c>
      <c r="T2" s="70" t="str">
        <f t="shared" si="0"/>
        <v>aMW_2025</v>
      </c>
      <c r="U2" s="70" t="str">
        <f t="shared" si="0"/>
        <v>aMW_2026</v>
      </c>
      <c r="V2" s="70" t="str">
        <f t="shared" si="0"/>
        <v>aMW_2027</v>
      </c>
      <c r="W2" s="70" t="str">
        <f t="shared" si="0"/>
        <v>aMW_2028</v>
      </c>
      <c r="X2" s="70" t="str">
        <f t="shared" si="0"/>
        <v>aMW_2029</v>
      </c>
      <c r="Y2" s="70" t="str">
        <f t="shared" si="0"/>
        <v>aMW_2030</v>
      </c>
      <c r="Z2" s="70" t="str">
        <f t="shared" si="0"/>
        <v>aMW_2031</v>
      </c>
      <c r="AA2" s="70" t="str">
        <f t="shared" si="0"/>
        <v>aMW_2032</v>
      </c>
      <c r="AB2" s="70" t="str">
        <f t="shared" si="0"/>
        <v>aMW_2033</v>
      </c>
      <c r="AC2" s="70" t="str">
        <f t="shared" si="0"/>
        <v>aMW_2034</v>
      </c>
      <c r="AD2" s="70" t="str">
        <f t="shared" si="0"/>
        <v>aMW_2035</v>
      </c>
      <c r="AE2" s="71" t="s">
        <v>153</v>
      </c>
      <c r="AF2" s="39" t="s">
        <v>36</v>
      </c>
      <c r="AG2" s="39" t="s">
        <v>37</v>
      </c>
      <c r="AH2" s="39" t="s">
        <v>38</v>
      </c>
      <c r="AI2" s="39" t="s">
        <v>39</v>
      </c>
      <c r="AJ2" s="39" t="s">
        <v>40</v>
      </c>
      <c r="AK2" s="39" t="s">
        <v>41</v>
      </c>
      <c r="AL2" s="39" t="s">
        <v>42</v>
      </c>
      <c r="AM2" s="39" t="s">
        <v>43</v>
      </c>
      <c r="AN2" s="39" t="s">
        <v>44</v>
      </c>
      <c r="AO2" s="39" t="s">
        <v>45</v>
      </c>
      <c r="AP2" s="39" t="s">
        <v>46</v>
      </c>
      <c r="AQ2" s="39" t="s">
        <v>47</v>
      </c>
      <c r="AR2" s="39"/>
      <c r="AS2" s="39" t="s">
        <v>36</v>
      </c>
      <c r="AT2" s="39" t="s">
        <v>37</v>
      </c>
      <c r="AU2" s="39" t="s">
        <v>38</v>
      </c>
      <c r="AV2" s="39" t="s">
        <v>39</v>
      </c>
      <c r="AW2" s="39" t="s">
        <v>40</v>
      </c>
      <c r="AX2" s="39" t="s">
        <v>41</v>
      </c>
      <c r="AY2" s="39" t="s">
        <v>42</v>
      </c>
      <c r="AZ2" s="39" t="s">
        <v>43</v>
      </c>
      <c r="BA2" s="39" t="s">
        <v>44</v>
      </c>
      <c r="BB2" s="39" t="s">
        <v>45</v>
      </c>
      <c r="BC2" s="39" t="s">
        <v>46</v>
      </c>
      <c r="BD2" s="39" t="s">
        <v>47</v>
      </c>
    </row>
    <row r="3" spans="1:56" ht="15">
      <c r="A3" s="81" t="str">
        <f>VLOOKUP(CONCATENATE($C3," - ",$B3),[2]ACHIEV!$B$12:$C$100,2,FALSE)</f>
        <v>LO12Med</v>
      </c>
      <c r="B3" s="81" t="str">
        <f>'SC-New'!$C$7</f>
        <v>New</v>
      </c>
      <c r="C3" s="81" t="str">
        <f>'SC-New'!$C$8</f>
        <v>Clothes Washer</v>
      </c>
      <c r="D3" s="81" t="s">
        <v>389</v>
      </c>
      <c r="E3" s="81" t="str">
        <f>'SC-New'!$A$9</f>
        <v>Water Heating</v>
      </c>
      <c r="F3" s="546">
        <f t="shared" ref="F3:F26" si="1">VLOOKUP($J3,MeasureOutput,14,FALSE)</f>
        <v>9.7743917990938227E-3</v>
      </c>
      <c r="G3" s="72">
        <f>'SC-New'!A44</f>
        <v>14.998309672390386</v>
      </c>
      <c r="H3" s="72">
        <f>'SC-New'!B44</f>
        <v>-62.378126923104922</v>
      </c>
      <c r="I3" s="9" t="str">
        <f>'SC-New'!C44</f>
        <v>Single Family</v>
      </c>
      <c r="J3" s="9" t="str">
        <f>'SC-New'!D44</f>
        <v>Single Family CEE Tier 3 Clothes Washer - Any DHW, Any Dryer - 54% ENERGY STAR Baseline</v>
      </c>
      <c r="K3" s="36">
        <f ca="1">'SC-New'!E44</f>
        <v>1.1568223089492664E-2</v>
      </c>
      <c r="L3" s="36">
        <f ca="1">'SC-New'!F44</f>
        <v>2.2131063594565476E-2</v>
      </c>
      <c r="M3" s="36">
        <f ca="1">'SC-New'!G44</f>
        <v>3.1464971009774481E-2</v>
      </c>
      <c r="N3" s="36">
        <f ca="1">'SC-New'!H44</f>
        <v>4.0588547663134161E-2</v>
      </c>
      <c r="O3" s="36">
        <f ca="1">'SC-New'!I44</f>
        <v>4.9372170494675537E-2</v>
      </c>
      <c r="P3" s="36">
        <f ca="1">'SC-New'!J44</f>
        <v>5.5509468984208207E-2</v>
      </c>
      <c r="Q3" s="36">
        <f ca="1">'SC-New'!K44</f>
        <v>6.0548261641992791E-2</v>
      </c>
      <c r="R3" s="36">
        <f ca="1">'SC-New'!L44</f>
        <v>6.5501579290584824E-2</v>
      </c>
      <c r="S3" s="36">
        <f ca="1">'SC-New'!M44</f>
        <v>6.8977144867417448E-2</v>
      </c>
      <c r="T3" s="36">
        <f ca="1">'SC-New'!N44</f>
        <v>7.3582854852382751E-2</v>
      </c>
      <c r="U3" s="36">
        <f ca="1">'SC-New'!O44</f>
        <v>7.6819443840189752E-2</v>
      </c>
      <c r="V3" s="36">
        <f ca="1">'SC-New'!P44</f>
        <v>7.7983404547491558E-2</v>
      </c>
      <c r="W3" s="36">
        <f ca="1">'SC-New'!Q44</f>
        <v>7.7592078802766834E-2</v>
      </c>
      <c r="X3" s="36">
        <f ca="1">'SC-New'!R44</f>
        <v>7.9013413895945364E-2</v>
      </c>
      <c r="Y3" s="36">
        <f ca="1">'SC-New'!S44</f>
        <v>8.1020670398072842E-2</v>
      </c>
      <c r="Z3" s="36">
        <f ca="1">'SC-New'!T44</f>
        <v>8.1539677382057599E-2</v>
      </c>
      <c r="AA3" s="36">
        <f ca="1">'SC-New'!U44</f>
        <v>7.8847963321803993E-2</v>
      </c>
      <c r="AB3" s="36">
        <f ca="1">'SC-New'!V44</f>
        <v>7.8715065600275344E-2</v>
      </c>
      <c r="AC3" s="36">
        <f ca="1">'SC-New'!W44</f>
        <v>7.8915663250028703E-2</v>
      </c>
      <c r="AD3" s="36">
        <f ca="1">'SC-New'!X44</f>
        <v>7.9451640102330814E-2</v>
      </c>
      <c r="AE3" s="36">
        <f ca="1">'SC-New'!Y44</f>
        <v>1.2691433066291913</v>
      </c>
      <c r="AF3" s="547">
        <f t="shared" ref="AF3:AO12" si="2">VLOOKUP($J3,MeasureOutput,COLUMN()-17,FALSE)</f>
        <v>2.0043536646570304</v>
      </c>
      <c r="AG3" s="547">
        <f t="shared" si="2"/>
        <v>1.7400435141763051</v>
      </c>
      <c r="AH3" s="547">
        <f t="shared" si="2"/>
        <v>0.95457981513566481</v>
      </c>
      <c r="AI3" s="547">
        <f t="shared" si="2"/>
        <v>0.50517623352145247</v>
      </c>
      <c r="AJ3" s="547">
        <f t="shared" si="2"/>
        <v>0.52275015849873541</v>
      </c>
      <c r="AK3" s="547">
        <f t="shared" si="2"/>
        <v>0.52651184492696823</v>
      </c>
      <c r="AL3" s="547">
        <f t="shared" si="2"/>
        <v>0.50102349908255317</v>
      </c>
      <c r="AM3" s="547">
        <f t="shared" si="2"/>
        <v>0.54046901920467905</v>
      </c>
      <c r="AN3" s="547">
        <f t="shared" si="2"/>
        <v>0.47934073400759369</v>
      </c>
      <c r="AO3" s="547">
        <f t="shared" si="2"/>
        <v>0.54047834670084061</v>
      </c>
      <c r="AP3" s="547">
        <f t="shared" ref="AP3:BD12" si="3">VLOOKUP($J3,MeasureOutput,COLUMN()-17,FALSE)</f>
        <v>0.43247560179576144</v>
      </c>
      <c r="AQ3" s="547">
        <f t="shared" si="3"/>
        <v>0.4391206415141613</v>
      </c>
      <c r="AR3" s="547">
        <f t="shared" si="3"/>
        <v>0</v>
      </c>
      <c r="AS3" s="547">
        <f t="shared" si="3"/>
        <v>0.94050196087602767</v>
      </c>
      <c r="AT3" s="547">
        <f t="shared" si="3"/>
        <v>0.77230034715877971</v>
      </c>
      <c r="AU3" s="547">
        <f t="shared" si="3"/>
        <v>0.464442206446464</v>
      </c>
      <c r="AV3" s="547">
        <f t="shared" si="3"/>
        <v>0.39895536322769604</v>
      </c>
      <c r="AW3" s="547">
        <f t="shared" si="3"/>
        <v>0.40628895374643298</v>
      </c>
      <c r="AX3" s="547">
        <f t="shared" si="3"/>
        <v>0.37813827672209793</v>
      </c>
      <c r="AY3" s="547">
        <f t="shared" si="3"/>
        <v>0.423165979690861</v>
      </c>
      <c r="AZ3" s="547">
        <f t="shared" si="3"/>
        <v>0.38397994372011524</v>
      </c>
      <c r="BA3" s="547">
        <f t="shared" si="3"/>
        <v>0.41139615555888098</v>
      </c>
      <c r="BB3" s="547">
        <f t="shared" si="3"/>
        <v>0.38524172810272278</v>
      </c>
      <c r="BC3" s="547">
        <f t="shared" si="3"/>
        <v>0.42401342736778996</v>
      </c>
      <c r="BD3" s="547">
        <f t="shared" si="3"/>
        <v>0.42356225655077046</v>
      </c>
    </row>
    <row r="4" spans="1:56" ht="15">
      <c r="A4" s="81" t="str">
        <f>VLOOKUP(CONCATENATE($C4," - ",$B4),[2]ACHIEV!$B$12:$C$100,2,FALSE)</f>
        <v>LO12Med</v>
      </c>
      <c r="B4" s="81" t="str">
        <f>'SC-New'!$C$7</f>
        <v>New</v>
      </c>
      <c r="C4" s="81" t="str">
        <f>'SC-New'!$C$8</f>
        <v>Clothes Washer</v>
      </c>
      <c r="D4" s="81" t="s">
        <v>389</v>
      </c>
      <c r="E4" s="81" t="str">
        <f>'SC-New'!$A$9</f>
        <v>Water Heating</v>
      </c>
      <c r="F4" s="546">
        <f t="shared" si="1"/>
        <v>9.8993773379950703E-3</v>
      </c>
      <c r="G4" s="72">
        <f>'SC-New'!A45</f>
        <v>16.359662309730922</v>
      </c>
      <c r="H4" s="72">
        <f>'SC-New'!B45</f>
        <v>-77.253113419871809</v>
      </c>
      <c r="I4" s="9" t="str">
        <f>'SC-New'!C45</f>
        <v>Multifamily - Low Rise</v>
      </c>
      <c r="J4" s="9" t="str">
        <f>'SC-New'!D45</f>
        <v>Multifamily - Low Rise CEE Tier 3 Clothes Washer - Any DHW, Any Dryer - 54% ENERGY STAR Baseline</v>
      </c>
      <c r="K4" s="36">
        <f ca="1">'SC-New'!E45</f>
        <v>1.8755691880442539E-3</v>
      </c>
      <c r="L4" s="36">
        <f ca="1">'SC-New'!F45</f>
        <v>3.7087728976635923E-3</v>
      </c>
      <c r="M4" s="36">
        <f ca="1">'SC-New'!G45</f>
        <v>5.5134165180770701E-3</v>
      </c>
      <c r="N4" s="36">
        <f ca="1">'SC-New'!H45</f>
        <v>7.1173619652894612E-3</v>
      </c>
      <c r="O4" s="36">
        <f ca="1">'SC-New'!I45</f>
        <v>8.3858984537636648E-3</v>
      </c>
      <c r="P4" s="36">
        <f ca="1">'SC-New'!J45</f>
        <v>9.5400152036828299E-3</v>
      </c>
      <c r="Q4" s="36">
        <f ca="1">'SC-New'!K45</f>
        <v>1.0606914174820124E-2</v>
      </c>
      <c r="R4" s="36">
        <f ca="1">'SC-New'!L45</f>
        <v>1.1744172578091504E-2</v>
      </c>
      <c r="S4" s="36">
        <f ca="1">'SC-New'!M45</f>
        <v>1.2800199701807079E-2</v>
      </c>
      <c r="T4" s="36">
        <f ca="1">'SC-New'!N45</f>
        <v>1.3781112029786439E-2</v>
      </c>
      <c r="U4" s="36">
        <f ca="1">'SC-New'!O45</f>
        <v>1.4347155250964048E-2</v>
      </c>
      <c r="V4" s="36">
        <f ca="1">'SC-New'!P45</f>
        <v>1.4758012691795394E-2</v>
      </c>
      <c r="W4" s="36">
        <f ca="1">'SC-New'!Q45</f>
        <v>1.51076706921199E-2</v>
      </c>
      <c r="X4" s="36">
        <f ca="1">'SC-New'!R45</f>
        <v>1.5201180537661242E-2</v>
      </c>
      <c r="Y4" s="36">
        <f ca="1">'SC-New'!S45</f>
        <v>1.5221851571604673E-2</v>
      </c>
      <c r="Z4" s="36">
        <f ca="1">'SC-New'!T45</f>
        <v>1.507020203043602E-2</v>
      </c>
      <c r="AA4" s="36">
        <f ca="1">'SC-New'!U45</f>
        <v>1.4814344176580004E-2</v>
      </c>
      <c r="AB4" s="36">
        <f ca="1">'SC-New'!V45</f>
        <v>1.4626908195040207E-2</v>
      </c>
      <c r="AC4" s="36">
        <f ca="1">'SC-New'!W45</f>
        <v>1.4345411322070239E-2</v>
      </c>
      <c r="AD4" s="36">
        <f ca="1">'SC-New'!X45</f>
        <v>1.4291182552276575E-2</v>
      </c>
      <c r="AE4" s="36">
        <f ca="1">'SC-New'!Y45</f>
        <v>0.23285735173157429</v>
      </c>
      <c r="AF4" s="547">
        <f t="shared" si="2"/>
        <v>2.0586098901860663</v>
      </c>
      <c r="AG4" s="547">
        <f t="shared" si="2"/>
        <v>1.7888089211438662</v>
      </c>
      <c r="AH4" s="547">
        <f t="shared" si="2"/>
        <v>1.0286007718507246</v>
      </c>
      <c r="AI4" s="547">
        <f t="shared" si="2"/>
        <v>0.58840670343869783</v>
      </c>
      <c r="AJ4" s="547">
        <f t="shared" si="2"/>
        <v>0.60287040276109127</v>
      </c>
      <c r="AK4" s="547">
        <f t="shared" si="2"/>
        <v>0.61348901652268306</v>
      </c>
      <c r="AL4" s="547">
        <f t="shared" si="2"/>
        <v>0.59954976734147236</v>
      </c>
      <c r="AM4" s="547">
        <f t="shared" si="2"/>
        <v>0.63697788085495644</v>
      </c>
      <c r="AN4" s="547">
        <f t="shared" si="2"/>
        <v>0.56335160235329529</v>
      </c>
      <c r="AO4" s="547">
        <f t="shared" si="2"/>
        <v>0.62890004674454969</v>
      </c>
      <c r="AP4" s="547">
        <f t="shared" si="3"/>
        <v>0.50292270409131545</v>
      </c>
      <c r="AQ4" s="547">
        <f t="shared" si="3"/>
        <v>0.51386482991957649</v>
      </c>
      <c r="AR4" s="547">
        <f t="shared" si="3"/>
        <v>0</v>
      </c>
      <c r="AS4" s="547">
        <f t="shared" si="3"/>
        <v>0.96781433718616583</v>
      </c>
      <c r="AT4" s="547">
        <f t="shared" si="3"/>
        <v>0.79420167230860206</v>
      </c>
      <c r="AU4" s="547">
        <f t="shared" si="3"/>
        <v>0.48828040856735105</v>
      </c>
      <c r="AV4" s="547">
        <f t="shared" si="3"/>
        <v>0.43677115588243731</v>
      </c>
      <c r="AW4" s="547">
        <f t="shared" si="3"/>
        <v>0.44545508756200969</v>
      </c>
      <c r="AX4" s="547">
        <f t="shared" si="3"/>
        <v>0.4151039324567582</v>
      </c>
      <c r="AY4" s="547">
        <f t="shared" si="3"/>
        <v>0.48235901848165452</v>
      </c>
      <c r="AZ4" s="547">
        <f t="shared" si="3"/>
        <v>0.41944456401722263</v>
      </c>
      <c r="BA4" s="547">
        <f t="shared" si="3"/>
        <v>0.45176630201527668</v>
      </c>
      <c r="BB4" s="547">
        <f t="shared" si="3"/>
        <v>0.41292881831538814</v>
      </c>
      <c r="BC4" s="547">
        <f t="shared" si="3"/>
        <v>0.45918776054619831</v>
      </c>
      <c r="BD4" s="547">
        <f t="shared" si="3"/>
        <v>0.45999671518356283</v>
      </c>
    </row>
    <row r="5" spans="1:56" ht="15">
      <c r="A5" s="81" t="str">
        <f>VLOOKUP(CONCATENATE($C5," - ",$B5),[2]ACHIEV!$B$12:$C$100,2,FALSE)</f>
        <v>LO12Med</v>
      </c>
      <c r="B5" s="81" t="str">
        <f>'SC-New'!$C$7</f>
        <v>New</v>
      </c>
      <c r="C5" s="81" t="str">
        <f>'SC-New'!$C$8</f>
        <v>Clothes Washer</v>
      </c>
      <c r="D5" s="81" t="s">
        <v>389</v>
      </c>
      <c r="E5" s="81" t="str">
        <f>'SC-New'!$A$9</f>
        <v>Water Heating</v>
      </c>
      <c r="F5" s="546">
        <f t="shared" si="1"/>
        <v>9.907237014229936E-3</v>
      </c>
      <c r="G5" s="72">
        <f>'SC-New'!A46</f>
        <v>16.365081135408719</v>
      </c>
      <c r="H5" s="72">
        <f>'SC-New'!B46</f>
        <v>-77.407564903665772</v>
      </c>
      <c r="I5" s="9" t="str">
        <f>'SC-New'!C46</f>
        <v>Manufactured</v>
      </c>
      <c r="J5" s="9" t="str">
        <f>'SC-New'!D46</f>
        <v>Manufactured CEE Tier 3 Clothes Washer - Any DHW, Any Dryer - 54% ENERGY STAR Baseline</v>
      </c>
      <c r="K5" s="36">
        <f ca="1">'SC-New'!E46</f>
        <v>3.6431529793260918E-4</v>
      </c>
      <c r="L5" s="36">
        <f ca="1">'SC-New'!F46</f>
        <v>7.3339345391480054E-4</v>
      </c>
      <c r="M5" s="36">
        <f ca="1">'SC-New'!G46</f>
        <v>1.1394555265064805E-3</v>
      </c>
      <c r="N5" s="36">
        <f ca="1">'SC-New'!H46</f>
        <v>1.575443819774112E-3</v>
      </c>
      <c r="O5" s="36">
        <f ca="1">'SC-New'!I46</f>
        <v>1.9091984002016665E-3</v>
      </c>
      <c r="P5" s="36">
        <f ca="1">'SC-New'!J46</f>
        <v>2.217294039711049E-3</v>
      </c>
      <c r="Q5" s="36">
        <f ca="1">'SC-New'!K46</f>
        <v>2.4961192353202687E-3</v>
      </c>
      <c r="R5" s="36">
        <f ca="1">'SC-New'!L46</f>
        <v>2.7285861236148526E-3</v>
      </c>
      <c r="S5" s="36">
        <f ca="1">'SC-New'!M46</f>
        <v>2.9192442403300411E-3</v>
      </c>
      <c r="T5" s="36">
        <f ca="1">'SC-New'!N46</f>
        <v>3.0617228507276409E-3</v>
      </c>
      <c r="U5" s="36">
        <f ca="1">'SC-New'!O46</f>
        <v>3.1570941943412012E-3</v>
      </c>
      <c r="V5" s="36">
        <f ca="1">'SC-New'!P46</f>
        <v>3.2431972267042367E-3</v>
      </c>
      <c r="W5" s="36">
        <f ca="1">'SC-New'!Q46</f>
        <v>3.3194473200213901E-3</v>
      </c>
      <c r="X5" s="36">
        <f ca="1">'SC-New'!R46</f>
        <v>3.380504317599833E-3</v>
      </c>
      <c r="Y5" s="36">
        <f ca="1">'SC-New'!S46</f>
        <v>3.4276406851436419E-3</v>
      </c>
      <c r="Z5" s="36">
        <f ca="1">'SC-New'!T46</f>
        <v>3.4626703756355805E-3</v>
      </c>
      <c r="AA5" s="36">
        <f ca="1">'SC-New'!U46</f>
        <v>3.4605653479652583E-3</v>
      </c>
      <c r="AB5" s="36">
        <f ca="1">'SC-New'!V46</f>
        <v>3.4610355626495315E-3</v>
      </c>
      <c r="AC5" s="36">
        <f ca="1">'SC-New'!W46</f>
        <v>3.4621172898814953E-3</v>
      </c>
      <c r="AD5" s="36">
        <f ca="1">'SC-New'!X46</f>
        <v>3.4625358540727857E-3</v>
      </c>
      <c r="AE5" s="36">
        <f ca="1">'SC-New'!Y46</f>
        <v>5.2981581162048472E-2</v>
      </c>
      <c r="AF5" s="547">
        <f t="shared" si="2"/>
        <v>2.0600590625643087</v>
      </c>
      <c r="AG5" s="547">
        <f t="shared" si="2"/>
        <v>1.7900572920215869</v>
      </c>
      <c r="AH5" s="547">
        <f t="shared" si="2"/>
        <v>1.029017152922479</v>
      </c>
      <c r="AI5" s="547">
        <f t="shared" si="2"/>
        <v>0.5883772469787335</v>
      </c>
      <c r="AJ5" s="547">
        <f t="shared" si="2"/>
        <v>0.60287332028154139</v>
      </c>
      <c r="AK5" s="547">
        <f t="shared" si="2"/>
        <v>0.61345606371055572</v>
      </c>
      <c r="AL5" s="547">
        <f t="shared" si="2"/>
        <v>0.59942918534424461</v>
      </c>
      <c r="AM5" s="547">
        <f t="shared" si="2"/>
        <v>0.63690278272372136</v>
      </c>
      <c r="AN5" s="547">
        <f t="shared" si="2"/>
        <v>0.563294114070511</v>
      </c>
      <c r="AO5" s="547">
        <f t="shared" si="2"/>
        <v>0.62887153342389013</v>
      </c>
      <c r="AP5" s="547">
        <f t="shared" si="3"/>
        <v>0.50290164594816456</v>
      </c>
      <c r="AQ5" s="547">
        <f t="shared" si="3"/>
        <v>0.5138254919452292</v>
      </c>
      <c r="AR5" s="547">
        <f t="shared" si="3"/>
        <v>0</v>
      </c>
      <c r="AS5" s="547">
        <f t="shared" si="3"/>
        <v>0.968484306429504</v>
      </c>
      <c r="AT5" s="547">
        <f t="shared" si="3"/>
        <v>0.79475471028403721</v>
      </c>
      <c r="AU5" s="547">
        <f t="shared" si="3"/>
        <v>0.48855235178591555</v>
      </c>
      <c r="AV5" s="547">
        <f t="shared" si="3"/>
        <v>0.43690674794708434</v>
      </c>
      <c r="AW5" s="547">
        <f t="shared" si="3"/>
        <v>0.44558930678222142</v>
      </c>
      <c r="AX5" s="547">
        <f t="shared" si="3"/>
        <v>0.4152255895031266</v>
      </c>
      <c r="AY5" s="547">
        <f t="shared" si="3"/>
        <v>0.48239467889396442</v>
      </c>
      <c r="AZ5" s="547">
        <f t="shared" si="3"/>
        <v>0.41957945883876901</v>
      </c>
      <c r="BA5" s="547">
        <f t="shared" si="3"/>
        <v>0.45189761227415909</v>
      </c>
      <c r="BB5" s="547">
        <f t="shared" si="3"/>
        <v>0.41310919117723133</v>
      </c>
      <c r="BC5" s="547">
        <f t="shared" si="3"/>
        <v>0.45936045637521916</v>
      </c>
      <c r="BD5" s="547">
        <f t="shared" si="3"/>
        <v>0.4601618331825188</v>
      </c>
    </row>
    <row r="6" spans="1:56" ht="15">
      <c r="A6" s="81" t="str">
        <f>VLOOKUP(CONCATENATE($C6," - ",$B6),[2]ACHIEV!$B$12:$C$100,2,FALSE)</f>
        <v>LO12Med</v>
      </c>
      <c r="B6" s="81" t="str">
        <f>'SC-New'!$C$7</f>
        <v>New</v>
      </c>
      <c r="C6" s="81" t="str">
        <f>'SC-NR'!$C$8</f>
        <v>Clothes Washer</v>
      </c>
      <c r="D6" s="81" t="s">
        <v>389</v>
      </c>
      <c r="E6" s="81" t="str">
        <f>'SC-New'!$A$9</f>
        <v>Water Heating</v>
      </c>
      <c r="F6" s="546">
        <f t="shared" si="1"/>
        <v>9.8993773379950703E-3</v>
      </c>
      <c r="G6" s="72">
        <f>'SC-New'!A47</f>
        <v>16.359662309730922</v>
      </c>
      <c r="H6" s="72">
        <f>'SC-New'!B47</f>
        <v>-77.253113419871809</v>
      </c>
      <c r="I6" s="9" t="str">
        <f>'SC-New'!C47</f>
        <v>Multifamily - High Rise</v>
      </c>
      <c r="J6" s="9" t="str">
        <f>'SC-New'!D47</f>
        <v>Multifamily - High Rise CEE Tier 3 Clothes Washer - Any DHW, Any Dryer - 54% ENERGY STAR Baseline</v>
      </c>
      <c r="K6" s="36">
        <f ca="1">'SC-New'!E47</f>
        <v>4.2806116228520717E-4</v>
      </c>
      <c r="L6" s="36">
        <f ca="1">'SC-New'!F47</f>
        <v>8.5836891011291036E-4</v>
      </c>
      <c r="M6" s="36">
        <f ca="1">'SC-New'!G47</f>
        <v>1.2952463561146633E-3</v>
      </c>
      <c r="N6" s="36">
        <f ca="1">'SC-New'!H47</f>
        <v>1.6334983642418983E-3</v>
      </c>
      <c r="O6" s="36">
        <f ca="1">'SC-New'!I47</f>
        <v>1.8873601119352838E-3</v>
      </c>
      <c r="P6" s="36">
        <f ca="1">'SC-New'!J47</f>
        <v>2.1792659612526501E-3</v>
      </c>
      <c r="Q6" s="36">
        <f ca="1">'SC-New'!K47</f>
        <v>2.4300947156727687E-3</v>
      </c>
      <c r="R6" s="36">
        <f ca="1">'SC-New'!L47</f>
        <v>2.7240923311305705E-3</v>
      </c>
      <c r="S6" s="36">
        <f ca="1">'SC-New'!M47</f>
        <v>2.9481673387312399E-3</v>
      </c>
      <c r="T6" s="36">
        <f ca="1">'SC-New'!N47</f>
        <v>3.1737609188728848E-3</v>
      </c>
      <c r="U6" s="36">
        <f ca="1">'SC-New'!O47</f>
        <v>3.2643450123024508E-3</v>
      </c>
      <c r="V6" s="36">
        <f ca="1">'SC-New'!P47</f>
        <v>3.3513294691658057E-3</v>
      </c>
      <c r="W6" s="36">
        <f ca="1">'SC-New'!Q47</f>
        <v>3.4011368649643622E-3</v>
      </c>
      <c r="X6" s="36">
        <f ca="1">'SC-New'!R47</f>
        <v>3.4489993038266829E-3</v>
      </c>
      <c r="Y6" s="36">
        <f ca="1">'SC-New'!S47</f>
        <v>3.4701420569877182E-3</v>
      </c>
      <c r="Z6" s="36">
        <f ca="1">'SC-New'!T47</f>
        <v>3.4331372092317501E-3</v>
      </c>
      <c r="AA6" s="36">
        <f ca="1">'SC-New'!U47</f>
        <v>3.378899555027454E-3</v>
      </c>
      <c r="AB6" s="36">
        <f ca="1">'SC-New'!V47</f>
        <v>3.3011617084479144E-3</v>
      </c>
      <c r="AC6" s="36">
        <f ca="1">'SC-New'!W47</f>
        <v>3.2885911154666627E-3</v>
      </c>
      <c r="AD6" s="36">
        <f ca="1">'SC-New'!X47</f>
        <v>3.2736186993224106E-3</v>
      </c>
      <c r="AE6" s="36">
        <f ca="1">'SC-New'!Y47</f>
        <v>5.3169277165093294E-2</v>
      </c>
      <c r="AF6" s="547">
        <f t="shared" si="2"/>
        <v>2.0586098901860663</v>
      </c>
      <c r="AG6" s="547">
        <f t="shared" si="2"/>
        <v>1.7888089211438662</v>
      </c>
      <c r="AH6" s="547">
        <f t="shared" si="2"/>
        <v>1.0286007718507246</v>
      </c>
      <c r="AI6" s="547">
        <f t="shared" si="2"/>
        <v>0.58840670343869783</v>
      </c>
      <c r="AJ6" s="547">
        <f t="shared" si="2"/>
        <v>0.60287040276109127</v>
      </c>
      <c r="AK6" s="547">
        <f t="shared" si="2"/>
        <v>0.61348901652268306</v>
      </c>
      <c r="AL6" s="547">
        <f t="shared" si="2"/>
        <v>0.59954976734147236</v>
      </c>
      <c r="AM6" s="547">
        <f t="shared" si="2"/>
        <v>0.63697788085495644</v>
      </c>
      <c r="AN6" s="547">
        <f t="shared" si="2"/>
        <v>0.56335160235329529</v>
      </c>
      <c r="AO6" s="547">
        <f t="shared" si="2"/>
        <v>0.62890004674454969</v>
      </c>
      <c r="AP6" s="547">
        <f t="shared" si="3"/>
        <v>0.50292270409131545</v>
      </c>
      <c r="AQ6" s="547">
        <f t="shared" si="3"/>
        <v>0.51386482991957649</v>
      </c>
      <c r="AR6" s="547">
        <f t="shared" si="3"/>
        <v>0</v>
      </c>
      <c r="AS6" s="547">
        <f t="shared" si="3"/>
        <v>0.96781433718616583</v>
      </c>
      <c r="AT6" s="547">
        <f t="shared" si="3"/>
        <v>0.79420167230860206</v>
      </c>
      <c r="AU6" s="547">
        <f t="shared" si="3"/>
        <v>0.48828040856735105</v>
      </c>
      <c r="AV6" s="547">
        <f t="shared" si="3"/>
        <v>0.43677115588243731</v>
      </c>
      <c r="AW6" s="547">
        <f t="shared" si="3"/>
        <v>0.44545508756200969</v>
      </c>
      <c r="AX6" s="547">
        <f t="shared" si="3"/>
        <v>0.4151039324567582</v>
      </c>
      <c r="AY6" s="547">
        <f t="shared" si="3"/>
        <v>0.48235901848165452</v>
      </c>
      <c r="AZ6" s="547">
        <f t="shared" si="3"/>
        <v>0.41944456401722263</v>
      </c>
      <c r="BA6" s="547">
        <f t="shared" si="3"/>
        <v>0.45176630201527668</v>
      </c>
      <c r="BB6" s="547">
        <f t="shared" si="3"/>
        <v>0.41292881831538814</v>
      </c>
      <c r="BC6" s="547">
        <f t="shared" si="3"/>
        <v>0.45918776054619831</v>
      </c>
      <c r="BD6" s="547">
        <f t="shared" si="3"/>
        <v>0.45999671518356283</v>
      </c>
    </row>
    <row r="7" spans="1:56" ht="15">
      <c r="A7" s="81" t="str">
        <f>VLOOKUP(CONCATENATE($C7," - ",$B7),[2]ACHIEV!$B$12:$C$100,2,FALSE)</f>
        <v>LO12Med</v>
      </c>
      <c r="B7" s="81" t="str">
        <f>'SC-New'!$C$7</f>
        <v>New</v>
      </c>
      <c r="C7" s="81" t="str">
        <f>'SC-New'!$C$8</f>
        <v>Clothes Washer</v>
      </c>
      <c r="D7" s="81" t="s">
        <v>389</v>
      </c>
      <c r="E7" s="81" t="str">
        <f>'SC-New'!$A$9</f>
        <v>Water Heating</v>
      </c>
      <c r="F7" s="546">
        <f t="shared" si="1"/>
        <v>1.6266486882292062E-2</v>
      </c>
      <c r="G7" s="72">
        <f>'SC-New'!A48</f>
        <v>31.749218306330086</v>
      </c>
      <c r="H7" s="72">
        <f>'SC-New'!B48</f>
        <v>-94.474849641527626</v>
      </c>
      <c r="I7" s="9" t="str">
        <f>'SC-New'!C48</f>
        <v>Single Family</v>
      </c>
      <c r="J7" s="9" t="str">
        <f>'SC-New'!D48</f>
        <v>Single Family CEE Tier 2 Clothes Washer - Any DHW, Any Dryer - 54% ENERGY STAR Baseline</v>
      </c>
      <c r="K7" s="36">
        <f ca="1">'SC-New'!E48</f>
        <v>2.4488228894269423E-2</v>
      </c>
      <c r="L7" s="36">
        <f ca="1">'SC-New'!F48</f>
        <v>4.6848210549259063E-2</v>
      </c>
      <c r="M7" s="36">
        <f ca="1">'SC-New'!G48</f>
        <v>6.6606721384788001E-2</v>
      </c>
      <c r="N7" s="36">
        <f ca="1">'SC-New'!H48</f>
        <v>8.5919992895329284E-2</v>
      </c>
      <c r="O7" s="36">
        <f ca="1">'SC-New'!I48</f>
        <v>0.10451363210471537</v>
      </c>
      <c r="P7" s="36">
        <f ca="1">'SC-New'!J48</f>
        <v>0.11750539143036656</v>
      </c>
      <c r="Q7" s="36">
        <f ca="1">'SC-New'!K48</f>
        <v>0.12817177528206361</v>
      </c>
      <c r="R7" s="36">
        <f ca="1">'SC-New'!L48</f>
        <v>0.13865722109568387</v>
      </c>
      <c r="S7" s="36">
        <f ca="1">'SC-New'!M48</f>
        <v>0.14601448285698462</v>
      </c>
      <c r="T7" s="36">
        <f ca="1">'SC-New'!N48</f>
        <v>0.15576409431069996</v>
      </c>
      <c r="U7" s="36">
        <f ca="1">'SC-New'!O48</f>
        <v>0.16261547773898807</v>
      </c>
      <c r="V7" s="36">
        <f ca="1">'SC-New'!P48</f>
        <v>0.16507941156908784</v>
      </c>
      <c r="W7" s="36">
        <f ca="1">'SC-New'!Q48</f>
        <v>0.1642510324537384</v>
      </c>
      <c r="X7" s="36">
        <f ca="1">'SC-New'!R48</f>
        <v>0.16725979005012562</v>
      </c>
      <c r="Y7" s="36">
        <f ca="1">'SC-New'!S48</f>
        <v>0.17150885719668288</v>
      </c>
      <c r="Z7" s="36">
        <f ca="1">'SC-New'!T48</f>
        <v>0.17260751873901495</v>
      </c>
      <c r="AA7" s="36">
        <f ca="1">'SC-New'!U48</f>
        <v>0.16690955548956096</v>
      </c>
      <c r="AB7" s="36">
        <f ca="1">'SC-New'!V48</f>
        <v>0.16662823053592343</v>
      </c>
      <c r="AC7" s="36">
        <f ca="1">'SC-New'!W48</f>
        <v>0.16705286629241006</v>
      </c>
      <c r="AD7" s="36">
        <f ca="1">'SC-New'!X48</f>
        <v>0.16818745055307546</v>
      </c>
      <c r="AE7" s="36">
        <f ca="1">'SC-New'!Y48</f>
        <v>2.6865899414227679</v>
      </c>
      <c r="AF7" s="547">
        <f t="shared" si="2"/>
        <v>3.5016869515497917</v>
      </c>
      <c r="AG7" s="547">
        <f t="shared" si="2"/>
        <v>3.0524760599943646</v>
      </c>
      <c r="AH7" s="547">
        <f t="shared" si="2"/>
        <v>1.9495640554948743</v>
      </c>
      <c r="AI7" s="547">
        <f t="shared" si="2"/>
        <v>1.2832391761368578</v>
      </c>
      <c r="AJ7" s="547">
        <f t="shared" si="2"/>
        <v>1.301044569346204</v>
      </c>
      <c r="AK7" s="547">
        <f t="shared" si="2"/>
        <v>1.3494591343985891</v>
      </c>
      <c r="AL7" s="547">
        <f t="shared" si="2"/>
        <v>1.3725667817754588</v>
      </c>
      <c r="AM7" s="547">
        <f t="shared" si="2"/>
        <v>1.4298934106133483</v>
      </c>
      <c r="AN7" s="547">
        <f t="shared" si="2"/>
        <v>1.2575116772417851</v>
      </c>
      <c r="AO7" s="547">
        <f t="shared" si="2"/>
        <v>1.3755211810437871</v>
      </c>
      <c r="AP7" s="547">
        <f t="shared" si="3"/>
        <v>1.0986200302237816</v>
      </c>
      <c r="AQ7" s="547">
        <f t="shared" si="3"/>
        <v>1.1307624596601558</v>
      </c>
      <c r="AR7" s="547">
        <f t="shared" si="3"/>
        <v>0</v>
      </c>
      <c r="AS7" s="547">
        <f t="shared" si="3"/>
        <v>1.6481439965665836</v>
      </c>
      <c r="AT7" s="547">
        <f t="shared" si="3"/>
        <v>1.3514897037524884</v>
      </c>
      <c r="AU7" s="547">
        <f t="shared" si="3"/>
        <v>0.87541831021863514</v>
      </c>
      <c r="AV7" s="547">
        <f t="shared" si="3"/>
        <v>0.8474788073620626</v>
      </c>
      <c r="AW7" s="547">
        <f t="shared" si="3"/>
        <v>0.86850834486653794</v>
      </c>
      <c r="AX7" s="547">
        <f t="shared" si="3"/>
        <v>0.8152758352478745</v>
      </c>
      <c r="AY7" s="547">
        <f t="shared" si="3"/>
        <v>1.0073969404971916</v>
      </c>
      <c r="AZ7" s="547">
        <f t="shared" si="3"/>
        <v>0.82049227778064882</v>
      </c>
      <c r="BA7" s="547">
        <f t="shared" si="3"/>
        <v>0.88987783379899688</v>
      </c>
      <c r="BB7" s="547">
        <f t="shared" si="3"/>
        <v>0.77499617630606032</v>
      </c>
      <c r="BC7" s="547">
        <f t="shared" si="3"/>
        <v>0.87044707137840316</v>
      </c>
      <c r="BD7" s="547">
        <f t="shared" si="3"/>
        <v>0.87734752107560576</v>
      </c>
    </row>
    <row r="8" spans="1:56" ht="15">
      <c r="A8" s="81" t="str">
        <f>VLOOKUP(CONCATENATE($C8," - ",$B8),[2]ACHIEV!$B$12:$C$100,2,FALSE)</f>
        <v>LO12Med</v>
      </c>
      <c r="B8" s="81" t="str">
        <f>'SC-New'!$C$7</f>
        <v>New</v>
      </c>
      <c r="C8" s="81" t="str">
        <f>'SC-New'!$C$8</f>
        <v>Clothes Washer</v>
      </c>
      <c r="D8" s="81" t="s">
        <v>389</v>
      </c>
      <c r="E8" s="81" t="str">
        <f>'SC-New'!$A$9</f>
        <v>Water Heating</v>
      </c>
      <c r="F8" s="546">
        <f t="shared" si="1"/>
        <v>1.5921079911198444E-2</v>
      </c>
      <c r="G8" s="72">
        <f>'SC-New'!A49</f>
        <v>31.45855370122467</v>
      </c>
      <c r="H8" s="72">
        <f>'SC-New'!B49</f>
        <v>-87.148332348686608</v>
      </c>
      <c r="I8" s="9" t="str">
        <f>'SC-New'!C49</f>
        <v>Manufactured</v>
      </c>
      <c r="J8" s="9" t="str">
        <f>'SC-New'!D49</f>
        <v>Manufactured CEE Tier 2 Clothes Washer - Any DHW, Any Dryer - 54% ENERGY STAR Baseline</v>
      </c>
      <c r="K8" s="36">
        <f ca="1">'SC-New'!E49</f>
        <v>7.0032236744571553E-4</v>
      </c>
      <c r="L8" s="36">
        <f ca="1">'SC-New'!F49</f>
        <v>1.4098003647648387E-3</v>
      </c>
      <c r="M8" s="36">
        <f ca="1">'SC-New'!G49</f>
        <v>2.1903724505956197E-3</v>
      </c>
      <c r="N8" s="36">
        <f ca="1">'SC-New'!H49</f>
        <v>3.0284716340569875E-3</v>
      </c>
      <c r="O8" s="36">
        <f ca="1">'SC-New'!I49</f>
        <v>3.6700472122368332E-3</v>
      </c>
      <c r="P8" s="36">
        <f ca="1">'SC-New'!J49</f>
        <v>4.2622986737739354E-3</v>
      </c>
      <c r="Q8" s="36">
        <f ca="1">'SC-New'!K49</f>
        <v>4.7982836357029395E-3</v>
      </c>
      <c r="R8" s="36">
        <f ca="1">'SC-New'!L49</f>
        <v>5.245154141792191E-3</v>
      </c>
      <c r="S8" s="36">
        <f ca="1">'SC-New'!M49</f>
        <v>5.6116557529746593E-3</v>
      </c>
      <c r="T8" s="36">
        <f ca="1">'SC-New'!N49</f>
        <v>5.8855420221218865E-3</v>
      </c>
      <c r="U8" s="36">
        <f ca="1">'SC-New'!O49</f>
        <v>6.0688741125527485E-3</v>
      </c>
      <c r="V8" s="36">
        <f ca="1">'SC-New'!P49</f>
        <v>6.2343897519204095E-3</v>
      </c>
      <c r="W8" s="36">
        <f ca="1">'SC-New'!Q49</f>
        <v>6.3809651117058882E-3</v>
      </c>
      <c r="X8" s="36">
        <f ca="1">'SC-New'!R49</f>
        <v>6.4983348223271861E-3</v>
      </c>
      <c r="Y8" s="36">
        <f ca="1">'SC-New'!S49</f>
        <v>6.5889449413597881E-3</v>
      </c>
      <c r="Z8" s="36">
        <f ca="1">'SC-New'!T49</f>
        <v>6.6562824259930658E-3</v>
      </c>
      <c r="AA8" s="36">
        <f ca="1">'SC-New'!U49</f>
        <v>6.652235936674653E-3</v>
      </c>
      <c r="AB8" s="36">
        <f ca="1">'SC-New'!V49</f>
        <v>6.6531398291621944E-3</v>
      </c>
      <c r="AC8" s="36">
        <f ca="1">'SC-New'!W49</f>
        <v>6.6552192306595197E-3</v>
      </c>
      <c r="AD8" s="36">
        <f ca="1">'SC-New'!X49</f>
        <v>6.6560238355362188E-3</v>
      </c>
      <c r="AE8" s="36">
        <f ca="1">'SC-New'!Y49</f>
        <v>0.10184635825335728</v>
      </c>
      <c r="AF8" s="547">
        <f t="shared" si="2"/>
        <v>3.4367149821705034</v>
      </c>
      <c r="AG8" s="547">
        <f t="shared" si="2"/>
        <v>2.9964232980461158</v>
      </c>
      <c r="AH8" s="547">
        <f t="shared" si="2"/>
        <v>1.9284892700517446</v>
      </c>
      <c r="AI8" s="547">
        <f t="shared" si="2"/>
        <v>1.2810861161574745</v>
      </c>
      <c r="AJ8" s="547">
        <f t="shared" si="2"/>
        <v>1.2976180953751943</v>
      </c>
      <c r="AK8" s="547">
        <f t="shared" si="2"/>
        <v>1.3473031100463664</v>
      </c>
      <c r="AL8" s="547">
        <f t="shared" si="2"/>
        <v>1.3737286646235267</v>
      </c>
      <c r="AM8" s="547">
        <f t="shared" si="2"/>
        <v>1.4291693167171768</v>
      </c>
      <c r="AN8" s="547">
        <f t="shared" si="2"/>
        <v>1.2565400179134882</v>
      </c>
      <c r="AO8" s="547">
        <f t="shared" si="2"/>
        <v>1.3731134631059452</v>
      </c>
      <c r="AP8" s="547">
        <f t="shared" si="3"/>
        <v>1.0966299423567938</v>
      </c>
      <c r="AQ8" s="547">
        <f t="shared" si="3"/>
        <v>1.1293867389951278</v>
      </c>
      <c r="AR8" s="547">
        <f t="shared" si="3"/>
        <v>0</v>
      </c>
      <c r="AS8" s="547">
        <f t="shared" si="3"/>
        <v>1.6180148827681655</v>
      </c>
      <c r="AT8" s="547">
        <f t="shared" si="3"/>
        <v>1.3266456263187516</v>
      </c>
      <c r="AU8" s="547">
        <f t="shared" si="3"/>
        <v>0.86266352391765577</v>
      </c>
      <c r="AV8" s="547">
        <f t="shared" si="3"/>
        <v>0.84005115523035656</v>
      </c>
      <c r="AW8" s="547">
        <f t="shared" si="3"/>
        <v>0.86108450467872455</v>
      </c>
      <c r="AX8" s="547">
        <f t="shared" si="3"/>
        <v>0.80848647114355943</v>
      </c>
      <c r="AY8" s="547">
        <f t="shared" si="3"/>
        <v>1.0034149668351826</v>
      </c>
      <c r="AZ8" s="547">
        <f t="shared" si="3"/>
        <v>0.81319165577077235</v>
      </c>
      <c r="BA8" s="547">
        <f t="shared" si="3"/>
        <v>0.88253033397781966</v>
      </c>
      <c r="BB8" s="547">
        <f t="shared" si="3"/>
        <v>0.76604709044090846</v>
      </c>
      <c r="BC8" s="547">
        <f t="shared" si="3"/>
        <v>0.86152193626326334</v>
      </c>
      <c r="BD8" s="547">
        <f t="shared" si="3"/>
        <v>0.86869853832004962</v>
      </c>
    </row>
    <row r="9" spans="1:56" ht="15">
      <c r="A9" s="81" t="str">
        <f>VLOOKUP(CONCATENATE($C9," - ",$B9),[2]ACHIEV!$B$12:$C$100,2,FALSE)</f>
        <v>LO12Med</v>
      </c>
      <c r="B9" s="81" t="str">
        <f>'SC-New'!$C$7</f>
        <v>New</v>
      </c>
      <c r="C9" s="81" t="str">
        <f>'SC-New'!$C$8</f>
        <v>Clothes Washer</v>
      </c>
      <c r="D9" s="81" t="s">
        <v>389</v>
      </c>
      <c r="E9" s="81" t="str">
        <f>'SC-New'!$A$9</f>
        <v>Water Heating</v>
      </c>
      <c r="F9" s="546">
        <f t="shared" si="1"/>
        <v>1.58878338034051E-2</v>
      </c>
      <c r="G9" s="72">
        <f>'SC-New'!A50</f>
        <v>31.430585206391111</v>
      </c>
      <c r="H9" s="72">
        <f>'SC-New'!B50</f>
        <v>-86.219141575020686</v>
      </c>
      <c r="I9" s="9" t="str">
        <f>'SC-New'!C50</f>
        <v>Multifamily - Low Rise</v>
      </c>
      <c r="J9" s="9" t="str">
        <f>'SC-New'!D50</f>
        <v>Multifamily - Low Rise CEE Tier 2 Clothes Washer - Any DHW, Any Dryer - 54% ENERGY STAR Baseline</v>
      </c>
      <c r="K9" s="36">
        <f ca="1">'SC-New'!E50</f>
        <v>3.6033896091022866E-3</v>
      </c>
      <c r="L9" s="36">
        <f ca="1">'SC-New'!F50</f>
        <v>7.1253856200829413E-3</v>
      </c>
      <c r="M9" s="36">
        <f ca="1">'SC-New'!G50</f>
        <v>1.0592511285924932E-2</v>
      </c>
      <c r="N9" s="36">
        <f ca="1">'SC-New'!H50</f>
        <v>1.3674050690013118E-2</v>
      </c>
      <c r="O9" s="36">
        <f ca="1">'SC-New'!I50</f>
        <v>1.6111194161164653E-2</v>
      </c>
      <c r="P9" s="36">
        <f ca="1">'SC-New'!J50</f>
        <v>1.8328511619171171E-2</v>
      </c>
      <c r="Q9" s="36">
        <f ca="1">'SC-New'!K50</f>
        <v>2.0378264137534324E-2</v>
      </c>
      <c r="R9" s="36">
        <f ca="1">'SC-New'!L50</f>
        <v>2.2563192925730887E-2</v>
      </c>
      <c r="S9" s="36">
        <f ca="1">'SC-New'!M50</f>
        <v>2.4592058183692835E-2</v>
      </c>
      <c r="T9" s="36">
        <f ca="1">'SC-New'!N50</f>
        <v>2.6476611050423843E-2</v>
      </c>
      <c r="U9" s="36">
        <f ca="1">'SC-New'!O50</f>
        <v>2.7564107195325361E-2</v>
      </c>
      <c r="V9" s="36">
        <f ca="1">'SC-New'!P50</f>
        <v>2.8353456605920976E-2</v>
      </c>
      <c r="W9" s="36">
        <f ca="1">'SC-New'!Q50</f>
        <v>2.9025228147669654E-2</v>
      </c>
      <c r="X9" s="36">
        <f ca="1">'SC-New'!R50</f>
        <v>2.9204881560575095E-2</v>
      </c>
      <c r="Y9" s="36">
        <f ca="1">'SC-New'!S50</f>
        <v>2.9244595258899827E-2</v>
      </c>
      <c r="Z9" s="36">
        <f ca="1">'SC-New'!T50</f>
        <v>2.8953242434191683E-2</v>
      </c>
      <c r="AA9" s="36">
        <f ca="1">'SC-New'!U50</f>
        <v>2.8461682038622725E-2</v>
      </c>
      <c r="AB9" s="36">
        <f ca="1">'SC-New'!V50</f>
        <v>2.8101575425356878E-2</v>
      </c>
      <c r="AC9" s="36">
        <f ca="1">'SC-New'!W50</f>
        <v>2.7560756716284104E-2</v>
      </c>
      <c r="AD9" s="36">
        <f ca="1">'SC-New'!X50</f>
        <v>2.7456571071289231E-2</v>
      </c>
      <c r="AE9" s="36">
        <f ca="1">'SC-New'!Y50</f>
        <v>0.44737126573697655</v>
      </c>
      <c r="AF9" s="547">
        <f t="shared" si="2"/>
        <v>3.4304615102273446</v>
      </c>
      <c r="AG9" s="547">
        <f t="shared" si="2"/>
        <v>2.9910283021455695</v>
      </c>
      <c r="AH9" s="547">
        <f t="shared" si="2"/>
        <v>1.9264612320290428</v>
      </c>
      <c r="AI9" s="547">
        <f t="shared" si="2"/>
        <v>1.2808794411387199</v>
      </c>
      <c r="AJ9" s="547">
        <f t="shared" si="2"/>
        <v>1.2972888274180658</v>
      </c>
      <c r="AK9" s="547">
        <f t="shared" si="2"/>
        <v>1.3470961751990971</v>
      </c>
      <c r="AL9" s="547">
        <f t="shared" si="2"/>
        <v>1.3738411717348933</v>
      </c>
      <c r="AM9" s="547">
        <f t="shared" si="2"/>
        <v>1.4291002764375971</v>
      </c>
      <c r="AN9" s="547">
        <f t="shared" si="2"/>
        <v>1.2564470632792268</v>
      </c>
      <c r="AO9" s="547">
        <f t="shared" si="2"/>
        <v>1.3728823114641737</v>
      </c>
      <c r="AP9" s="547">
        <f t="shared" si="3"/>
        <v>1.0964388671069452</v>
      </c>
      <c r="AQ9" s="547">
        <f t="shared" si="3"/>
        <v>1.1292548285757638</v>
      </c>
      <c r="AR9" s="547">
        <f t="shared" si="3"/>
        <v>0</v>
      </c>
      <c r="AS9" s="547">
        <f t="shared" si="3"/>
        <v>1.6151150073664062</v>
      </c>
      <c r="AT9" s="547">
        <f t="shared" si="3"/>
        <v>1.3242544223591068</v>
      </c>
      <c r="AU9" s="547">
        <f t="shared" si="3"/>
        <v>0.86143598123312626</v>
      </c>
      <c r="AV9" s="547">
        <f t="shared" si="3"/>
        <v>0.83933646807668316</v>
      </c>
      <c r="AW9" s="547">
        <f t="shared" si="3"/>
        <v>0.86037019363403067</v>
      </c>
      <c r="AX9" s="547">
        <f t="shared" si="3"/>
        <v>0.80783321626672966</v>
      </c>
      <c r="AY9" s="547">
        <f t="shared" si="3"/>
        <v>1.0030320870984848</v>
      </c>
      <c r="AZ9" s="547">
        <f t="shared" si="3"/>
        <v>0.81248917982628921</v>
      </c>
      <c r="BA9" s="547">
        <f t="shared" si="3"/>
        <v>0.88182337922954457</v>
      </c>
      <c r="BB9" s="547">
        <f t="shared" si="3"/>
        <v>0.76518588956650591</v>
      </c>
      <c r="BC9" s="547">
        <f t="shared" si="3"/>
        <v>0.86066309172437105</v>
      </c>
      <c r="BD9" s="547">
        <f t="shared" si="3"/>
        <v>0.86786628325339421</v>
      </c>
    </row>
    <row r="10" spans="1:56" ht="15">
      <c r="A10" s="81" t="str">
        <f>VLOOKUP(CONCATENATE($C10," - ",$B10),[2]ACHIEV!$B$12:$C$100,2,FALSE)</f>
        <v>LO12Med</v>
      </c>
      <c r="B10" s="81" t="str">
        <f>'SC-New'!$C$7</f>
        <v>New</v>
      </c>
      <c r="C10" s="81" t="str">
        <f>'SC-NR'!$C$8</f>
        <v>Clothes Washer</v>
      </c>
      <c r="D10" s="81" t="s">
        <v>389</v>
      </c>
      <c r="E10" s="81" t="str">
        <f>'SC-New'!$A$9</f>
        <v>Water Heating</v>
      </c>
      <c r="F10" s="546">
        <f t="shared" si="1"/>
        <v>1.58878338034051E-2</v>
      </c>
      <c r="G10" s="72">
        <f>'SC-New'!A51</f>
        <v>31.430585206391111</v>
      </c>
      <c r="H10" s="72">
        <f>'SC-New'!B51</f>
        <v>-86.219141575020686</v>
      </c>
      <c r="I10" s="9" t="str">
        <f>'SC-New'!C51</f>
        <v>Multifamily - High Rise</v>
      </c>
      <c r="J10" s="9" t="str">
        <f>'SC-New'!D51</f>
        <v>Multifamily - High Rise CEE Tier 2 Clothes Washer - Any DHW, Any Dryer - 54% ENERGY STAR Baseline</v>
      </c>
      <c r="K10" s="36">
        <f ca="1">'SC-New'!E51</f>
        <v>8.2240162296927681E-4</v>
      </c>
      <c r="L10" s="36">
        <f ca="1">'SC-New'!F51</f>
        <v>1.6491194412841547E-3</v>
      </c>
      <c r="M10" s="36">
        <f ca="1">'SC-New'!G51</f>
        <v>2.4884591251565459E-3</v>
      </c>
      <c r="N10" s="36">
        <f ca="1">'SC-New'!H51</f>
        <v>3.1383171944366337E-3</v>
      </c>
      <c r="O10" s="36">
        <f ca="1">'SC-New'!I51</f>
        <v>3.6260426217991715E-3</v>
      </c>
      <c r="P10" s="36">
        <f ca="1">'SC-New'!J51</f>
        <v>4.1868593119918649E-3</v>
      </c>
      <c r="Q10" s="36">
        <f ca="1">'SC-New'!K51</f>
        <v>4.6687576781534431E-3</v>
      </c>
      <c r="R10" s="36">
        <f ca="1">'SC-New'!L51</f>
        <v>5.2335931208523966E-3</v>
      </c>
      <c r="S10" s="36">
        <f ca="1">'SC-New'!M51</f>
        <v>5.6640915312521295E-3</v>
      </c>
      <c r="T10" s="36">
        <f ca="1">'SC-New'!N51</f>
        <v>6.09750746053077E-3</v>
      </c>
      <c r="U10" s="36">
        <f ca="1">'SC-New'!O51</f>
        <v>6.2715398465897519E-3</v>
      </c>
      <c r="V10" s="36">
        <f ca="1">'SC-New'!P51</f>
        <v>6.438656522430251E-3</v>
      </c>
      <c r="W10" s="36">
        <f ca="1">'SC-New'!Q51</f>
        <v>6.5343477150671438E-3</v>
      </c>
      <c r="X10" s="36">
        <f ca="1">'SC-New'!R51</f>
        <v>6.626302208648167E-3</v>
      </c>
      <c r="Y10" s="36">
        <f ca="1">'SC-New'!S51</f>
        <v>6.6669221855244825E-3</v>
      </c>
      <c r="Z10" s="36">
        <f ca="1">'SC-New'!T51</f>
        <v>6.5958275627612936E-3</v>
      </c>
      <c r="AA10" s="36">
        <f ca="1">'SC-New'!U51</f>
        <v>6.4916248488184197E-3</v>
      </c>
      <c r="AB10" s="36">
        <f ca="1">'SC-New'!V51</f>
        <v>6.3422729878557255E-3</v>
      </c>
      <c r="AC10" s="36">
        <f ca="1">'SC-New'!W51</f>
        <v>6.3181220557452823E-3</v>
      </c>
      <c r="AD10" s="36">
        <f ca="1">'SC-New'!X51</f>
        <v>6.2893566819583451E-3</v>
      </c>
      <c r="AE10" s="36">
        <f ca="1">'SC-New'!Y51</f>
        <v>0.10215012172382523</v>
      </c>
      <c r="AF10" s="547">
        <f t="shared" si="2"/>
        <v>3.4304615102273446</v>
      </c>
      <c r="AG10" s="547">
        <f t="shared" si="2"/>
        <v>2.9910283021455695</v>
      </c>
      <c r="AH10" s="547">
        <f t="shared" si="2"/>
        <v>1.9264612320290428</v>
      </c>
      <c r="AI10" s="547">
        <f t="shared" si="2"/>
        <v>1.2808794411387199</v>
      </c>
      <c r="AJ10" s="547">
        <f t="shared" si="2"/>
        <v>1.2972888274180658</v>
      </c>
      <c r="AK10" s="547">
        <f t="shared" si="2"/>
        <v>1.3470961751990971</v>
      </c>
      <c r="AL10" s="547">
        <f t="shared" si="2"/>
        <v>1.3738411717348933</v>
      </c>
      <c r="AM10" s="547">
        <f t="shared" si="2"/>
        <v>1.4291002764375971</v>
      </c>
      <c r="AN10" s="547">
        <f t="shared" si="2"/>
        <v>1.2564470632792268</v>
      </c>
      <c r="AO10" s="547">
        <f t="shared" si="2"/>
        <v>1.3728823114641737</v>
      </c>
      <c r="AP10" s="547">
        <f t="shared" si="3"/>
        <v>1.0964388671069452</v>
      </c>
      <c r="AQ10" s="547">
        <f t="shared" si="3"/>
        <v>1.1292548285757638</v>
      </c>
      <c r="AR10" s="547">
        <f t="shared" si="3"/>
        <v>0</v>
      </c>
      <c r="AS10" s="547">
        <f t="shared" si="3"/>
        <v>1.6151150073664062</v>
      </c>
      <c r="AT10" s="547">
        <f t="shared" si="3"/>
        <v>1.3242544223591068</v>
      </c>
      <c r="AU10" s="547">
        <f t="shared" si="3"/>
        <v>0.86143598123312626</v>
      </c>
      <c r="AV10" s="547">
        <f t="shared" si="3"/>
        <v>0.83933646807668316</v>
      </c>
      <c r="AW10" s="547">
        <f t="shared" si="3"/>
        <v>0.86037019363403067</v>
      </c>
      <c r="AX10" s="547">
        <f t="shared" si="3"/>
        <v>0.80783321626672966</v>
      </c>
      <c r="AY10" s="547">
        <f t="shared" si="3"/>
        <v>1.0030320870984848</v>
      </c>
      <c r="AZ10" s="547">
        <f t="shared" si="3"/>
        <v>0.81248917982628921</v>
      </c>
      <c r="BA10" s="547">
        <f t="shared" si="3"/>
        <v>0.88182337922954457</v>
      </c>
      <c r="BB10" s="547">
        <f t="shared" si="3"/>
        <v>0.76518588956650591</v>
      </c>
      <c r="BC10" s="547">
        <f t="shared" si="3"/>
        <v>0.86066309172437105</v>
      </c>
      <c r="BD10" s="547">
        <f t="shared" si="3"/>
        <v>0.86786628325339421</v>
      </c>
    </row>
    <row r="11" spans="1:56" ht="15">
      <c r="A11" s="81" t="str">
        <f>VLOOKUP(CONCATENATE($C11," - ",$B11),[2]ACHIEV!$B$12:$C$100,2,FALSE)</f>
        <v>LO12Med</v>
      </c>
      <c r="B11" s="81" t="str">
        <f>'SC-New'!$C$7</f>
        <v>New</v>
      </c>
      <c r="C11" s="81" t="str">
        <f>'SC-New'!$C$8</f>
        <v>Clothes Washer</v>
      </c>
      <c r="D11" s="81" t="s">
        <v>389</v>
      </c>
      <c r="E11" s="81" t="str">
        <f>'SC-New'!$A$9</f>
        <v>Water Heating</v>
      </c>
      <c r="F11" s="546">
        <f t="shared" si="1"/>
        <v>2.6971379118686991E-2</v>
      </c>
      <c r="G11" s="72">
        <f>'SC-New'!A52</f>
        <v>53.638909577706116</v>
      </c>
      <c r="H11" s="72">
        <f>'SC-New'!B52</f>
        <v>-65.743456849320339</v>
      </c>
      <c r="I11" s="9" t="str">
        <f>'SC-New'!C52</f>
        <v>Single Family</v>
      </c>
      <c r="J11" s="9" t="str">
        <f>'SC-New'!D52</f>
        <v>Single Family CEE Tier 1 Clothes Washer - Any DHW, Any Dryer - 54% ENERGY STAR Baseline</v>
      </c>
      <c r="K11" s="36">
        <f ca="1">'SC-New'!E52</f>
        <v>4.137178694305052E-2</v>
      </c>
      <c r="L11" s="36">
        <f ca="1">'SC-New'!F52</f>
        <v>7.9147993669753794E-2</v>
      </c>
      <c r="M11" s="36">
        <f ca="1">'SC-New'!G52</f>
        <v>0.11252912973022042</v>
      </c>
      <c r="N11" s="36">
        <f ca="1">'SC-New'!H52</f>
        <v>0.14515805351059169</v>
      </c>
      <c r="O11" s="36">
        <f ca="1">'SC-New'!I52</f>
        <v>0.17657119013178221</v>
      </c>
      <c r="P11" s="36">
        <f ca="1">'SC-New'!J52</f>
        <v>0.19852019678134075</v>
      </c>
      <c r="Q11" s="36">
        <f ca="1">'SC-New'!K52</f>
        <v>0.21654058372196069</v>
      </c>
      <c r="R11" s="36">
        <f ca="1">'SC-New'!L52</f>
        <v>0.23425528379590171</v>
      </c>
      <c r="S11" s="36">
        <f ca="1">'SC-New'!M52</f>
        <v>0.24668505433533083</v>
      </c>
      <c r="T11" s="36">
        <f ca="1">'SC-New'!N52</f>
        <v>0.26315659458359386</v>
      </c>
      <c r="U11" s="36">
        <f ca="1">'SC-New'!O52</f>
        <v>0.27473170590275559</v>
      </c>
      <c r="V11" s="36">
        <f ca="1">'SC-New'!P52</f>
        <v>0.27889441386750019</v>
      </c>
      <c r="W11" s="36">
        <f ca="1">'SC-New'!Q52</f>
        <v>0.27749490374301211</v>
      </c>
      <c r="X11" s="36">
        <f ca="1">'SC-New'!R52</f>
        <v>0.28257806752665948</v>
      </c>
      <c r="Y11" s="36">
        <f ca="1">'SC-New'!S52</f>
        <v>0.28975667980822062</v>
      </c>
      <c r="Z11" s="36">
        <f ca="1">'SC-New'!T52</f>
        <v>0.29161282021952345</v>
      </c>
      <c r="AA11" s="36">
        <f ca="1">'SC-New'!U52</f>
        <v>0.28198636162247454</v>
      </c>
      <c r="AB11" s="36">
        <f ca="1">'SC-New'!V52</f>
        <v>0.28151107547197712</v>
      </c>
      <c r="AC11" s="36">
        <f ca="1">'SC-New'!W52</f>
        <v>0.28222847892820979</v>
      </c>
      <c r="AD11" s="36">
        <f ca="1">'SC-New'!X52</f>
        <v>0.28414530919404302</v>
      </c>
      <c r="AE11" s="36">
        <f ca="1">'SC-New'!Y52</f>
        <v>4.5388756834879027</v>
      </c>
      <c r="AF11" s="547">
        <f t="shared" si="2"/>
        <v>5.8304335502900972</v>
      </c>
      <c r="AG11" s="547">
        <f t="shared" si="2"/>
        <v>5.0854379494908093</v>
      </c>
      <c r="AH11" s="547">
        <f t="shared" si="2"/>
        <v>3.2863889299323001</v>
      </c>
      <c r="AI11" s="547">
        <f t="shared" si="2"/>
        <v>2.1913387899008927</v>
      </c>
      <c r="AJ11" s="547">
        <f t="shared" si="2"/>
        <v>2.2224784769538051</v>
      </c>
      <c r="AK11" s="547">
        <f t="shared" si="2"/>
        <v>2.310031348121163</v>
      </c>
      <c r="AL11" s="547">
        <f t="shared" si="2"/>
        <v>2.3565382967323965</v>
      </c>
      <c r="AM11" s="547">
        <f t="shared" si="2"/>
        <v>2.4530011798723321</v>
      </c>
      <c r="AN11" s="547">
        <f t="shared" si="2"/>
        <v>2.1557149539710005</v>
      </c>
      <c r="AO11" s="547">
        <f t="shared" si="2"/>
        <v>2.3517734042919631</v>
      </c>
      <c r="AP11" s="547">
        <f t="shared" si="3"/>
        <v>1.8780449596984787</v>
      </c>
      <c r="AQ11" s="547">
        <f t="shared" si="3"/>
        <v>1.9330313941040786</v>
      </c>
      <c r="AR11" s="547">
        <f t="shared" si="3"/>
        <v>0</v>
      </c>
      <c r="AS11" s="547">
        <f t="shared" si="3"/>
        <v>2.74254726859599</v>
      </c>
      <c r="AT11" s="547">
        <f t="shared" si="3"/>
        <v>2.2491237517992979</v>
      </c>
      <c r="AU11" s="547">
        <f t="shared" si="3"/>
        <v>1.4659736868482389</v>
      </c>
      <c r="AV11" s="547">
        <f t="shared" si="3"/>
        <v>1.4294714735724559</v>
      </c>
      <c r="AW11" s="547">
        <f t="shared" si="3"/>
        <v>1.4662717374729366</v>
      </c>
      <c r="AX11" s="547">
        <f t="shared" si="3"/>
        <v>1.3788599176845415</v>
      </c>
      <c r="AY11" s="547">
        <f t="shared" si="3"/>
        <v>1.7110657783150203</v>
      </c>
      <c r="AZ11" s="547">
        <f t="shared" si="3"/>
        <v>1.3887799390803002</v>
      </c>
      <c r="BA11" s="547">
        <f t="shared" si="3"/>
        <v>1.5061968003116013</v>
      </c>
      <c r="BB11" s="547">
        <f t="shared" si="3"/>
        <v>1.3053826198113117</v>
      </c>
      <c r="BC11" s="547">
        <f t="shared" si="3"/>
        <v>1.4641667728116774</v>
      </c>
      <c r="BD11" s="547">
        <f t="shared" si="3"/>
        <v>1.4768565980434212</v>
      </c>
    </row>
    <row r="12" spans="1:56" ht="15">
      <c r="A12" s="81" t="str">
        <f>VLOOKUP(CONCATENATE($C12," - ",$B12),[2]ACHIEV!$B$12:$C$100,2,FALSE)</f>
        <v>LO12Med</v>
      </c>
      <c r="B12" s="81" t="str">
        <f>'SC-New'!$C$7</f>
        <v>New</v>
      </c>
      <c r="C12" s="81" t="str">
        <f>'SC-New'!$C$8</f>
        <v>Clothes Washer</v>
      </c>
      <c r="D12" s="81" t="s">
        <v>389</v>
      </c>
      <c r="E12" s="81" t="str">
        <f>'SC-New'!$A$9</f>
        <v>Water Heating</v>
      </c>
      <c r="F12" s="546">
        <f t="shared" si="1"/>
        <v>2.6302634511923328E-2</v>
      </c>
      <c r="G12" s="72">
        <f>'SC-New'!A53</f>
        <v>53.082689723506611</v>
      </c>
      <c r="H12" s="72">
        <f>'SC-New'!B53</f>
        <v>-55.418353719020054</v>
      </c>
      <c r="I12" s="9" t="str">
        <f>'SC-New'!C53</f>
        <v>Manufactured</v>
      </c>
      <c r="J12" s="9" t="str">
        <f>'SC-New'!D53</f>
        <v>Manufactured CEE Tier 1 Clothes Washer - Any DHW, Any Dryer - 54% ENERGY STAR Baseline</v>
      </c>
      <c r="K12" s="36">
        <f ca="1">'SC-New'!E53</f>
        <v>1.1817134153915441E-3</v>
      </c>
      <c r="L12" s="36">
        <f ca="1">'SC-New'!F53</f>
        <v>2.3788759027400879E-3</v>
      </c>
      <c r="M12" s="36">
        <f ca="1">'SC-New'!G53</f>
        <v>3.6960014843071989E-3</v>
      </c>
      <c r="N12" s="36">
        <f ca="1">'SC-New'!H53</f>
        <v>5.1101974240103038E-3</v>
      </c>
      <c r="O12" s="36">
        <f ca="1">'SC-New'!I53</f>
        <v>6.1927823919700449E-3</v>
      </c>
      <c r="P12" s="36">
        <f ca="1">'SC-New'!J53</f>
        <v>7.1921385883689732E-3</v>
      </c>
      <c r="Q12" s="36">
        <f ca="1">'SC-New'!K53</f>
        <v>8.0965515407493988E-3</v>
      </c>
      <c r="R12" s="36">
        <f ca="1">'SC-New'!L53</f>
        <v>8.8505941024835284E-3</v>
      </c>
      <c r="S12" s="36">
        <f ca="1">'SC-New'!M53</f>
        <v>9.4690234013742446E-3</v>
      </c>
      <c r="T12" s="36">
        <f ca="1">'SC-New'!N53</f>
        <v>9.9311749669786439E-3</v>
      </c>
      <c r="U12" s="36">
        <f ca="1">'SC-New'!O53</f>
        <v>1.0240526775238172E-2</v>
      </c>
      <c r="V12" s="36">
        <f ca="1">'SC-New'!P53</f>
        <v>1.0519815372304201E-2</v>
      </c>
      <c r="W12" s="36">
        <f ca="1">'SC-New'!Q53</f>
        <v>1.0767144426859592E-2</v>
      </c>
      <c r="X12" s="36">
        <f ca="1">'SC-New'!R53</f>
        <v>1.0965192308876669E-2</v>
      </c>
      <c r="Y12" s="36">
        <f ca="1">'SC-New'!S53</f>
        <v>1.1118086459068656E-2</v>
      </c>
      <c r="Z12" s="36">
        <f ca="1">'SC-New'!T53</f>
        <v>1.1231710716480416E-2</v>
      </c>
      <c r="AA12" s="36">
        <f ca="1">'SC-New'!U53</f>
        <v>1.1224882731348015E-2</v>
      </c>
      <c r="AB12" s="36">
        <f ca="1">'SC-New'!V53</f>
        <v>1.1226407945918121E-2</v>
      </c>
      <c r="AC12" s="36">
        <f ca="1">'SC-New'!W53</f>
        <v>1.1229916696687197E-2</v>
      </c>
      <c r="AD12" s="36">
        <f ca="1">'SC-New'!X53</f>
        <v>1.1231274374838118E-2</v>
      </c>
      <c r="AE12" s="36">
        <f ca="1">'SC-New'!Y53</f>
        <v>0.1718540110259931</v>
      </c>
      <c r="AF12" s="547">
        <f t="shared" si="2"/>
        <v>5.7048009290563169</v>
      </c>
      <c r="AG12" s="547">
        <f t="shared" si="2"/>
        <v>4.9770620820143003</v>
      </c>
      <c r="AH12" s="547">
        <f t="shared" si="2"/>
        <v>3.2459314556802914</v>
      </c>
      <c r="AI12" s="547">
        <f t="shared" si="2"/>
        <v>2.1875993517550825</v>
      </c>
      <c r="AJ12" s="547">
        <f t="shared" si="2"/>
        <v>2.2162549888022469</v>
      </c>
      <c r="AK12" s="547">
        <f t="shared" si="2"/>
        <v>2.3063056646050577</v>
      </c>
      <c r="AL12" s="547">
        <f t="shared" si="2"/>
        <v>2.3593027893798868</v>
      </c>
      <c r="AM12" s="547">
        <f t="shared" si="2"/>
        <v>2.4521001698528004</v>
      </c>
      <c r="AN12" s="547">
        <f t="shared" si="2"/>
        <v>2.1542691194526364</v>
      </c>
      <c r="AO12" s="547">
        <f t="shared" si="2"/>
        <v>2.3475674592339093</v>
      </c>
      <c r="AP12" s="547">
        <f t="shared" si="3"/>
        <v>1.874554829292356</v>
      </c>
      <c r="AQ12" s="547">
        <f t="shared" si="3"/>
        <v>1.9307542649005522</v>
      </c>
      <c r="AR12" s="547">
        <f t="shared" si="3"/>
        <v>0</v>
      </c>
      <c r="AS12" s="547">
        <f t="shared" si="3"/>
        <v>2.6842995080493344</v>
      </c>
      <c r="AT12" s="547">
        <f t="shared" si="3"/>
        <v>2.2010901747293041</v>
      </c>
      <c r="AU12" s="547">
        <f t="shared" si="3"/>
        <v>1.4413791096477107</v>
      </c>
      <c r="AV12" s="547">
        <f t="shared" si="3"/>
        <v>1.4152735723325411</v>
      </c>
      <c r="AW12" s="547">
        <f t="shared" si="3"/>
        <v>1.4520882515347799</v>
      </c>
      <c r="AX12" s="547">
        <f t="shared" si="3"/>
        <v>1.3658945874477633</v>
      </c>
      <c r="AY12" s="547">
        <f t="shared" si="3"/>
        <v>1.7036568228148041</v>
      </c>
      <c r="AZ12" s="547">
        <f t="shared" si="3"/>
        <v>1.3748159843059031</v>
      </c>
      <c r="BA12" s="547">
        <f t="shared" si="3"/>
        <v>1.492167527437406</v>
      </c>
      <c r="BB12" s="547">
        <f t="shared" si="3"/>
        <v>1.2881834815354045</v>
      </c>
      <c r="BC12" s="547">
        <f t="shared" si="3"/>
        <v>1.4470530178830796</v>
      </c>
      <c r="BD12" s="547">
        <f t="shared" si="3"/>
        <v>1.4602845817631371</v>
      </c>
    </row>
    <row r="13" spans="1:56" ht="15">
      <c r="A13" s="81" t="str">
        <f>VLOOKUP(CONCATENATE($C13," - ",$B13),[2]ACHIEV!$B$12:$C$100,2,FALSE)</f>
        <v>LO12Med</v>
      </c>
      <c r="B13" s="81" t="str">
        <f>'SC-New'!$C$7</f>
        <v>New</v>
      </c>
      <c r="C13" s="81" t="str">
        <f>'SC-New'!$C$8</f>
        <v>Clothes Washer</v>
      </c>
      <c r="D13" s="81" t="s">
        <v>389</v>
      </c>
      <c r="E13" s="81" t="str">
        <f>'SC-New'!$A$9</f>
        <v>Water Heating</v>
      </c>
      <c r="F13" s="546">
        <f t="shared" si="1"/>
        <v>2.6238466144087595E-2</v>
      </c>
      <c r="G13" s="72">
        <f>'SC-New'!A54</f>
        <v>53.029340362257024</v>
      </c>
      <c r="H13" s="72">
        <f>'SC-New'!B54</f>
        <v>-54.200294301150457</v>
      </c>
      <c r="I13" s="9" t="str">
        <f>'SC-New'!C54</f>
        <v>Multifamily - Low Rise</v>
      </c>
      <c r="J13" s="9" t="str">
        <f>'SC-New'!D54</f>
        <v>Multifamily - Low Rise CEE Tier 1 Clothes Washer - Any DHW, Any Dryer - 54% ENERGY STAR Baseline</v>
      </c>
      <c r="K13" s="36">
        <f ca="1">'SC-New'!E54</f>
        <v>6.0795996251463381E-3</v>
      </c>
      <c r="L13" s="36">
        <f ca="1">'SC-New'!F54</f>
        <v>1.2021872859779809E-2</v>
      </c>
      <c r="M13" s="36">
        <f ca="1">'SC-New'!G54</f>
        <v>1.7871569446888405E-2</v>
      </c>
      <c r="N13" s="36">
        <f ca="1">'SC-New'!H54</f>
        <v>2.307070910101966E-2</v>
      </c>
      <c r="O13" s="36">
        <f ca="1">'SC-New'!I54</f>
        <v>2.7182630969310787E-2</v>
      </c>
      <c r="P13" s="36">
        <f ca="1">'SC-New'!J54</f>
        <v>3.0923664787156874E-2</v>
      </c>
      <c r="Q13" s="36">
        <f ca="1">'SC-New'!K54</f>
        <v>3.4381984867451476E-2</v>
      </c>
      <c r="R13" s="36">
        <f ca="1">'SC-New'!L54</f>
        <v>3.8068372875047642E-2</v>
      </c>
      <c r="S13" s="36">
        <f ca="1">'SC-New'!M54</f>
        <v>4.1491452197533349E-2</v>
      </c>
      <c r="T13" s="36">
        <f ca="1">'SC-New'!N54</f>
        <v>4.4671049228396924E-2</v>
      </c>
      <c r="U13" s="36">
        <f ca="1">'SC-New'!O54</f>
        <v>4.6505860856368098E-2</v>
      </c>
      <c r="V13" s="36">
        <f ca="1">'SC-New'!P54</f>
        <v>4.7837642567855602E-2</v>
      </c>
      <c r="W13" s="36">
        <f ca="1">'SC-New'!Q54</f>
        <v>4.8971048182136864E-2</v>
      </c>
      <c r="X13" s="36">
        <f ca="1">'SC-New'!R54</f>
        <v>4.9274157459856145E-2</v>
      </c>
      <c r="Y13" s="36">
        <f ca="1">'SC-New'!S54</f>
        <v>4.9341161978279119E-2</v>
      </c>
      <c r="Z13" s="36">
        <f ca="1">'SC-New'!T54</f>
        <v>4.8849594671927732E-2</v>
      </c>
      <c r="AA13" s="36">
        <f ca="1">'SC-New'!U54</f>
        <v>4.8020239336859664E-2</v>
      </c>
      <c r="AB13" s="36">
        <f ca="1">'SC-New'!V54</f>
        <v>4.7412671388755052E-2</v>
      </c>
      <c r="AC13" s="36">
        <f ca="1">'SC-New'!W54</f>
        <v>4.6500207964693036E-2</v>
      </c>
      <c r="AD13" s="36">
        <f ca="1">'SC-New'!X54</f>
        <v>4.6324427081422336E-2</v>
      </c>
      <c r="AE13" s="36">
        <f ca="1">'SC-New'!Y54</f>
        <v>0.75479991744588482</v>
      </c>
      <c r="AF13" s="547">
        <f t="shared" ref="AF13:AO26" si="4">VLOOKUP($J13,MeasureOutput,COLUMN()-17,FALSE)</f>
        <v>5.6927465778617261</v>
      </c>
      <c r="AG13" s="547">
        <f t="shared" si="4"/>
        <v>4.9666635368841865</v>
      </c>
      <c r="AH13" s="547">
        <f t="shared" si="4"/>
        <v>3.2420505762121823</v>
      </c>
      <c r="AI13" s="547">
        <f t="shared" si="4"/>
        <v>2.1872419748738947</v>
      </c>
      <c r="AJ13" s="547">
        <f t="shared" si="4"/>
        <v>2.215659196535793</v>
      </c>
      <c r="AK13" s="547">
        <f t="shared" si="4"/>
        <v>2.3059496727269946</v>
      </c>
      <c r="AL13" s="547">
        <f t="shared" si="4"/>
        <v>2.3595697743761739</v>
      </c>
      <c r="AM13" s="547">
        <f t="shared" si="4"/>
        <v>2.452015390141296</v>
      </c>
      <c r="AN13" s="547">
        <f t="shared" si="4"/>
        <v>2.1541318428313199</v>
      </c>
      <c r="AO13" s="547">
        <f t="shared" si="4"/>
        <v>2.3471654081517594</v>
      </c>
      <c r="AP13" s="547">
        <f t="shared" ref="AP13:BD26" si="5">VLOOKUP($J13,MeasureOutput,COLUMN()-17,FALSE)</f>
        <v>1.8742211528663881</v>
      </c>
      <c r="AQ13" s="547">
        <f t="shared" si="5"/>
        <v>1.9305370588204658</v>
      </c>
      <c r="AR13" s="547">
        <f t="shared" si="5"/>
        <v>0</v>
      </c>
      <c r="AS13" s="547">
        <f t="shared" si="5"/>
        <v>2.6787107187520052</v>
      </c>
      <c r="AT13" s="547">
        <f t="shared" si="5"/>
        <v>2.196481410914747</v>
      </c>
      <c r="AU13" s="547">
        <f t="shared" si="5"/>
        <v>1.4390195091433664</v>
      </c>
      <c r="AV13" s="547">
        <f t="shared" si="5"/>
        <v>1.4139118458539688</v>
      </c>
      <c r="AW13" s="547">
        <f t="shared" si="5"/>
        <v>1.4507279317833262</v>
      </c>
      <c r="AX13" s="547">
        <f t="shared" si="5"/>
        <v>1.3646511196604731</v>
      </c>
      <c r="AY13" s="547">
        <f t="shared" si="5"/>
        <v>1.7029469130685011</v>
      </c>
      <c r="AZ13" s="547">
        <f t="shared" si="5"/>
        <v>1.3734766656775019</v>
      </c>
      <c r="BA13" s="547">
        <f t="shared" si="5"/>
        <v>1.4908220264036729</v>
      </c>
      <c r="BB13" s="547">
        <f t="shared" si="5"/>
        <v>1.2865335900496975</v>
      </c>
      <c r="BC13" s="547">
        <f t="shared" si="5"/>
        <v>1.4454114497043424</v>
      </c>
      <c r="BD13" s="547">
        <f t="shared" si="5"/>
        <v>1.4586950189632339</v>
      </c>
    </row>
    <row r="14" spans="1:56" ht="15">
      <c r="A14" s="81" t="str">
        <f>VLOOKUP(CONCATENATE($C14," - ",$B14),[2]ACHIEV!$B$12:$C$100,2,FALSE)</f>
        <v>LO12Med</v>
      </c>
      <c r="B14" s="81" t="str">
        <f>'SC-New'!$C$7</f>
        <v>New</v>
      </c>
      <c r="C14" s="81" t="str">
        <f>'SC-NR'!$C$8</f>
        <v>Clothes Washer</v>
      </c>
      <c r="D14" s="81" t="s">
        <v>389</v>
      </c>
      <c r="E14" s="81" t="str">
        <f>'SC-New'!$A$9</f>
        <v>Water Heating</v>
      </c>
      <c r="F14" s="546">
        <f t="shared" si="1"/>
        <v>2.6238466144087595E-2</v>
      </c>
      <c r="G14" s="72">
        <f>'SC-New'!A55</f>
        <v>53.029340362257024</v>
      </c>
      <c r="H14" s="72">
        <f>'SC-New'!B55</f>
        <v>-54.200294301150457</v>
      </c>
      <c r="I14" s="9" t="str">
        <f>'SC-New'!C55</f>
        <v>Multifamily - High Rise</v>
      </c>
      <c r="J14" s="9" t="str">
        <f>'SC-New'!D55</f>
        <v>Multifamily - High Rise CEE Tier 1 Clothes Washer - Any DHW, Any Dryer - 54% ENERGY STAR Baseline</v>
      </c>
      <c r="K14" s="36">
        <f ca="1">'SC-New'!E55</f>
        <v>1.3875470435097846E-3</v>
      </c>
      <c r="L14" s="36">
        <f ca="1">'SC-New'!F55</f>
        <v>2.7823763247045775E-3</v>
      </c>
      <c r="M14" s="36">
        <f ca="1">'SC-New'!G55</f>
        <v>4.1985010797272E-3</v>
      </c>
      <c r="N14" s="36">
        <f ca="1">'SC-New'!H55</f>
        <v>5.2949345223983705E-3</v>
      </c>
      <c r="O14" s="36">
        <f ca="1">'SC-New'!I55</f>
        <v>6.1178195409590857E-3</v>
      </c>
      <c r="P14" s="36">
        <f ca="1">'SC-New'!J55</f>
        <v>7.0640233405312126E-3</v>
      </c>
      <c r="Q14" s="36">
        <f ca="1">'SC-New'!K55</f>
        <v>7.8770770050236461E-3</v>
      </c>
      <c r="R14" s="36">
        <f ca="1">'SC-New'!L55</f>
        <v>8.8300611999682001E-3</v>
      </c>
      <c r="S14" s="36">
        <f ca="1">'SC-New'!M55</f>
        <v>9.5563934200204054E-3</v>
      </c>
      <c r="T14" s="36">
        <f ca="1">'SC-New'!N55</f>
        <v>1.0287648046086593E-2</v>
      </c>
      <c r="U14" s="36">
        <f ca="1">'SC-New'!O55</f>
        <v>1.0581273588652082E-2</v>
      </c>
      <c r="V14" s="36">
        <f ca="1">'SC-New'!P55</f>
        <v>1.0863231020407213E-2</v>
      </c>
      <c r="W14" s="36">
        <f ca="1">'SC-New'!Q55</f>
        <v>1.1024680156358404E-2</v>
      </c>
      <c r="X14" s="36">
        <f ca="1">'SC-New'!R55</f>
        <v>1.117982477444065E-2</v>
      </c>
      <c r="Y14" s="36">
        <f ca="1">'SC-New'!S55</f>
        <v>1.1248358356145743E-2</v>
      </c>
      <c r="Z14" s="36">
        <f ca="1">'SC-New'!T55</f>
        <v>1.1128408284466238E-2</v>
      </c>
      <c r="AA14" s="36">
        <f ca="1">'SC-New'!U55</f>
        <v>1.0952598602652745E-2</v>
      </c>
      <c r="AB14" s="36">
        <f ca="1">'SC-New'!V55</f>
        <v>1.0700613772694288E-2</v>
      </c>
      <c r="AC14" s="36">
        <f ca="1">'SC-New'!W55</f>
        <v>1.0659866583593589E-2</v>
      </c>
      <c r="AD14" s="36">
        <f ca="1">'SC-New'!X55</f>
        <v>1.0611333958853122E-2</v>
      </c>
      <c r="AE14" s="36">
        <f ca="1">'SC-New'!Y55</f>
        <v>0.17234657062119318</v>
      </c>
      <c r="AF14" s="547">
        <f t="shared" si="4"/>
        <v>5.6927465778617261</v>
      </c>
      <c r="AG14" s="547">
        <f t="shared" si="4"/>
        <v>4.9666635368841865</v>
      </c>
      <c r="AH14" s="547">
        <f t="shared" si="4"/>
        <v>3.2420505762121823</v>
      </c>
      <c r="AI14" s="547">
        <f t="shared" si="4"/>
        <v>2.1872419748738947</v>
      </c>
      <c r="AJ14" s="547">
        <f t="shared" si="4"/>
        <v>2.215659196535793</v>
      </c>
      <c r="AK14" s="547">
        <f t="shared" si="4"/>
        <v>2.3059496727269946</v>
      </c>
      <c r="AL14" s="547">
        <f t="shared" si="4"/>
        <v>2.3595697743761739</v>
      </c>
      <c r="AM14" s="547">
        <f t="shared" si="4"/>
        <v>2.452015390141296</v>
      </c>
      <c r="AN14" s="547">
        <f t="shared" si="4"/>
        <v>2.1541318428313199</v>
      </c>
      <c r="AO14" s="547">
        <f t="shared" si="4"/>
        <v>2.3471654081517594</v>
      </c>
      <c r="AP14" s="547">
        <f t="shared" si="5"/>
        <v>1.8742211528663881</v>
      </c>
      <c r="AQ14" s="547">
        <f t="shared" si="5"/>
        <v>1.9305370588204658</v>
      </c>
      <c r="AR14" s="547">
        <f t="shared" si="5"/>
        <v>0</v>
      </c>
      <c r="AS14" s="547">
        <f t="shared" si="5"/>
        <v>2.6787107187520052</v>
      </c>
      <c r="AT14" s="547">
        <f t="shared" si="5"/>
        <v>2.196481410914747</v>
      </c>
      <c r="AU14" s="547">
        <f t="shared" si="5"/>
        <v>1.4390195091433664</v>
      </c>
      <c r="AV14" s="547">
        <f t="shared" si="5"/>
        <v>1.4139118458539688</v>
      </c>
      <c r="AW14" s="547">
        <f t="shared" si="5"/>
        <v>1.4507279317833262</v>
      </c>
      <c r="AX14" s="547">
        <f t="shared" si="5"/>
        <v>1.3646511196604731</v>
      </c>
      <c r="AY14" s="547">
        <f t="shared" si="5"/>
        <v>1.7029469130685011</v>
      </c>
      <c r="AZ14" s="547">
        <f t="shared" si="5"/>
        <v>1.3734766656775019</v>
      </c>
      <c r="BA14" s="547">
        <f t="shared" si="5"/>
        <v>1.4908220264036729</v>
      </c>
      <c r="BB14" s="547">
        <f t="shared" si="5"/>
        <v>1.2865335900496975</v>
      </c>
      <c r="BC14" s="547">
        <f t="shared" si="5"/>
        <v>1.4454114497043424</v>
      </c>
      <c r="BD14" s="547">
        <f t="shared" si="5"/>
        <v>1.4586950189632339</v>
      </c>
    </row>
    <row r="15" spans="1:56" ht="15">
      <c r="A15" s="81" t="str">
        <f>VLOOKUP(CONCATENATE($C15," - ",$B15),[2]ACHIEV!$B$12:$C$100,2,FALSE)</f>
        <v>LO12Med</v>
      </c>
      <c r="B15" s="81" t="str">
        <f>'SC-NR'!$C$7</f>
        <v>NR</v>
      </c>
      <c r="C15" s="81" t="str">
        <f>'SC-NR'!$C$8</f>
        <v>Clothes Washer</v>
      </c>
      <c r="D15" s="81" t="s">
        <v>389</v>
      </c>
      <c r="E15" s="81" t="str">
        <f>'SC-NR'!$A$9</f>
        <v>Water Heating</v>
      </c>
      <c r="F15" s="546">
        <f t="shared" si="1"/>
        <v>9.7743917990938227E-3</v>
      </c>
      <c r="G15" s="72">
        <f>'SC-NR'!A74</f>
        <v>14.998309672390386</v>
      </c>
      <c r="H15" s="72">
        <f>'SC-NR'!B74</f>
        <v>-62.378126923104922</v>
      </c>
      <c r="I15" s="9" t="str">
        <f>'SC-NR'!C74</f>
        <v>Single Family</v>
      </c>
      <c r="J15" s="9" t="str">
        <f>'SC-NR'!D74</f>
        <v>Single Family CEE Tier 3 Clothes Washer - Any DHW, Any Dryer - 54% ENERGY STAR Baseline</v>
      </c>
      <c r="K15" s="36">
        <f ca="1">'SC-NR'!E74</f>
        <v>4.7098017784985902E-2</v>
      </c>
      <c r="L15" s="36">
        <f ca="1">'SC-NR'!F74</f>
        <v>9.398213697369584E-2</v>
      </c>
      <c r="M15" s="36">
        <f ca="1">'SC-NR'!G74</f>
        <v>0.14065308614152916</v>
      </c>
      <c r="N15" s="36">
        <f ca="1">'SC-NR'!H74</f>
        <v>0.18711159165797139</v>
      </c>
      <c r="O15" s="36">
        <f ca="1">'SC-NR'!I74</f>
        <v>0.23335837769285558</v>
      </c>
      <c r="P15" s="36">
        <f ca="1">'SC-NR'!J74</f>
        <v>0.27473759678556331</v>
      </c>
      <c r="Q15" s="36">
        <f ca="1">'SC-NR'!K74</f>
        <v>0.30756489456877528</v>
      </c>
      <c r="R15" s="36">
        <f ca="1">'SC-NR'!L74</f>
        <v>0.33356664715457413</v>
      </c>
      <c r="S15" s="36">
        <f ca="1">'SC-NR'!M74</f>
        <v>0.35412081821858366</v>
      </c>
      <c r="T15" s="36">
        <f ca="1">'SC-NR'!N74</f>
        <v>0.37032727442436991</v>
      </c>
      <c r="U15" s="36">
        <f ca="1">'SC-NR'!O74</f>
        <v>0.38306391002619533</v>
      </c>
      <c r="V15" s="36">
        <f ca="1">'SC-NR'!P74</f>
        <v>0.39303144459385925</v>
      </c>
      <c r="W15" s="36">
        <f ca="1">'SC-NR'!Q74</f>
        <v>0.4007891798118951</v>
      </c>
      <c r="X15" s="36">
        <f ca="1">'SC-NR'!R74</f>
        <v>0.40678353996222649</v>
      </c>
      <c r="Y15" s="36">
        <f ca="1">'SC-NR'!S74</f>
        <v>0.49033571366747686</v>
      </c>
      <c r="Z15" s="36">
        <f ca="1">'SC-NR'!T74</f>
        <v>0.48180311823675492</v>
      </c>
      <c r="AA15" s="36">
        <f ca="1">'SC-NR'!U74</f>
        <v>0.46851541932373914</v>
      </c>
      <c r="AB15" s="36">
        <f ca="1">'SC-NR'!V74</f>
        <v>0.4572134967018513</v>
      </c>
      <c r="AC15" s="36">
        <f ca="1">'SC-NR'!W74</f>
        <v>0.44672415780270541</v>
      </c>
      <c r="AD15" s="36">
        <f ca="1">'SC-NR'!X74</f>
        <v>0.43697864248035723</v>
      </c>
      <c r="AE15" s="36">
        <f ca="1">'SC-NR'!Y74</f>
        <v>6.0807960703171915</v>
      </c>
      <c r="AF15" s="547">
        <f t="shared" si="4"/>
        <v>2.0043536646570304</v>
      </c>
      <c r="AG15" s="547">
        <f t="shared" si="4"/>
        <v>1.7400435141763051</v>
      </c>
      <c r="AH15" s="547">
        <f t="shared" si="4"/>
        <v>0.95457981513566481</v>
      </c>
      <c r="AI15" s="547">
        <f t="shared" si="4"/>
        <v>0.50517623352145247</v>
      </c>
      <c r="AJ15" s="547">
        <f t="shared" si="4"/>
        <v>0.52275015849873541</v>
      </c>
      <c r="AK15" s="547">
        <f t="shared" si="4"/>
        <v>0.52651184492696823</v>
      </c>
      <c r="AL15" s="547">
        <f t="shared" si="4"/>
        <v>0.50102349908255317</v>
      </c>
      <c r="AM15" s="547">
        <f t="shared" si="4"/>
        <v>0.54046901920467905</v>
      </c>
      <c r="AN15" s="547">
        <f t="shared" si="4"/>
        <v>0.47934073400759369</v>
      </c>
      <c r="AO15" s="547">
        <f t="shared" si="4"/>
        <v>0.54047834670084061</v>
      </c>
      <c r="AP15" s="547">
        <f t="shared" si="5"/>
        <v>0.43247560179576144</v>
      </c>
      <c r="AQ15" s="547">
        <f t="shared" si="5"/>
        <v>0.4391206415141613</v>
      </c>
      <c r="AR15" s="547">
        <f t="shared" si="5"/>
        <v>0</v>
      </c>
      <c r="AS15" s="547">
        <f t="shared" si="5"/>
        <v>0.94050196087602767</v>
      </c>
      <c r="AT15" s="547">
        <f t="shared" si="5"/>
        <v>0.77230034715877971</v>
      </c>
      <c r="AU15" s="547">
        <f t="shared" si="5"/>
        <v>0.464442206446464</v>
      </c>
      <c r="AV15" s="547">
        <f t="shared" si="5"/>
        <v>0.39895536322769604</v>
      </c>
      <c r="AW15" s="547">
        <f t="shared" si="5"/>
        <v>0.40628895374643298</v>
      </c>
      <c r="AX15" s="547">
        <f t="shared" si="5"/>
        <v>0.37813827672209793</v>
      </c>
      <c r="AY15" s="547">
        <f t="shared" si="5"/>
        <v>0.423165979690861</v>
      </c>
      <c r="AZ15" s="547">
        <f t="shared" si="5"/>
        <v>0.38397994372011524</v>
      </c>
      <c r="BA15" s="547">
        <f t="shared" si="5"/>
        <v>0.41139615555888098</v>
      </c>
      <c r="BB15" s="547">
        <f t="shared" si="5"/>
        <v>0.38524172810272278</v>
      </c>
      <c r="BC15" s="547">
        <f t="shared" si="5"/>
        <v>0.42401342736778996</v>
      </c>
      <c r="BD15" s="547">
        <f t="shared" si="5"/>
        <v>0.42356225655077046</v>
      </c>
    </row>
    <row r="16" spans="1:56" ht="15">
      <c r="A16" s="81" t="str">
        <f>VLOOKUP(CONCATENATE($C16," - ",$B16),[2]ACHIEV!$B$12:$C$100,2,FALSE)</f>
        <v>LO12Med</v>
      </c>
      <c r="B16" s="81" t="str">
        <f>'SC-NR'!$C$7</f>
        <v>NR</v>
      </c>
      <c r="C16" s="81" t="str">
        <f>'SC-NR'!$C$8</f>
        <v>Clothes Washer</v>
      </c>
      <c r="D16" s="81" t="s">
        <v>389</v>
      </c>
      <c r="E16" s="81" t="str">
        <f>'SC-NR'!$A$9</f>
        <v>Water Heating</v>
      </c>
      <c r="F16" s="546">
        <f t="shared" si="1"/>
        <v>9.8993773379950703E-3</v>
      </c>
      <c r="G16" s="72">
        <f>'SC-NR'!A75</f>
        <v>16.359662309730922</v>
      </c>
      <c r="H16" s="72">
        <f>'SC-NR'!B75</f>
        <v>-77.253113419871809</v>
      </c>
      <c r="I16" s="9" t="str">
        <f>'SC-NR'!C75</f>
        <v>Multifamily - Low Rise</v>
      </c>
      <c r="J16" s="9" t="str">
        <f>'SC-NR'!D75</f>
        <v>Multifamily - Low Rise CEE Tier 3 Clothes Washer - Any DHW, Any Dryer - 54% ENERGY STAR Baseline</v>
      </c>
      <c r="K16" s="36">
        <f ca="1">'SC-NR'!E75</f>
        <v>4.5306403373401687E-3</v>
      </c>
      <c r="L16" s="36">
        <f ca="1">'SC-NR'!F75</f>
        <v>9.0407041571356865E-3</v>
      </c>
      <c r="M16" s="36">
        <f ca="1">'SC-NR'!G75</f>
        <v>1.3530261547670334E-2</v>
      </c>
      <c r="N16" s="36">
        <f ca="1">'SC-NR'!H75</f>
        <v>1.7999382385017623E-2</v>
      </c>
      <c r="O16" s="36">
        <f ca="1">'SC-NR'!I75</f>
        <v>2.2448136333643075E-2</v>
      </c>
      <c r="P16" s="36">
        <f ca="1">'SC-NR'!J75</f>
        <v>2.6428649632888317E-2</v>
      </c>
      <c r="Q16" s="36">
        <f ca="1">'SC-NR'!K75</f>
        <v>2.9586502304739734E-2</v>
      </c>
      <c r="R16" s="36">
        <f ca="1">'SC-NR'!L75</f>
        <v>3.208776485213076E-2</v>
      </c>
      <c r="S16" s="36">
        <f ca="1">'SC-NR'!M75</f>
        <v>3.4064991885062845E-2</v>
      </c>
      <c r="T16" s="36">
        <f ca="1">'SC-NR'!N75</f>
        <v>3.5623986186207407E-2</v>
      </c>
      <c r="U16" s="36">
        <f ca="1">'SC-NR'!O75</f>
        <v>3.6849197675418464E-2</v>
      </c>
      <c r="V16" s="36">
        <f ca="1">'SC-NR'!P75</f>
        <v>3.780803277329034E-2</v>
      </c>
      <c r="W16" s="36">
        <f ca="1">'SC-NR'!Q75</f>
        <v>3.8554294063379714E-2</v>
      </c>
      <c r="X16" s="36">
        <f ca="1">'SC-NR'!R75</f>
        <v>3.9130925773305757E-2</v>
      </c>
      <c r="Y16" s="36">
        <f ca="1">'SC-NR'!S75</f>
        <v>5.3544353592098921E-2</v>
      </c>
      <c r="Z16" s="36">
        <f ca="1">'SC-NR'!T75</f>
        <v>5.2439345074865744E-2</v>
      </c>
      <c r="AA16" s="36">
        <f ca="1">'SC-NR'!U75</f>
        <v>5.0824557915136147E-2</v>
      </c>
      <c r="AB16" s="36">
        <f ca="1">'SC-NR'!V75</f>
        <v>4.9014418461249293E-2</v>
      </c>
      <c r="AC16" s="36">
        <f ca="1">'SC-NR'!W75</f>
        <v>4.7099297867406804E-2</v>
      </c>
      <c r="AD16" s="36">
        <f ca="1">'SC-NR'!X75</f>
        <v>4.5620304862093293E-2</v>
      </c>
      <c r="AE16" s="36">
        <f ca="1">'SC-NR'!Y75</f>
        <v>0.61203623785868733</v>
      </c>
      <c r="AF16" s="547">
        <f t="shared" si="4"/>
        <v>2.0586098901860663</v>
      </c>
      <c r="AG16" s="547">
        <f t="shared" si="4"/>
        <v>1.7888089211438662</v>
      </c>
      <c r="AH16" s="547">
        <f t="shared" si="4"/>
        <v>1.0286007718507246</v>
      </c>
      <c r="AI16" s="547">
        <f t="shared" si="4"/>
        <v>0.58840670343869783</v>
      </c>
      <c r="AJ16" s="547">
        <f t="shared" si="4"/>
        <v>0.60287040276109127</v>
      </c>
      <c r="AK16" s="547">
        <f t="shared" si="4"/>
        <v>0.61348901652268306</v>
      </c>
      <c r="AL16" s="547">
        <f t="shared" si="4"/>
        <v>0.59954976734147236</v>
      </c>
      <c r="AM16" s="547">
        <f t="shared" si="4"/>
        <v>0.63697788085495644</v>
      </c>
      <c r="AN16" s="547">
        <f t="shared" si="4"/>
        <v>0.56335160235329529</v>
      </c>
      <c r="AO16" s="547">
        <f t="shared" si="4"/>
        <v>0.62890004674454969</v>
      </c>
      <c r="AP16" s="547">
        <f t="shared" si="5"/>
        <v>0.50292270409131545</v>
      </c>
      <c r="AQ16" s="547">
        <f t="shared" si="5"/>
        <v>0.51386482991957649</v>
      </c>
      <c r="AR16" s="547">
        <f t="shared" si="5"/>
        <v>0</v>
      </c>
      <c r="AS16" s="547">
        <f t="shared" si="5"/>
        <v>0.96781433718616583</v>
      </c>
      <c r="AT16" s="547">
        <f t="shared" si="5"/>
        <v>0.79420167230860206</v>
      </c>
      <c r="AU16" s="547">
        <f t="shared" si="5"/>
        <v>0.48828040856735105</v>
      </c>
      <c r="AV16" s="547">
        <f t="shared" si="5"/>
        <v>0.43677115588243731</v>
      </c>
      <c r="AW16" s="547">
        <f t="shared" si="5"/>
        <v>0.44545508756200969</v>
      </c>
      <c r="AX16" s="547">
        <f t="shared" si="5"/>
        <v>0.4151039324567582</v>
      </c>
      <c r="AY16" s="547">
        <f t="shared" si="5"/>
        <v>0.48235901848165452</v>
      </c>
      <c r="AZ16" s="547">
        <f t="shared" si="5"/>
        <v>0.41944456401722263</v>
      </c>
      <c r="BA16" s="547">
        <f t="shared" si="5"/>
        <v>0.45176630201527668</v>
      </c>
      <c r="BB16" s="547">
        <f t="shared" si="5"/>
        <v>0.41292881831538814</v>
      </c>
      <c r="BC16" s="547">
        <f t="shared" si="5"/>
        <v>0.45918776054619831</v>
      </c>
      <c r="BD16" s="547">
        <f t="shared" si="5"/>
        <v>0.45999671518356283</v>
      </c>
    </row>
    <row r="17" spans="1:56" ht="15">
      <c r="A17" s="81" t="str">
        <f>VLOOKUP(CONCATENATE($C17," - ",$B17),[2]ACHIEV!$B$12:$C$100,2,FALSE)</f>
        <v>LO12Med</v>
      </c>
      <c r="B17" s="81" t="str">
        <f>'SC-NR'!$C$7</f>
        <v>NR</v>
      </c>
      <c r="C17" s="81" t="str">
        <f>'SC-NR'!$C$8</f>
        <v>Clothes Washer</v>
      </c>
      <c r="D17" s="81" t="s">
        <v>389</v>
      </c>
      <c r="E17" s="81" t="str">
        <f>'SC-NR'!$A$9</f>
        <v>Water Heating</v>
      </c>
      <c r="F17" s="546">
        <f t="shared" si="1"/>
        <v>9.907237014229936E-3</v>
      </c>
      <c r="G17" s="72">
        <f>'SC-NR'!A76</f>
        <v>16.365081135408719</v>
      </c>
      <c r="H17" s="72">
        <f>'SC-NR'!B76</f>
        <v>-77.407564903665772</v>
      </c>
      <c r="I17" s="9" t="str">
        <f>'SC-NR'!C76</f>
        <v>Manufactured</v>
      </c>
      <c r="J17" s="9" t="str">
        <f>'SC-NR'!D76</f>
        <v>Manufactured CEE Tier 3 Clothes Washer - Any DHW, Any Dryer - 54% ENERGY STAR Baseline</v>
      </c>
      <c r="K17" s="36">
        <f ca="1">'SC-NR'!E76</f>
        <v>6.7674669759840086E-3</v>
      </c>
      <c r="L17" s="36">
        <f ca="1">'SC-NR'!F76</f>
        <v>1.3390286295850576E-2</v>
      </c>
      <c r="M17" s="36">
        <f ca="1">'SC-NR'!G76</f>
        <v>1.9870776730917077E-2</v>
      </c>
      <c r="N17" s="36">
        <f ca="1">'SC-NR'!H76</f>
        <v>2.6211224011597273E-2</v>
      </c>
      <c r="O17" s="36">
        <f ca="1">'SC-NR'!I76</f>
        <v>3.2413881268785916E-2</v>
      </c>
      <c r="P17" s="36">
        <f ca="1">'SC-NR'!J76</f>
        <v>3.7839619978423167E-2</v>
      </c>
      <c r="Q17" s="36">
        <f ca="1">'SC-NR'!K76</f>
        <v>4.2003595335709909E-2</v>
      </c>
      <c r="R17" s="36">
        <f ca="1">'SC-NR'!L76</f>
        <v>4.5170339311877472E-2</v>
      </c>
      <c r="S17" s="36">
        <f ca="1">'SC-NR'!M76</f>
        <v>4.7549200970698625E-2</v>
      </c>
      <c r="T17" s="36">
        <f ca="1">'SC-NR'!N76</f>
        <v>4.9305855000121142E-2</v>
      </c>
      <c r="U17" s="36">
        <f ca="1">'SC-NR'!O76</f>
        <v>5.0571410142658459E-2</v>
      </c>
      <c r="V17" s="36">
        <f ca="1">'SC-NR'!P76</f>
        <v>5.144961806468356E-2</v>
      </c>
      <c r="W17" s="36">
        <f ca="1">'SC-NR'!Q76</f>
        <v>5.2022578817330634E-2</v>
      </c>
      <c r="X17" s="36">
        <f ca="1">'SC-NR'!R76</f>
        <v>5.2355256424224679E-2</v>
      </c>
      <c r="Y17" s="36">
        <f ca="1">'SC-NR'!S76</f>
        <v>5.49858743335363E-2</v>
      </c>
      <c r="Z17" s="36">
        <f ca="1">'SC-NR'!T76</f>
        <v>5.4713851085970537E-2</v>
      </c>
      <c r="AA17" s="36">
        <f ca="1">'SC-NR'!U76</f>
        <v>5.3914346315577226E-2</v>
      </c>
      <c r="AB17" s="36">
        <f ca="1">'SC-NR'!V76</f>
        <v>5.3100026895676597E-2</v>
      </c>
      <c r="AC17" s="36">
        <f ca="1">'SC-NR'!W76</f>
        <v>5.2175412972063948E-2</v>
      </c>
      <c r="AD17" s="36">
        <f ca="1">'SC-NR'!X76</f>
        <v>5.1324527942865031E-2</v>
      </c>
      <c r="AE17" s="36">
        <f ca="1">'SC-NR'!Y76</f>
        <v>0.7171159627166287</v>
      </c>
      <c r="AF17" s="547">
        <f t="shared" si="4"/>
        <v>2.0600590625643087</v>
      </c>
      <c r="AG17" s="547">
        <f t="shared" si="4"/>
        <v>1.7900572920215869</v>
      </c>
      <c r="AH17" s="547">
        <f t="shared" si="4"/>
        <v>1.029017152922479</v>
      </c>
      <c r="AI17" s="547">
        <f t="shared" si="4"/>
        <v>0.5883772469787335</v>
      </c>
      <c r="AJ17" s="547">
        <f t="shared" si="4"/>
        <v>0.60287332028154139</v>
      </c>
      <c r="AK17" s="547">
        <f t="shared" si="4"/>
        <v>0.61345606371055572</v>
      </c>
      <c r="AL17" s="547">
        <f t="shared" si="4"/>
        <v>0.59942918534424461</v>
      </c>
      <c r="AM17" s="547">
        <f t="shared" si="4"/>
        <v>0.63690278272372136</v>
      </c>
      <c r="AN17" s="547">
        <f t="shared" si="4"/>
        <v>0.563294114070511</v>
      </c>
      <c r="AO17" s="547">
        <f t="shared" si="4"/>
        <v>0.62887153342389013</v>
      </c>
      <c r="AP17" s="547">
        <f t="shared" si="5"/>
        <v>0.50290164594816456</v>
      </c>
      <c r="AQ17" s="547">
        <f t="shared" si="5"/>
        <v>0.5138254919452292</v>
      </c>
      <c r="AR17" s="547">
        <f t="shared" si="5"/>
        <v>0</v>
      </c>
      <c r="AS17" s="547">
        <f t="shared" si="5"/>
        <v>0.968484306429504</v>
      </c>
      <c r="AT17" s="547">
        <f t="shared" si="5"/>
        <v>0.79475471028403721</v>
      </c>
      <c r="AU17" s="547">
        <f t="shared" si="5"/>
        <v>0.48855235178591555</v>
      </c>
      <c r="AV17" s="547">
        <f t="shared" si="5"/>
        <v>0.43690674794708434</v>
      </c>
      <c r="AW17" s="547">
        <f t="shared" si="5"/>
        <v>0.44558930678222142</v>
      </c>
      <c r="AX17" s="547">
        <f t="shared" si="5"/>
        <v>0.4152255895031266</v>
      </c>
      <c r="AY17" s="547">
        <f t="shared" si="5"/>
        <v>0.48239467889396442</v>
      </c>
      <c r="AZ17" s="547">
        <f t="shared" si="5"/>
        <v>0.41957945883876901</v>
      </c>
      <c r="BA17" s="547">
        <f t="shared" si="5"/>
        <v>0.45189761227415909</v>
      </c>
      <c r="BB17" s="547">
        <f t="shared" si="5"/>
        <v>0.41310919117723133</v>
      </c>
      <c r="BC17" s="547">
        <f t="shared" si="5"/>
        <v>0.45936045637521916</v>
      </c>
      <c r="BD17" s="547">
        <f t="shared" si="5"/>
        <v>0.4601618331825188</v>
      </c>
    </row>
    <row r="18" spans="1:56" ht="15">
      <c r="A18" s="81" t="str">
        <f>VLOOKUP(CONCATENATE($C18," - ",$B18),[2]ACHIEV!$B$12:$C$100,2,FALSE)</f>
        <v>LO12Med</v>
      </c>
      <c r="B18" s="81" t="str">
        <f>'SC-NR'!$C$7</f>
        <v>NR</v>
      </c>
      <c r="C18" s="81" t="str">
        <f>'SC-NR'!$C$8</f>
        <v>Clothes Washer</v>
      </c>
      <c r="D18" s="81" t="s">
        <v>389</v>
      </c>
      <c r="E18" s="81" t="str">
        <f>'SC-NR'!$A$9</f>
        <v>Water Heating</v>
      </c>
      <c r="F18" s="546">
        <f t="shared" si="1"/>
        <v>9.8993773379950703E-3</v>
      </c>
      <c r="G18" s="72">
        <f>'SC-NR'!A77</f>
        <v>16.359662309730922</v>
      </c>
      <c r="H18" s="72">
        <f>'SC-NR'!B77</f>
        <v>-77.253113419871809</v>
      </c>
      <c r="I18" t="str">
        <f>'SC-NR'!C77</f>
        <v>Multifamily - High Rise</v>
      </c>
      <c r="J18" t="str">
        <f>'SC-NR'!D77</f>
        <v>Multifamily - High Rise CEE Tier 3 Clothes Washer - Any DHW, Any Dryer - 54% ENERGY STAR Baseline</v>
      </c>
      <c r="K18" s="48">
        <f ca="1">'SC-NR'!E77</f>
        <v>1.0501719670844237E-3</v>
      </c>
      <c r="L18" s="48">
        <f ca="1">'SC-NR'!F77</f>
        <v>2.0955744357543478E-3</v>
      </c>
      <c r="M18" s="48">
        <f ca="1">'SC-NR'!G77</f>
        <v>3.1362236520026945E-3</v>
      </c>
      <c r="N18" s="48">
        <f ca="1">'SC-NR'!H77</f>
        <v>4.1721358126334653E-3</v>
      </c>
      <c r="O18" s="48">
        <f ca="1">'SC-NR'!I77</f>
        <v>5.203327065401369E-3</v>
      </c>
      <c r="P18" s="48">
        <f ca="1">'SC-NR'!J77</f>
        <v>6.1259832839985354E-3</v>
      </c>
      <c r="Q18" s="48">
        <f ca="1">'SC-NR'!K77</f>
        <v>6.8579523005698065E-3</v>
      </c>
      <c r="R18" s="48">
        <f ca="1">'SC-NR'!L77</f>
        <v>7.4377281410706068E-3</v>
      </c>
      <c r="S18" s="48">
        <f ca="1">'SC-NR'!M77</f>
        <v>7.8960360728288388E-3</v>
      </c>
      <c r="T18" s="48">
        <f ca="1">'SC-NR'!N77</f>
        <v>8.2574004694711805E-3</v>
      </c>
      <c r="U18" s="48">
        <f ca="1">'SC-NR'!O77</f>
        <v>8.5413962545955856E-3</v>
      </c>
      <c r="V18" s="48">
        <f ca="1">'SC-NR'!P77</f>
        <v>8.7636477832686507E-3</v>
      </c>
      <c r="W18" s="48">
        <f ca="1">'SC-NR'!Q77</f>
        <v>8.9366261326010964E-3</v>
      </c>
      <c r="X18" s="48">
        <f ca="1">'SC-NR'!R77</f>
        <v>9.0702854858067429E-3</v>
      </c>
      <c r="Y18" s="48">
        <f ca="1">'SC-NR'!S77</f>
        <v>1.2356001126154826E-2</v>
      </c>
      <c r="Z18" s="48">
        <f ca="1">'SC-NR'!T77</f>
        <v>1.2139683040164802E-2</v>
      </c>
      <c r="AA18" s="48">
        <f ca="1">'SC-NR'!U77</f>
        <v>1.1798656853833155E-2</v>
      </c>
      <c r="AB18" s="48">
        <f ca="1">'SC-NR'!V77</f>
        <v>1.1319041877418711E-2</v>
      </c>
      <c r="AC18" s="48">
        <f ca="1">'SC-NR'!W77</f>
        <v>1.0842875557530355E-2</v>
      </c>
      <c r="AD18" s="48">
        <f ca="1">'SC-NR'!X77</f>
        <v>1.0526123474164949E-2</v>
      </c>
      <c r="AE18" s="48">
        <f ca="1">'SC-NR'!Y77</f>
        <v>0.14166149264035782</v>
      </c>
      <c r="AF18" s="547">
        <f t="shared" si="4"/>
        <v>2.0586098901860663</v>
      </c>
      <c r="AG18" s="547">
        <f t="shared" si="4"/>
        <v>1.7888089211438662</v>
      </c>
      <c r="AH18" s="547">
        <f t="shared" si="4"/>
        <v>1.0286007718507246</v>
      </c>
      <c r="AI18" s="547">
        <f t="shared" si="4"/>
        <v>0.58840670343869783</v>
      </c>
      <c r="AJ18" s="547">
        <f t="shared" si="4"/>
        <v>0.60287040276109127</v>
      </c>
      <c r="AK18" s="547">
        <f t="shared" si="4"/>
        <v>0.61348901652268306</v>
      </c>
      <c r="AL18" s="547">
        <f t="shared" si="4"/>
        <v>0.59954976734147236</v>
      </c>
      <c r="AM18" s="547">
        <f t="shared" si="4"/>
        <v>0.63697788085495644</v>
      </c>
      <c r="AN18" s="547">
        <f t="shared" si="4"/>
        <v>0.56335160235329529</v>
      </c>
      <c r="AO18" s="547">
        <f t="shared" si="4"/>
        <v>0.62890004674454969</v>
      </c>
      <c r="AP18" s="547">
        <f t="shared" si="5"/>
        <v>0.50292270409131545</v>
      </c>
      <c r="AQ18" s="547">
        <f t="shared" si="5"/>
        <v>0.51386482991957649</v>
      </c>
      <c r="AR18" s="547">
        <f t="shared" si="5"/>
        <v>0</v>
      </c>
      <c r="AS18" s="547">
        <f t="shared" si="5"/>
        <v>0.96781433718616583</v>
      </c>
      <c r="AT18" s="547">
        <f t="shared" si="5"/>
        <v>0.79420167230860206</v>
      </c>
      <c r="AU18" s="547">
        <f t="shared" si="5"/>
        <v>0.48828040856735105</v>
      </c>
      <c r="AV18" s="547">
        <f t="shared" si="5"/>
        <v>0.43677115588243731</v>
      </c>
      <c r="AW18" s="547">
        <f t="shared" si="5"/>
        <v>0.44545508756200969</v>
      </c>
      <c r="AX18" s="547">
        <f t="shared" si="5"/>
        <v>0.4151039324567582</v>
      </c>
      <c r="AY18" s="547">
        <f t="shared" si="5"/>
        <v>0.48235901848165452</v>
      </c>
      <c r="AZ18" s="547">
        <f t="shared" si="5"/>
        <v>0.41944456401722263</v>
      </c>
      <c r="BA18" s="547">
        <f t="shared" si="5"/>
        <v>0.45176630201527668</v>
      </c>
      <c r="BB18" s="547">
        <f t="shared" si="5"/>
        <v>0.41292881831538814</v>
      </c>
      <c r="BC18" s="547">
        <f t="shared" si="5"/>
        <v>0.45918776054619831</v>
      </c>
      <c r="BD18" s="547">
        <f t="shared" si="5"/>
        <v>0.45999671518356283</v>
      </c>
    </row>
    <row r="19" spans="1:56" ht="15">
      <c r="A19" s="81" t="str">
        <f>VLOOKUP(CONCATENATE($C19," - ",$B19),[2]ACHIEV!$B$12:$C$100,2,FALSE)</f>
        <v>LO12Med</v>
      </c>
      <c r="B19" s="81" t="str">
        <f>'SC-NR'!$C$7</f>
        <v>NR</v>
      </c>
      <c r="C19" s="81" t="str">
        <f>'SC-NR'!$C$8</f>
        <v>Clothes Washer</v>
      </c>
      <c r="D19" s="81" t="s">
        <v>389</v>
      </c>
      <c r="E19" s="81" t="str">
        <f>'SC-NR'!$A$9</f>
        <v>Water Heating</v>
      </c>
      <c r="F19" s="546">
        <f t="shared" si="1"/>
        <v>1.6266486882292062E-2</v>
      </c>
      <c r="G19" s="72">
        <f>'SC-NR'!A78</f>
        <v>31.749218306330086</v>
      </c>
      <c r="H19" s="72">
        <f>'SC-NR'!B78</f>
        <v>-94.474849641527626</v>
      </c>
      <c r="I19" s="9" t="str">
        <f>'SC-NR'!C78</f>
        <v>Single Family</v>
      </c>
      <c r="J19" s="9" t="str">
        <f>'SC-NR'!D78</f>
        <v>Single Family CEE Tier 2 Clothes Washer - Any DHW, Any Dryer - 54% ENERGY STAR Baseline</v>
      </c>
      <c r="K19" s="36">
        <f ca="1">'SC-NR'!E78</f>
        <v>9.9699584894129861E-2</v>
      </c>
      <c r="L19" s="36">
        <f ca="1">'SC-NR'!F78</f>
        <v>0.19894637788191014</v>
      </c>
      <c r="M19" s="36">
        <f ca="1">'SC-NR'!G78</f>
        <v>0.29774192125043258</v>
      </c>
      <c r="N19" s="36">
        <f ca="1">'SC-NR'!H78</f>
        <v>0.39608775261719359</v>
      </c>
      <c r="O19" s="36">
        <f ca="1">'SC-NR'!I78</f>
        <v>0.49398540494334819</v>
      </c>
      <c r="P19" s="36">
        <f ca="1">'SC-NR'!J78</f>
        <v>0.58157913310448017</v>
      </c>
      <c r="Q19" s="36">
        <f ca="1">'SC-NR'!K78</f>
        <v>0.65106970014115839</v>
      </c>
      <c r="R19" s="36">
        <f ca="1">'SC-NR'!L78</f>
        <v>0.70611159067588936</v>
      </c>
      <c r="S19" s="36">
        <f ca="1">'SC-NR'!M78</f>
        <v>0.74962175138541209</v>
      </c>
      <c r="T19" s="36">
        <f ca="1">'SC-NR'!N78</f>
        <v>0.78392843842473081</v>
      </c>
      <c r="U19" s="36">
        <f ca="1">'SC-NR'!O78</f>
        <v>0.81089002496637486</v>
      </c>
      <c r="V19" s="36">
        <f ca="1">'SC-NR'!P78</f>
        <v>0.8319898314030435</v>
      </c>
      <c r="W19" s="36">
        <f ca="1">'SC-NR'!Q78</f>
        <v>0.84841181723878956</v>
      </c>
      <c r="X19" s="36">
        <f ca="1">'SC-NR'!R78</f>
        <v>0.86110099709816934</v>
      </c>
      <c r="Y19" s="36">
        <f ca="1">'SC-NR'!S78</f>
        <v>1.0379686749152004</v>
      </c>
      <c r="Z19" s="36">
        <f ca="1">'SC-NR'!T78</f>
        <v>1.0199064238371156</v>
      </c>
      <c r="AA19" s="36">
        <f ca="1">'SC-NR'!U78</f>
        <v>0.99177831721755905</v>
      </c>
      <c r="AB19" s="36">
        <f ca="1">'SC-NR'!V78</f>
        <v>0.96785380729334303</v>
      </c>
      <c r="AC19" s="36">
        <f ca="1">'SC-NR'!W78</f>
        <v>0.94564941774062461</v>
      </c>
      <c r="AD19" s="36">
        <f ca="1">'SC-NR'!X78</f>
        <v>0.92501959343138918</v>
      </c>
      <c r="AE19" s="36">
        <f ca="1">'SC-NR'!Y78</f>
        <v>12.872152004446859</v>
      </c>
      <c r="AF19" s="547">
        <f t="shared" si="4"/>
        <v>3.5016869515497917</v>
      </c>
      <c r="AG19" s="547">
        <f t="shared" si="4"/>
        <v>3.0524760599943646</v>
      </c>
      <c r="AH19" s="547">
        <f t="shared" si="4"/>
        <v>1.9495640554948743</v>
      </c>
      <c r="AI19" s="547">
        <f t="shared" si="4"/>
        <v>1.2832391761368578</v>
      </c>
      <c r="AJ19" s="547">
        <f t="shared" si="4"/>
        <v>1.301044569346204</v>
      </c>
      <c r="AK19" s="547">
        <f t="shared" si="4"/>
        <v>1.3494591343985891</v>
      </c>
      <c r="AL19" s="547">
        <f t="shared" si="4"/>
        <v>1.3725667817754588</v>
      </c>
      <c r="AM19" s="547">
        <f t="shared" si="4"/>
        <v>1.4298934106133483</v>
      </c>
      <c r="AN19" s="547">
        <f t="shared" si="4"/>
        <v>1.2575116772417851</v>
      </c>
      <c r="AO19" s="547">
        <f t="shared" si="4"/>
        <v>1.3755211810437871</v>
      </c>
      <c r="AP19" s="547">
        <f t="shared" si="5"/>
        <v>1.0986200302237816</v>
      </c>
      <c r="AQ19" s="547">
        <f t="shared" si="5"/>
        <v>1.1307624596601558</v>
      </c>
      <c r="AR19" s="547">
        <f t="shared" si="5"/>
        <v>0</v>
      </c>
      <c r="AS19" s="547">
        <f t="shared" si="5"/>
        <v>1.6481439965665836</v>
      </c>
      <c r="AT19" s="547">
        <f t="shared" si="5"/>
        <v>1.3514897037524884</v>
      </c>
      <c r="AU19" s="547">
        <f t="shared" si="5"/>
        <v>0.87541831021863514</v>
      </c>
      <c r="AV19" s="547">
        <f t="shared" si="5"/>
        <v>0.8474788073620626</v>
      </c>
      <c r="AW19" s="547">
        <f t="shared" si="5"/>
        <v>0.86850834486653794</v>
      </c>
      <c r="AX19" s="547">
        <f t="shared" si="5"/>
        <v>0.8152758352478745</v>
      </c>
      <c r="AY19" s="547">
        <f t="shared" si="5"/>
        <v>1.0073969404971916</v>
      </c>
      <c r="AZ19" s="547">
        <f t="shared" si="5"/>
        <v>0.82049227778064882</v>
      </c>
      <c r="BA19" s="547">
        <f t="shared" si="5"/>
        <v>0.88987783379899688</v>
      </c>
      <c r="BB19" s="547">
        <f t="shared" si="5"/>
        <v>0.77499617630606032</v>
      </c>
      <c r="BC19" s="547">
        <f t="shared" si="5"/>
        <v>0.87044707137840316</v>
      </c>
      <c r="BD19" s="547">
        <f t="shared" si="5"/>
        <v>0.87734752107560576</v>
      </c>
    </row>
    <row r="20" spans="1:56" ht="15">
      <c r="A20" s="81" t="str">
        <f>VLOOKUP(CONCATENATE($C20," - ",$B20),[2]ACHIEV!$B$12:$C$100,2,FALSE)</f>
        <v>LO12Med</v>
      </c>
      <c r="B20" s="81" t="str">
        <f>'SC-NR'!$C$7</f>
        <v>NR</v>
      </c>
      <c r="C20" s="81" t="str">
        <f>'SC-NR'!$C$8</f>
        <v>Clothes Washer</v>
      </c>
      <c r="D20" s="81" t="s">
        <v>389</v>
      </c>
      <c r="E20" s="81" t="str">
        <f>'SC-NR'!$A$9</f>
        <v>Water Heating</v>
      </c>
      <c r="F20" s="546">
        <f t="shared" si="1"/>
        <v>1.5921079911198444E-2</v>
      </c>
      <c r="G20" s="72">
        <f>'SC-NR'!A79</f>
        <v>31.45855370122467</v>
      </c>
      <c r="H20" s="72">
        <f>'SC-NR'!B79</f>
        <v>-87.148332348686608</v>
      </c>
      <c r="I20" s="9" t="str">
        <f>'SC-NR'!C79</f>
        <v>Manufactured</v>
      </c>
      <c r="J20" s="9" t="str">
        <f>'SC-NR'!D79</f>
        <v>Manufactured CEE Tier 2 Clothes Washer - Any DHW, Any Dryer - 54% ENERGY STAR Baseline</v>
      </c>
      <c r="K20" s="36">
        <f ca="1">'SC-NR'!E79</f>
        <v>1.3009084496661764E-2</v>
      </c>
      <c r="L20" s="36">
        <f ca="1">'SC-NR'!F79</f>
        <v>2.5740113173124673E-2</v>
      </c>
      <c r="M20" s="36">
        <f ca="1">'SC-NR'!G79</f>
        <v>3.8197543397574384E-2</v>
      </c>
      <c r="N20" s="36">
        <f ca="1">'SC-NR'!H79</f>
        <v>5.0385769023751852E-2</v>
      </c>
      <c r="O20" s="36">
        <f ca="1">'SC-NR'!I79</f>
        <v>6.2309121239425821E-2</v>
      </c>
      <c r="P20" s="36">
        <f ca="1">'SC-NR'!J79</f>
        <v>7.2739004913917854E-2</v>
      </c>
      <c r="Q20" s="36">
        <f ca="1">'SC-NR'!K79</f>
        <v>8.0743404116336445E-2</v>
      </c>
      <c r="R20" s="36">
        <f ca="1">'SC-NR'!L79</f>
        <v>8.683082797986677E-2</v>
      </c>
      <c r="S20" s="36">
        <f ca="1">'SC-NR'!M79</f>
        <v>9.1403707675518878E-2</v>
      </c>
      <c r="T20" s="36">
        <f ca="1">'SC-NR'!N79</f>
        <v>9.4780519233115867E-2</v>
      </c>
      <c r="U20" s="36">
        <f ca="1">'SC-NR'!O79</f>
        <v>9.7213292653788377E-2</v>
      </c>
      <c r="V20" s="36">
        <f ca="1">'SC-NR'!P79</f>
        <v>9.8901469501020217E-2</v>
      </c>
      <c r="W20" s="36">
        <f ca="1">'SC-NR'!Q79</f>
        <v>0.10000287049357887</v>
      </c>
      <c r="X20" s="36">
        <f ca="1">'SC-NR'!R79</f>
        <v>0.10064237580828381</v>
      </c>
      <c r="Y20" s="36">
        <f ca="1">'SC-NR'!S79</f>
        <v>0.10569920590174585</v>
      </c>
      <c r="Z20" s="36">
        <f ca="1">'SC-NR'!T79</f>
        <v>0.10517629630718153</v>
      </c>
      <c r="AA20" s="36">
        <f ca="1">'SC-NR'!U79</f>
        <v>0.10363941032747291</v>
      </c>
      <c r="AB20" s="36">
        <f ca="1">'SC-NR'!V79</f>
        <v>0.10207404618482491</v>
      </c>
      <c r="AC20" s="36">
        <f ca="1">'SC-NR'!W79</f>
        <v>0.10029666319917421</v>
      </c>
      <c r="AD20" s="36">
        <f ca="1">'SC-NR'!X79</f>
        <v>9.8661009079091325E-2</v>
      </c>
      <c r="AE20" s="36">
        <f ca="1">'SC-NR'!Y79</f>
        <v>1.3785101849764259</v>
      </c>
      <c r="AF20" s="547">
        <f t="shared" si="4"/>
        <v>3.4367149821705034</v>
      </c>
      <c r="AG20" s="547">
        <f t="shared" si="4"/>
        <v>2.9964232980461158</v>
      </c>
      <c r="AH20" s="547">
        <f t="shared" si="4"/>
        <v>1.9284892700517446</v>
      </c>
      <c r="AI20" s="547">
        <f t="shared" si="4"/>
        <v>1.2810861161574745</v>
      </c>
      <c r="AJ20" s="547">
        <f t="shared" si="4"/>
        <v>1.2976180953751943</v>
      </c>
      <c r="AK20" s="547">
        <f t="shared" si="4"/>
        <v>1.3473031100463664</v>
      </c>
      <c r="AL20" s="547">
        <f t="shared" si="4"/>
        <v>1.3737286646235267</v>
      </c>
      <c r="AM20" s="547">
        <f t="shared" si="4"/>
        <v>1.4291693167171768</v>
      </c>
      <c r="AN20" s="547">
        <f t="shared" si="4"/>
        <v>1.2565400179134882</v>
      </c>
      <c r="AO20" s="547">
        <f t="shared" si="4"/>
        <v>1.3731134631059452</v>
      </c>
      <c r="AP20" s="547">
        <f t="shared" si="5"/>
        <v>1.0966299423567938</v>
      </c>
      <c r="AQ20" s="547">
        <f t="shared" si="5"/>
        <v>1.1293867389951278</v>
      </c>
      <c r="AR20" s="547">
        <f t="shared" si="5"/>
        <v>0</v>
      </c>
      <c r="AS20" s="547">
        <f t="shared" si="5"/>
        <v>1.6180148827681655</v>
      </c>
      <c r="AT20" s="547">
        <f t="shared" si="5"/>
        <v>1.3266456263187516</v>
      </c>
      <c r="AU20" s="547">
        <f t="shared" si="5"/>
        <v>0.86266352391765577</v>
      </c>
      <c r="AV20" s="547">
        <f t="shared" si="5"/>
        <v>0.84005115523035656</v>
      </c>
      <c r="AW20" s="547">
        <f t="shared" si="5"/>
        <v>0.86108450467872455</v>
      </c>
      <c r="AX20" s="547">
        <f t="shared" si="5"/>
        <v>0.80848647114355943</v>
      </c>
      <c r="AY20" s="547">
        <f t="shared" si="5"/>
        <v>1.0034149668351826</v>
      </c>
      <c r="AZ20" s="547">
        <f t="shared" si="5"/>
        <v>0.81319165577077235</v>
      </c>
      <c r="BA20" s="547">
        <f t="shared" si="5"/>
        <v>0.88253033397781966</v>
      </c>
      <c r="BB20" s="547">
        <f t="shared" si="5"/>
        <v>0.76604709044090846</v>
      </c>
      <c r="BC20" s="547">
        <f t="shared" si="5"/>
        <v>0.86152193626326334</v>
      </c>
      <c r="BD20" s="547">
        <f t="shared" si="5"/>
        <v>0.86869853832004962</v>
      </c>
    </row>
    <row r="21" spans="1:56" ht="15">
      <c r="A21" s="81" t="str">
        <f>VLOOKUP(CONCATENATE($C21," - ",$B21),[2]ACHIEV!$B$12:$C$100,2,FALSE)</f>
        <v>LO12Med</v>
      </c>
      <c r="B21" s="81" t="str">
        <f>'SC-NR'!$C$7</f>
        <v>NR</v>
      </c>
      <c r="C21" s="81" t="str">
        <f>'SC-NR'!$C$8</f>
        <v>Clothes Washer</v>
      </c>
      <c r="D21" s="81" t="s">
        <v>389</v>
      </c>
      <c r="E21" s="81" t="str">
        <f>'SC-NR'!$A$9</f>
        <v>Water Heating</v>
      </c>
      <c r="F21" s="546">
        <f t="shared" si="1"/>
        <v>1.58878338034051E-2</v>
      </c>
      <c r="G21" s="72">
        <f>'SC-NR'!A80</f>
        <v>31.430585206391111</v>
      </c>
      <c r="H21" s="72">
        <f>'SC-NR'!B80</f>
        <v>-86.219141575020686</v>
      </c>
      <c r="I21" s="9" t="str">
        <f>'SC-NR'!C80</f>
        <v>Multifamily - Low Rise</v>
      </c>
      <c r="J21" s="9" t="str">
        <f>'SC-NR'!D80</f>
        <v>Multifamily - Low Rise CEE Tier 2 Clothes Washer - Any DHW, Any Dryer - 54% ENERGY STAR Baseline</v>
      </c>
      <c r="K21" s="36">
        <f ca="1">'SC-NR'!E80</f>
        <v>8.704377539478985E-3</v>
      </c>
      <c r="L21" s="36">
        <f ca="1">'SC-NR'!F80</f>
        <v>1.7369222967860951E-2</v>
      </c>
      <c r="M21" s="36">
        <f ca="1">'SC-NR'!G80</f>
        <v>2.5994670940478866E-2</v>
      </c>
      <c r="N21" s="36">
        <f ca="1">'SC-NR'!H80</f>
        <v>3.4580855704962082E-2</v>
      </c>
      <c r="O21" s="36">
        <f ca="1">'SC-NR'!I80</f>
        <v>4.3127911102393508E-2</v>
      </c>
      <c r="P21" s="36">
        <f ca="1">'SC-NR'!J80</f>
        <v>5.0775371058989528E-2</v>
      </c>
      <c r="Q21" s="36">
        <f ca="1">'SC-NR'!K80</f>
        <v>5.6842315204457552E-2</v>
      </c>
      <c r="R21" s="36">
        <f ca="1">'SC-NR'!L80</f>
        <v>6.1647802269588901E-2</v>
      </c>
      <c r="S21" s="36">
        <f ca="1">'SC-NR'!M80</f>
        <v>6.5446499428147425E-2</v>
      </c>
      <c r="T21" s="36">
        <f ca="1">'SC-NR'!N80</f>
        <v>6.8441677585905372E-2</v>
      </c>
      <c r="U21" s="36">
        <f ca="1">'SC-NR'!O80</f>
        <v>7.0795584003924272E-2</v>
      </c>
      <c r="V21" s="36">
        <f ca="1">'SC-NR'!P80</f>
        <v>7.263772155370822E-2</v>
      </c>
      <c r="W21" s="36">
        <f ca="1">'SC-NR'!Q80</f>
        <v>7.4071457080781652E-2</v>
      </c>
      <c r="X21" s="36">
        <f ca="1">'SC-NR'!R80</f>
        <v>7.5179296090438788E-2</v>
      </c>
      <c r="Y21" s="36">
        <f ca="1">'SC-NR'!S80</f>
        <v>0.10287072777147559</v>
      </c>
      <c r="Z21" s="36">
        <f ca="1">'SC-NR'!T80</f>
        <v>0.10074775825675479</v>
      </c>
      <c r="AA21" s="36">
        <f ca="1">'SC-NR'!U80</f>
        <v>9.7645389488184423E-2</v>
      </c>
      <c r="AB21" s="36">
        <f ca="1">'SC-NR'!V80</f>
        <v>9.416770509203401E-2</v>
      </c>
      <c r="AC21" s="36">
        <f ca="1">'SC-NR'!W80</f>
        <v>9.0488328350285682E-2</v>
      </c>
      <c r="AD21" s="36">
        <f ca="1">'SC-NR'!X80</f>
        <v>8.7646850647808125E-2</v>
      </c>
      <c r="AE21" s="36">
        <f ca="1">'SC-NR'!Y80</f>
        <v>1.175859058653939</v>
      </c>
      <c r="AF21" s="547">
        <f t="shared" si="4"/>
        <v>3.4304615102273446</v>
      </c>
      <c r="AG21" s="547">
        <f t="shared" si="4"/>
        <v>2.9910283021455695</v>
      </c>
      <c r="AH21" s="547">
        <f t="shared" si="4"/>
        <v>1.9264612320290428</v>
      </c>
      <c r="AI21" s="547">
        <f t="shared" si="4"/>
        <v>1.2808794411387199</v>
      </c>
      <c r="AJ21" s="547">
        <f t="shared" si="4"/>
        <v>1.2972888274180658</v>
      </c>
      <c r="AK21" s="547">
        <f t="shared" si="4"/>
        <v>1.3470961751990971</v>
      </c>
      <c r="AL21" s="547">
        <f t="shared" si="4"/>
        <v>1.3738411717348933</v>
      </c>
      <c r="AM21" s="547">
        <f t="shared" si="4"/>
        <v>1.4291002764375971</v>
      </c>
      <c r="AN21" s="547">
        <f t="shared" si="4"/>
        <v>1.2564470632792268</v>
      </c>
      <c r="AO21" s="547">
        <f t="shared" si="4"/>
        <v>1.3728823114641737</v>
      </c>
      <c r="AP21" s="547">
        <f t="shared" si="5"/>
        <v>1.0964388671069452</v>
      </c>
      <c r="AQ21" s="547">
        <f t="shared" si="5"/>
        <v>1.1292548285757638</v>
      </c>
      <c r="AR21" s="547">
        <f t="shared" si="5"/>
        <v>0</v>
      </c>
      <c r="AS21" s="547">
        <f t="shared" si="5"/>
        <v>1.6151150073664062</v>
      </c>
      <c r="AT21" s="547">
        <f t="shared" si="5"/>
        <v>1.3242544223591068</v>
      </c>
      <c r="AU21" s="547">
        <f t="shared" si="5"/>
        <v>0.86143598123312626</v>
      </c>
      <c r="AV21" s="547">
        <f t="shared" si="5"/>
        <v>0.83933646807668316</v>
      </c>
      <c r="AW21" s="547">
        <f t="shared" si="5"/>
        <v>0.86037019363403067</v>
      </c>
      <c r="AX21" s="547">
        <f t="shared" si="5"/>
        <v>0.80783321626672966</v>
      </c>
      <c r="AY21" s="547">
        <f t="shared" si="5"/>
        <v>1.0030320870984848</v>
      </c>
      <c r="AZ21" s="547">
        <f t="shared" si="5"/>
        <v>0.81248917982628921</v>
      </c>
      <c r="BA21" s="547">
        <f t="shared" si="5"/>
        <v>0.88182337922954457</v>
      </c>
      <c r="BB21" s="547">
        <f t="shared" si="5"/>
        <v>0.76518588956650591</v>
      </c>
      <c r="BC21" s="547">
        <f t="shared" si="5"/>
        <v>0.86066309172437105</v>
      </c>
      <c r="BD21" s="547">
        <f t="shared" si="5"/>
        <v>0.86786628325339421</v>
      </c>
    </row>
    <row r="22" spans="1:56" ht="15">
      <c r="A22" s="81" t="str">
        <f>VLOOKUP(CONCATENATE($C22," - ",$B22),[2]ACHIEV!$B$12:$C$100,2,FALSE)</f>
        <v>LO12Med</v>
      </c>
      <c r="B22" s="81" t="str">
        <f>'SC-NR'!$C$7</f>
        <v>NR</v>
      </c>
      <c r="C22" s="81" t="str">
        <f>'SC-NR'!$C$8</f>
        <v>Clothes Washer</v>
      </c>
      <c r="D22" s="81" t="s">
        <v>389</v>
      </c>
      <c r="E22" s="81" t="str">
        <f>'SC-NR'!$A$9</f>
        <v>Water Heating</v>
      </c>
      <c r="F22" s="546">
        <f t="shared" si="1"/>
        <v>1.58878338034051E-2</v>
      </c>
      <c r="G22" s="72">
        <f>'SC-NR'!A81</f>
        <v>31.430585206391111</v>
      </c>
      <c r="H22" s="72">
        <f>'SC-NR'!B81</f>
        <v>-86.219141575020686</v>
      </c>
      <c r="I22" t="str">
        <f>'SC-NR'!C81</f>
        <v>Multifamily - High Rise</v>
      </c>
      <c r="J22" t="str">
        <f>'SC-NR'!D81</f>
        <v>Multifamily - High Rise CEE Tier 2 Clothes Washer - Any DHW, Any Dryer - 54% ENERGY STAR Baseline</v>
      </c>
      <c r="K22" s="48">
        <f ca="1">'SC-NR'!E81</f>
        <v>2.0176161871738076E-3</v>
      </c>
      <c r="L22" s="48">
        <f ca="1">'SC-NR'!F81</f>
        <v>4.0260690968012608E-3</v>
      </c>
      <c r="M22" s="48">
        <f ca="1">'SC-NR'!G81</f>
        <v>6.0253899410831488E-3</v>
      </c>
      <c r="N22" s="48">
        <f ca="1">'SC-NR'!H81</f>
        <v>8.015609837717293E-3</v>
      </c>
      <c r="O22" s="48">
        <f ca="1">'SC-NR'!I81</f>
        <v>9.9967598101668061E-3</v>
      </c>
      <c r="P22" s="48">
        <f ca="1">'SC-NR'!J81</f>
        <v>1.1769389608128804E-2</v>
      </c>
      <c r="Q22" s="48">
        <f ca="1">'SC-NR'!K81</f>
        <v>1.3175666468140597E-2</v>
      </c>
      <c r="R22" s="48">
        <f ca="1">'SC-NR'!L81</f>
        <v>1.4289546058713094E-2</v>
      </c>
      <c r="S22" s="48">
        <f ca="1">'SC-NR'!M81</f>
        <v>1.5170058518394111E-2</v>
      </c>
      <c r="T22" s="48">
        <f ca="1">'SC-NR'!N81</f>
        <v>1.5864320676389113E-2</v>
      </c>
      <c r="U22" s="48">
        <f ca="1">'SC-NR'!O81</f>
        <v>1.6409940356894324E-2</v>
      </c>
      <c r="V22" s="48">
        <f ca="1">'SC-NR'!P81</f>
        <v>1.683693545477323E-2</v>
      </c>
      <c r="W22" s="48">
        <f ca="1">'SC-NR'!Q81</f>
        <v>1.7169265709800586E-2</v>
      </c>
      <c r="X22" s="48">
        <f ca="1">'SC-NR'!R81</f>
        <v>1.7426055343353255E-2</v>
      </c>
      <c r="Y22" s="48">
        <f ca="1">'SC-NR'!S81</f>
        <v>2.373865296564678E-2</v>
      </c>
      <c r="Z22" s="48">
        <f ca="1">'SC-NR'!T81</f>
        <v>2.332305734364248E-2</v>
      </c>
      <c r="AA22" s="48">
        <f ca="1">'SC-NR'!U81</f>
        <v>2.2667869455031124E-2</v>
      </c>
      <c r="AB22" s="48">
        <f ca="1">'SC-NR'!V81</f>
        <v>2.1746421377616412E-2</v>
      </c>
      <c r="AC22" s="48">
        <f ca="1">'SC-NR'!W81</f>
        <v>2.0831598943857336E-2</v>
      </c>
      <c r="AD22" s="48">
        <f ca="1">'SC-NR'!X81</f>
        <v>2.0223047058309154E-2</v>
      </c>
      <c r="AE22" s="48">
        <f ca="1">'SC-NR'!Y81</f>
        <v>0.27216354045700031</v>
      </c>
      <c r="AF22" s="547">
        <f t="shared" si="4"/>
        <v>3.4304615102273446</v>
      </c>
      <c r="AG22" s="547">
        <f t="shared" si="4"/>
        <v>2.9910283021455695</v>
      </c>
      <c r="AH22" s="547">
        <f t="shared" si="4"/>
        <v>1.9264612320290428</v>
      </c>
      <c r="AI22" s="547">
        <f t="shared" si="4"/>
        <v>1.2808794411387199</v>
      </c>
      <c r="AJ22" s="547">
        <f t="shared" si="4"/>
        <v>1.2972888274180658</v>
      </c>
      <c r="AK22" s="547">
        <f t="shared" si="4"/>
        <v>1.3470961751990971</v>
      </c>
      <c r="AL22" s="547">
        <f t="shared" si="4"/>
        <v>1.3738411717348933</v>
      </c>
      <c r="AM22" s="547">
        <f t="shared" si="4"/>
        <v>1.4291002764375971</v>
      </c>
      <c r="AN22" s="547">
        <f t="shared" si="4"/>
        <v>1.2564470632792268</v>
      </c>
      <c r="AO22" s="547">
        <f t="shared" si="4"/>
        <v>1.3728823114641737</v>
      </c>
      <c r="AP22" s="547">
        <f t="shared" si="5"/>
        <v>1.0964388671069452</v>
      </c>
      <c r="AQ22" s="547">
        <f t="shared" si="5"/>
        <v>1.1292548285757638</v>
      </c>
      <c r="AR22" s="547">
        <f t="shared" si="5"/>
        <v>0</v>
      </c>
      <c r="AS22" s="547">
        <f t="shared" si="5"/>
        <v>1.6151150073664062</v>
      </c>
      <c r="AT22" s="547">
        <f t="shared" si="5"/>
        <v>1.3242544223591068</v>
      </c>
      <c r="AU22" s="547">
        <f t="shared" si="5"/>
        <v>0.86143598123312626</v>
      </c>
      <c r="AV22" s="547">
        <f t="shared" si="5"/>
        <v>0.83933646807668316</v>
      </c>
      <c r="AW22" s="547">
        <f t="shared" si="5"/>
        <v>0.86037019363403067</v>
      </c>
      <c r="AX22" s="547">
        <f t="shared" si="5"/>
        <v>0.80783321626672966</v>
      </c>
      <c r="AY22" s="547">
        <f t="shared" si="5"/>
        <v>1.0030320870984848</v>
      </c>
      <c r="AZ22" s="547">
        <f t="shared" si="5"/>
        <v>0.81248917982628921</v>
      </c>
      <c r="BA22" s="547">
        <f t="shared" si="5"/>
        <v>0.88182337922954457</v>
      </c>
      <c r="BB22" s="547">
        <f t="shared" si="5"/>
        <v>0.76518588956650591</v>
      </c>
      <c r="BC22" s="547">
        <f t="shared" si="5"/>
        <v>0.86066309172437105</v>
      </c>
      <c r="BD22" s="547">
        <f t="shared" si="5"/>
        <v>0.86786628325339421</v>
      </c>
    </row>
    <row r="23" spans="1:56" ht="15">
      <c r="A23" s="81" t="str">
        <f>VLOOKUP(CONCATENATE($C23," - ",$B23),[2]ACHIEV!$B$12:$C$100,2,FALSE)</f>
        <v>LO12Med</v>
      </c>
      <c r="B23" s="81" t="str">
        <f>'SC-NR'!$C$7</f>
        <v>NR</v>
      </c>
      <c r="C23" s="81" t="str">
        <f>'SC-NR'!$C$8</f>
        <v>Clothes Washer</v>
      </c>
      <c r="D23" s="81" t="s">
        <v>389</v>
      </c>
      <c r="E23" s="81" t="str">
        <f>'SC-NR'!$A$9</f>
        <v>Water Heating</v>
      </c>
      <c r="F23" s="546">
        <f t="shared" si="1"/>
        <v>2.6971379118686991E-2</v>
      </c>
      <c r="G23" s="72">
        <f>'SC-NR'!A82</f>
        <v>53.638909577706116</v>
      </c>
      <c r="H23" s="72">
        <f>'SC-NR'!B82</f>
        <v>-65.743456849320339</v>
      </c>
      <c r="I23" s="9" t="str">
        <f>'SC-NR'!C82</f>
        <v>Single Family</v>
      </c>
      <c r="J23" s="9" t="str">
        <f>'SC-NR'!D82</f>
        <v>Single Family CEE Tier 1 Clothes Washer - Any DHW, Any Dryer - 54% ENERGY STAR Baseline</v>
      </c>
      <c r="K23" s="36">
        <f ca="1">'SC-NR'!E82</f>
        <v>0.16843806885175622</v>
      </c>
      <c r="L23" s="36">
        <f ca="1">'SC-NR'!F82</f>
        <v>0.3361111656689928</v>
      </c>
      <c r="M23" s="36">
        <f ca="1">'SC-NR'!G82</f>
        <v>0.50302189607799819</v>
      </c>
      <c r="N23" s="36">
        <f ca="1">'SC-NR'!H82</f>
        <v>0.66917285781598446</v>
      </c>
      <c r="O23" s="36">
        <f ca="1">'SC-NR'!I82</f>
        <v>0.83456664075348019</v>
      </c>
      <c r="P23" s="36">
        <f ca="1">'SC-NR'!J82</f>
        <v>0.98255239646805037</v>
      </c>
      <c r="Q23" s="36">
        <f ca="1">'SC-NR'!K82</f>
        <v>1.0999536567391024</v>
      </c>
      <c r="R23" s="36">
        <f ca="1">'SC-NR'!L82</f>
        <v>1.1929445127939677</v>
      </c>
      <c r="S23" s="36">
        <f ca="1">'SC-NR'!M82</f>
        <v>1.2664530179008233</v>
      </c>
      <c r="T23" s="36">
        <f ca="1">'SC-NR'!N82</f>
        <v>1.3244126585526941</v>
      </c>
      <c r="U23" s="36">
        <f ca="1">'SC-NR'!O82</f>
        <v>1.3699630745857845</v>
      </c>
      <c r="V23" s="36">
        <f ca="1">'SC-NR'!P82</f>
        <v>1.4056102706409366</v>
      </c>
      <c r="W23" s="36">
        <f ca="1">'SC-NR'!Q82</f>
        <v>1.4333544942886201</v>
      </c>
      <c r="X23" s="36">
        <f ca="1">'SC-NR'!R82</f>
        <v>1.4547923062223023</v>
      </c>
      <c r="Y23" s="36">
        <f ca="1">'SC-NR'!S82</f>
        <v>1.7536024780543154</v>
      </c>
      <c r="Z23" s="36">
        <f ca="1">'SC-NR'!T82</f>
        <v>1.7230870983369488</v>
      </c>
      <c r="AA23" s="36">
        <f ca="1">'SC-NR'!U82</f>
        <v>1.6755658978777346</v>
      </c>
      <c r="AB23" s="36">
        <f ca="1">'SC-NR'!V82</f>
        <v>1.6351464893702785</v>
      </c>
      <c r="AC23" s="36">
        <f ca="1">'SC-NR'!W82</f>
        <v>1.5976331486651638</v>
      </c>
      <c r="AD23" s="36">
        <f ca="1">'SC-NR'!X82</f>
        <v>1.5627799667678819</v>
      </c>
      <c r="AE23" s="36">
        <f ca="1">'SC-NR'!Y82</f>
        <v>21.746935334762355</v>
      </c>
      <c r="AF23" s="547">
        <f t="shared" si="4"/>
        <v>5.8304335502900972</v>
      </c>
      <c r="AG23" s="547">
        <f t="shared" si="4"/>
        <v>5.0854379494908093</v>
      </c>
      <c r="AH23" s="547">
        <f t="shared" si="4"/>
        <v>3.2863889299323001</v>
      </c>
      <c r="AI23" s="547">
        <f t="shared" si="4"/>
        <v>2.1913387899008927</v>
      </c>
      <c r="AJ23" s="547">
        <f t="shared" si="4"/>
        <v>2.2224784769538051</v>
      </c>
      <c r="AK23" s="547">
        <f t="shared" si="4"/>
        <v>2.310031348121163</v>
      </c>
      <c r="AL23" s="547">
        <f t="shared" si="4"/>
        <v>2.3565382967323965</v>
      </c>
      <c r="AM23" s="547">
        <f t="shared" si="4"/>
        <v>2.4530011798723321</v>
      </c>
      <c r="AN23" s="547">
        <f t="shared" si="4"/>
        <v>2.1557149539710005</v>
      </c>
      <c r="AO23" s="547">
        <f t="shared" si="4"/>
        <v>2.3517734042919631</v>
      </c>
      <c r="AP23" s="547">
        <f t="shared" si="5"/>
        <v>1.8780449596984787</v>
      </c>
      <c r="AQ23" s="547">
        <f t="shared" si="5"/>
        <v>1.9330313941040786</v>
      </c>
      <c r="AR23" s="547">
        <f t="shared" si="5"/>
        <v>0</v>
      </c>
      <c r="AS23" s="547">
        <f t="shared" si="5"/>
        <v>2.74254726859599</v>
      </c>
      <c r="AT23" s="547">
        <f t="shared" si="5"/>
        <v>2.2491237517992979</v>
      </c>
      <c r="AU23" s="547">
        <f t="shared" si="5"/>
        <v>1.4659736868482389</v>
      </c>
      <c r="AV23" s="547">
        <f t="shared" si="5"/>
        <v>1.4294714735724559</v>
      </c>
      <c r="AW23" s="547">
        <f t="shared" si="5"/>
        <v>1.4662717374729366</v>
      </c>
      <c r="AX23" s="547">
        <f t="shared" si="5"/>
        <v>1.3788599176845415</v>
      </c>
      <c r="AY23" s="547">
        <f t="shared" si="5"/>
        <v>1.7110657783150203</v>
      </c>
      <c r="AZ23" s="547">
        <f t="shared" si="5"/>
        <v>1.3887799390803002</v>
      </c>
      <c r="BA23" s="547">
        <f t="shared" si="5"/>
        <v>1.5061968003116013</v>
      </c>
      <c r="BB23" s="547">
        <f t="shared" si="5"/>
        <v>1.3053826198113117</v>
      </c>
      <c r="BC23" s="547">
        <f t="shared" si="5"/>
        <v>1.4641667728116774</v>
      </c>
      <c r="BD23" s="547">
        <f t="shared" si="5"/>
        <v>1.4768565980434212</v>
      </c>
    </row>
    <row r="24" spans="1:56" ht="15">
      <c r="A24" s="81" t="str">
        <f>VLOOKUP(CONCATENATE($C24," - ",$B24),[2]ACHIEV!$B$12:$C$100,2,FALSE)</f>
        <v>LO12Med</v>
      </c>
      <c r="B24" s="81" t="str">
        <f>'SC-NR'!$C$7</f>
        <v>NR</v>
      </c>
      <c r="C24" s="81" t="str">
        <f>'SC-NR'!$C$8</f>
        <v>Clothes Washer</v>
      </c>
      <c r="D24" s="81" t="s">
        <v>389</v>
      </c>
      <c r="E24" s="81" t="str">
        <f>'SC-NR'!$A$9</f>
        <v>Water Heating</v>
      </c>
      <c r="F24" s="546">
        <f t="shared" si="1"/>
        <v>2.6302634511923328E-2</v>
      </c>
      <c r="G24" s="72">
        <f>'SC-NR'!A83</f>
        <v>53.082689723506611</v>
      </c>
      <c r="H24" s="72">
        <f>'SC-NR'!B83</f>
        <v>-55.418353719020054</v>
      </c>
      <c r="I24" s="9" t="str">
        <f>'SC-NR'!C83</f>
        <v>Manufactured</v>
      </c>
      <c r="J24" s="9" t="str">
        <f>'SC-NR'!D83</f>
        <v>Manufactured CEE Tier 1 Clothes Washer - Any DHW, Any Dryer - 54% ENERGY STAR Baseline</v>
      </c>
      <c r="K24" s="36">
        <f ca="1">'SC-NR'!E83</f>
        <v>2.1951333252052639E-2</v>
      </c>
      <c r="L24" s="36">
        <f ca="1">'SC-NR'!F83</f>
        <v>4.3433479300853256E-2</v>
      </c>
      <c r="M24" s="36">
        <f ca="1">'SC-NR'!G83</f>
        <v>6.4453959442346678E-2</v>
      </c>
      <c r="N24" s="36">
        <f ca="1">'SC-NR'!H83</f>
        <v>8.5020187799160263E-2</v>
      </c>
      <c r="O24" s="36">
        <f ca="1">'SC-NR'!I83</f>
        <v>0.10513947275230379</v>
      </c>
      <c r="P24" s="36">
        <f ca="1">'SC-NR'!J83</f>
        <v>0.12273870138193319</v>
      </c>
      <c r="Q24" s="36">
        <f ca="1">'SC-NR'!K83</f>
        <v>0.13624520404319601</v>
      </c>
      <c r="R24" s="36">
        <f ca="1">'SC-NR'!L83</f>
        <v>0.14651703138885908</v>
      </c>
      <c r="S24" s="36">
        <f ca="1">'SC-NR'!M83</f>
        <v>0.15423323971593716</v>
      </c>
      <c r="T24" s="36">
        <f ca="1">'SC-NR'!N83</f>
        <v>0.15993122068064045</v>
      </c>
      <c r="U24" s="36">
        <f ca="1">'SC-NR'!O83</f>
        <v>0.16403624591109547</v>
      </c>
      <c r="V24" s="36">
        <f ca="1">'SC-NR'!P83</f>
        <v>0.16688485009776943</v>
      </c>
      <c r="W24" s="36">
        <f ca="1">'SC-NR'!Q83</f>
        <v>0.16874333754459939</v>
      </c>
      <c r="X24" s="36">
        <f ca="1">'SC-NR'!R83</f>
        <v>0.16982242918115145</v>
      </c>
      <c r="Y24" s="36">
        <f ca="1">'SC-NR'!S83</f>
        <v>0.17835524812079931</v>
      </c>
      <c r="Z24" s="36">
        <f ca="1">'SC-NR'!T83</f>
        <v>0.17747289834638408</v>
      </c>
      <c r="AA24" s="36">
        <f ca="1">'SC-NR'!U83</f>
        <v>0.17487958009100277</v>
      </c>
      <c r="AB24" s="36">
        <f ca="1">'SC-NR'!V83</f>
        <v>0.17223820821238231</v>
      </c>
      <c r="AC24" s="36">
        <f ca="1">'SC-NR'!W83</f>
        <v>0.16923907893125895</v>
      </c>
      <c r="AD24" s="36">
        <f ca="1">'SC-NR'!X83</f>
        <v>0.16647910080334022</v>
      </c>
      <c r="AE24" s="36">
        <f ca="1">'SC-NR'!Y83</f>
        <v>2.3260773246212092</v>
      </c>
      <c r="AF24" s="547">
        <f t="shared" si="4"/>
        <v>5.7048009290563169</v>
      </c>
      <c r="AG24" s="547">
        <f t="shared" si="4"/>
        <v>4.9770620820143003</v>
      </c>
      <c r="AH24" s="547">
        <f t="shared" si="4"/>
        <v>3.2459314556802914</v>
      </c>
      <c r="AI24" s="547">
        <f t="shared" si="4"/>
        <v>2.1875993517550825</v>
      </c>
      <c r="AJ24" s="547">
        <f t="shared" si="4"/>
        <v>2.2162549888022469</v>
      </c>
      <c r="AK24" s="547">
        <f t="shared" si="4"/>
        <v>2.3063056646050577</v>
      </c>
      <c r="AL24" s="547">
        <f t="shared" si="4"/>
        <v>2.3593027893798868</v>
      </c>
      <c r="AM24" s="547">
        <f t="shared" si="4"/>
        <v>2.4521001698528004</v>
      </c>
      <c r="AN24" s="547">
        <f t="shared" si="4"/>
        <v>2.1542691194526364</v>
      </c>
      <c r="AO24" s="547">
        <f t="shared" si="4"/>
        <v>2.3475674592339093</v>
      </c>
      <c r="AP24" s="547">
        <f t="shared" si="5"/>
        <v>1.874554829292356</v>
      </c>
      <c r="AQ24" s="547">
        <f t="shared" si="5"/>
        <v>1.9307542649005522</v>
      </c>
      <c r="AR24" s="547">
        <f t="shared" si="5"/>
        <v>0</v>
      </c>
      <c r="AS24" s="547">
        <f t="shared" si="5"/>
        <v>2.6842995080493344</v>
      </c>
      <c r="AT24" s="547">
        <f t="shared" si="5"/>
        <v>2.2010901747293041</v>
      </c>
      <c r="AU24" s="547">
        <f t="shared" si="5"/>
        <v>1.4413791096477107</v>
      </c>
      <c r="AV24" s="547">
        <f t="shared" si="5"/>
        <v>1.4152735723325411</v>
      </c>
      <c r="AW24" s="547">
        <f t="shared" si="5"/>
        <v>1.4520882515347799</v>
      </c>
      <c r="AX24" s="547">
        <f t="shared" si="5"/>
        <v>1.3658945874477633</v>
      </c>
      <c r="AY24" s="547">
        <f t="shared" si="5"/>
        <v>1.7036568228148041</v>
      </c>
      <c r="AZ24" s="547">
        <f t="shared" si="5"/>
        <v>1.3748159843059031</v>
      </c>
      <c r="BA24" s="547">
        <f t="shared" si="5"/>
        <v>1.492167527437406</v>
      </c>
      <c r="BB24" s="547">
        <f t="shared" si="5"/>
        <v>1.2881834815354045</v>
      </c>
      <c r="BC24" s="547">
        <f t="shared" si="5"/>
        <v>1.4470530178830796</v>
      </c>
      <c r="BD24" s="547">
        <f t="shared" si="5"/>
        <v>1.4602845817631371</v>
      </c>
    </row>
    <row r="25" spans="1:56" ht="15">
      <c r="A25" s="81" t="str">
        <f>VLOOKUP(CONCATENATE($C25," - ",$B25),[2]ACHIEV!$B$12:$C$100,2,FALSE)</f>
        <v>LO12Med</v>
      </c>
      <c r="B25" s="81" t="str">
        <f>'SC-NR'!$C$7</f>
        <v>NR</v>
      </c>
      <c r="C25" s="81" t="str">
        <f>'SC-NR'!$C$8</f>
        <v>Clothes Washer</v>
      </c>
      <c r="D25" s="81" t="s">
        <v>389</v>
      </c>
      <c r="E25" s="81" t="str">
        <f>'SC-NR'!$A$9</f>
        <v>Water Heating</v>
      </c>
      <c r="F25" s="546">
        <f t="shared" si="1"/>
        <v>2.6238466144087595E-2</v>
      </c>
      <c r="G25" s="72">
        <f>'SC-NR'!A84</f>
        <v>53.029340362257024</v>
      </c>
      <c r="H25" s="72">
        <f>'SC-NR'!B84</f>
        <v>-54.200294301150457</v>
      </c>
      <c r="I25" s="9" t="str">
        <f>'SC-NR'!C84</f>
        <v>Multifamily - Low Rise</v>
      </c>
      <c r="J25" s="9" t="str">
        <f>'SC-NR'!D84</f>
        <v>Multifamily - Low Rise CEE Tier 1 Clothes Washer - Any DHW, Any Dryer - 54% ENERGY STAR Baseline</v>
      </c>
      <c r="K25" s="36">
        <f ca="1">'SC-NR'!E84</f>
        <v>1.4685930794847465E-2</v>
      </c>
      <c r="L25" s="36">
        <f ca="1">'SC-NR'!F84</f>
        <v>2.9305163443260927E-2</v>
      </c>
      <c r="M25" s="36">
        <f ca="1">'SC-NR'!G84</f>
        <v>4.3857925134248681E-2</v>
      </c>
      <c r="N25" s="36">
        <f ca="1">'SC-NR'!H84</f>
        <v>5.8344442368945953E-2</v>
      </c>
      <c r="O25" s="36">
        <f ca="1">'SC-NR'!I84</f>
        <v>7.2764940962567248E-2</v>
      </c>
      <c r="P25" s="36">
        <f ca="1">'SC-NR'!J84</f>
        <v>8.5667651945581319E-2</v>
      </c>
      <c r="Q25" s="36">
        <f ca="1">'SC-NR'!K84</f>
        <v>9.5903733900027599E-2</v>
      </c>
      <c r="R25" s="36">
        <f ca="1">'SC-NR'!L84</f>
        <v>0.10401149923464999</v>
      </c>
      <c r="S25" s="36">
        <f ca="1">'SC-NR'!M84</f>
        <v>0.11042061962587252</v>
      </c>
      <c r="T25" s="36">
        <f ca="1">'SC-NR'!N84</f>
        <v>0.11547405152764464</v>
      </c>
      <c r="U25" s="36">
        <f ca="1">'SC-NR'!O84</f>
        <v>0.11944553674824576</v>
      </c>
      <c r="V25" s="36">
        <f ca="1">'SC-NR'!P84</f>
        <v>0.12255357111922921</v>
      </c>
      <c r="W25" s="36">
        <f ca="1">'SC-NR'!Q84</f>
        <v>0.12497255405433461</v>
      </c>
      <c r="X25" s="36">
        <f ca="1">'SC-NR'!R84</f>
        <v>0.12684168794172238</v>
      </c>
      <c r="Y25" s="36">
        <f ca="1">'SC-NR'!S84</f>
        <v>0.17356236928090696</v>
      </c>
      <c r="Z25" s="36">
        <f ca="1">'SC-NR'!T84</f>
        <v>0.16998051828336547</v>
      </c>
      <c r="AA25" s="36">
        <f ca="1">'SC-NR'!U84</f>
        <v>0.16474623555278806</v>
      </c>
      <c r="AB25" s="36">
        <f ca="1">'SC-NR'!V84</f>
        <v>0.15887872439112916</v>
      </c>
      <c r="AC25" s="36">
        <f ca="1">'SC-NR'!W84</f>
        <v>0.15267092010502034</v>
      </c>
      <c r="AD25" s="36">
        <f ca="1">'SC-NR'!X84</f>
        <v>0.14787680993408381</v>
      </c>
      <c r="AE25" s="36">
        <f ca="1">'SC-NR'!Y84</f>
        <v>1.9838965717610491</v>
      </c>
      <c r="AF25" s="547">
        <f t="shared" si="4"/>
        <v>5.6927465778617261</v>
      </c>
      <c r="AG25" s="547">
        <f t="shared" si="4"/>
        <v>4.9666635368841865</v>
      </c>
      <c r="AH25" s="547">
        <f t="shared" si="4"/>
        <v>3.2420505762121823</v>
      </c>
      <c r="AI25" s="547">
        <f t="shared" si="4"/>
        <v>2.1872419748738947</v>
      </c>
      <c r="AJ25" s="547">
        <f t="shared" si="4"/>
        <v>2.215659196535793</v>
      </c>
      <c r="AK25" s="547">
        <f t="shared" si="4"/>
        <v>2.3059496727269946</v>
      </c>
      <c r="AL25" s="547">
        <f t="shared" si="4"/>
        <v>2.3595697743761739</v>
      </c>
      <c r="AM25" s="547">
        <f t="shared" si="4"/>
        <v>2.452015390141296</v>
      </c>
      <c r="AN25" s="547">
        <f t="shared" si="4"/>
        <v>2.1541318428313199</v>
      </c>
      <c r="AO25" s="547">
        <f t="shared" si="4"/>
        <v>2.3471654081517594</v>
      </c>
      <c r="AP25" s="547">
        <f t="shared" si="5"/>
        <v>1.8742211528663881</v>
      </c>
      <c r="AQ25" s="547">
        <f t="shared" si="5"/>
        <v>1.9305370588204658</v>
      </c>
      <c r="AR25" s="547">
        <f t="shared" si="5"/>
        <v>0</v>
      </c>
      <c r="AS25" s="547">
        <f t="shared" si="5"/>
        <v>2.6787107187520052</v>
      </c>
      <c r="AT25" s="547">
        <f t="shared" si="5"/>
        <v>2.196481410914747</v>
      </c>
      <c r="AU25" s="547">
        <f t="shared" si="5"/>
        <v>1.4390195091433664</v>
      </c>
      <c r="AV25" s="547">
        <f t="shared" si="5"/>
        <v>1.4139118458539688</v>
      </c>
      <c r="AW25" s="547">
        <f t="shared" si="5"/>
        <v>1.4507279317833262</v>
      </c>
      <c r="AX25" s="547">
        <f t="shared" si="5"/>
        <v>1.3646511196604731</v>
      </c>
      <c r="AY25" s="547">
        <f t="shared" si="5"/>
        <v>1.7029469130685011</v>
      </c>
      <c r="AZ25" s="547">
        <f t="shared" si="5"/>
        <v>1.3734766656775019</v>
      </c>
      <c r="BA25" s="547">
        <f t="shared" si="5"/>
        <v>1.4908220264036729</v>
      </c>
      <c r="BB25" s="547">
        <f t="shared" si="5"/>
        <v>1.2865335900496975</v>
      </c>
      <c r="BC25" s="547">
        <f t="shared" si="5"/>
        <v>1.4454114497043424</v>
      </c>
      <c r="BD25" s="547">
        <f t="shared" si="5"/>
        <v>1.4586950189632339</v>
      </c>
    </row>
    <row r="26" spans="1:56" ht="15">
      <c r="A26" s="81" t="str">
        <f>VLOOKUP(CONCATENATE($C26," - ",$B26),[2]ACHIEV!$B$12:$C$100,2,FALSE)</f>
        <v>LO12Med</v>
      </c>
      <c r="B26" s="81" t="str">
        <f>'SC-NR'!$C$7</f>
        <v>NR</v>
      </c>
      <c r="C26" s="81" t="str">
        <f>'SC-NR'!$C$8</f>
        <v>Clothes Washer</v>
      </c>
      <c r="D26" s="81" t="s">
        <v>389</v>
      </c>
      <c r="E26" s="81" t="str">
        <f>'SC-NR'!$A$9</f>
        <v>Water Heating</v>
      </c>
      <c r="F26" s="546">
        <f t="shared" si="1"/>
        <v>2.6238466144087595E-2</v>
      </c>
      <c r="G26" s="72">
        <f>'SC-NR'!A85</f>
        <v>53.029340362257024</v>
      </c>
      <c r="H26" s="72">
        <f>'SC-NR'!B85</f>
        <v>-54.200294301150457</v>
      </c>
      <c r="I26" t="str">
        <f>'SC-NR'!C85</f>
        <v>Multifamily - High Rise</v>
      </c>
      <c r="J26" t="str">
        <f>'SC-NR'!D85</f>
        <v>Multifamily - High Rise CEE Tier 1 Clothes Washer - Any DHW, Any Dryer - 54% ENERGY STAR Baseline</v>
      </c>
      <c r="K26" s="48">
        <f ca="1">'SC-NR'!E85</f>
        <v>3.4041000130116297E-3</v>
      </c>
      <c r="L26" s="48">
        <f ca="1">'SC-NR'!F85</f>
        <v>6.7927398441447297E-3</v>
      </c>
      <c r="M26" s="48">
        <f ca="1">'SC-NR'!G85</f>
        <v>1.0165972154283854E-2</v>
      </c>
      <c r="N26" s="48">
        <f ca="1">'SC-NR'!H85</f>
        <v>1.3523849444869186E-2</v>
      </c>
      <c r="O26" s="48">
        <f ca="1">'SC-NR'!I85</f>
        <v>1.6866424058349136E-2</v>
      </c>
      <c r="P26" s="48">
        <f ca="1">'SC-NR'!J85</f>
        <v>1.9857185708987809E-2</v>
      </c>
      <c r="Q26" s="48">
        <f ca="1">'SC-NR'!K85</f>
        <v>2.222984068067976E-2</v>
      </c>
      <c r="R26" s="48">
        <f ca="1">'SC-NR'!L85</f>
        <v>2.4109166170267829E-2</v>
      </c>
      <c r="S26" s="48">
        <f ca="1">'SC-NR'!M85</f>
        <v>2.5594757183321517E-2</v>
      </c>
      <c r="T26" s="48">
        <f ca="1">'SC-NR'!N85</f>
        <v>2.676610871989633E-2</v>
      </c>
      <c r="U26" s="48">
        <f ca="1">'SC-NR'!O85</f>
        <v>2.7686672290566768E-2</v>
      </c>
      <c r="V26" s="48">
        <f ca="1">'SC-NR'!P85</f>
        <v>2.8407093759965037E-2</v>
      </c>
      <c r="W26" s="48">
        <f ca="1">'SC-NR'!Q85</f>
        <v>2.8967797739569531E-2</v>
      </c>
      <c r="X26" s="48">
        <f ca="1">'SC-NR'!R85</f>
        <v>2.9401050406987077E-2</v>
      </c>
      <c r="Y26" s="48">
        <f ca="1">'SC-NR'!S85</f>
        <v>4.0051596226748302E-2</v>
      </c>
      <c r="Z26" s="48">
        <f ca="1">'SC-NR'!T85</f>
        <v>3.935040782864465E-2</v>
      </c>
      <c r="AA26" s="48">
        <f ca="1">'SC-NR'!U85</f>
        <v>3.8244981972961389E-2</v>
      </c>
      <c r="AB26" s="48">
        <f ca="1">'SC-NR'!V85</f>
        <v>3.6690324832392582E-2</v>
      </c>
      <c r="AC26" s="48">
        <f ca="1">'SC-NR'!W85</f>
        <v>3.5146846405494779E-2</v>
      </c>
      <c r="AD26" s="48">
        <f ca="1">'SC-NR'!X85</f>
        <v>3.4120104305246965E-2</v>
      </c>
      <c r="AE26" s="48">
        <f ca="1">'SC-NR'!Y85</f>
        <v>0.45919135537305983</v>
      </c>
      <c r="AF26" s="547">
        <f t="shared" si="4"/>
        <v>5.6927465778617261</v>
      </c>
      <c r="AG26" s="547">
        <f t="shared" si="4"/>
        <v>4.9666635368841865</v>
      </c>
      <c r="AH26" s="547">
        <f t="shared" si="4"/>
        <v>3.2420505762121823</v>
      </c>
      <c r="AI26" s="547">
        <f t="shared" si="4"/>
        <v>2.1872419748738947</v>
      </c>
      <c r="AJ26" s="547">
        <f t="shared" si="4"/>
        <v>2.215659196535793</v>
      </c>
      <c r="AK26" s="547">
        <f t="shared" si="4"/>
        <v>2.3059496727269946</v>
      </c>
      <c r="AL26" s="547">
        <f t="shared" si="4"/>
        <v>2.3595697743761739</v>
      </c>
      <c r="AM26" s="547">
        <f t="shared" si="4"/>
        <v>2.452015390141296</v>
      </c>
      <c r="AN26" s="547">
        <f t="shared" si="4"/>
        <v>2.1541318428313199</v>
      </c>
      <c r="AO26" s="547">
        <f t="shared" si="4"/>
        <v>2.3471654081517594</v>
      </c>
      <c r="AP26" s="547">
        <f t="shared" si="5"/>
        <v>1.8742211528663881</v>
      </c>
      <c r="AQ26" s="547">
        <f t="shared" si="5"/>
        <v>1.9305370588204658</v>
      </c>
      <c r="AR26" s="547">
        <f t="shared" si="5"/>
        <v>0</v>
      </c>
      <c r="AS26" s="547">
        <f t="shared" si="5"/>
        <v>2.6787107187520052</v>
      </c>
      <c r="AT26" s="547">
        <f t="shared" si="5"/>
        <v>2.196481410914747</v>
      </c>
      <c r="AU26" s="547">
        <f t="shared" si="5"/>
        <v>1.4390195091433664</v>
      </c>
      <c r="AV26" s="547">
        <f t="shared" si="5"/>
        <v>1.4139118458539688</v>
      </c>
      <c r="AW26" s="547">
        <f t="shared" si="5"/>
        <v>1.4507279317833262</v>
      </c>
      <c r="AX26" s="547">
        <f t="shared" si="5"/>
        <v>1.3646511196604731</v>
      </c>
      <c r="AY26" s="547">
        <f t="shared" si="5"/>
        <v>1.7029469130685011</v>
      </c>
      <c r="AZ26" s="547">
        <f t="shared" si="5"/>
        <v>1.3734766656775019</v>
      </c>
      <c r="BA26" s="547">
        <f t="shared" si="5"/>
        <v>1.4908220264036729</v>
      </c>
      <c r="BB26" s="547">
        <f t="shared" si="5"/>
        <v>1.2865335900496975</v>
      </c>
      <c r="BC26" s="547">
        <f t="shared" si="5"/>
        <v>1.4454114497043424</v>
      </c>
      <c r="BD26" s="547">
        <f t="shared" si="5"/>
        <v>1.4586950189632339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N33"/>
  <sheetViews>
    <sheetView workbookViewId="0">
      <selection activeCell="F16" sqref="F16"/>
    </sheetView>
  </sheetViews>
  <sheetFormatPr defaultColWidth="8.85546875" defaultRowHeight="12.75"/>
  <cols>
    <col min="1" max="1" width="8.85546875" style="198"/>
    <col min="2" max="2" width="48.140625" style="198" customWidth="1"/>
    <col min="3" max="3" width="16.28515625" style="198" customWidth="1"/>
    <col min="4" max="4" width="16" style="198" customWidth="1"/>
    <col min="5" max="5" width="1.85546875" style="198" customWidth="1"/>
    <col min="6" max="6" width="14.140625" style="198" customWidth="1"/>
    <col min="7" max="8" width="13.42578125" style="198" customWidth="1"/>
    <col min="9" max="10" width="11" style="198" customWidth="1"/>
    <col min="11" max="11" width="12.85546875" style="198" customWidth="1"/>
    <col min="12" max="16384" width="8.85546875" style="198"/>
  </cols>
  <sheetData>
    <row r="1" spans="1:14">
      <c r="C1" s="307" t="s">
        <v>1059</v>
      </c>
      <c r="D1" s="307"/>
      <c r="F1" s="308" t="s">
        <v>1060</v>
      </c>
      <c r="G1" s="308"/>
      <c r="H1" s="308"/>
      <c r="I1" s="309"/>
      <c r="J1" s="309"/>
      <c r="K1" s="309"/>
    </row>
    <row r="2" spans="1:14" ht="39" thickBot="1">
      <c r="F2" s="310" t="str">
        <f>MFAssumptions!D59</f>
        <v>ENERGY STAR - Top-Load</v>
      </c>
      <c r="G2" s="310" t="str">
        <f>MFAssumptions!D60</f>
        <v>ENERGY STAR - Front-Load</v>
      </c>
      <c r="H2" s="311" t="str">
        <f>H3</f>
        <v>Any ENERGY STAR (Top- or Front-Load)</v>
      </c>
      <c r="I2" s="311" t="str">
        <f>MFAssumptions!D61</f>
        <v>CEE Tier 1</v>
      </c>
      <c r="J2" s="311" t="str">
        <f>MFAssumptions!D62</f>
        <v>CEE Tier 2</v>
      </c>
      <c r="K2" s="311" t="str">
        <f>MFAssumptions!D63</f>
        <v>CEE Tier 3</v>
      </c>
    </row>
    <row r="3" spans="1:14" ht="64.5" thickBot="1">
      <c r="A3" s="198">
        <v>1</v>
      </c>
      <c r="C3" s="592" t="str">
        <f>'SavingsData&amp;Analysis'!BH1</f>
        <v>Current Practice Baseline Using 31% ENERGY STAR Penetration</v>
      </c>
      <c r="D3" s="592" t="str">
        <f>'SavingsData&amp;Analysis'!BI1</f>
        <v>Current Practice Baseline Using 54% ENERGY STAR Penetration</v>
      </c>
      <c r="E3" s="312"/>
      <c r="F3" s="313" t="str">
        <f>'SavingsData&amp;Analysis'!BB1</f>
        <v>ENERGY STAR - Top-Load</v>
      </c>
      <c r="G3" s="593" t="str">
        <f>'SavingsData&amp;Analysis'!BC1</f>
        <v>ENERGY STAR - Front-Load</v>
      </c>
      <c r="H3" s="593" t="str">
        <f>'SavingsData&amp;Analysis'!BD1</f>
        <v>Any ENERGY STAR (Top- or Front-Load)</v>
      </c>
      <c r="I3" s="314" t="str">
        <f>'SavingsData&amp;Analysis'!BE1</f>
        <v>CEE Tier 1</v>
      </c>
      <c r="J3" s="314" t="str">
        <f>'SavingsData&amp;Analysis'!BF1</f>
        <v>CEE Tier 2</v>
      </c>
      <c r="K3" s="315" t="str">
        <f>'SavingsData&amp;Analysis'!BG1</f>
        <v>CEE Tier 3</v>
      </c>
    </row>
    <row r="4" spans="1:14">
      <c r="A4" s="198">
        <v>2</v>
      </c>
      <c r="B4" s="316" t="s">
        <v>824</v>
      </c>
      <c r="C4" s="317">
        <f ca="1">'SavingsData&amp;Analysis'!BH7</f>
        <v>2.1767894525547438</v>
      </c>
      <c r="D4" s="317">
        <f ca="1">'SavingsData&amp;Analysis'!BI7</f>
        <v>2.3161001848580569</v>
      </c>
      <c r="E4" s="318"/>
      <c r="F4" s="319">
        <f ca="1">HLOOKUP(F$3,'SavingsData&amp;Analysis'!$AV$1:$BG$14,7,FALSE)</f>
        <v>2.31115</v>
      </c>
      <c r="G4" s="594">
        <f ca="1">HLOOKUP(G$3,'SavingsData&amp;Analysis'!$AV$1:$BG$14,7,FALSE)</f>
        <v>2.6988296721311471</v>
      </c>
      <c r="H4" s="594">
        <f ca="1">HLOOKUP(H$3,'SavingsData&amp;Analysis'!$AV$1:$BG$14,7,FALSE)</f>
        <v>2.5893671764705872</v>
      </c>
      <c r="I4" s="320">
        <f ca="1">HLOOKUP(I$3,'SavingsData&amp;Analysis'!$AV$1:$BG$14,7,FALSE)</f>
        <v>2.5856956944444445</v>
      </c>
      <c r="J4" s="320">
        <f ca="1">HLOOKUP(J$3,'SavingsData&amp;Analysis'!$AV$1:$BG$14,7,FALSE)</f>
        <v>2.8331187499999997</v>
      </c>
      <c r="K4" s="321">
        <f ca="1">HLOOKUP(K$3,'SavingsData&amp;Analysis'!$AV$1:$BG$14,7,FALSE)</f>
        <v>2.9762379999999999</v>
      </c>
      <c r="M4" s="384"/>
      <c r="N4" s="300"/>
    </row>
    <row r="5" spans="1:14">
      <c r="A5" s="198">
        <v>3</v>
      </c>
      <c r="B5" s="322" t="s">
        <v>825</v>
      </c>
      <c r="C5" s="323">
        <f ca="1">'SavingsData&amp;Analysis'!BH9</f>
        <v>4.1747655474452543</v>
      </c>
      <c r="D5" s="323">
        <f ca="1">'SavingsData&amp;Analysis'!BI9</f>
        <v>3.9217127286166567</v>
      </c>
      <c r="E5" s="318"/>
      <c r="F5" s="324">
        <f ca="1">HLOOKUP(F$3,'SavingsData&amp;Analysis'!$AV$1:$BG$14,9,FALSE)</f>
        <v>4.0922604166666652</v>
      </c>
      <c r="G5" s="595">
        <f ca="1">HLOOKUP(G$3,'SavingsData&amp;Analysis'!$AV$1:$BG$14,9,FALSE)</f>
        <v>3.1629357377049185</v>
      </c>
      <c r="H5" s="595">
        <f ca="1">HLOOKUP(H$3,'SavingsData&amp;Analysis'!$AV$1:$BG$14,9,FALSE)</f>
        <v>3.4253332941176473</v>
      </c>
      <c r="I5" s="325">
        <f ca="1">HLOOKUP(I$3,'SavingsData&amp;Analysis'!$AV$1:$BG$14,9,FALSE)</f>
        <v>3.2865300000000008</v>
      </c>
      <c r="J5" s="325">
        <f ca="1">HLOOKUP(J$3,'SavingsData&amp;Analysis'!$AV$1:$BG$14,9,FALSE)</f>
        <v>2.9900809999999991</v>
      </c>
      <c r="K5" s="326">
        <f ca="1">HLOOKUP(K$3,'SavingsData&amp;Analysis'!$AV$1:$BG$14,9,FALSE)</f>
        <v>2.9644759999999999</v>
      </c>
      <c r="M5" s="384"/>
      <c r="N5" s="384"/>
    </row>
    <row r="6" spans="1:14">
      <c r="A6" s="198">
        <v>4</v>
      </c>
      <c r="B6" s="322" t="s">
        <v>1061</v>
      </c>
      <c r="C6" s="323">
        <f ca="1">'SavingsData&amp;Analysis'!BH11</f>
        <v>3.7770072992700716</v>
      </c>
      <c r="D6" s="323">
        <f ca="1">'SavingsData&amp;Analysis'!BI11</f>
        <v>3.9257934407096169</v>
      </c>
      <c r="E6" s="318"/>
      <c r="F6" s="324">
        <f ca="1">HLOOKUP(F$3,'SavingsData&amp;Analysis'!$AV$1:$BG$14,11,FALSE)</f>
        <v>4.5916666666666668</v>
      </c>
      <c r="G6" s="595">
        <f ca="1">HLOOKUP(G$3,'SavingsData&amp;Analysis'!$AV$1:$BG$14,11,FALSE)</f>
        <v>4.0704918032786903</v>
      </c>
      <c r="H6" s="595">
        <f ca="1">HLOOKUP(H$3,'SavingsData&amp;Analysis'!$AV$1:$BG$14,11,FALSE)</f>
        <v>4.2176470588235304</v>
      </c>
      <c r="I6" s="325">
        <f ca="1">HLOOKUP(I$3,'SavingsData&amp;Analysis'!$AV$1:$BG$14,11,FALSE)</f>
        <v>3.9638888888888895</v>
      </c>
      <c r="J6" s="325">
        <f ca="1">HLOOKUP(J$3,'SavingsData&amp;Analysis'!$AV$1:$BG$14,11,FALSE)</f>
        <v>4.0849999999999991</v>
      </c>
      <c r="K6" s="326">
        <f ca="1">HLOOKUP(K$3,'SavingsData&amp;Analysis'!$AV$1:$BG$14,11,FALSE)</f>
        <v>4.7799999999999994</v>
      </c>
    </row>
    <row r="7" spans="1:14">
      <c r="A7" s="198">
        <v>5</v>
      </c>
      <c r="B7" s="322" t="s">
        <v>1062</v>
      </c>
      <c r="C7" s="327">
        <f ca="1">'SavingsData&amp;Analysis'!BH12</f>
        <v>36.113650200160976</v>
      </c>
      <c r="D7" s="327">
        <f ca="1">'SavingsData&amp;Analysis'!BI12</f>
        <v>34.923898397154204</v>
      </c>
      <c r="E7" s="328"/>
      <c r="F7" s="329">
        <f ca="1">HLOOKUP(F$3,'SavingsData&amp;Analysis'!$AV$1:$BG$14,12,FALSE)</f>
        <v>34.299999999999997</v>
      </c>
      <c r="G7" s="596">
        <f ca="1">HLOOKUP(G$3,'SavingsData&amp;Analysis'!$AV$1:$BG$14,12,FALSE)</f>
        <v>32.029508196721316</v>
      </c>
      <c r="H7" s="596">
        <f ca="1">HLOOKUP(H$3,'SavingsData&amp;Analysis'!$AV$1:$BG$14,12,FALSE)</f>
        <v>32.590123456790117</v>
      </c>
      <c r="I7" s="330">
        <f ca="1">HLOOKUP(I$3,'SavingsData&amp;Analysis'!$AV$1:$BG$14,12,FALSE)</f>
        <v>32.638888888888893</v>
      </c>
      <c r="J7" s="330">
        <f ca="1">HLOOKUP(J$3,'SavingsData&amp;Analysis'!$AV$1:$BG$14,12,FALSE)</f>
        <v>31.444999999999993</v>
      </c>
      <c r="K7" s="331">
        <f ca="1">HLOOKUP(K$3,'SavingsData&amp;Analysis'!$AV$1:$BG$14,12,FALSE)</f>
        <v>29.98</v>
      </c>
    </row>
    <row r="8" spans="1:14">
      <c r="A8" s="198">
        <v>6</v>
      </c>
      <c r="B8" s="597" t="str">
        <f ca="1">CONCATENATE("Normalized kWh/Year (@ ",ROUND(C6,2)," cubic foot tub volume)")</f>
        <v>Normalized kWh/Year (@ 3.78 cubic foot tub volume)</v>
      </c>
      <c r="C8" s="327">
        <f ca="1">'SavingsData&amp;Analysis'!BH13</f>
        <v>461.07511996810217</v>
      </c>
      <c r="D8" s="327">
        <f ca="1">'SavingsData&amp;Analysis'!BI13</f>
        <v>433.10134090607494</v>
      </c>
      <c r="E8" s="333"/>
      <c r="F8" s="334">
        <f ca="1">HLOOKUP(F$3,'SavingsData&amp;Analysis'!$AV$1:$BG$14,13,FALSE)</f>
        <v>422.64446052978178</v>
      </c>
      <c r="G8" s="598">
        <f ca="1">HLOOKUP(G$3,'SavingsData&amp;Analysis'!$AV$1:$BG$14,13,FALSE)</f>
        <v>360.75402016396106</v>
      </c>
      <c r="H8" s="598">
        <f ca="1">HLOOKUP(H$3,'SavingsData&amp;Analysis'!$AV$1:$BG$14,13,FALSE)</f>
        <v>378.22896803195749</v>
      </c>
      <c r="I8" s="335">
        <f ca="1">HLOOKUP(I$3,'SavingsData&amp;Analysis'!$AV$1:$BG$14,13,FALSE)</f>
        <v>375.83477824196774</v>
      </c>
      <c r="J8" s="335">
        <f ca="1">HLOOKUP(J$3,'SavingsData&amp;Analysis'!$AV$1:$BG$14,13,FALSE)</f>
        <v>342.32766956622078</v>
      </c>
      <c r="K8" s="336">
        <f ca="1">HLOOKUP(K$3,'SavingsData&amp;Analysis'!$AV$1:$BG$14,13,FALSE)</f>
        <v>325.87796439327468</v>
      </c>
    </row>
    <row r="9" spans="1:14">
      <c r="A9" s="198">
        <v>7</v>
      </c>
      <c r="B9" s="332" t="str">
        <f ca="1">CONCATENATE("Normalized Gallons/Year (@ ",ROUND(C6,2)," cubic foot tub volume)")</f>
        <v>Normalized Gallons/Year (@ 3.78 cubic foot tub volume)</v>
      </c>
      <c r="C9" s="337">
        <f ca="1">'SavingsData&amp;Analysis'!BH14</f>
        <v>4047.8861059902265</v>
      </c>
      <c r="D9" s="337">
        <f ca="1">'SavingsData&amp;Analysis'!BI14</f>
        <v>3802.5240664273615</v>
      </c>
      <c r="E9" s="318"/>
      <c r="F9" s="329">
        <f ca="1">HLOOKUP(F$3,'SavingsData&amp;Analysis'!$AV$1:$BG$14,14,FALSE)</f>
        <v>3967.88847049284</v>
      </c>
      <c r="G9" s="596">
        <f ca="1">HLOOKUP(G$3,'SavingsData&amp;Analysis'!$AV$1:$BG$14,14,FALSE)</f>
        <v>3066.8078198141188</v>
      </c>
      <c r="H9" s="596">
        <f ca="1">HLOOKUP(H$3,'SavingsData&amp;Analysis'!$AV$1:$BG$14,14,FALSE)</f>
        <v>3321.230591770463</v>
      </c>
      <c r="I9" s="330">
        <f ca="1">HLOOKUP(I$3,'SavingsData&amp;Analysis'!$AV$1:$BG$14,14,FALSE)</f>
        <v>3186.6458062683578</v>
      </c>
      <c r="J9" s="330">
        <f ca="1">HLOOKUP(J$3,'SavingsData&amp;Analysis'!$AV$1:$BG$14,14,FALSE)</f>
        <v>2899.206481928567</v>
      </c>
      <c r="K9" s="331">
        <f ca="1">HLOOKUP(K$3,'SavingsData&amp;Analysis'!$AV$1:$BG$14,14,FALSE)</f>
        <v>2874.3796688857838</v>
      </c>
    </row>
    <row r="10" spans="1:14" ht="13.5" thickBot="1">
      <c r="A10" s="198">
        <v>8</v>
      </c>
      <c r="B10" s="338" t="str">
        <f ca="1">CONCATENATE("Normalized Cost ($2006 @ ",ROUND(C6,2)," cubic foot tub volume)")</f>
        <v>Normalized Cost ($2006 @ 3.78 cubic foot tub volume)</v>
      </c>
      <c r="C10" s="339">
        <f ca="1">'CostData&amp;Analysis'!AF19</f>
        <v>776.31603614450796</v>
      </c>
      <c r="D10" s="339">
        <f ca="1">'CostData&amp;Analysis'!AG19</f>
        <v>825.23457500176619</v>
      </c>
      <c r="E10" s="318"/>
      <c r="F10" s="340">
        <f ca="1">'CostData&amp;Analysis'!Z19</f>
        <v>754.7360149776722</v>
      </c>
      <c r="G10" s="599">
        <f ca="1">'CostData&amp;Analysis'!AA19</f>
        <v>969.81887509547198</v>
      </c>
      <c r="H10" s="599">
        <f ca="1">'CostData&amp;Analysis'!AB19</f>
        <v>921.19144585144784</v>
      </c>
      <c r="I10" s="341">
        <f ca="1">'CostData&amp;Analysis'!AC19</f>
        <v>951.49912384722427</v>
      </c>
      <c r="J10" s="341">
        <f ca="1">'CostData&amp;Analysis'!AD19</f>
        <v>1001.0825583529517</v>
      </c>
      <c r="K10" s="342">
        <f ca="1">'CostData&amp;Analysis'!AE19</f>
        <v>996.04811179834417</v>
      </c>
    </row>
    <row r="11" spans="1:14" ht="14.25" customHeight="1" thickBot="1">
      <c r="A11" s="198">
        <v>9</v>
      </c>
      <c r="B11" s="343" t="s">
        <v>1063</v>
      </c>
      <c r="C11" s="344">
        <f ca="1">MFAssumptions!$C$3*MFAssumptions!$C$9*C5/$C$5</f>
        <v>42.82176814392561</v>
      </c>
      <c r="D11" s="344">
        <f ca="1">MFAssumptions!$C$3*MFAssumptions!$C$9*D5/$C$5</f>
        <v>40.226132769221465</v>
      </c>
      <c r="E11" s="345"/>
      <c r="F11" s="346">
        <f ca="1">MFAssumptions!$C$3*MFAssumptions!$C$9*F5/$C$5</f>
        <v>41.97548934318025</v>
      </c>
      <c r="G11" s="600">
        <f ca="1">MFAssumptions!$C$3*MFAssumptions!$C$9*G5/$C$5</f>
        <v>32.443139446961354</v>
      </c>
      <c r="H11" s="600">
        <f ca="1">MFAssumptions!$C$3*MFAssumptions!$C$9*H5/$C$5</f>
        <v>35.134626476481984</v>
      </c>
      <c r="I11" s="601">
        <f ca="1">MFAssumptions!$C$3*MFAssumptions!$C$9*I5/$C$5</f>
        <v>33.710881259949694</v>
      </c>
      <c r="J11" s="601">
        <f ca="1">MFAssumptions!$C$3*MFAssumptions!$C$9*J5/$C$5</f>
        <v>30.67011880269817</v>
      </c>
      <c r="K11" s="347">
        <f ca="1">MFAssumptions!$C$3*MFAssumptions!$C$9*K5/$C$5</f>
        <v>30.407480970497947</v>
      </c>
    </row>
    <row r="12" spans="1:14">
      <c r="A12" s="198">
        <v>10</v>
      </c>
    </row>
    <row r="13" spans="1:14" s="349" customFormat="1" ht="13.5" thickBot="1">
      <c r="A13" s="198">
        <v>11</v>
      </c>
      <c r="B13" s="348" t="s">
        <v>1064</v>
      </c>
      <c r="E13" s="198"/>
    </row>
    <row r="14" spans="1:14" ht="15">
      <c r="A14" s="198">
        <v>12</v>
      </c>
      <c r="B14" s="350" t="s">
        <v>1065</v>
      </c>
      <c r="C14" s="351">
        <f ca="1">'DOE Res Data'!$C$33+'DOE Res Data'!$B$33*(C7/100)</f>
        <v>1.3096069259156635</v>
      </c>
      <c r="D14" s="351">
        <f ca="1">'DOE Res Data'!$C$33+'DOE Res Data'!$B$33*(D7/100)</f>
        <v>1.2652842682500836</v>
      </c>
      <c r="F14" s="352">
        <f ca="1">'DOE Res Data'!$C$33+'DOE Res Data'!$B$33*(F7/100)</f>
        <v>1.2420417440485778</v>
      </c>
      <c r="G14" s="602">
        <f ca="1">'DOE Res Data'!$C$33+'DOE Res Data'!$B$33*(G7/100)</f>
        <v>1.1574575217974319</v>
      </c>
      <c r="H14" s="602">
        <f ca="1">'DOE Res Data'!$C$33+'DOE Res Data'!$B$33*(H7/100)</f>
        <v>1.1783425149458626</v>
      </c>
      <c r="I14" s="603">
        <f ca="1">'DOE Res Data'!$C$33+'DOE Res Data'!$B$33*(I7/100)</f>
        <v>1.180159207761428</v>
      </c>
      <c r="J14" s="603">
        <f ca="1">'DOE Res Data'!$C$33+'DOE Res Data'!$B$33*(J7/100)</f>
        <v>1.1356824283363152</v>
      </c>
      <c r="K14" s="353">
        <f ca="1">'DOE Res Data'!$C$33+'DOE Res Data'!$B$33*(K7/100)</f>
        <v>1.0811057567011264</v>
      </c>
      <c r="L14" s="301"/>
    </row>
    <row r="15" spans="1:14" ht="15">
      <c r="A15" s="198">
        <v>13</v>
      </c>
      <c r="B15" s="354" t="s">
        <v>1066</v>
      </c>
      <c r="C15" s="355">
        <f ca="1">C14*MFAssumptions!$C$3*MFAssumptions!$C$4</f>
        <v>270.01805868299795</v>
      </c>
      <c r="D15" s="355">
        <f ca="1">D14*MFAssumptions!$C$3*MFAssumptions!$C$4</f>
        <v>260.87950134819835</v>
      </c>
      <c r="F15" s="356">
        <f ca="1">F14*MFAssumptions!$C$3*MFAssumptions!$C$4</f>
        <v>256.08729909301007</v>
      </c>
      <c r="G15" s="604">
        <f ca="1">G14*MFAssumptions!$C$3*MFAssumptions!$C$4</f>
        <v>238.64751083631873</v>
      </c>
      <c r="H15" s="604">
        <f ca="1">H14*MFAssumptions!$C$3*MFAssumptions!$C$4</f>
        <v>242.95363139352639</v>
      </c>
      <c r="I15" s="335">
        <f ca="1">I14*MFAssumptions!$C$3*MFAssumptions!$C$4</f>
        <v>243.3282016997573</v>
      </c>
      <c r="J15" s="335">
        <f ca="1">J14*MFAssumptions!$C$3*MFAssumptions!$C$4</f>
        <v>234.15786715189745</v>
      </c>
      <c r="K15" s="357">
        <f ca="1">K14*MFAssumptions!$C$3*MFAssumptions!$C$4</f>
        <v>222.90511135724606</v>
      </c>
      <c r="L15" s="301"/>
    </row>
    <row r="16" spans="1:14" ht="15">
      <c r="A16" s="198">
        <v>14</v>
      </c>
      <c r="B16" s="354" t="s">
        <v>1067</v>
      </c>
      <c r="C16" s="358">
        <v>0.2</v>
      </c>
      <c r="D16" s="358">
        <v>0.2</v>
      </c>
      <c r="E16" s="359"/>
      <c r="F16" s="360">
        <v>0.2</v>
      </c>
      <c r="G16" s="605">
        <v>0.2</v>
      </c>
      <c r="H16" s="605">
        <v>0.2</v>
      </c>
      <c r="I16" s="361">
        <v>0.2</v>
      </c>
      <c r="J16" s="361">
        <v>0.2</v>
      </c>
      <c r="K16" s="362">
        <v>0.2</v>
      </c>
    </row>
    <row r="17" spans="1:12" ht="15">
      <c r="A17" s="198">
        <v>15</v>
      </c>
      <c r="B17" s="354" t="s">
        <v>1068</v>
      </c>
      <c r="C17" s="355">
        <f>C16*MFAssumptions!$C$3</f>
        <v>46.229264999999998</v>
      </c>
      <c r="D17" s="355">
        <f>D16*MFAssumptions!$C$3</f>
        <v>46.229264999999998</v>
      </c>
      <c r="F17" s="356">
        <f>F16*MFAssumptions!$C$3</f>
        <v>46.229264999999998</v>
      </c>
      <c r="G17" s="604">
        <f>G16*MFAssumptions!$C$3</f>
        <v>46.229264999999998</v>
      </c>
      <c r="H17" s="604">
        <f>H16*MFAssumptions!$C$3</f>
        <v>46.229264999999998</v>
      </c>
      <c r="I17" s="335">
        <f>I16*MFAssumptions!$C$3</f>
        <v>46.229264999999998</v>
      </c>
      <c r="J17" s="335">
        <f>J16*MFAssumptions!$C$3</f>
        <v>46.229264999999998</v>
      </c>
      <c r="K17" s="357">
        <f>K16*MFAssumptions!$C$3</f>
        <v>46.229264999999998</v>
      </c>
    </row>
    <row r="18" spans="1:12" ht="15">
      <c r="A18" s="198">
        <v>16</v>
      </c>
      <c r="B18" s="354" t="s">
        <v>1069</v>
      </c>
      <c r="C18" s="363">
        <v>0.13</v>
      </c>
      <c r="D18" s="363">
        <v>0.13</v>
      </c>
      <c r="E18" s="364"/>
      <c r="F18" s="365">
        <v>0.13</v>
      </c>
      <c r="G18" s="606">
        <v>0.13</v>
      </c>
      <c r="H18" s="606">
        <v>0.13</v>
      </c>
      <c r="I18" s="366">
        <v>0.13</v>
      </c>
      <c r="J18" s="366">
        <v>0.13</v>
      </c>
      <c r="K18" s="367">
        <v>0.13</v>
      </c>
      <c r="L18" s="301"/>
    </row>
    <row r="19" spans="1:12" ht="15">
      <c r="A19" s="198">
        <v>17</v>
      </c>
      <c r="B19" s="354" t="s">
        <v>1070</v>
      </c>
      <c r="C19" s="355">
        <f ca="1">C9*C18</f>
        <v>526.22519377872948</v>
      </c>
      <c r="D19" s="355">
        <f ca="1">D9*D18</f>
        <v>494.32812863555699</v>
      </c>
      <c r="F19" s="356">
        <f t="shared" ref="F19:K19" ca="1" si="0">F9*F18</f>
        <v>515.82550116406924</v>
      </c>
      <c r="G19" s="604">
        <f t="shared" ca="1" si="0"/>
        <v>398.68501657583545</v>
      </c>
      <c r="H19" s="604">
        <f t="shared" ca="1" si="0"/>
        <v>431.75997693016018</v>
      </c>
      <c r="I19" s="335">
        <f t="shared" ca="1" si="0"/>
        <v>414.26395481488652</v>
      </c>
      <c r="J19" s="335">
        <f t="shared" ca="1" si="0"/>
        <v>376.89684265071372</v>
      </c>
      <c r="K19" s="357">
        <f t="shared" ca="1" si="0"/>
        <v>373.6693569551519</v>
      </c>
    </row>
    <row r="20" spans="1:12" ht="15.75" thickBot="1">
      <c r="A20" s="198">
        <v>18</v>
      </c>
      <c r="B20" s="368" t="s">
        <v>1071</v>
      </c>
      <c r="C20" s="369">
        <f ca="1">C19*MFAssumptions!$A$35*MFAssumptions!$B$76/MFAssumptions!$B$77</f>
        <v>85.426610612386526</v>
      </c>
      <c r="D20" s="369">
        <f ca="1">D19*MFAssumptions!$A$35*MFAssumptions!$B$76/MFAssumptions!$B$77</f>
        <v>80.24848878188844</v>
      </c>
      <c r="F20" s="370">
        <f ca="1">F19*MFAssumptions!$A$35*MFAssumptions!$B$76/MFAssumptions!$B$77</f>
        <v>83.738340073491244</v>
      </c>
      <c r="G20" s="607">
        <f ca="1">G19*MFAssumptions!$A$35*MFAssumptions!$B$76/MFAssumptions!$B$77</f>
        <v>64.72192907270383</v>
      </c>
      <c r="H20" s="607">
        <f ca="1">H19*MFAssumptions!$A$35*MFAssumptions!$B$76/MFAssumptions!$B$77</f>
        <v>70.091268649396724</v>
      </c>
      <c r="I20" s="608">
        <f ca="1">I19*MFAssumptions!$A$35*MFAssumptions!$B$76/MFAssumptions!$B$77</f>
        <v>67.250990597001447</v>
      </c>
      <c r="J20" s="608">
        <f ca="1">J19*MFAssumptions!$A$35*MFAssumptions!$B$76/MFAssumptions!$B$77</f>
        <v>61.184869517476663</v>
      </c>
      <c r="K20" s="371">
        <f ca="1">K19*MFAssumptions!$A$35*MFAssumptions!$B$76/MFAssumptions!$B$77</f>
        <v>60.660924318669359</v>
      </c>
      <c r="L20" s="301"/>
    </row>
    <row r="21" spans="1:12" ht="13.5" thickBot="1">
      <c r="A21" s="198">
        <v>19</v>
      </c>
    </row>
    <row r="22" spans="1:12" ht="15">
      <c r="A22" s="198">
        <v>20</v>
      </c>
      <c r="B22" s="350" t="s">
        <v>1072</v>
      </c>
      <c r="C22" s="372">
        <f ca="1">C15+C17+C20</f>
        <v>401.67393429538447</v>
      </c>
      <c r="D22" s="372">
        <f ca="1">D15+D17+D20</f>
        <v>387.3572551300868</v>
      </c>
      <c r="F22" s="373">
        <f t="shared" ref="F22:K22" ca="1" si="1">F15+F17+F20</f>
        <v>386.05490416650133</v>
      </c>
      <c r="G22" s="609">
        <f t="shared" ca="1" si="1"/>
        <v>349.59870490902256</v>
      </c>
      <c r="H22" s="609">
        <f t="shared" ca="1" si="1"/>
        <v>359.27416504292313</v>
      </c>
      <c r="I22" s="610">
        <f t="shared" ca="1" si="1"/>
        <v>356.80845729675877</v>
      </c>
      <c r="J22" s="610">
        <f t="shared" ca="1" si="1"/>
        <v>341.57200166937412</v>
      </c>
      <c r="K22" s="374">
        <f t="shared" ca="1" si="1"/>
        <v>329.79530067591543</v>
      </c>
    </row>
    <row r="23" spans="1:12" ht="15">
      <c r="A23" s="198">
        <v>21</v>
      </c>
      <c r="B23" s="354" t="s">
        <v>1073</v>
      </c>
      <c r="C23" s="375">
        <f ca="1">C17/C22</f>
        <v>0.11509152337976641</v>
      </c>
      <c r="D23" s="375">
        <f ca="1">D17/D22</f>
        <v>0.11934529271815175</v>
      </c>
      <c r="F23" s="376">
        <f t="shared" ref="F23:K23" ca="1" si="2">F17/F22</f>
        <v>0.11974790243841019</v>
      </c>
      <c r="G23" s="611">
        <f t="shared" ca="1" si="2"/>
        <v>0.13223522956708442</v>
      </c>
      <c r="H23" s="611">
        <f t="shared" ca="1" si="2"/>
        <v>0.12867405869408088</v>
      </c>
      <c r="I23" s="612">
        <f t="shared" ca="1" si="2"/>
        <v>0.12956325461072513</v>
      </c>
      <c r="J23" s="612">
        <f t="shared" ca="1" si="2"/>
        <v>0.13534266501370854</v>
      </c>
      <c r="K23" s="377">
        <f t="shared" ca="1" si="2"/>
        <v>0.14017563290093318</v>
      </c>
    </row>
    <row r="24" spans="1:12" ht="15">
      <c r="A24" s="198">
        <v>22</v>
      </c>
      <c r="B24" s="354" t="s">
        <v>1074</v>
      </c>
      <c r="C24" s="375">
        <f ca="1">C15/C22</f>
        <v>0.67223196635017657</v>
      </c>
      <c r="D24" s="375">
        <f ca="1">D15/D22</f>
        <v>0.67348551729226491</v>
      </c>
      <c r="F24" s="376">
        <f t="shared" ref="F24:K24" ca="1" si="3">F15/F22</f>
        <v>0.66334424541479819</v>
      </c>
      <c r="G24" s="611">
        <f t="shared" ca="1" si="3"/>
        <v>0.68263270854628277</v>
      </c>
      <c r="H24" s="611">
        <f t="shared" ca="1" si="3"/>
        <v>0.67623462812724178</v>
      </c>
      <c r="I24" s="612">
        <f t="shared" ca="1" si="3"/>
        <v>0.68195749490707958</v>
      </c>
      <c r="J24" s="612">
        <f t="shared" ca="1" si="3"/>
        <v>0.68553003761283515</v>
      </c>
      <c r="K24" s="377">
        <f t="shared" ca="1" si="3"/>
        <v>0.67588928920576508</v>
      </c>
    </row>
    <row r="25" spans="1:12" ht="15.75" thickBot="1">
      <c r="A25" s="198">
        <v>23</v>
      </c>
      <c r="B25" s="368" t="s">
        <v>1075</v>
      </c>
      <c r="C25" s="378">
        <f ca="1">C20/C22</f>
        <v>0.21267651027005696</v>
      </c>
      <c r="D25" s="378">
        <f ca="1">D20/D22</f>
        <v>0.20716918998958331</v>
      </c>
      <c r="F25" s="379">
        <f t="shared" ref="F25:K25" ca="1" si="4">F20/F22</f>
        <v>0.21690785214679154</v>
      </c>
      <c r="G25" s="613">
        <f t="shared" ca="1" si="4"/>
        <v>0.18513206188663275</v>
      </c>
      <c r="H25" s="613">
        <f t="shared" ca="1" si="4"/>
        <v>0.19509131317867734</v>
      </c>
      <c r="I25" s="614">
        <f t="shared" ca="1" si="4"/>
        <v>0.18847925048219522</v>
      </c>
      <c r="J25" s="614">
        <f t="shared" ca="1" si="4"/>
        <v>0.17912729737345623</v>
      </c>
      <c r="K25" s="380">
        <f t="shared" ca="1" si="4"/>
        <v>0.18393507789330171</v>
      </c>
    </row>
    <row r="26" spans="1:12" ht="15.75" thickBot="1">
      <c r="A26" s="198">
        <v>24</v>
      </c>
      <c r="B26" s="381" t="s">
        <v>1076</v>
      </c>
      <c r="C26" s="349"/>
      <c r="D26" s="349"/>
      <c r="E26" s="349"/>
      <c r="F26" s="349"/>
      <c r="G26" s="349"/>
      <c r="H26" s="349"/>
      <c r="I26" s="349"/>
      <c r="J26" s="349"/>
      <c r="K26" s="349"/>
    </row>
    <row r="27" spans="1:12" ht="15">
      <c r="A27" s="198">
        <v>25</v>
      </c>
      <c r="B27" s="382" t="s">
        <v>1077</v>
      </c>
      <c r="C27" s="372">
        <f t="shared" ref="C27:D29" ca="1" si="5">C23*C$8</f>
        <v>53.065837949637434</v>
      </c>
      <c r="D27" s="372">
        <f t="shared" ca="1" si="5"/>
        <v>51.688606307059544</v>
      </c>
      <c r="F27" s="373">
        <f t="shared" ref="F27:K29" ca="1" si="6">F23*F$8</f>
        <v>50.610787625654815</v>
      </c>
      <c r="G27" s="609">
        <f t="shared" ca="1" si="6"/>
        <v>47.704390673629995</v>
      </c>
      <c r="H27" s="609">
        <f t="shared" ca="1" si="6"/>
        <v>48.668256432345743</v>
      </c>
      <c r="I27" s="610">
        <f t="shared" ca="1" si="6"/>
        <v>48.694377064929483</v>
      </c>
      <c r="J27" s="610">
        <f t="shared" ca="1" si="6"/>
        <v>46.331539107024525</v>
      </c>
      <c r="K27" s="374">
        <f t="shared" ca="1" si="6"/>
        <v>45.680149907295046</v>
      </c>
    </row>
    <row r="28" spans="1:12" ht="15">
      <c r="A28" s="198">
        <v>26</v>
      </c>
      <c r="B28" s="383" t="s">
        <v>1078</v>
      </c>
      <c r="C28" s="355">
        <f t="shared" ca="1" si="5"/>
        <v>309.94943453130088</v>
      </c>
      <c r="D28" s="355">
        <f t="shared" ca="1" si="5"/>
        <v>291.68748062010144</v>
      </c>
      <c r="F28" s="356">
        <f t="shared" ca="1" si="6"/>
        <v>280.35877074887253</v>
      </c>
      <c r="G28" s="604">
        <f t="shared" ca="1" si="6"/>
        <v>246.26249390348505</v>
      </c>
      <c r="H28" s="604">
        <f t="shared" ca="1" si="6"/>
        <v>255.7715255440412</v>
      </c>
      <c r="I28" s="335">
        <f t="shared" ca="1" si="6"/>
        <v>256.30334386885011</v>
      </c>
      <c r="J28" s="335">
        <f t="shared" ca="1" si="6"/>
        <v>234.67590019364553</v>
      </c>
      <c r="K28" s="357">
        <f t="shared" ca="1" si="6"/>
        <v>220.25742572159206</v>
      </c>
    </row>
    <row r="29" spans="1:12" ht="15.75" thickBot="1">
      <c r="A29" s="198">
        <v>27</v>
      </c>
      <c r="B29" s="368" t="s">
        <v>1079</v>
      </c>
      <c r="C29" s="369">
        <f t="shared" ca="1" si="5"/>
        <v>98.059847487163822</v>
      </c>
      <c r="D29" s="369">
        <f t="shared" ca="1" si="5"/>
        <v>89.725253978913926</v>
      </c>
      <c r="F29" s="370">
        <f t="shared" ca="1" si="6"/>
        <v>91.674902155254372</v>
      </c>
      <c r="G29" s="607">
        <f t="shared" ca="1" si="6"/>
        <v>66.787135586846006</v>
      </c>
      <c r="H29" s="607">
        <f t="shared" ca="1" si="6"/>
        <v>73.789186055570553</v>
      </c>
      <c r="I29" s="608">
        <f t="shared" ca="1" si="6"/>
        <v>70.837057308188136</v>
      </c>
      <c r="J29" s="608">
        <f t="shared" ca="1" si="6"/>
        <v>61.320230265550691</v>
      </c>
      <c r="K29" s="371">
        <f t="shared" ca="1" si="6"/>
        <v>59.940388764387578</v>
      </c>
    </row>
    <row r="30" spans="1:12" s="384" customFormat="1" ht="15.75" thickBot="1">
      <c r="A30" s="198">
        <v>28</v>
      </c>
      <c r="B30" s="381" t="s">
        <v>1080</v>
      </c>
      <c r="C30" s="349"/>
      <c r="D30" s="349"/>
      <c r="E30" s="349"/>
      <c r="F30" s="349"/>
      <c r="G30" s="349"/>
      <c r="H30" s="349"/>
      <c r="I30" s="349"/>
      <c r="J30" s="349"/>
      <c r="K30" s="349"/>
    </row>
    <row r="31" spans="1:12" ht="15">
      <c r="A31" s="198">
        <v>29</v>
      </c>
      <c r="B31" s="382" t="s">
        <v>1081</v>
      </c>
      <c r="C31" s="385">
        <v>0</v>
      </c>
      <c r="D31" s="385">
        <v>0</v>
      </c>
      <c r="E31" s="306"/>
      <c r="F31" s="386">
        <v>0</v>
      </c>
      <c r="G31" s="615">
        <v>0</v>
      </c>
      <c r="H31" s="615">
        <v>0</v>
      </c>
      <c r="I31" s="616">
        <v>0</v>
      </c>
      <c r="J31" s="616">
        <v>0</v>
      </c>
      <c r="K31" s="387">
        <v>0</v>
      </c>
    </row>
    <row r="32" spans="1:12" ht="15">
      <c r="A32" s="198">
        <v>30</v>
      </c>
      <c r="B32" s="383" t="s">
        <v>1082</v>
      </c>
      <c r="C32" s="388">
        <f ca="1">C28*MFAssumptions!$B$79*MFAssumptions!$B$75/100000</f>
        <v>11.848003104619696</v>
      </c>
      <c r="D32" s="388">
        <f ca="1">D28*MFAssumptions!$B$79*MFAssumptions!$B$75/100000</f>
        <v>11.149928959191751</v>
      </c>
      <c r="E32" s="306"/>
      <c r="F32" s="389">
        <f ca="1">F28*MFAssumptions!$B$79*MFAssumptions!$B$75/100000</f>
        <v>10.716882227138102</v>
      </c>
      <c r="G32" s="617">
        <f ca="1">G28*MFAssumptions!$B$79*MFAssumptions!$B$75/100000</f>
        <v>9.4135315869570597</v>
      </c>
      <c r="H32" s="617">
        <f ca="1">H28*MFAssumptions!$B$79*MFAssumptions!$B$75/100000</f>
        <v>9.7770200268363023</v>
      </c>
      <c r="I32" s="618">
        <f ca="1">I28*MFAssumptions!$B$79*MFAssumptions!B75/100000</f>
        <v>9.7973491013931167</v>
      </c>
      <c r="J32" s="618">
        <f ca="1">J28*MFAssumptions!$B$79*MFAssumptions!B75/100000</f>
        <v>8.9706270904422176</v>
      </c>
      <c r="K32" s="390">
        <f ca="1">K28*MFAssumptions!$B$79*MFAssumptions!B75/100000</f>
        <v>8.4194722526632901</v>
      </c>
    </row>
    <row r="33" spans="1:11" ht="15.75" thickBot="1">
      <c r="A33" s="198">
        <v>31</v>
      </c>
      <c r="B33" s="368" t="s">
        <v>1083</v>
      </c>
      <c r="C33" s="391">
        <f ca="1">(C29*MFAssumptions!$B$75/100000)/MFAssumptions!$B$78</f>
        <v>4.4623767929825346</v>
      </c>
      <c r="D33" s="391">
        <f ca="1">(D29*MFAssumptions!$B$75/100000)/MFAssumptions!$B$78</f>
        <v>4.0830972244004426</v>
      </c>
      <c r="E33" s="306"/>
      <c r="F33" s="392">
        <f ca="1">(F29*MFAssumptions!$B$75/100000)/MFAssumptions!$B$78</f>
        <v>4.1718192140784423</v>
      </c>
      <c r="G33" s="619">
        <f ca="1">(G29*MFAssumptions!$B$75/100000)/MFAssumptions!$B$78</f>
        <v>3.0392599167720724</v>
      </c>
      <c r="H33" s="619">
        <f ca="1">(H29*MFAssumptions!$B$75/100000)/MFAssumptions!$B$78</f>
        <v>3.3578998934354973</v>
      </c>
      <c r="I33" s="620">
        <f ca="1">(I29*MFAssumptions!B75/100000)/MFAssumptions!$B$78</f>
        <v>3.2235583545712814</v>
      </c>
      <c r="J33" s="620">
        <f ca="1">(J29*MFAssumptions!B75/100000)/MFAssumptions!$B$78</f>
        <v>2.79047927861766</v>
      </c>
      <c r="K33" s="393">
        <f ca="1">(K29*MFAssumptions!B75/100000)/MFAssumptions!$B$78</f>
        <v>2.7276872913713976</v>
      </c>
    </row>
  </sheetData>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dimension ref="A1:N33"/>
  <sheetViews>
    <sheetView workbookViewId="0">
      <selection activeCell="I19" sqref="I19"/>
    </sheetView>
  </sheetViews>
  <sheetFormatPr defaultColWidth="8.85546875" defaultRowHeight="12.75"/>
  <cols>
    <col min="1" max="1" width="8.85546875" style="198"/>
    <col min="2" max="2" width="48.140625" style="198" customWidth="1"/>
    <col min="3" max="3" width="16.28515625" style="198" customWidth="1"/>
    <col min="4" max="4" width="16" style="198" customWidth="1"/>
    <col min="5" max="5" width="1.85546875" style="198" customWidth="1"/>
    <col min="6" max="6" width="14.140625" style="198" customWidth="1"/>
    <col min="7" max="8" width="13.42578125" style="198" customWidth="1"/>
    <col min="9" max="10" width="11" style="198" customWidth="1"/>
    <col min="11" max="11" width="12.85546875" style="198" customWidth="1"/>
    <col min="12" max="16384" width="8.85546875" style="198"/>
  </cols>
  <sheetData>
    <row r="1" spans="1:14">
      <c r="C1" s="307" t="s">
        <v>1059</v>
      </c>
      <c r="D1" s="307"/>
      <c r="F1" s="308" t="s">
        <v>1060</v>
      </c>
      <c r="G1" s="308"/>
      <c r="H1" s="308"/>
      <c r="I1" s="309"/>
      <c r="J1" s="309"/>
      <c r="K1" s="309"/>
    </row>
    <row r="2" spans="1:14" ht="39" thickBot="1">
      <c r="F2" s="310" t="str">
        <f>MHAssumptions!D59</f>
        <v>ENERGY STAR - Top-Load</v>
      </c>
      <c r="G2" s="310" t="str">
        <f>MHAssumptions!D60</f>
        <v>ENERGY STAR - Front-Load</v>
      </c>
      <c r="H2" s="311" t="str">
        <f>H3</f>
        <v>Any ENERGY STAR (Top- or Front-Load)</v>
      </c>
      <c r="I2" s="311" t="str">
        <f>MHAssumptions!D61</f>
        <v>CEE Tier 1</v>
      </c>
      <c r="J2" s="311" t="str">
        <f>MHAssumptions!D62</f>
        <v>CEE Tier 2</v>
      </c>
      <c r="K2" s="311" t="str">
        <f>MHAssumptions!D63</f>
        <v>CEE Tier 3</v>
      </c>
    </row>
    <row r="3" spans="1:14" ht="64.5" thickBot="1">
      <c r="A3" s="198">
        <v>1</v>
      </c>
      <c r="C3" s="592" t="str">
        <f>'SavingsData&amp;Analysis'!BH1</f>
        <v>Current Practice Baseline Using 31% ENERGY STAR Penetration</v>
      </c>
      <c r="D3" s="592" t="str">
        <f>'SavingsData&amp;Analysis'!BI1</f>
        <v>Current Practice Baseline Using 54% ENERGY STAR Penetration</v>
      </c>
      <c r="E3" s="312"/>
      <c r="F3" s="313" t="str">
        <f>'SavingsData&amp;Analysis'!BB1</f>
        <v>ENERGY STAR - Top-Load</v>
      </c>
      <c r="G3" s="593" t="str">
        <f>'SavingsData&amp;Analysis'!BC1</f>
        <v>ENERGY STAR - Front-Load</v>
      </c>
      <c r="H3" s="593" t="str">
        <f>'SavingsData&amp;Analysis'!BD1</f>
        <v>Any ENERGY STAR (Top- or Front-Load)</v>
      </c>
      <c r="I3" s="314" t="str">
        <f>'SavingsData&amp;Analysis'!BE1</f>
        <v>CEE Tier 1</v>
      </c>
      <c r="J3" s="314" t="str">
        <f>'SavingsData&amp;Analysis'!BF1</f>
        <v>CEE Tier 2</v>
      </c>
      <c r="K3" s="315" t="str">
        <f>'SavingsData&amp;Analysis'!BG1</f>
        <v>CEE Tier 3</v>
      </c>
    </row>
    <row r="4" spans="1:14">
      <c r="A4" s="198">
        <v>2</v>
      </c>
      <c r="B4" s="316" t="s">
        <v>824</v>
      </c>
      <c r="C4" s="317">
        <f ca="1">'SavingsData&amp;Analysis'!BH7</f>
        <v>2.1767894525547438</v>
      </c>
      <c r="D4" s="317">
        <f ca="1">'SavingsData&amp;Analysis'!BI7</f>
        <v>2.3161001848580569</v>
      </c>
      <c r="E4" s="318"/>
      <c r="F4" s="319">
        <f ca="1">HLOOKUP(F$3,'SavingsData&amp;Analysis'!$AV$1:$BG$14,7,FALSE)</f>
        <v>2.31115</v>
      </c>
      <c r="G4" s="594">
        <f ca="1">HLOOKUP(G$3,'SavingsData&amp;Analysis'!$AV$1:$BG$14,7,FALSE)</f>
        <v>2.6988296721311471</v>
      </c>
      <c r="H4" s="594">
        <f ca="1">HLOOKUP(H$3,'SavingsData&amp;Analysis'!$AV$1:$BG$14,7,FALSE)</f>
        <v>2.5893671764705872</v>
      </c>
      <c r="I4" s="320">
        <f ca="1">HLOOKUP(I$3,'SavingsData&amp;Analysis'!$AV$1:$BG$14,7,FALSE)</f>
        <v>2.5856956944444445</v>
      </c>
      <c r="J4" s="320">
        <f ca="1">HLOOKUP(J$3,'SavingsData&amp;Analysis'!$AV$1:$BG$14,7,FALSE)</f>
        <v>2.8331187499999997</v>
      </c>
      <c r="K4" s="321">
        <f ca="1">HLOOKUP(K$3,'SavingsData&amp;Analysis'!$AV$1:$BG$14,7,FALSE)</f>
        <v>2.9762379999999999</v>
      </c>
      <c r="M4" s="384"/>
      <c r="N4" s="300"/>
    </row>
    <row r="5" spans="1:14">
      <c r="A5" s="198">
        <v>3</v>
      </c>
      <c r="B5" s="322" t="s">
        <v>825</v>
      </c>
      <c r="C5" s="323">
        <f ca="1">'SavingsData&amp;Analysis'!BH9</f>
        <v>4.1747655474452543</v>
      </c>
      <c r="D5" s="323">
        <f ca="1">'SavingsData&amp;Analysis'!BI9</f>
        <v>3.9217127286166567</v>
      </c>
      <c r="E5" s="318"/>
      <c r="F5" s="324">
        <f ca="1">HLOOKUP(F$3,'SavingsData&amp;Analysis'!$AV$1:$BG$14,9,FALSE)</f>
        <v>4.0922604166666652</v>
      </c>
      <c r="G5" s="595">
        <f ca="1">HLOOKUP(G$3,'SavingsData&amp;Analysis'!$AV$1:$BG$14,9,FALSE)</f>
        <v>3.1629357377049185</v>
      </c>
      <c r="H5" s="595">
        <f ca="1">HLOOKUP(H$3,'SavingsData&amp;Analysis'!$AV$1:$BG$14,9,FALSE)</f>
        <v>3.4253332941176473</v>
      </c>
      <c r="I5" s="325">
        <f ca="1">HLOOKUP(I$3,'SavingsData&amp;Analysis'!$AV$1:$BG$14,9,FALSE)</f>
        <v>3.2865300000000008</v>
      </c>
      <c r="J5" s="325">
        <f ca="1">HLOOKUP(J$3,'SavingsData&amp;Analysis'!$AV$1:$BG$14,9,FALSE)</f>
        <v>2.9900809999999991</v>
      </c>
      <c r="K5" s="326">
        <f ca="1">HLOOKUP(K$3,'SavingsData&amp;Analysis'!$AV$1:$BG$14,9,FALSE)</f>
        <v>2.9644759999999999</v>
      </c>
      <c r="M5" s="384"/>
      <c r="N5" s="384"/>
    </row>
    <row r="6" spans="1:14">
      <c r="A6" s="198">
        <v>4</v>
      </c>
      <c r="B6" s="322" t="s">
        <v>1061</v>
      </c>
      <c r="C6" s="323">
        <f ca="1">'SavingsData&amp;Analysis'!BH11</f>
        <v>3.7770072992700716</v>
      </c>
      <c r="D6" s="323">
        <f ca="1">'SavingsData&amp;Analysis'!BI11</f>
        <v>3.9257934407096169</v>
      </c>
      <c r="E6" s="318"/>
      <c r="F6" s="324">
        <f ca="1">HLOOKUP(F$3,'SavingsData&amp;Analysis'!$AV$1:$BG$14,11,FALSE)</f>
        <v>4.5916666666666668</v>
      </c>
      <c r="G6" s="595">
        <f ca="1">HLOOKUP(G$3,'SavingsData&amp;Analysis'!$AV$1:$BG$14,11,FALSE)</f>
        <v>4.0704918032786903</v>
      </c>
      <c r="H6" s="595">
        <f ca="1">HLOOKUP(H$3,'SavingsData&amp;Analysis'!$AV$1:$BG$14,11,FALSE)</f>
        <v>4.2176470588235304</v>
      </c>
      <c r="I6" s="325">
        <f ca="1">HLOOKUP(I$3,'SavingsData&amp;Analysis'!$AV$1:$BG$14,11,FALSE)</f>
        <v>3.9638888888888895</v>
      </c>
      <c r="J6" s="325">
        <f ca="1">HLOOKUP(J$3,'SavingsData&amp;Analysis'!$AV$1:$BG$14,11,FALSE)</f>
        <v>4.0849999999999991</v>
      </c>
      <c r="K6" s="326">
        <f ca="1">HLOOKUP(K$3,'SavingsData&amp;Analysis'!$AV$1:$BG$14,11,FALSE)</f>
        <v>4.7799999999999994</v>
      </c>
    </row>
    <row r="7" spans="1:14">
      <c r="A7" s="198">
        <v>5</v>
      </c>
      <c r="B7" s="322" t="s">
        <v>1062</v>
      </c>
      <c r="C7" s="327">
        <f ca="1">'SavingsData&amp;Analysis'!BH12</f>
        <v>36.113650200160976</v>
      </c>
      <c r="D7" s="327">
        <f ca="1">'SavingsData&amp;Analysis'!BI12</f>
        <v>34.923898397154204</v>
      </c>
      <c r="E7" s="328"/>
      <c r="F7" s="329">
        <f ca="1">HLOOKUP(F$3,'SavingsData&amp;Analysis'!$AV$1:$BG$14,12,FALSE)</f>
        <v>34.299999999999997</v>
      </c>
      <c r="G7" s="596">
        <f ca="1">HLOOKUP(G$3,'SavingsData&amp;Analysis'!$AV$1:$BG$14,12,FALSE)</f>
        <v>32.029508196721316</v>
      </c>
      <c r="H7" s="596">
        <f ca="1">HLOOKUP(H$3,'SavingsData&amp;Analysis'!$AV$1:$BG$14,12,FALSE)</f>
        <v>32.590123456790117</v>
      </c>
      <c r="I7" s="330">
        <f ca="1">HLOOKUP(I$3,'SavingsData&amp;Analysis'!$AV$1:$BG$14,12,FALSE)</f>
        <v>32.638888888888893</v>
      </c>
      <c r="J7" s="330">
        <f ca="1">HLOOKUP(J$3,'SavingsData&amp;Analysis'!$AV$1:$BG$14,12,FALSE)</f>
        <v>31.444999999999993</v>
      </c>
      <c r="K7" s="331">
        <f ca="1">HLOOKUP(K$3,'SavingsData&amp;Analysis'!$AV$1:$BG$14,12,FALSE)</f>
        <v>29.98</v>
      </c>
    </row>
    <row r="8" spans="1:14">
      <c r="A8" s="198">
        <v>6</v>
      </c>
      <c r="B8" s="597" t="str">
        <f ca="1">CONCATENATE("Normalized kWh/Year (@ ",ROUND(C6,2)," cubic foot tub volume)")</f>
        <v>Normalized kWh/Year (@ 3.78 cubic foot tub volume)</v>
      </c>
      <c r="C8" s="327">
        <f ca="1">'SavingsData&amp;Analysis'!BH13</f>
        <v>461.07511996810217</v>
      </c>
      <c r="D8" s="327">
        <f ca="1">'SavingsData&amp;Analysis'!BI13</f>
        <v>433.10134090607494</v>
      </c>
      <c r="E8" s="333"/>
      <c r="F8" s="334">
        <f ca="1">HLOOKUP(F$3,'SavingsData&amp;Analysis'!$AV$1:$BG$14,13,FALSE)</f>
        <v>422.64446052978178</v>
      </c>
      <c r="G8" s="598">
        <f ca="1">HLOOKUP(G$3,'SavingsData&amp;Analysis'!$AV$1:$BG$14,13,FALSE)</f>
        <v>360.75402016396106</v>
      </c>
      <c r="H8" s="598">
        <f ca="1">HLOOKUP(H$3,'SavingsData&amp;Analysis'!$AV$1:$BG$14,13,FALSE)</f>
        <v>378.22896803195749</v>
      </c>
      <c r="I8" s="335">
        <f ca="1">HLOOKUP(I$3,'SavingsData&amp;Analysis'!$AV$1:$BG$14,13,FALSE)</f>
        <v>375.83477824196774</v>
      </c>
      <c r="J8" s="335">
        <f ca="1">HLOOKUP(J$3,'SavingsData&amp;Analysis'!$AV$1:$BG$14,13,FALSE)</f>
        <v>342.32766956622078</v>
      </c>
      <c r="K8" s="336">
        <f ca="1">HLOOKUP(K$3,'SavingsData&amp;Analysis'!$AV$1:$BG$14,13,FALSE)</f>
        <v>325.87796439327468</v>
      </c>
    </row>
    <row r="9" spans="1:14">
      <c r="A9" s="198">
        <v>7</v>
      </c>
      <c r="B9" s="332" t="str">
        <f ca="1">CONCATENATE("Normalized Gallons/Year (@ ",ROUND(C6,2)," cubic foot tub volume)")</f>
        <v>Normalized Gallons/Year (@ 3.78 cubic foot tub volume)</v>
      </c>
      <c r="C9" s="337">
        <f ca="1">'SavingsData&amp;Analysis'!BH14</f>
        <v>4047.8861059902265</v>
      </c>
      <c r="D9" s="337">
        <f ca="1">'SavingsData&amp;Analysis'!BI14</f>
        <v>3802.5240664273615</v>
      </c>
      <c r="E9" s="318"/>
      <c r="F9" s="329">
        <f ca="1">HLOOKUP(F$3,'SavingsData&amp;Analysis'!$AV$1:$BG$14,14,FALSE)</f>
        <v>3967.88847049284</v>
      </c>
      <c r="G9" s="596">
        <f ca="1">HLOOKUP(G$3,'SavingsData&amp;Analysis'!$AV$1:$BG$14,14,FALSE)</f>
        <v>3066.8078198141188</v>
      </c>
      <c r="H9" s="596">
        <f ca="1">HLOOKUP(H$3,'SavingsData&amp;Analysis'!$AV$1:$BG$14,14,FALSE)</f>
        <v>3321.230591770463</v>
      </c>
      <c r="I9" s="330">
        <f ca="1">HLOOKUP(I$3,'SavingsData&amp;Analysis'!$AV$1:$BG$14,14,FALSE)</f>
        <v>3186.6458062683578</v>
      </c>
      <c r="J9" s="330">
        <f ca="1">HLOOKUP(J$3,'SavingsData&amp;Analysis'!$AV$1:$BG$14,14,FALSE)</f>
        <v>2899.206481928567</v>
      </c>
      <c r="K9" s="331">
        <f ca="1">HLOOKUP(K$3,'SavingsData&amp;Analysis'!$AV$1:$BG$14,14,FALSE)</f>
        <v>2874.3796688857838</v>
      </c>
    </row>
    <row r="10" spans="1:14" ht="13.5" thickBot="1">
      <c r="A10" s="198">
        <v>8</v>
      </c>
      <c r="B10" s="338" t="str">
        <f ca="1">CONCATENATE("Normalized Cost ($2006 @ ",ROUND(C6,2)," cubic foot tub volume)")</f>
        <v>Normalized Cost ($2006 @ 3.78 cubic foot tub volume)</v>
      </c>
      <c r="C10" s="339">
        <f ca="1">'CostData&amp;Analysis'!AF19</f>
        <v>776.31603614450796</v>
      </c>
      <c r="D10" s="339">
        <f ca="1">'CostData&amp;Analysis'!AG19</f>
        <v>825.23457500176619</v>
      </c>
      <c r="E10" s="318"/>
      <c r="F10" s="340">
        <f ca="1">'CostData&amp;Analysis'!Z19</f>
        <v>754.7360149776722</v>
      </c>
      <c r="G10" s="599">
        <f ca="1">'CostData&amp;Analysis'!AA19</f>
        <v>969.81887509547198</v>
      </c>
      <c r="H10" s="599">
        <f ca="1">'CostData&amp;Analysis'!AB19</f>
        <v>921.19144585144784</v>
      </c>
      <c r="I10" s="341">
        <f ca="1">'CostData&amp;Analysis'!AC19</f>
        <v>951.49912384722427</v>
      </c>
      <c r="J10" s="341">
        <f ca="1">'CostData&amp;Analysis'!AD19</f>
        <v>1001.0825583529517</v>
      </c>
      <c r="K10" s="342">
        <f ca="1">'CostData&amp;Analysis'!AE19</f>
        <v>996.04811179834417</v>
      </c>
    </row>
    <row r="11" spans="1:14" ht="14.25" customHeight="1" thickBot="1">
      <c r="A11" s="198">
        <v>9</v>
      </c>
      <c r="B11" s="343" t="s">
        <v>1063</v>
      </c>
      <c r="C11" s="344">
        <f ca="1">MHAssumptions!$C$3*MHAssumptions!$C$9*C5/$C$5</f>
        <v>43.208420677956539</v>
      </c>
      <c r="D11" s="344">
        <f ca="1">MHAssumptions!$C$3*MHAssumptions!$C$9*D5/$C$5</f>
        <v>40.589348414993211</v>
      </c>
      <c r="E11" s="345"/>
      <c r="F11" s="346">
        <f ca="1">MHAssumptions!$C$3*MHAssumptions!$C$9*F5/$C$5</f>
        <v>42.354500533637861</v>
      </c>
      <c r="G11" s="600">
        <f ca="1">MHAssumptions!$C$3*MHAssumptions!$C$9*G5/$C$5</f>
        <v>32.736079757994865</v>
      </c>
      <c r="H11" s="600">
        <f ca="1">MHAssumptions!$C$3*MHAssumptions!$C$9*H5/$C$5</f>
        <v>35.45186915347054</v>
      </c>
      <c r="I11" s="601">
        <f ca="1">MHAssumptions!$C$3*MHAssumptions!$C$9*I5/$C$5</f>
        <v>34.015268449655785</v>
      </c>
      <c r="J11" s="601">
        <f ca="1">MHAssumptions!$C$3*MHAssumptions!$C$9*J5/$C$5</f>
        <v>30.947049897982122</v>
      </c>
      <c r="K11" s="347">
        <f ca="1">MHAssumptions!$C$3*MHAssumptions!$C$9*K5/$C$5</f>
        <v>30.68204061808709</v>
      </c>
    </row>
    <row r="12" spans="1:14">
      <c r="A12" s="198">
        <v>10</v>
      </c>
    </row>
    <row r="13" spans="1:14" s="349" customFormat="1" ht="13.5" thickBot="1">
      <c r="A13" s="198">
        <v>11</v>
      </c>
      <c r="B13" s="348" t="s">
        <v>1064</v>
      </c>
      <c r="E13" s="198"/>
    </row>
    <row r="14" spans="1:14" ht="15">
      <c r="A14" s="198">
        <v>12</v>
      </c>
      <c r="B14" s="350" t="s">
        <v>1065</v>
      </c>
      <c r="C14" s="351">
        <f ca="1">'DOE Res Data'!$C$33+'DOE Res Data'!$B$33*(C7/100)</f>
        <v>1.3096069259156635</v>
      </c>
      <c r="D14" s="351">
        <f ca="1">'DOE Res Data'!$C$33+'DOE Res Data'!$B$33*(D7/100)</f>
        <v>1.2652842682500836</v>
      </c>
      <c r="F14" s="352">
        <f ca="1">'DOE Res Data'!$C$33+'DOE Res Data'!$B$33*(F7/100)</f>
        <v>1.2420417440485778</v>
      </c>
      <c r="G14" s="602">
        <f ca="1">'DOE Res Data'!$C$33+'DOE Res Data'!$B$33*(G7/100)</f>
        <v>1.1574575217974319</v>
      </c>
      <c r="H14" s="602">
        <f ca="1">'DOE Res Data'!$C$33+'DOE Res Data'!$B$33*(H7/100)</f>
        <v>1.1783425149458626</v>
      </c>
      <c r="I14" s="603">
        <f ca="1">'DOE Res Data'!$C$33+'DOE Res Data'!$B$33*(I7/100)</f>
        <v>1.180159207761428</v>
      </c>
      <c r="J14" s="603">
        <f ca="1">'DOE Res Data'!$C$33+'DOE Res Data'!$B$33*(J7/100)</f>
        <v>1.1356824283363152</v>
      </c>
      <c r="K14" s="353">
        <f ca="1">'DOE Res Data'!$C$33+'DOE Res Data'!$B$33*(K7/100)</f>
        <v>1.0811057567011264</v>
      </c>
      <c r="L14" s="301"/>
    </row>
    <row r="15" spans="1:14" ht="15">
      <c r="A15" s="198">
        <v>13</v>
      </c>
      <c r="B15" s="354" t="s">
        <v>1066</v>
      </c>
      <c r="C15" s="355">
        <f ca="1">C14*MHAssumptions!$C$3*MHAssumptions!$C$4</f>
        <v>272.45614499164805</v>
      </c>
      <c r="D15" s="355">
        <f ca="1">D14*MHAssumptions!$C$3*MHAssumptions!$C$4</f>
        <v>263.23507246646648</v>
      </c>
      <c r="F15" s="604">
        <f ca="1">F14*MHAssumptions!$C$3*MHAssumptions!$C$4</f>
        <v>258.39959976202147</v>
      </c>
      <c r="G15" s="604">
        <f ca="1">G14*MHAssumptions!$C$3*MHAssumptions!$C$4</f>
        <v>240.80234163393783</v>
      </c>
      <c r="H15" s="604">
        <f ca="1">H14*MHAssumptions!$C$3*MHAssumptions!$C$4</f>
        <v>245.14734364087201</v>
      </c>
      <c r="I15" s="604">
        <f ca="1">I14*MHAssumptions!$C$3*MHAssumptions!$C$4</f>
        <v>245.52529607176413</v>
      </c>
      <c r="J15" s="604">
        <f ca="1">J14*MHAssumptions!$C$3*MHAssumptions!$C$4</f>
        <v>236.27215940609068</v>
      </c>
      <c r="K15" s="604">
        <f ca="1">K14*MHAssumptions!$C$3*MHAssumptions!$C$4</f>
        <v>224.91779859297739</v>
      </c>
      <c r="L15" s="301"/>
    </row>
    <row r="16" spans="1:14" ht="15">
      <c r="A16" s="198">
        <v>14</v>
      </c>
      <c r="B16" s="354" t="s">
        <v>1067</v>
      </c>
      <c r="C16" s="358">
        <v>0.2</v>
      </c>
      <c r="D16" s="358">
        <v>0.2</v>
      </c>
      <c r="E16" s="359"/>
      <c r="F16" s="360">
        <v>0.2</v>
      </c>
      <c r="G16" s="605">
        <v>0.2</v>
      </c>
      <c r="H16" s="605">
        <v>0.2</v>
      </c>
      <c r="I16" s="361">
        <v>0.2</v>
      </c>
      <c r="J16" s="361">
        <v>0.2</v>
      </c>
      <c r="K16" s="362">
        <v>0.2</v>
      </c>
    </row>
    <row r="17" spans="1:12" ht="15">
      <c r="A17" s="198">
        <v>15</v>
      </c>
      <c r="B17" s="354" t="s">
        <v>1068</v>
      </c>
      <c r="C17" s="355">
        <f>C16*MHAssumptions!$C$3</f>
        <v>46.646684999999998</v>
      </c>
      <c r="D17" s="355">
        <f>D16*MHAssumptions!$C$3</f>
        <v>46.646684999999998</v>
      </c>
      <c r="F17" s="356">
        <f>F16*MHAssumptions!$C$3</f>
        <v>46.646684999999998</v>
      </c>
      <c r="G17" s="604">
        <f>G16*MHAssumptions!$C$3</f>
        <v>46.646684999999998</v>
      </c>
      <c r="H17" s="604">
        <f>H16*MHAssumptions!$C$3</f>
        <v>46.646684999999998</v>
      </c>
      <c r="I17" s="335">
        <f>I16*MHAssumptions!$C$3</f>
        <v>46.646684999999998</v>
      </c>
      <c r="J17" s="335">
        <f>J16*MHAssumptions!$C$3</f>
        <v>46.646684999999998</v>
      </c>
      <c r="K17" s="357">
        <f>K16*MHAssumptions!$C$3</f>
        <v>46.646684999999998</v>
      </c>
    </row>
    <row r="18" spans="1:12" ht="15">
      <c r="A18" s="198">
        <v>16</v>
      </c>
      <c r="B18" s="354" t="s">
        <v>1069</v>
      </c>
      <c r="C18" s="363">
        <v>0.13</v>
      </c>
      <c r="D18" s="363">
        <v>0.13</v>
      </c>
      <c r="E18" s="364"/>
      <c r="F18" s="365">
        <v>0.13</v>
      </c>
      <c r="G18" s="606">
        <v>0.13</v>
      </c>
      <c r="H18" s="606">
        <v>0.13</v>
      </c>
      <c r="I18" s="366">
        <v>0.13</v>
      </c>
      <c r="J18" s="366">
        <v>0.13</v>
      </c>
      <c r="K18" s="367">
        <v>0.13</v>
      </c>
      <c r="L18" s="301"/>
    </row>
    <row r="19" spans="1:12" ht="15">
      <c r="A19" s="198">
        <v>17</v>
      </c>
      <c r="B19" s="354" t="s">
        <v>1070</v>
      </c>
      <c r="C19" s="355">
        <f ca="1">C9*C18</f>
        <v>526.22519377872948</v>
      </c>
      <c r="D19" s="355">
        <f ca="1">D9*D18</f>
        <v>494.32812863555699</v>
      </c>
      <c r="F19" s="356">
        <f t="shared" ref="F19:K19" ca="1" si="0">F9*F18</f>
        <v>515.82550116406924</v>
      </c>
      <c r="G19" s="604">
        <f t="shared" ca="1" si="0"/>
        <v>398.68501657583545</v>
      </c>
      <c r="H19" s="604">
        <f t="shared" ca="1" si="0"/>
        <v>431.75997693016018</v>
      </c>
      <c r="I19" s="335">
        <f t="shared" ca="1" si="0"/>
        <v>414.26395481488652</v>
      </c>
      <c r="J19" s="335">
        <f t="shared" ca="1" si="0"/>
        <v>376.89684265071372</v>
      </c>
      <c r="K19" s="357">
        <f t="shared" ca="1" si="0"/>
        <v>373.6693569551519</v>
      </c>
    </row>
    <row r="20" spans="1:12" ht="15.75" thickBot="1">
      <c r="A20" s="198">
        <v>18</v>
      </c>
      <c r="B20" s="368" t="s">
        <v>1071</v>
      </c>
      <c r="C20" s="369">
        <f ca="1">C19*MHAssumptions!$A$35*MHAssumptions!$B$76/MHAssumptions!$B$77</f>
        <v>85.426610612386526</v>
      </c>
      <c r="D20" s="369">
        <f ca="1">D19*MHAssumptions!$A$35*MHAssumptions!$B$76/MHAssumptions!$B$77</f>
        <v>80.24848878188844</v>
      </c>
      <c r="F20" s="370">
        <f ca="1">F19*MHAssumptions!$A$35*MHAssumptions!$B$76/MHAssumptions!$B$77</f>
        <v>83.738340073491244</v>
      </c>
      <c r="G20" s="607">
        <f ca="1">G19*MHAssumptions!$A$35*MHAssumptions!$B$76/MHAssumptions!$B$77</f>
        <v>64.72192907270383</v>
      </c>
      <c r="H20" s="607">
        <f ca="1">H19*MHAssumptions!$A$35*MHAssumptions!$B$76/MHAssumptions!$B$77</f>
        <v>70.091268649396724</v>
      </c>
      <c r="I20" s="608">
        <f ca="1">I19*MHAssumptions!$A$35*MHAssumptions!$B$76/MHAssumptions!$B$77</f>
        <v>67.250990597001447</v>
      </c>
      <c r="J20" s="608">
        <f ca="1">J19*MHAssumptions!$A$35*MHAssumptions!$B$76/MHAssumptions!$B$77</f>
        <v>61.184869517476663</v>
      </c>
      <c r="K20" s="371">
        <f ca="1">K19*MHAssumptions!$A$35*MHAssumptions!$B$76/MHAssumptions!$B$77</f>
        <v>60.660924318669359</v>
      </c>
      <c r="L20" s="301"/>
    </row>
    <row r="21" spans="1:12" ht="13.5" thickBot="1">
      <c r="A21" s="198">
        <v>19</v>
      </c>
    </row>
    <row r="22" spans="1:12" ht="15">
      <c r="A22" s="198">
        <v>20</v>
      </c>
      <c r="B22" s="350" t="s">
        <v>1072</v>
      </c>
      <c r="C22" s="372">
        <f ca="1">C15+C17+C20</f>
        <v>404.52944060403456</v>
      </c>
      <c r="D22" s="372">
        <f ca="1">D15+D17+D20</f>
        <v>390.13024624835492</v>
      </c>
      <c r="F22" s="373">
        <f t="shared" ref="F22:K22" ca="1" si="1">F15+F17+F20</f>
        <v>388.78462483551272</v>
      </c>
      <c r="G22" s="609">
        <f t="shared" ca="1" si="1"/>
        <v>352.17095570664162</v>
      </c>
      <c r="H22" s="609">
        <f t="shared" ca="1" si="1"/>
        <v>361.88529729026874</v>
      </c>
      <c r="I22" s="610">
        <f t="shared" ca="1" si="1"/>
        <v>359.42297166876563</v>
      </c>
      <c r="J22" s="610">
        <f t="shared" ca="1" si="1"/>
        <v>344.10371392356734</v>
      </c>
      <c r="K22" s="374">
        <f t="shared" ca="1" si="1"/>
        <v>332.22540791164676</v>
      </c>
    </row>
    <row r="23" spans="1:12" ht="15">
      <c r="A23" s="198">
        <v>21</v>
      </c>
      <c r="B23" s="354" t="s">
        <v>1073</v>
      </c>
      <c r="C23" s="375">
        <f ca="1">C17/C22</f>
        <v>0.11531097694730989</v>
      </c>
      <c r="D23" s="375">
        <f ca="1">D17/D22</f>
        <v>0.1195669534689319</v>
      </c>
      <c r="F23" s="376">
        <f t="shared" ref="F23:K23" ca="1" si="2">F17/F22</f>
        <v>0.11998078632799666</v>
      </c>
      <c r="G23" s="611">
        <f t="shared" ca="1" si="2"/>
        <v>0.13245466227162891</v>
      </c>
      <c r="H23" s="611">
        <f t="shared" ca="1" si="2"/>
        <v>0.12889908860426741</v>
      </c>
      <c r="I23" s="612">
        <f t="shared" ca="1" si="2"/>
        <v>0.12978214715499126</v>
      </c>
      <c r="J23" s="612">
        <f t="shared" ca="1" si="2"/>
        <v>0.1355599579793004</v>
      </c>
      <c r="K23" s="377">
        <f t="shared" ca="1" si="2"/>
        <v>0.14040673557515923</v>
      </c>
    </row>
    <row r="24" spans="1:12" ht="15">
      <c r="A24" s="198">
        <v>22</v>
      </c>
      <c r="B24" s="354" t="s">
        <v>1074</v>
      </c>
      <c r="C24" s="375">
        <f ca="1">C15/C22</f>
        <v>0.6735137610375711</v>
      </c>
      <c r="D24" s="375">
        <f ca="1">D15/D22</f>
        <v>0.67473638611165865</v>
      </c>
      <c r="F24" s="376">
        <f t="shared" ref="F24:K24" ca="1" si="3">F15/F22</f>
        <v>0.66463430716002558</v>
      </c>
      <c r="G24" s="611">
        <f t="shared" ca="1" si="3"/>
        <v>0.68376547733972182</v>
      </c>
      <c r="H24" s="611">
        <f t="shared" ca="1" si="3"/>
        <v>0.67741725203121184</v>
      </c>
      <c r="I24" s="612">
        <f t="shared" ca="1" si="3"/>
        <v>0.6831096380173316</v>
      </c>
      <c r="J24" s="612">
        <f t="shared" ca="1" si="3"/>
        <v>0.68663065769342924</v>
      </c>
      <c r="K24" s="377">
        <f t="shared" ca="1" si="3"/>
        <v>0.67700360429023199</v>
      </c>
    </row>
    <row r="25" spans="1:12" ht="15.75" thickBot="1">
      <c r="A25" s="198">
        <v>23</v>
      </c>
      <c r="B25" s="368" t="s">
        <v>1075</v>
      </c>
      <c r="C25" s="378">
        <f ca="1">C20/C22</f>
        <v>0.21117526201511902</v>
      </c>
      <c r="D25" s="378">
        <f ca="1">D20/D22</f>
        <v>0.20569666041940943</v>
      </c>
      <c r="F25" s="379">
        <f t="shared" ref="F25:K25" ca="1" si="4">F20/F22</f>
        <v>0.21538490651197773</v>
      </c>
      <c r="G25" s="613">
        <f t="shared" ca="1" si="4"/>
        <v>0.18377986038864941</v>
      </c>
      <c r="H25" s="613">
        <f t="shared" ca="1" si="4"/>
        <v>0.19368365936452073</v>
      </c>
      <c r="I25" s="614">
        <f t="shared" ca="1" si="4"/>
        <v>0.18710821482767695</v>
      </c>
      <c r="J25" s="614">
        <f t="shared" ca="1" si="4"/>
        <v>0.17780938432727031</v>
      </c>
      <c r="K25" s="380">
        <f t="shared" ca="1" si="4"/>
        <v>0.18258966013460881</v>
      </c>
    </row>
    <row r="26" spans="1:12" ht="15.75" thickBot="1">
      <c r="A26" s="198">
        <v>24</v>
      </c>
      <c r="B26" s="381" t="s">
        <v>1076</v>
      </c>
      <c r="C26" s="349"/>
      <c r="D26" s="349"/>
      <c r="E26" s="349"/>
      <c r="F26" s="349"/>
      <c r="G26" s="349"/>
      <c r="H26" s="349"/>
      <c r="I26" s="349"/>
      <c r="J26" s="349"/>
      <c r="K26" s="349"/>
    </row>
    <row r="27" spans="1:12" ht="15">
      <c r="A27" s="198">
        <v>25</v>
      </c>
      <c r="B27" s="382" t="s">
        <v>1077</v>
      </c>
      <c r="C27" s="372">
        <f t="shared" ref="C27:D29" ca="1" si="5">C23*C$8</f>
        <v>53.16702252961997</v>
      </c>
      <c r="D27" s="372">
        <f t="shared" ca="1" si="5"/>
        <v>51.784607875448671</v>
      </c>
      <c r="F27" s="373">
        <f t="shared" ref="F27:K29" ca="1" si="6">F23*F$8</f>
        <v>50.709214711535168</v>
      </c>
      <c r="G27" s="609">
        <f t="shared" ca="1" si="6"/>
        <v>47.783551903949871</v>
      </c>
      <c r="H27" s="609">
        <f t="shared" ca="1" si="6"/>
        <v>48.753369263051916</v>
      </c>
      <c r="I27" s="610">
        <f t="shared" ca="1" si="6"/>
        <v>48.776644495762561</v>
      </c>
      <c r="J27" s="610">
        <f t="shared" ca="1" si="6"/>
        <v>46.405924501548718</v>
      </c>
      <c r="K27" s="374">
        <f t="shared" ca="1" si="6"/>
        <v>45.755461176337676</v>
      </c>
    </row>
    <row r="28" spans="1:12" ht="15">
      <c r="A28" s="198">
        <v>26</v>
      </c>
      <c r="B28" s="383" t="s">
        <v>1078</v>
      </c>
      <c r="C28" s="355">
        <f t="shared" ca="1" si="5"/>
        <v>310.54043817056578</v>
      </c>
      <c r="D28" s="355">
        <f t="shared" ca="1" si="5"/>
        <v>292.2292335830785</v>
      </c>
      <c r="F28" s="356">
        <f t="shared" ca="1" si="6"/>
        <v>280.90400819923428</v>
      </c>
      <c r="G28" s="604">
        <f t="shared" ca="1" si="6"/>
        <v>246.67114479963448</v>
      </c>
      <c r="H28" s="604">
        <f t="shared" ca="1" si="6"/>
        <v>256.2188281628097</v>
      </c>
      <c r="I28" s="335">
        <f t="shared" ca="1" si="6"/>
        <v>256.73635931919466</v>
      </c>
      <c r="J28" s="335">
        <f t="shared" ca="1" si="6"/>
        <v>235.05267290091308</v>
      </c>
      <c r="K28" s="357">
        <f t="shared" ca="1" si="6"/>
        <v>220.62055645301083</v>
      </c>
    </row>
    <row r="29" spans="1:12" ht="15.75" thickBot="1">
      <c r="A29" s="198">
        <v>27</v>
      </c>
      <c r="B29" s="368" t="s">
        <v>1079</v>
      </c>
      <c r="C29" s="369">
        <f t="shared" ca="1" si="5"/>
        <v>97.367659267916409</v>
      </c>
      <c r="D29" s="369">
        <f t="shared" ca="1" si="5"/>
        <v>89.087499447547771</v>
      </c>
      <c r="F29" s="370">
        <f t="shared" ca="1" si="6"/>
        <v>91.031237619012302</v>
      </c>
      <c r="G29" s="607">
        <f t="shared" ca="1" si="6"/>
        <v>66.299323460376783</v>
      </c>
      <c r="H29" s="607">
        <f t="shared" ca="1" si="6"/>
        <v>73.256770606095856</v>
      </c>
      <c r="I29" s="608">
        <f t="shared" ca="1" si="6"/>
        <v>70.321774427010425</v>
      </c>
      <c r="J29" s="608">
        <f t="shared" ca="1" si="6"/>
        <v>60.869072163758943</v>
      </c>
      <c r="K29" s="371">
        <f t="shared" ca="1" si="6"/>
        <v>59.501946763926178</v>
      </c>
    </row>
    <row r="30" spans="1:12" s="384" customFormat="1" ht="15.75" thickBot="1">
      <c r="A30" s="198">
        <v>28</v>
      </c>
      <c r="B30" s="381" t="s">
        <v>1080</v>
      </c>
      <c r="C30" s="349"/>
      <c r="D30" s="349"/>
      <c r="E30" s="349"/>
      <c r="F30" s="349"/>
      <c r="G30" s="349"/>
      <c r="H30" s="349"/>
      <c r="I30" s="349"/>
      <c r="J30" s="349"/>
      <c r="K30" s="349"/>
    </row>
    <row r="31" spans="1:12" ht="15">
      <c r="A31" s="198">
        <v>29</v>
      </c>
      <c r="B31" s="382" t="s">
        <v>1081</v>
      </c>
      <c r="C31" s="385">
        <v>0</v>
      </c>
      <c r="D31" s="385">
        <v>0</v>
      </c>
      <c r="E31" s="306"/>
      <c r="F31" s="386">
        <v>0</v>
      </c>
      <c r="G31" s="615">
        <v>0</v>
      </c>
      <c r="H31" s="615">
        <v>0</v>
      </c>
      <c r="I31" s="616">
        <v>0</v>
      </c>
      <c r="J31" s="616">
        <v>0</v>
      </c>
      <c r="K31" s="387">
        <v>0</v>
      </c>
    </row>
    <row r="32" spans="1:12" ht="15">
      <c r="A32" s="198">
        <v>30</v>
      </c>
      <c r="B32" s="383" t="s">
        <v>1082</v>
      </c>
      <c r="C32" s="388">
        <f ca="1">C28*MHAssumptions!$B$79*MHAssumptions!$B$75/100000</f>
        <v>11.870594573332779</v>
      </c>
      <c r="D32" s="388">
        <f ca="1">D28*MHAssumptions!$B$79*MHAssumptions!$B$75/100000</f>
        <v>11.170637791253329</v>
      </c>
      <c r="E32" s="306"/>
      <c r="F32" s="389">
        <f ca="1">F28*MHAssumptions!$B$79*MHAssumptions!$B$75/100000</f>
        <v>10.73772425582065</v>
      </c>
      <c r="G32" s="617">
        <f ca="1">G28*MHAssumptions!$B$79*MHAssumptions!$B$75/100000</f>
        <v>9.429152512652907</v>
      </c>
      <c r="H32" s="617">
        <f ca="1">H28*MHAssumptions!$B$79*MHAssumptions!$B$75/100000</f>
        <v>9.7941184378203001</v>
      </c>
      <c r="I32" s="618">
        <f ca="1">I28*MHAssumptions!$B$79*MHAssumptions!B75/100000</f>
        <v>9.813901376791808</v>
      </c>
      <c r="J32" s="618">
        <f ca="1">J28*MHAssumptions!$B$79*MHAssumptions!B75/100000</f>
        <v>8.9850294532411432</v>
      </c>
      <c r="K32" s="390">
        <f ca="1">K28*MHAssumptions!$B$79*MHAssumptions!B75/100000</f>
        <v>8.433353142750212</v>
      </c>
    </row>
    <row r="33" spans="1:11" ht="15.75" thickBot="1">
      <c r="A33" s="198">
        <v>31</v>
      </c>
      <c r="B33" s="368" t="s">
        <v>1083</v>
      </c>
      <c r="C33" s="391">
        <f ca="1">(C29*MHAssumptions!$B$75/100000)/MHAssumptions!$B$78</f>
        <v>4.430877614418649</v>
      </c>
      <c r="D33" s="391">
        <f ca="1">(D29*MHAssumptions!$B$75/100000)/MHAssumptions!$B$78</f>
        <v>4.0540751415264067</v>
      </c>
      <c r="E33" s="306"/>
      <c r="F33" s="392">
        <f ca="1">(F29*MHAssumptions!$B$75/100000)/MHAssumptions!$B$78</f>
        <v>4.1425281865825196</v>
      </c>
      <c r="G33" s="619">
        <f ca="1">(G29*MHAssumptions!$B$75/100000)/MHAssumptions!$B$78</f>
        <v>3.0170612129368792</v>
      </c>
      <c r="H33" s="619">
        <f ca="1">(H29*MHAssumptions!$B$75/100000)/MHAssumptions!$B$78</f>
        <v>3.3336714410480686</v>
      </c>
      <c r="I33" s="620">
        <f ca="1">(I29*MHAssumptions!B75/100000)/MHAssumptions!$B$78</f>
        <v>3.2001095482584874</v>
      </c>
      <c r="J33" s="620">
        <f ca="1">(J29*MHAssumptions!B75/100000)/MHAssumptions!$B$78</f>
        <v>2.7699485772654566</v>
      </c>
      <c r="K33" s="393">
        <f ca="1">(K29*MHAssumptions!B75/100000)/MHAssumptions!$B$78</f>
        <v>2.7077352574037339</v>
      </c>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dimension ref="A1:BQ197"/>
  <sheetViews>
    <sheetView topLeftCell="M1" zoomScale="80" zoomScaleNormal="80" workbookViewId="0">
      <selection activeCell="P18" sqref="P18"/>
    </sheetView>
  </sheetViews>
  <sheetFormatPr defaultColWidth="8.85546875" defaultRowHeight="12.75"/>
  <cols>
    <col min="1" max="6" width="8.85546875" style="9"/>
    <col min="7" max="7" width="34.85546875" style="9" customWidth="1"/>
    <col min="8" max="8" width="38.7109375" style="9" customWidth="1"/>
    <col min="9" max="9" width="26" style="9" customWidth="1"/>
    <col min="10" max="10" width="13" style="9" customWidth="1"/>
    <col min="11" max="11" width="12.7109375" style="9" customWidth="1"/>
    <col min="12" max="13" width="12.42578125" style="9" customWidth="1"/>
    <col min="14" max="14" width="13.7109375" style="9" customWidth="1"/>
    <col min="15" max="15" width="17.28515625" style="9" customWidth="1"/>
    <col min="16" max="22" width="12.42578125" style="9" customWidth="1"/>
    <col min="23" max="23" width="5.42578125" style="9" customWidth="1"/>
    <col min="24" max="24" width="13.85546875" style="9" customWidth="1"/>
    <col min="25" max="32" width="12.42578125" style="9" customWidth="1"/>
    <col min="33" max="33" width="6.42578125" style="9" customWidth="1"/>
    <col min="34" max="34" width="14" style="9" customWidth="1"/>
    <col min="35" max="43" width="12.140625" style="9" customWidth="1"/>
    <col min="44" max="44" width="100.28515625" style="9" bestFit="1" customWidth="1"/>
    <col min="45" max="45" width="15.85546875" style="9" customWidth="1"/>
    <col min="46" max="46" width="12.140625" style="9" customWidth="1"/>
    <col min="47" max="47" width="14.85546875" style="9" customWidth="1"/>
    <col min="48" max="52" width="12.140625" style="9" customWidth="1"/>
    <col min="53" max="53" width="110" style="9" customWidth="1"/>
    <col min="54" max="54" width="29" style="9" customWidth="1"/>
    <col min="55" max="58" width="8.85546875" style="9"/>
    <col min="59" max="59" width="11.5703125" style="9" customWidth="1"/>
    <col min="60" max="60" width="10.7109375" style="9" bestFit="1" customWidth="1"/>
    <col min="61" max="16384" width="8.85546875" style="9"/>
  </cols>
  <sheetData>
    <row r="1" spans="2:68" s="198" customFormat="1">
      <c r="B1" s="394">
        <v>2</v>
      </c>
      <c r="C1" s="395" t="s">
        <v>1084</v>
      </c>
      <c r="D1" s="396"/>
      <c r="E1" s="397"/>
      <c r="G1" s="398" t="s">
        <v>1085</v>
      </c>
      <c r="H1" s="398" t="s">
        <v>1086</v>
      </c>
      <c r="I1" s="201"/>
      <c r="J1" s="399" t="s">
        <v>1087</v>
      </c>
      <c r="K1" s="921" t="s">
        <v>1088</v>
      </c>
      <c r="L1" s="921"/>
      <c r="M1" s="921"/>
      <c r="N1" s="921"/>
      <c r="W1" s="318"/>
      <c r="AG1" s="318"/>
      <c r="AI1" s="399" t="s">
        <v>1089</v>
      </c>
      <c r="AJ1" s="399" t="s">
        <v>1090</v>
      </c>
      <c r="AK1" s="399" t="s">
        <v>1091</v>
      </c>
      <c r="AL1" s="399" t="s">
        <v>1092</v>
      </c>
      <c r="AQ1" s="400"/>
      <c r="AR1" s="400"/>
      <c r="AS1" s="400"/>
      <c r="AT1" s="400"/>
      <c r="AU1" s="400"/>
      <c r="AV1" s="400"/>
      <c r="AW1" s="400"/>
      <c r="AX1" s="400"/>
      <c r="AY1" s="400"/>
      <c r="AZ1" s="400"/>
    </row>
    <row r="2" spans="2:68" s="198" customFormat="1">
      <c r="B2" s="394">
        <v>6</v>
      </c>
      <c r="C2" s="401" t="s">
        <v>1355</v>
      </c>
      <c r="D2" s="402"/>
      <c r="E2" s="403"/>
      <c r="G2" s="404">
        <v>1</v>
      </c>
      <c r="H2" s="471" t="str">
        <f>'SFBaselines and Measures'!C3</f>
        <v>Current Practice Baseline Using 31% ENERGY STAR Penetration</v>
      </c>
      <c r="J2" s="742">
        <v>1</v>
      </c>
      <c r="K2" s="743" t="str">
        <f>'SFBaselines and Measures'!F3</f>
        <v>ENERGY STAR - Top-Load</v>
      </c>
      <c r="L2" s="744"/>
      <c r="M2" s="744"/>
      <c r="N2" s="745"/>
      <c r="O2" s="405" t="str">
        <f>K2</f>
        <v>ENERGY STAR - Top-Load</v>
      </c>
      <c r="W2" s="318"/>
      <c r="AG2" s="318"/>
      <c r="AI2" s="404">
        <v>1</v>
      </c>
      <c r="AJ2" s="406" t="s">
        <v>1093</v>
      </c>
      <c r="AK2" s="406" t="s">
        <v>177</v>
      </c>
      <c r="AL2" s="406" t="s">
        <v>182</v>
      </c>
      <c r="AQ2" s="400"/>
      <c r="AR2" s="400"/>
      <c r="AS2" s="400"/>
      <c r="AT2" s="400"/>
      <c r="AU2" s="400"/>
      <c r="AV2" s="400"/>
      <c r="AW2" s="400"/>
      <c r="AX2" s="400"/>
      <c r="AY2" s="400"/>
      <c r="AZ2" s="400"/>
    </row>
    <row r="3" spans="2:68" s="198" customFormat="1">
      <c r="B3" s="394">
        <v>5</v>
      </c>
      <c r="C3" s="407" t="s">
        <v>1094</v>
      </c>
      <c r="D3" s="408"/>
      <c r="E3" s="409"/>
      <c r="G3" s="404">
        <v>2</v>
      </c>
      <c r="H3" s="471" t="str">
        <f>'SFBaselines and Measures'!D3</f>
        <v>Current Practice Baseline Using 54% ENERGY STAR Penetration</v>
      </c>
      <c r="J3" s="742">
        <v>2</v>
      </c>
      <c r="K3" s="743" t="str">
        <f>'SFBaselines and Measures'!G3</f>
        <v>ENERGY STAR - Front-Load</v>
      </c>
      <c r="L3" s="744"/>
      <c r="M3" s="744"/>
      <c r="N3" s="745"/>
      <c r="O3" s="405" t="str">
        <f t="shared" ref="O3:O7" si="0">K3</f>
        <v>ENERGY STAR - Front-Load</v>
      </c>
      <c r="W3" s="318"/>
      <c r="AG3" s="318"/>
      <c r="AI3" s="404">
        <f>AI2+1</f>
        <v>2</v>
      </c>
      <c r="AJ3" s="406" t="s">
        <v>1095</v>
      </c>
      <c r="AK3" s="406" t="s">
        <v>177</v>
      </c>
      <c r="AL3" s="406" t="s">
        <v>183</v>
      </c>
      <c r="AQ3" s="400"/>
      <c r="AR3" s="400"/>
      <c r="AS3" s="400"/>
      <c r="AT3" s="400"/>
      <c r="AU3" s="400"/>
      <c r="AV3" s="400"/>
      <c r="AW3" s="400"/>
      <c r="AX3" s="400"/>
      <c r="AY3" s="400"/>
      <c r="AZ3" s="400"/>
    </row>
    <row r="4" spans="2:68" s="198" customFormat="1">
      <c r="J4" s="742">
        <v>3</v>
      </c>
      <c r="K4" s="743" t="str">
        <f>'SFBaselines and Measures'!H3</f>
        <v>Any ENERGY STAR (Top- or Front-Load)</v>
      </c>
      <c r="L4" s="744"/>
      <c r="M4" s="744"/>
      <c r="N4" s="745"/>
      <c r="O4" s="405" t="str">
        <f t="shared" si="0"/>
        <v>Any ENERGY STAR (Top- or Front-Load)</v>
      </c>
      <c r="W4" s="318"/>
      <c r="AG4" s="318"/>
      <c r="AI4" s="404">
        <f>AI3+1</f>
        <v>3</v>
      </c>
      <c r="AJ4" s="406" t="s">
        <v>1096</v>
      </c>
      <c r="AK4" s="406" t="s">
        <v>178</v>
      </c>
      <c r="AL4" s="394" t="str">
        <f>AL2</f>
        <v>Electric Dryer</v>
      </c>
      <c r="AQ4" s="400"/>
      <c r="AR4" s="400"/>
      <c r="AS4" s="400"/>
      <c r="AT4" s="400"/>
      <c r="AU4" s="400"/>
      <c r="AV4" s="400"/>
      <c r="AW4" s="400"/>
      <c r="AX4" s="400"/>
      <c r="AY4" s="400"/>
      <c r="AZ4" s="400"/>
    </row>
    <row r="5" spans="2:68" s="198" customFormat="1">
      <c r="B5" s="201"/>
      <c r="J5" s="742">
        <v>4</v>
      </c>
      <c r="K5" s="743" t="str">
        <f>'SFBaselines and Measures'!I3</f>
        <v>CEE Tier 1</v>
      </c>
      <c r="L5" s="744"/>
      <c r="M5" s="744"/>
      <c r="N5" s="745"/>
      <c r="O5" s="405" t="str">
        <f t="shared" si="0"/>
        <v>CEE Tier 1</v>
      </c>
      <c r="W5" s="318"/>
      <c r="AG5" s="318"/>
      <c r="AI5" s="404">
        <f>AI4+1</f>
        <v>4</v>
      </c>
      <c r="AJ5" s="406" t="s">
        <v>1097</v>
      </c>
      <c r="AK5" s="406" t="s">
        <v>178</v>
      </c>
      <c r="AL5" s="394" t="str">
        <f>AL3</f>
        <v>Gas Dryer</v>
      </c>
      <c r="AQ5" s="400"/>
      <c r="AR5" s="400"/>
      <c r="AS5" s="400"/>
      <c r="AT5" s="400"/>
      <c r="AU5" s="400"/>
      <c r="AV5" s="400"/>
      <c r="AW5" s="400"/>
      <c r="AX5" s="400"/>
      <c r="AY5" s="400"/>
      <c r="AZ5" s="400"/>
    </row>
    <row r="6" spans="2:68" s="198" customFormat="1">
      <c r="J6" s="742">
        <v>5</v>
      </c>
      <c r="K6" s="743" t="str">
        <f>'SFBaselines and Measures'!J3</f>
        <v>CEE Tier 2</v>
      </c>
      <c r="L6" s="744"/>
      <c r="M6" s="744"/>
      <c r="N6" s="745"/>
      <c r="O6" s="405" t="str">
        <f t="shared" si="0"/>
        <v>CEE Tier 2</v>
      </c>
      <c r="W6" s="318"/>
      <c r="AG6" s="318"/>
      <c r="AI6" s="404">
        <f>AI5+1</f>
        <v>5</v>
      </c>
      <c r="AJ6" s="406" t="s">
        <v>1098</v>
      </c>
      <c r="AK6" s="406" t="s">
        <v>179</v>
      </c>
      <c r="AL6" s="406" t="s">
        <v>185</v>
      </c>
      <c r="AQ6" s="400"/>
      <c r="AR6" s="400"/>
      <c r="AS6" s="400"/>
      <c r="AT6" s="400"/>
      <c r="AU6" s="400"/>
      <c r="AV6" s="400"/>
      <c r="AW6" s="400"/>
      <c r="AX6" s="400"/>
      <c r="AY6" s="400"/>
      <c r="AZ6" s="400"/>
    </row>
    <row r="7" spans="2:68" s="198" customFormat="1">
      <c r="J7" s="742">
        <v>6</v>
      </c>
      <c r="K7" s="743" t="str">
        <f>'SFBaselines and Measures'!K3</f>
        <v>CEE Tier 3</v>
      </c>
      <c r="L7" s="744"/>
      <c r="M7" s="744"/>
      <c r="N7" s="745"/>
      <c r="O7" s="405" t="str">
        <f t="shared" si="0"/>
        <v>CEE Tier 3</v>
      </c>
      <c r="W7" s="318"/>
      <c r="AG7" s="318"/>
      <c r="AQ7" s="400"/>
      <c r="AR7" s="400"/>
      <c r="AS7" s="400"/>
      <c r="AT7" s="400"/>
      <c r="AU7" s="400"/>
      <c r="AV7" s="400"/>
      <c r="AW7" s="400"/>
      <c r="AX7" s="400"/>
      <c r="AY7" s="400"/>
      <c r="AZ7" s="400"/>
    </row>
    <row r="8" spans="2:68" s="198" customFormat="1">
      <c r="W8" s="318"/>
      <c r="AG8" s="318"/>
      <c r="AQ8" s="400"/>
      <c r="AR8" s="400"/>
      <c r="AS8" s="400"/>
      <c r="AT8" s="400"/>
      <c r="AU8" s="400"/>
      <c r="AV8" s="400"/>
      <c r="AW8" s="400"/>
      <c r="AX8" s="400"/>
      <c r="AY8" s="400"/>
      <c r="AZ8" s="400"/>
    </row>
    <row r="9" spans="2:68" s="198" customFormat="1">
      <c r="J9" s="410"/>
      <c r="K9" s="411"/>
      <c r="L9" s="411"/>
      <c r="M9" s="411"/>
      <c r="N9" s="411"/>
      <c r="O9" s="412"/>
      <c r="W9" s="318"/>
      <c r="AG9" s="318"/>
      <c r="AQ9" s="400"/>
      <c r="AR9" s="400"/>
      <c r="AS9" s="400"/>
      <c r="AT9" s="400"/>
      <c r="AU9" s="400"/>
      <c r="AV9" s="400"/>
      <c r="AW9" s="400"/>
      <c r="AX9" s="400"/>
      <c r="AY9" s="400"/>
      <c r="AZ9" s="400"/>
    </row>
    <row r="10" spans="2:68" s="198" customFormat="1">
      <c r="J10" s="410"/>
      <c r="K10" s="318"/>
      <c r="L10" s="318"/>
      <c r="M10" s="318"/>
      <c r="N10" s="318"/>
      <c r="O10" s="318"/>
      <c r="W10" s="318"/>
      <c r="AG10" s="318"/>
      <c r="AQ10" s="400"/>
      <c r="AR10" s="400"/>
      <c r="AS10" s="400"/>
      <c r="AT10" s="400"/>
      <c r="AU10" s="400"/>
      <c r="AV10" s="400"/>
      <c r="AW10" s="400"/>
      <c r="AX10" s="400"/>
      <c r="AY10" s="400"/>
      <c r="AZ10" s="400"/>
    </row>
    <row r="11" spans="2:68" s="198" customFormat="1">
      <c r="W11" s="318"/>
      <c r="AG11" s="318"/>
      <c r="AQ11" s="400"/>
      <c r="AR11" s="400"/>
      <c r="AS11" s="400"/>
      <c r="AT11" s="400"/>
      <c r="AU11" s="400"/>
      <c r="AV11" s="400"/>
      <c r="AW11" s="400"/>
      <c r="AX11" s="400"/>
      <c r="AY11" s="400"/>
      <c r="AZ11" s="400"/>
    </row>
    <row r="12" spans="2:68" s="198" customFormat="1">
      <c r="W12" s="318"/>
      <c r="AG12" s="318"/>
      <c r="AQ12" s="400"/>
      <c r="AR12" s="400"/>
      <c r="AS12" s="400"/>
      <c r="AT12" s="400"/>
      <c r="AU12" s="400"/>
      <c r="AV12" s="400"/>
      <c r="AW12" s="400"/>
      <c r="AX12" s="400"/>
      <c r="AY12" s="400"/>
      <c r="AZ12" s="400"/>
    </row>
    <row r="13" spans="2:68" s="198" customFormat="1">
      <c r="W13" s="318"/>
      <c r="AG13" s="318"/>
      <c r="AQ13" s="400"/>
      <c r="AR13" s="400"/>
      <c r="AS13" s="400"/>
      <c r="AT13" s="400"/>
      <c r="AU13" s="400"/>
      <c r="AV13" s="400"/>
      <c r="AW13" s="400"/>
      <c r="AX13" s="400"/>
      <c r="AY13" s="400"/>
      <c r="AZ13" s="400"/>
    </row>
    <row r="14" spans="2:68" s="198" customFormat="1">
      <c r="W14" s="318"/>
      <c r="AG14" s="318"/>
      <c r="AQ14" s="400"/>
      <c r="AR14" s="400"/>
      <c r="AS14" s="400"/>
      <c r="AT14" s="400"/>
      <c r="AU14" s="400"/>
      <c r="AV14" s="400"/>
      <c r="AW14" s="400"/>
      <c r="AX14" s="400"/>
      <c r="AY14" s="400"/>
      <c r="AZ14" s="400"/>
    </row>
    <row r="15" spans="2:68" s="198" customFormat="1">
      <c r="N15" s="413" t="s">
        <v>1099</v>
      </c>
      <c r="O15" s="414"/>
      <c r="P15" s="414"/>
      <c r="Q15" s="414"/>
      <c r="R15" s="414"/>
      <c r="S15" s="414"/>
      <c r="T15" s="414"/>
      <c r="U15" s="414"/>
      <c r="V15" s="414"/>
      <c r="W15" s="318"/>
      <c r="X15" s="308" t="s">
        <v>1100</v>
      </c>
      <c r="Y15" s="309"/>
      <c r="Z15" s="309"/>
      <c r="AA15" s="309"/>
      <c r="AB15" s="309"/>
      <c r="AC15" s="309"/>
      <c r="AD15" s="309"/>
      <c r="AE15" s="309"/>
      <c r="AF15" s="309"/>
      <c r="AG15" s="318"/>
      <c r="AH15" s="415" t="s">
        <v>1101</v>
      </c>
      <c r="AI15" s="416"/>
      <c r="AJ15" s="416"/>
      <c r="AK15" s="416"/>
      <c r="AL15" s="416"/>
      <c r="AM15" s="416"/>
      <c r="AN15" s="416"/>
      <c r="AO15" s="416"/>
      <c r="AP15" s="416"/>
      <c r="AQ15" s="400"/>
      <c r="AR15" s="400"/>
      <c r="AS15" s="400"/>
      <c r="AT15" s="400"/>
      <c r="AU15" s="400"/>
      <c r="AV15" s="400"/>
      <c r="AW15" s="400"/>
      <c r="AX15" s="400"/>
      <c r="AY15" s="400"/>
      <c r="AZ15" s="400"/>
    </row>
    <row r="16" spans="2:68" s="198" customFormat="1">
      <c r="P16" s="922" t="s">
        <v>1076</v>
      </c>
      <c r="Q16" s="922"/>
      <c r="R16" s="922"/>
      <c r="S16" s="923" t="s">
        <v>1080</v>
      </c>
      <c r="T16" s="923"/>
      <c r="U16" s="923"/>
      <c r="V16" s="549"/>
      <c r="W16" s="417"/>
      <c r="Z16" s="924" t="s">
        <v>1076</v>
      </c>
      <c r="AA16" s="924"/>
      <c r="AB16" s="924"/>
      <c r="AC16" s="925" t="s">
        <v>1080</v>
      </c>
      <c r="AD16" s="925"/>
      <c r="AE16" s="925"/>
      <c r="AF16" s="550"/>
      <c r="AG16" s="417"/>
      <c r="AJ16" s="918" t="s">
        <v>1076</v>
      </c>
      <c r="AK16" s="918"/>
      <c r="AL16" s="918"/>
      <c r="AM16" s="918" t="s">
        <v>1080</v>
      </c>
      <c r="AN16" s="918"/>
      <c r="AO16" s="918"/>
      <c r="AP16" s="548"/>
      <c r="AQ16" s="400"/>
      <c r="AR16" s="400"/>
      <c r="AS16" s="400"/>
      <c r="AT16" s="418" t="s">
        <v>1102</v>
      </c>
      <c r="AU16" s="419"/>
      <c r="AV16" s="419"/>
      <c r="AW16" s="419"/>
      <c r="AX16" s="419"/>
      <c r="AY16" s="419"/>
      <c r="AZ16" s="400"/>
      <c r="BA16" s="420" t="s">
        <v>3</v>
      </c>
      <c r="BB16" s="421"/>
      <c r="BC16" s="421"/>
      <c r="BD16" s="421"/>
      <c r="BE16" s="421"/>
      <c r="BF16" s="421"/>
      <c r="BG16" s="422"/>
      <c r="BH16" s="423"/>
      <c r="BI16" s="894" t="s">
        <v>4</v>
      </c>
      <c r="BJ16" s="895"/>
      <c r="BK16" s="895"/>
      <c r="BL16" s="895"/>
      <c r="BM16" s="895"/>
      <c r="BN16" s="896"/>
      <c r="BO16" s="919" t="s">
        <v>5</v>
      </c>
      <c r="BP16" s="920"/>
    </row>
    <row r="17" spans="1:69" s="198" customFormat="1" ht="38.25">
      <c r="A17" s="424" t="s">
        <v>1103</v>
      </c>
      <c r="B17" s="424" t="s">
        <v>1104</v>
      </c>
      <c r="C17" s="424" t="s">
        <v>1105</v>
      </c>
      <c r="D17" s="424" t="s">
        <v>22</v>
      </c>
      <c r="E17" s="424" t="s">
        <v>1106</v>
      </c>
      <c r="F17" s="424"/>
      <c r="G17" s="424" t="s">
        <v>1086</v>
      </c>
      <c r="H17" s="424" t="s">
        <v>1088</v>
      </c>
      <c r="I17" s="424" t="s">
        <v>1090</v>
      </c>
      <c r="J17" s="424" t="s">
        <v>1107</v>
      </c>
      <c r="K17" s="424" t="s">
        <v>1108</v>
      </c>
      <c r="L17" s="425" t="s">
        <v>1109</v>
      </c>
      <c r="M17" s="426" t="s">
        <v>1110</v>
      </c>
      <c r="N17" s="426" t="s">
        <v>1111</v>
      </c>
      <c r="O17" s="426" t="s">
        <v>1112</v>
      </c>
      <c r="P17" s="426" t="s">
        <v>1077</v>
      </c>
      <c r="Q17" s="426" t="s">
        <v>1078</v>
      </c>
      <c r="R17" s="426" t="s">
        <v>1079</v>
      </c>
      <c r="S17" s="426" t="s">
        <v>1081</v>
      </c>
      <c r="T17" s="426" t="s">
        <v>1082</v>
      </c>
      <c r="U17" s="426" t="s">
        <v>1083</v>
      </c>
      <c r="V17" s="426" t="s">
        <v>1113</v>
      </c>
      <c r="W17" s="427"/>
      <c r="X17" s="426" t="str">
        <f t="shared" ref="X17:AE17" si="1">N17</f>
        <v>gallons/year</v>
      </c>
      <c r="Y17" s="426" t="str">
        <f t="shared" si="1"/>
        <v>cost $2006</v>
      </c>
      <c r="Z17" s="426" t="str">
        <f t="shared" si="1"/>
        <v>kWh machine</v>
      </c>
      <c r="AA17" s="426" t="str">
        <f t="shared" si="1"/>
        <v>kWh dryer</v>
      </c>
      <c r="AB17" s="426" t="str">
        <f t="shared" si="1"/>
        <v>kWh hot water</v>
      </c>
      <c r="AC17" s="426" t="str">
        <f t="shared" si="1"/>
        <v>therms machine</v>
      </c>
      <c r="AD17" s="426" t="str">
        <f t="shared" si="1"/>
        <v>therms dryer</v>
      </c>
      <c r="AE17" s="426" t="str">
        <f t="shared" si="1"/>
        <v>therms hot water</v>
      </c>
      <c r="AF17" s="426" t="s">
        <v>1113</v>
      </c>
      <c r="AG17" s="427"/>
      <c r="AH17" s="426" t="str">
        <f t="shared" ref="AH17:AO17" si="2">X17</f>
        <v>gallons/year</v>
      </c>
      <c r="AI17" s="426" t="str">
        <f t="shared" si="2"/>
        <v>cost $2006</v>
      </c>
      <c r="AJ17" s="426" t="str">
        <f t="shared" si="2"/>
        <v>kWh machine</v>
      </c>
      <c r="AK17" s="426" t="str">
        <f t="shared" si="2"/>
        <v>kWh dryer</v>
      </c>
      <c r="AL17" s="426" t="str">
        <f t="shared" si="2"/>
        <v>kWh hot water</v>
      </c>
      <c r="AM17" s="426" t="str">
        <f t="shared" si="2"/>
        <v>therms machine</v>
      </c>
      <c r="AN17" s="426" t="str">
        <f t="shared" si="2"/>
        <v>therms dryer</v>
      </c>
      <c r="AO17" s="426" t="str">
        <f t="shared" si="2"/>
        <v>therms hot water</v>
      </c>
      <c r="AP17" s="426" t="s">
        <v>1113</v>
      </c>
      <c r="AQ17" s="400"/>
      <c r="AR17" s="428" t="s">
        <v>7</v>
      </c>
      <c r="AS17" s="428" t="s">
        <v>1114</v>
      </c>
      <c r="AT17" s="429" t="s">
        <v>1115</v>
      </c>
      <c r="AU17" s="429" t="s">
        <v>1116</v>
      </c>
      <c r="AV17" s="429" t="s">
        <v>1117</v>
      </c>
      <c r="AW17" s="429" t="s">
        <v>1118</v>
      </c>
      <c r="AX17" s="428" t="s">
        <v>1119</v>
      </c>
      <c r="AY17" s="428" t="s">
        <v>1120</v>
      </c>
      <c r="AZ17" s="430"/>
      <c r="BA17" s="23" t="s">
        <v>6</v>
      </c>
      <c r="BB17" s="23" t="s">
        <v>7</v>
      </c>
      <c r="BC17" s="23" t="s">
        <v>8</v>
      </c>
      <c r="BD17" s="23" t="s">
        <v>9</v>
      </c>
      <c r="BE17" s="23" t="s">
        <v>10</v>
      </c>
      <c r="BF17" s="23" t="s">
        <v>11</v>
      </c>
      <c r="BG17" s="23" t="s">
        <v>12</v>
      </c>
      <c r="BH17" s="23" t="s">
        <v>13</v>
      </c>
      <c r="BI17" s="23" t="s">
        <v>14</v>
      </c>
      <c r="BJ17" s="23" t="s">
        <v>15</v>
      </c>
      <c r="BK17" s="23" t="s">
        <v>16</v>
      </c>
      <c r="BL17" s="23" t="s">
        <v>17</v>
      </c>
      <c r="BM17" s="23" t="s">
        <v>18</v>
      </c>
      <c r="BN17" s="23" t="s">
        <v>19</v>
      </c>
      <c r="BO17" s="431" t="s">
        <v>20</v>
      </c>
      <c r="BP17" s="23" t="s">
        <v>12</v>
      </c>
    </row>
    <row r="18" spans="1:69" s="414" customFormat="1">
      <c r="A18" s="432">
        <v>1</v>
      </c>
      <c r="B18" s="433">
        <f t="shared" ref="B18:B153" si="3">CEILING(A18/($B$2*$B$3),1)</f>
        <v>1</v>
      </c>
      <c r="C18" s="433">
        <f t="shared" ref="C18:C153" si="4">CEILING(A18-(B18-1)*$B$2*$B$3,1)</f>
        <v>1</v>
      </c>
      <c r="D18" s="433">
        <f t="shared" ref="D18:D153" si="5">CEILING(C18/$B$3,1)</f>
        <v>1</v>
      </c>
      <c r="E18" s="433">
        <f t="shared" ref="E18:E153" si="6">C18-((D18-1)*$B$3)</f>
        <v>1</v>
      </c>
      <c r="F18" s="433"/>
      <c r="G18" s="433" t="str">
        <f>VLOOKUP(B18,$G$2:$H$13,2,FALSE)</f>
        <v>Current Practice Baseline Using 31% ENERGY STAR Penetration</v>
      </c>
      <c r="H18" s="433" t="str">
        <f>VLOOKUP(D18,$J$2:$O$12,6,FALSE)</f>
        <v>ENERGY STAR - Top-Load</v>
      </c>
      <c r="I18" s="433" t="str">
        <f t="shared" ref="I18:I153" si="7">VLOOKUP($E18,$AI$2:$AL$12,2,FALSE)</f>
        <v>Electric DHW, Electric Dryer</v>
      </c>
      <c r="J18" s="433" t="str">
        <f t="shared" ref="J18:J153" si="8">VLOOKUP($E18,$AI$2:$AL$12,3,FALSE)</f>
        <v>Electric DHW</v>
      </c>
      <c r="K18" s="433" t="str">
        <f t="shared" ref="K18:K153" si="9">VLOOKUP($E18,$AI$2:$AL$12,4,FALSE)</f>
        <v>Electric Dryer</v>
      </c>
      <c r="L18" s="434">
        <f>VLOOKUP(J18,SFAssumptions!$A$14:$B$16,2,FALSE)</f>
        <v>1</v>
      </c>
      <c r="M18" s="435">
        <f>VLOOKUP(K18,SFAssumptions!$A$18:$B$20,2,FALSE)</f>
        <v>1</v>
      </c>
      <c r="N18" s="436">
        <f ca="1">HLOOKUP($G18,'SFBaselines and Measures'!$C$3:$V$33,7,FALSE)</f>
        <v>4047.8861059902265</v>
      </c>
      <c r="O18" s="437">
        <f ca="1">HLOOKUP($G18,'SFBaselines and Measures'!$C$3:$V$33,8,FALSE)</f>
        <v>776.31603614450796</v>
      </c>
      <c r="P18" s="439">
        <f ca="1">HLOOKUP($G18,'SFBaselines and Measures'!$C$3:$V$33,25,FALSE)</f>
        <v>54.214158734717515</v>
      </c>
      <c r="Q18" s="438"/>
      <c r="R18" s="438">
        <f ca="1">HLOOKUP($G18,'SFBaselines and Measures'!$C$3:$V$33,27,FALSE)</f>
        <v>90.204360816304174</v>
      </c>
      <c r="S18" s="439">
        <f>HLOOKUP($G18,'SFBaselines and Measures'!$C$3:$V$33,29,FALSE)</f>
        <v>0</v>
      </c>
      <c r="T18" s="439"/>
      <c r="U18" s="439">
        <f ca="1">HLOOKUP($G18,'SFBaselines and Measures'!$C$3:$V$33,31,FALSE)</f>
        <v>4.1048997795472824</v>
      </c>
      <c r="V18" s="440">
        <f ca="1">HLOOKUP($G18,'SFBaselines and Measures'!$C$3:$V$33,9,FALSE)</f>
        <v>47.558261685804517</v>
      </c>
      <c r="W18" s="441"/>
      <c r="X18" s="436">
        <f ca="1">HLOOKUP($H18,'SFBaselines and Measures'!$C$2:$V$33,8,FALSE)</f>
        <v>3967.88847049284</v>
      </c>
      <c r="Y18" s="437">
        <f ca="1">HLOOKUP($H18,'SFBaselines and Measures'!$C$2:$V$33,9,FALSE)</f>
        <v>754.7360149776722</v>
      </c>
      <c r="Z18" s="438">
        <f ca="1">HLOOKUP($H18,'SFBaselines and Measures'!$C$2:$V$33,26,FALSE)</f>
        <v>51.72825296727148</v>
      </c>
      <c r="AA18" s="438"/>
      <c r="AB18" s="438">
        <f ca="1">HLOOKUP($H18,'SFBaselines and Measures'!$C$2:$V$33,28,FALSE)</f>
        <v>84.367230649540986</v>
      </c>
      <c r="AC18" s="439">
        <f>HLOOKUP($H18,'SFBaselines and Measures'!$C$2:$V$33,30,FALSE)</f>
        <v>0</v>
      </c>
      <c r="AD18" s="439"/>
      <c r="AE18" s="439">
        <f ca="1">HLOOKUP($H18,'SFBaselines and Measures'!$C$2:$V$33,32,FALSE)</f>
        <v>3.8392714427584451</v>
      </c>
      <c r="AF18" s="440">
        <f ca="1">HLOOKUP($H18,'SFBaselines and Measures'!$C$2:$V$33,10,FALSE)</f>
        <v>46.61837642628597</v>
      </c>
      <c r="AG18" s="441"/>
      <c r="AH18" s="436">
        <f ca="1">N18-X18</f>
        <v>79.997635497386455</v>
      </c>
      <c r="AI18" s="437">
        <f ca="1">Y18-O18</f>
        <v>-21.580021166835763</v>
      </c>
      <c r="AJ18" s="438">
        <f ca="1">P18-Z18</f>
        <v>2.4859057674460345</v>
      </c>
      <c r="AK18" s="438"/>
      <c r="AL18" s="438">
        <f t="shared" ref="AL18:AM33" ca="1" si="10">R18-AB18</f>
        <v>5.8371301667631883</v>
      </c>
      <c r="AM18" s="439">
        <f t="shared" si="10"/>
        <v>0</v>
      </c>
      <c r="AN18" s="439"/>
      <c r="AO18" s="439">
        <f ca="1">U18-AE18</f>
        <v>0.26562833678883724</v>
      </c>
      <c r="AP18" s="442">
        <f ca="1">V18-AF18</f>
        <v>0.9398852595185474</v>
      </c>
      <c r="AQ18" s="443"/>
      <c r="AR18" s="435" t="str">
        <f>BA18</f>
        <v>ENERGY STAR - Top-Load Clothes Washer - Electric DHW, Electric Dryer - 31% ENERGY STAR Baseline</v>
      </c>
      <c r="AS18" s="437">
        <f ca="1">BE18</f>
        <v>-21.580021166835763</v>
      </c>
      <c r="AT18" s="438">
        <f ca="1">AJ18+AL18*L18+AK18*M18</f>
        <v>8.3230359342092228</v>
      </c>
      <c r="AU18" s="439">
        <f ca="1">AO18*(1-L18)+AN18*(1-M18)</f>
        <v>0</v>
      </c>
      <c r="AV18" s="439">
        <f ca="1">AH18</f>
        <v>79.997635497386455</v>
      </c>
      <c r="AW18" s="439"/>
      <c r="AX18" s="438">
        <f t="shared" ref="AX18:AX77" ca="1" si="11">AT18+BC138</f>
        <v>8.6177587782060652</v>
      </c>
      <c r="AY18" s="438">
        <f ca="1">AP18</f>
        <v>0.9398852595185474</v>
      </c>
      <c r="AZ18" s="443"/>
      <c r="BA18" s="433" t="str">
        <f>CONCATENATE(H18," Clothes Washer - ",I18," - 31% ENERGY STAR Baseline")</f>
        <v>ENERGY STAR - Top-Load Clothes Washer - Electric DHW, Electric Dryer - 31% ENERGY STAR Baseline</v>
      </c>
      <c r="BB18" s="433" t="s">
        <v>25</v>
      </c>
      <c r="BC18" s="438">
        <f ca="1">AT18</f>
        <v>8.3230359342092228</v>
      </c>
      <c r="BD18" s="438">
        <f>SFAssumptions!$C$7</f>
        <v>14</v>
      </c>
      <c r="BE18" s="444">
        <f ca="1">AI18</f>
        <v>-21.580021166835763</v>
      </c>
      <c r="BF18" s="433"/>
      <c r="BG18" s="432" t="s">
        <v>157</v>
      </c>
      <c r="BH18" s="445">
        <f ca="1">AY18</f>
        <v>0.9398852595185474</v>
      </c>
      <c r="BI18" s="433"/>
      <c r="BJ18" s="433"/>
      <c r="BK18" s="433"/>
      <c r="BL18" s="433"/>
      <c r="BM18" s="433"/>
      <c r="BN18" s="433"/>
      <c r="BO18" s="446">
        <f ca="1">AU18</f>
        <v>0</v>
      </c>
      <c r="BP18" s="433" t="s">
        <v>158</v>
      </c>
    </row>
    <row r="19" spans="1:69" s="414" customFormat="1">
      <c r="A19" s="433">
        <f>A18+1</f>
        <v>2</v>
      </c>
      <c r="B19" s="433">
        <f t="shared" si="3"/>
        <v>1</v>
      </c>
      <c r="C19" s="433">
        <f t="shared" si="4"/>
        <v>2</v>
      </c>
      <c r="D19" s="433">
        <f t="shared" si="5"/>
        <v>1</v>
      </c>
      <c r="E19" s="433">
        <f t="shared" si="6"/>
        <v>2</v>
      </c>
      <c r="F19" s="433"/>
      <c r="G19" s="433" t="str">
        <f t="shared" ref="G19:G152" si="12">VLOOKUP(B19,$G$2:$H$13,2,FALSE)</f>
        <v>Current Practice Baseline Using 31% ENERGY STAR Penetration</v>
      </c>
      <c r="H19" s="433" t="str">
        <f t="shared" ref="H19:H82" si="13">VLOOKUP(D19,$J$2:$O$12,6,FALSE)</f>
        <v>ENERGY STAR - Top-Load</v>
      </c>
      <c r="I19" s="433" t="str">
        <f t="shared" si="7"/>
        <v>Electric DHW, Gas Dryer</v>
      </c>
      <c r="J19" s="433" t="str">
        <f t="shared" si="8"/>
        <v>Electric DHW</v>
      </c>
      <c r="K19" s="433" t="str">
        <f t="shared" si="9"/>
        <v>Gas Dryer</v>
      </c>
      <c r="L19" s="434">
        <f>VLOOKUP(J19,SFAssumptions!$A$14:$B$16,2,FALSE)</f>
        <v>1</v>
      </c>
      <c r="M19" s="435">
        <f>VLOOKUP(K19,SFAssumptions!$A$18:$B$20,2,FALSE)</f>
        <v>0</v>
      </c>
      <c r="N19" s="436">
        <f ca="1">HLOOKUP($G19,'SFBaselines and Measures'!$C$3:$V$33,7,FALSE)</f>
        <v>4047.8861059902265</v>
      </c>
      <c r="O19" s="437">
        <f ca="1">HLOOKUP($G19,'SFBaselines and Measures'!$C$3:$V$33,8,FALSE)</f>
        <v>776.31603614450796</v>
      </c>
      <c r="P19" s="438">
        <f ca="1">HLOOKUP($G19,'SFBaselines and Measures'!$C$3:$V$33,25,FALSE)</f>
        <v>54.214158734717515</v>
      </c>
      <c r="Q19" s="438"/>
      <c r="R19" s="438">
        <f ca="1">HLOOKUP($G19,'SFBaselines and Measures'!$C$3:$V$33,27,FALSE)</f>
        <v>90.204360816304174</v>
      </c>
      <c r="S19" s="439">
        <f>HLOOKUP($G19,'SFBaselines and Measures'!$C$3:$V$33,29,FALSE)</f>
        <v>0</v>
      </c>
      <c r="T19" s="439"/>
      <c r="U19" s="439">
        <f ca="1">HLOOKUP($G19,'SFBaselines and Measures'!$C$3:$V$33,31,FALSE)</f>
        <v>4.1048997795472824</v>
      </c>
      <c r="V19" s="440">
        <f ca="1">HLOOKUP($G19,'SFBaselines and Measures'!$C$3:$V$33,9,FALSE)</f>
        <v>47.558261685804517</v>
      </c>
      <c r="W19" s="441"/>
      <c r="X19" s="436">
        <f ca="1">HLOOKUP($H19,'SFBaselines and Measures'!$C$2:$V$33,8,FALSE)</f>
        <v>3967.88847049284</v>
      </c>
      <c r="Y19" s="437">
        <f ca="1">HLOOKUP($H19,'SFBaselines and Measures'!$C$2:$V$33,9,FALSE)</f>
        <v>754.7360149776722</v>
      </c>
      <c r="Z19" s="438">
        <f ca="1">HLOOKUP($H19,'SFBaselines and Measures'!$C$2:$V$33,26,FALSE)</f>
        <v>51.72825296727148</v>
      </c>
      <c r="AA19" s="438"/>
      <c r="AB19" s="438">
        <f ca="1">HLOOKUP($H19,'SFBaselines and Measures'!$C$2:$V$33,28,FALSE)</f>
        <v>84.367230649540986</v>
      </c>
      <c r="AC19" s="439">
        <f>HLOOKUP($H19,'SFBaselines and Measures'!$C$2:$V$33,30,FALSE)</f>
        <v>0</v>
      </c>
      <c r="AD19" s="439"/>
      <c r="AE19" s="439">
        <f ca="1">HLOOKUP($H19,'SFBaselines and Measures'!$C$2:$V$33,32,FALSE)</f>
        <v>3.8392714427584451</v>
      </c>
      <c r="AF19" s="440">
        <f ca="1">HLOOKUP($H19,'SFBaselines and Measures'!$C$2:$V$33,10,FALSE)</f>
        <v>46.61837642628597</v>
      </c>
      <c r="AG19" s="441"/>
      <c r="AH19" s="436">
        <f t="shared" ref="AH19:AH77" ca="1" si="14">N19-X19</f>
        <v>79.997635497386455</v>
      </c>
      <c r="AI19" s="437">
        <f t="shared" ref="AI19:AI77" ca="1" si="15">Y19-O19</f>
        <v>-21.580021166835763</v>
      </c>
      <c r="AJ19" s="438">
        <f t="shared" ref="AJ19:AJ77" ca="1" si="16">P19-Z19</f>
        <v>2.4859057674460345</v>
      </c>
      <c r="AK19" s="438"/>
      <c r="AL19" s="438">
        <f t="shared" ca="1" si="10"/>
        <v>5.8371301667631883</v>
      </c>
      <c r="AM19" s="439">
        <f t="shared" si="10"/>
        <v>0</v>
      </c>
      <c r="AN19" s="439"/>
      <c r="AO19" s="439">
        <f t="shared" ref="AO19:AP34" ca="1" si="17">U19-AE19</f>
        <v>0.26562833678883724</v>
      </c>
      <c r="AP19" s="442">
        <f t="shared" ca="1" si="17"/>
        <v>0.9398852595185474</v>
      </c>
      <c r="AQ19" s="443"/>
      <c r="AR19" s="435" t="str">
        <f t="shared" ref="AR19:AR82" si="18">BA19</f>
        <v>ENERGY STAR - Top-Load Clothes Washer - Electric DHW, Gas Dryer - 31% ENERGY STAR Baseline</v>
      </c>
      <c r="AS19" s="437">
        <f t="shared" ref="AS19:AS82" ca="1" si="19">BE19</f>
        <v>-21.580021166835763</v>
      </c>
      <c r="AT19" s="438">
        <f t="shared" ref="AT19:AT82" ca="1" si="20">AJ19+AL19*L19+AK19*M19</f>
        <v>8.3230359342092228</v>
      </c>
      <c r="AU19" s="439">
        <f t="shared" ref="AU19:AU82" ca="1" si="21">AO19*(1-L19)+AN19*(1-M19)</f>
        <v>0</v>
      </c>
      <c r="AV19" s="439">
        <f t="shared" ref="AV19:AV82" ca="1" si="22">AH19</f>
        <v>79.997635497386455</v>
      </c>
      <c r="AW19" s="439"/>
      <c r="AX19" s="438">
        <f t="shared" ca="1" si="11"/>
        <v>8.6177587782060652</v>
      </c>
      <c r="AY19" s="438">
        <f t="shared" ref="AY19:AY77" ca="1" si="23">AP19</f>
        <v>0.9398852595185474</v>
      </c>
      <c r="AZ19" s="443"/>
      <c r="BA19" s="433" t="str">
        <f t="shared" ref="BA19:BA47" si="24">CONCATENATE(H19," Clothes Washer - ",I19," - 31% ENERGY STAR Baseline")</f>
        <v>ENERGY STAR - Top-Load Clothes Washer - Electric DHW, Gas Dryer - 31% ENERGY STAR Baseline</v>
      </c>
      <c r="BB19" s="433" t="s">
        <v>25</v>
      </c>
      <c r="BC19" s="438">
        <f t="shared" ref="BC19:BC82" ca="1" si="25">AT19</f>
        <v>8.3230359342092228</v>
      </c>
      <c r="BD19" s="438">
        <f>SFAssumptions!$C$7</f>
        <v>14</v>
      </c>
      <c r="BE19" s="444">
        <f t="shared" ref="BE19:BE82" ca="1" si="26">AI19</f>
        <v>-21.580021166835763</v>
      </c>
      <c r="BF19" s="433"/>
      <c r="BG19" s="432" t="s">
        <v>157</v>
      </c>
      <c r="BH19" s="445">
        <f t="shared" ref="BH19:BH77" ca="1" si="27">AY19</f>
        <v>0.9398852595185474</v>
      </c>
      <c r="BI19" s="433"/>
      <c r="BJ19" s="433"/>
      <c r="BK19" s="433"/>
      <c r="BL19" s="433"/>
      <c r="BM19" s="433"/>
      <c r="BN19" s="433"/>
      <c r="BO19" s="446">
        <f t="shared" ref="BO19:BO82" ca="1" si="28">AU19</f>
        <v>0</v>
      </c>
      <c r="BP19" s="433" t="s">
        <v>158</v>
      </c>
    </row>
    <row r="20" spans="1:69" s="414" customFormat="1">
      <c r="A20" s="433">
        <f t="shared" ref="A20:A77" si="29">A19+1</f>
        <v>3</v>
      </c>
      <c r="B20" s="433">
        <f t="shared" si="3"/>
        <v>1</v>
      </c>
      <c r="C20" s="433">
        <f t="shared" si="4"/>
        <v>3</v>
      </c>
      <c r="D20" s="433">
        <f t="shared" si="5"/>
        <v>1</v>
      </c>
      <c r="E20" s="433">
        <f t="shared" si="6"/>
        <v>3</v>
      </c>
      <c r="F20" s="433"/>
      <c r="G20" s="433" t="str">
        <f t="shared" si="12"/>
        <v>Current Practice Baseline Using 31% ENERGY STAR Penetration</v>
      </c>
      <c r="H20" s="433" t="str">
        <f t="shared" si="13"/>
        <v>ENERGY STAR - Top-Load</v>
      </c>
      <c r="I20" s="433" t="str">
        <f t="shared" si="7"/>
        <v>Gas DHW, Electric Dryer</v>
      </c>
      <c r="J20" s="433" t="str">
        <f t="shared" si="8"/>
        <v>Gas DHW</v>
      </c>
      <c r="K20" s="433" t="str">
        <f t="shared" si="9"/>
        <v>Electric Dryer</v>
      </c>
      <c r="L20" s="434">
        <f>VLOOKUP(J20,SFAssumptions!$A$14:$B$16,2,FALSE)</f>
        <v>0</v>
      </c>
      <c r="M20" s="435">
        <f>VLOOKUP(K20,SFAssumptions!$A$18:$B$20,2,FALSE)</f>
        <v>1</v>
      </c>
      <c r="N20" s="436">
        <f ca="1">HLOOKUP($G20,'SFBaselines and Measures'!$C$3:$V$33,7,FALSE)</f>
        <v>4047.8861059902265</v>
      </c>
      <c r="O20" s="437">
        <f ca="1">HLOOKUP($G20,'SFBaselines and Measures'!$C$3:$V$33,8,FALSE)</f>
        <v>776.31603614450796</v>
      </c>
      <c r="P20" s="438">
        <f ca="1">HLOOKUP($G20,'SFBaselines and Measures'!$C$3:$V$33,25,FALSE)</f>
        <v>54.214158734717515</v>
      </c>
      <c r="Q20" s="438"/>
      <c r="R20" s="438">
        <f ca="1">HLOOKUP($G20,'SFBaselines and Measures'!$C$3:$V$33,27,FALSE)</f>
        <v>90.204360816304174</v>
      </c>
      <c r="S20" s="439">
        <f>HLOOKUP($G20,'SFBaselines and Measures'!$C$3:$V$33,29,FALSE)</f>
        <v>0</v>
      </c>
      <c r="T20" s="439"/>
      <c r="U20" s="439">
        <f ca="1">HLOOKUP($G20,'SFBaselines and Measures'!$C$3:$V$33,31,FALSE)</f>
        <v>4.1048997795472824</v>
      </c>
      <c r="V20" s="440">
        <f ca="1">HLOOKUP($G20,'SFBaselines and Measures'!$C$3:$V$33,9,FALSE)</f>
        <v>47.558261685804517</v>
      </c>
      <c r="W20" s="441"/>
      <c r="X20" s="436">
        <f ca="1">HLOOKUP($H20,'SFBaselines and Measures'!$C$2:$V$33,8,FALSE)</f>
        <v>3967.88847049284</v>
      </c>
      <c r="Y20" s="437">
        <f ca="1">HLOOKUP($H20,'SFBaselines and Measures'!$C$2:$V$33,9,FALSE)</f>
        <v>754.7360149776722</v>
      </c>
      <c r="Z20" s="438">
        <f ca="1">HLOOKUP($H20,'SFBaselines and Measures'!$C$2:$V$33,26,FALSE)</f>
        <v>51.72825296727148</v>
      </c>
      <c r="AA20" s="438"/>
      <c r="AB20" s="438">
        <f ca="1">HLOOKUP($H20,'SFBaselines and Measures'!$C$2:$V$33,28,FALSE)</f>
        <v>84.367230649540986</v>
      </c>
      <c r="AC20" s="439">
        <f>HLOOKUP($H20,'SFBaselines and Measures'!$C$2:$V$33,30,FALSE)</f>
        <v>0</v>
      </c>
      <c r="AD20" s="439"/>
      <c r="AE20" s="439">
        <f ca="1">HLOOKUP($H20,'SFBaselines and Measures'!$C$2:$V$33,32,FALSE)</f>
        <v>3.8392714427584451</v>
      </c>
      <c r="AF20" s="440">
        <f ca="1">HLOOKUP($H20,'SFBaselines and Measures'!$C$2:$V$33,10,FALSE)</f>
        <v>46.61837642628597</v>
      </c>
      <c r="AG20" s="441"/>
      <c r="AH20" s="436">
        <f t="shared" ca="1" si="14"/>
        <v>79.997635497386455</v>
      </c>
      <c r="AI20" s="437">
        <f t="shared" ca="1" si="15"/>
        <v>-21.580021166835763</v>
      </c>
      <c r="AJ20" s="438">
        <f t="shared" ca="1" si="16"/>
        <v>2.4859057674460345</v>
      </c>
      <c r="AK20" s="438"/>
      <c r="AL20" s="438">
        <f t="shared" ca="1" si="10"/>
        <v>5.8371301667631883</v>
      </c>
      <c r="AM20" s="439">
        <f t="shared" si="10"/>
        <v>0</v>
      </c>
      <c r="AN20" s="439"/>
      <c r="AO20" s="439">
        <f t="shared" ca="1" si="17"/>
        <v>0.26562833678883724</v>
      </c>
      <c r="AP20" s="442">
        <f t="shared" ca="1" si="17"/>
        <v>0.9398852595185474</v>
      </c>
      <c r="AQ20" s="443"/>
      <c r="AR20" s="435" t="str">
        <f t="shared" si="18"/>
        <v>ENERGY STAR - Top-Load Clothes Washer - Gas DHW, Electric Dryer - 31% ENERGY STAR Baseline</v>
      </c>
      <c r="AS20" s="437">
        <f t="shared" ca="1" si="19"/>
        <v>-21.580021166835763</v>
      </c>
      <c r="AT20" s="438">
        <f t="shared" ca="1" si="20"/>
        <v>2.4859057674460345</v>
      </c>
      <c r="AU20" s="439">
        <f t="shared" ca="1" si="21"/>
        <v>0.26562833678883724</v>
      </c>
      <c r="AV20" s="439">
        <f t="shared" ca="1" si="22"/>
        <v>79.997635497386455</v>
      </c>
      <c r="AW20" s="439"/>
      <c r="AX20" s="438">
        <f t="shared" ca="1" si="11"/>
        <v>2.7806286114428769</v>
      </c>
      <c r="AY20" s="438">
        <f t="shared" ca="1" si="23"/>
        <v>0.9398852595185474</v>
      </c>
      <c r="AZ20" s="443"/>
      <c r="BA20" s="433" t="str">
        <f t="shared" si="24"/>
        <v>ENERGY STAR - Top-Load Clothes Washer - Gas DHW, Electric Dryer - 31% ENERGY STAR Baseline</v>
      </c>
      <c r="BB20" s="433" t="s">
        <v>25</v>
      </c>
      <c r="BC20" s="438">
        <f t="shared" ca="1" si="25"/>
        <v>2.4859057674460345</v>
      </c>
      <c r="BD20" s="438">
        <f>SFAssumptions!$C$7</f>
        <v>14</v>
      </c>
      <c r="BE20" s="444">
        <f t="shared" ca="1" si="26"/>
        <v>-21.580021166835763</v>
      </c>
      <c r="BF20" s="433"/>
      <c r="BG20" s="432" t="s">
        <v>157</v>
      </c>
      <c r="BH20" s="445">
        <f t="shared" ca="1" si="27"/>
        <v>0.9398852595185474</v>
      </c>
      <c r="BI20" s="433"/>
      <c r="BJ20" s="433"/>
      <c r="BK20" s="433"/>
      <c r="BL20" s="433"/>
      <c r="BM20" s="433"/>
      <c r="BN20" s="433"/>
      <c r="BO20" s="446">
        <f t="shared" ca="1" si="28"/>
        <v>0.26562833678883724</v>
      </c>
      <c r="BP20" s="433" t="s">
        <v>158</v>
      </c>
    </row>
    <row r="21" spans="1:69" s="414" customFormat="1">
      <c r="A21" s="433">
        <f t="shared" si="29"/>
        <v>4</v>
      </c>
      <c r="B21" s="433">
        <f t="shared" si="3"/>
        <v>1</v>
      </c>
      <c r="C21" s="433">
        <f t="shared" si="4"/>
        <v>4</v>
      </c>
      <c r="D21" s="433">
        <f t="shared" si="5"/>
        <v>1</v>
      </c>
      <c r="E21" s="433">
        <f t="shared" si="6"/>
        <v>4</v>
      </c>
      <c r="F21" s="433"/>
      <c r="G21" s="433" t="str">
        <f t="shared" si="12"/>
        <v>Current Practice Baseline Using 31% ENERGY STAR Penetration</v>
      </c>
      <c r="H21" s="433" t="str">
        <f t="shared" si="13"/>
        <v>ENERGY STAR - Top-Load</v>
      </c>
      <c r="I21" s="433" t="str">
        <f t="shared" si="7"/>
        <v>Gas DHW, Gas Dryer</v>
      </c>
      <c r="J21" s="433" t="str">
        <f t="shared" si="8"/>
        <v>Gas DHW</v>
      </c>
      <c r="K21" s="433" t="str">
        <f t="shared" si="9"/>
        <v>Gas Dryer</v>
      </c>
      <c r="L21" s="434">
        <f>VLOOKUP(J21,SFAssumptions!$A$14:$B$16,2,FALSE)</f>
        <v>0</v>
      </c>
      <c r="M21" s="435">
        <f>VLOOKUP(K21,SFAssumptions!$A$18:$B$20,2,FALSE)</f>
        <v>0</v>
      </c>
      <c r="N21" s="436">
        <f ca="1">HLOOKUP($G21,'SFBaselines and Measures'!$C$3:$V$33,7,FALSE)</f>
        <v>4047.8861059902265</v>
      </c>
      <c r="O21" s="437">
        <f ca="1">HLOOKUP($G21,'SFBaselines and Measures'!$C$3:$V$33,8,FALSE)</f>
        <v>776.31603614450796</v>
      </c>
      <c r="P21" s="438">
        <f ca="1">HLOOKUP($G21,'SFBaselines and Measures'!$C$3:$V$33,25,FALSE)</f>
        <v>54.214158734717515</v>
      </c>
      <c r="Q21" s="438"/>
      <c r="R21" s="438">
        <f ca="1">HLOOKUP($G21,'SFBaselines and Measures'!$C$3:$V$33,27,FALSE)</f>
        <v>90.204360816304174</v>
      </c>
      <c r="S21" s="439">
        <f>HLOOKUP($G21,'SFBaselines and Measures'!$C$3:$V$33,29,FALSE)</f>
        <v>0</v>
      </c>
      <c r="T21" s="439"/>
      <c r="U21" s="439">
        <f ca="1">HLOOKUP($G21,'SFBaselines and Measures'!$C$3:$V$33,31,FALSE)</f>
        <v>4.1048997795472824</v>
      </c>
      <c r="V21" s="440">
        <f ca="1">HLOOKUP($G21,'SFBaselines and Measures'!$C$3:$V$33,9,FALSE)</f>
        <v>47.558261685804517</v>
      </c>
      <c r="W21" s="441"/>
      <c r="X21" s="436">
        <f ca="1">HLOOKUP($H21,'SFBaselines and Measures'!$C$2:$V$33,8,FALSE)</f>
        <v>3967.88847049284</v>
      </c>
      <c r="Y21" s="437">
        <f ca="1">HLOOKUP($H21,'SFBaselines and Measures'!$C$2:$V$33,9,FALSE)</f>
        <v>754.7360149776722</v>
      </c>
      <c r="Z21" s="438">
        <f ca="1">HLOOKUP($H21,'SFBaselines and Measures'!$C$2:$V$33,26,FALSE)</f>
        <v>51.72825296727148</v>
      </c>
      <c r="AA21" s="438"/>
      <c r="AB21" s="438">
        <f ca="1">HLOOKUP($H21,'SFBaselines and Measures'!$C$2:$V$33,28,FALSE)</f>
        <v>84.367230649540986</v>
      </c>
      <c r="AC21" s="439">
        <f>HLOOKUP($H21,'SFBaselines and Measures'!$C$2:$V$33,30,FALSE)</f>
        <v>0</v>
      </c>
      <c r="AD21" s="439"/>
      <c r="AE21" s="439">
        <f ca="1">HLOOKUP($H21,'SFBaselines and Measures'!$C$2:$V$33,32,FALSE)</f>
        <v>3.8392714427584451</v>
      </c>
      <c r="AF21" s="440">
        <f ca="1">HLOOKUP($H21,'SFBaselines and Measures'!$C$2:$V$33,10,FALSE)</f>
        <v>46.61837642628597</v>
      </c>
      <c r="AG21" s="441"/>
      <c r="AH21" s="436">
        <f t="shared" ca="1" si="14"/>
        <v>79.997635497386455</v>
      </c>
      <c r="AI21" s="437">
        <f t="shared" ca="1" si="15"/>
        <v>-21.580021166835763</v>
      </c>
      <c r="AJ21" s="438">
        <f t="shared" ca="1" si="16"/>
        <v>2.4859057674460345</v>
      </c>
      <c r="AK21" s="438"/>
      <c r="AL21" s="438">
        <f t="shared" ca="1" si="10"/>
        <v>5.8371301667631883</v>
      </c>
      <c r="AM21" s="439">
        <f t="shared" si="10"/>
        <v>0</v>
      </c>
      <c r="AN21" s="439"/>
      <c r="AO21" s="439">
        <f t="shared" ca="1" si="17"/>
        <v>0.26562833678883724</v>
      </c>
      <c r="AP21" s="442">
        <f t="shared" ca="1" si="17"/>
        <v>0.9398852595185474</v>
      </c>
      <c r="AQ21" s="443"/>
      <c r="AR21" s="435" t="str">
        <f t="shared" si="18"/>
        <v>ENERGY STAR - Top-Load Clothes Washer - Gas DHW, Gas Dryer - 31% ENERGY STAR Baseline</v>
      </c>
      <c r="AS21" s="437">
        <f t="shared" ca="1" si="19"/>
        <v>-21.580021166835763</v>
      </c>
      <c r="AT21" s="438">
        <f t="shared" ca="1" si="20"/>
        <v>2.4859057674460345</v>
      </c>
      <c r="AU21" s="439">
        <f t="shared" ca="1" si="21"/>
        <v>0.26562833678883724</v>
      </c>
      <c r="AV21" s="439">
        <f t="shared" ca="1" si="22"/>
        <v>79.997635497386455</v>
      </c>
      <c r="AW21" s="439"/>
      <c r="AX21" s="438">
        <f t="shared" ca="1" si="11"/>
        <v>2.7806286114428769</v>
      </c>
      <c r="AY21" s="438">
        <f t="shared" ca="1" si="23"/>
        <v>0.9398852595185474</v>
      </c>
      <c r="AZ21" s="443"/>
      <c r="BA21" s="433" t="str">
        <f t="shared" si="24"/>
        <v>ENERGY STAR - Top-Load Clothes Washer - Gas DHW, Gas Dryer - 31% ENERGY STAR Baseline</v>
      </c>
      <c r="BB21" s="433" t="s">
        <v>25</v>
      </c>
      <c r="BC21" s="438">
        <f t="shared" ca="1" si="25"/>
        <v>2.4859057674460345</v>
      </c>
      <c r="BD21" s="438">
        <f>SFAssumptions!$C$7</f>
        <v>14</v>
      </c>
      <c r="BE21" s="444">
        <f t="shared" ca="1" si="26"/>
        <v>-21.580021166835763</v>
      </c>
      <c r="BF21" s="433"/>
      <c r="BG21" s="432" t="s">
        <v>157</v>
      </c>
      <c r="BH21" s="445">
        <f t="shared" ca="1" si="27"/>
        <v>0.9398852595185474</v>
      </c>
      <c r="BI21" s="433"/>
      <c r="BJ21" s="433"/>
      <c r="BK21" s="433"/>
      <c r="BL21" s="433"/>
      <c r="BM21" s="433"/>
      <c r="BN21" s="433"/>
      <c r="BO21" s="446">
        <f t="shared" ca="1" si="28"/>
        <v>0.26562833678883724</v>
      </c>
      <c r="BP21" s="433" t="s">
        <v>158</v>
      </c>
      <c r="BQ21" s="447"/>
    </row>
    <row r="22" spans="1:69" s="414" customFormat="1">
      <c r="A22" s="433">
        <f t="shared" si="29"/>
        <v>5</v>
      </c>
      <c r="B22" s="433">
        <f t="shared" si="3"/>
        <v>1</v>
      </c>
      <c r="C22" s="433">
        <f t="shared" si="4"/>
        <v>5</v>
      </c>
      <c r="D22" s="433">
        <f t="shared" si="5"/>
        <v>1</v>
      </c>
      <c r="E22" s="433">
        <f t="shared" si="6"/>
        <v>5</v>
      </c>
      <c r="F22" s="433"/>
      <c r="G22" s="433" t="str">
        <f t="shared" si="12"/>
        <v>Current Practice Baseline Using 31% ENERGY STAR Penetration</v>
      </c>
      <c r="H22" s="433" t="str">
        <f t="shared" si="13"/>
        <v>ENERGY STAR - Top-Load</v>
      </c>
      <c r="I22" s="433" t="str">
        <f t="shared" si="7"/>
        <v>Any DHW, Any Dryer</v>
      </c>
      <c r="J22" s="433" t="str">
        <f t="shared" si="8"/>
        <v>Any DHW</v>
      </c>
      <c r="K22" s="433" t="str">
        <f t="shared" si="9"/>
        <v>Any Dryer</v>
      </c>
      <c r="L22" s="434">
        <f>VLOOKUP(J22,SFAssumptions!$A$14:$B$16,2,FALSE)</f>
        <v>0.55200000000000005</v>
      </c>
      <c r="M22" s="435">
        <f>VLOOKUP(K22,SFAssumptions!$A$18:$B$20,2,FALSE)</f>
        <v>0.95</v>
      </c>
      <c r="N22" s="436">
        <f ca="1">HLOOKUP($G22,'SFBaselines and Measures'!$C$3:$V$33,7,FALSE)</f>
        <v>4047.8861059902265</v>
      </c>
      <c r="O22" s="437">
        <f ca="1">HLOOKUP($G22,'SFBaselines and Measures'!$C$3:$V$33,8,FALSE)</f>
        <v>776.31603614450796</v>
      </c>
      <c r="P22" s="438">
        <f ca="1">HLOOKUP($G22,'SFBaselines and Measures'!$C$3:$V$33,25,FALSE)</f>
        <v>54.214158734717515</v>
      </c>
      <c r="Q22" s="438"/>
      <c r="R22" s="438">
        <f ca="1">HLOOKUP($G22,'SFBaselines and Measures'!$C$3:$V$33,27,FALSE)</f>
        <v>90.204360816304174</v>
      </c>
      <c r="S22" s="439">
        <f>HLOOKUP($G22,'SFBaselines and Measures'!$C$3:$V$33,29,FALSE)</f>
        <v>0</v>
      </c>
      <c r="T22" s="439"/>
      <c r="U22" s="439">
        <f ca="1">HLOOKUP($G22,'SFBaselines and Measures'!$C$3:$V$33,31,FALSE)</f>
        <v>4.1048997795472824</v>
      </c>
      <c r="V22" s="440">
        <f ca="1">HLOOKUP($G22,'SFBaselines and Measures'!$C$3:$V$33,9,FALSE)</f>
        <v>47.558261685804517</v>
      </c>
      <c r="W22" s="441"/>
      <c r="X22" s="436">
        <f ca="1">HLOOKUP($H22,'SFBaselines and Measures'!$C$2:$V$33,8,FALSE)</f>
        <v>3967.88847049284</v>
      </c>
      <c r="Y22" s="437">
        <f ca="1">HLOOKUP($H22,'SFBaselines and Measures'!$C$2:$V$33,9,FALSE)</f>
        <v>754.7360149776722</v>
      </c>
      <c r="Z22" s="438">
        <f ca="1">HLOOKUP($H22,'SFBaselines and Measures'!$C$2:$V$33,26,FALSE)</f>
        <v>51.72825296727148</v>
      </c>
      <c r="AA22" s="438"/>
      <c r="AB22" s="438">
        <f ca="1">HLOOKUP($H22,'SFBaselines and Measures'!$C$2:$V$33,28,FALSE)</f>
        <v>84.367230649540986</v>
      </c>
      <c r="AC22" s="439">
        <f>HLOOKUP($H22,'SFBaselines and Measures'!$C$2:$V$33,30,FALSE)</f>
        <v>0</v>
      </c>
      <c r="AD22" s="439"/>
      <c r="AE22" s="439">
        <f ca="1">HLOOKUP($H22,'SFBaselines and Measures'!$C$2:$V$33,32,FALSE)</f>
        <v>3.8392714427584451</v>
      </c>
      <c r="AF22" s="440">
        <f ca="1">HLOOKUP($H22,'SFBaselines and Measures'!$C$2:$V$33,10,FALSE)</f>
        <v>46.61837642628597</v>
      </c>
      <c r="AG22" s="441"/>
      <c r="AH22" s="436">
        <f t="shared" ca="1" si="14"/>
        <v>79.997635497386455</v>
      </c>
      <c r="AI22" s="437">
        <f t="shared" ca="1" si="15"/>
        <v>-21.580021166835763</v>
      </c>
      <c r="AJ22" s="438">
        <f t="shared" ca="1" si="16"/>
        <v>2.4859057674460345</v>
      </c>
      <c r="AK22" s="438"/>
      <c r="AL22" s="438">
        <f t="shared" ca="1" si="10"/>
        <v>5.8371301667631883</v>
      </c>
      <c r="AM22" s="439">
        <f t="shared" si="10"/>
        <v>0</v>
      </c>
      <c r="AN22" s="439"/>
      <c r="AO22" s="439">
        <f t="shared" ca="1" si="17"/>
        <v>0.26562833678883724</v>
      </c>
      <c r="AP22" s="442">
        <f t="shared" ca="1" si="17"/>
        <v>0.9398852595185474</v>
      </c>
      <c r="AQ22" s="443"/>
      <c r="AR22" s="435" t="str">
        <f t="shared" si="18"/>
        <v>ENERGY STAR - Top-Load Clothes Washer - Any DHW, Any Dryer - 31% ENERGY STAR Baseline</v>
      </c>
      <c r="AS22" s="437">
        <f t="shared" ca="1" si="19"/>
        <v>-21.580021166835763</v>
      </c>
      <c r="AT22" s="438">
        <f t="shared" ca="1" si="20"/>
        <v>5.7080016194993153</v>
      </c>
      <c r="AU22" s="439">
        <f t="shared" ca="1" si="21"/>
        <v>0.11900149488139906</v>
      </c>
      <c r="AV22" s="439">
        <f t="shared" ca="1" si="22"/>
        <v>79.997635497386455</v>
      </c>
      <c r="AW22" s="439"/>
      <c r="AX22" s="438">
        <f t="shared" ca="1" si="11"/>
        <v>6.0027244634961576</v>
      </c>
      <c r="AY22" s="438">
        <f t="shared" ca="1" si="23"/>
        <v>0.9398852595185474</v>
      </c>
      <c r="AZ22" s="443"/>
      <c r="BA22" s="433" t="str">
        <f t="shared" si="24"/>
        <v>ENERGY STAR - Top-Load Clothes Washer - Any DHW, Any Dryer - 31% ENERGY STAR Baseline</v>
      </c>
      <c r="BB22" s="433" t="s">
        <v>25</v>
      </c>
      <c r="BC22" s="438">
        <f t="shared" ca="1" si="25"/>
        <v>5.7080016194993153</v>
      </c>
      <c r="BD22" s="438">
        <f>SFAssumptions!$C$7</f>
        <v>14</v>
      </c>
      <c r="BE22" s="444">
        <f t="shared" ca="1" si="26"/>
        <v>-21.580021166835763</v>
      </c>
      <c r="BF22" s="433"/>
      <c r="BG22" s="432" t="s">
        <v>157</v>
      </c>
      <c r="BH22" s="445">
        <f t="shared" ca="1" si="27"/>
        <v>0.9398852595185474</v>
      </c>
      <c r="BI22" s="433"/>
      <c r="BJ22" s="433"/>
      <c r="BK22" s="433"/>
      <c r="BL22" s="433"/>
      <c r="BM22" s="433"/>
      <c r="BN22" s="433"/>
      <c r="BO22" s="446">
        <f t="shared" ca="1" si="28"/>
        <v>0.11900149488139906</v>
      </c>
      <c r="BP22" s="433" t="s">
        <v>158</v>
      </c>
    </row>
    <row r="23" spans="1:69" s="414" customFormat="1">
      <c r="A23" s="433">
        <f t="shared" si="29"/>
        <v>6</v>
      </c>
      <c r="B23" s="433">
        <f t="shared" si="3"/>
        <v>1</v>
      </c>
      <c r="C23" s="433">
        <f t="shared" si="4"/>
        <v>6</v>
      </c>
      <c r="D23" s="433">
        <f t="shared" si="5"/>
        <v>2</v>
      </c>
      <c r="E23" s="433">
        <f t="shared" si="6"/>
        <v>1</v>
      </c>
      <c r="F23" s="433"/>
      <c r="G23" s="433" t="str">
        <f t="shared" si="12"/>
        <v>Current Practice Baseline Using 31% ENERGY STAR Penetration</v>
      </c>
      <c r="H23" s="433" t="str">
        <f t="shared" si="13"/>
        <v>ENERGY STAR - Front-Load</v>
      </c>
      <c r="I23" s="433" t="str">
        <f t="shared" si="7"/>
        <v>Electric DHW, Electric Dryer</v>
      </c>
      <c r="J23" s="433" t="str">
        <f t="shared" si="8"/>
        <v>Electric DHW</v>
      </c>
      <c r="K23" s="433" t="str">
        <f t="shared" si="9"/>
        <v>Electric Dryer</v>
      </c>
      <c r="L23" s="434">
        <f>VLOOKUP(J23,SFAssumptions!$A$14:$B$16,2,FALSE)</f>
        <v>1</v>
      </c>
      <c r="M23" s="435">
        <f>VLOOKUP(K23,SFAssumptions!$A$18:$B$20,2,FALSE)</f>
        <v>1</v>
      </c>
      <c r="N23" s="436">
        <f ca="1">HLOOKUP($G23,'SFBaselines and Measures'!$C$3:$V$33,7,FALSE)</f>
        <v>4047.8861059902265</v>
      </c>
      <c r="O23" s="437">
        <f ca="1">HLOOKUP($G23,'SFBaselines and Measures'!$C$3:$V$33,8,FALSE)</f>
        <v>776.31603614450796</v>
      </c>
      <c r="P23" s="438">
        <f ca="1">HLOOKUP($G23,'SFBaselines and Measures'!$C$3:$V$33,25,FALSE)</f>
        <v>54.214158734717515</v>
      </c>
      <c r="Q23" s="438"/>
      <c r="R23" s="438">
        <f ca="1">HLOOKUP($G23,'SFBaselines and Measures'!$C$3:$V$33,27,FALSE)</f>
        <v>90.204360816304174</v>
      </c>
      <c r="S23" s="439">
        <f>HLOOKUP($G23,'SFBaselines and Measures'!$C$3:$V$33,29,FALSE)</f>
        <v>0</v>
      </c>
      <c r="T23" s="439"/>
      <c r="U23" s="439">
        <f ca="1">HLOOKUP($G23,'SFBaselines and Measures'!$C$3:$V$33,31,FALSE)</f>
        <v>4.1048997795472824</v>
      </c>
      <c r="V23" s="440">
        <f ca="1">HLOOKUP($G23,'SFBaselines and Measures'!$C$3:$V$33,9,FALSE)</f>
        <v>47.558261685804517</v>
      </c>
      <c r="W23" s="441"/>
      <c r="X23" s="436">
        <f ca="1">HLOOKUP($H23,'SFBaselines and Measures'!$C$2:$V$33,8,FALSE)</f>
        <v>3066.8078198141188</v>
      </c>
      <c r="Y23" s="437">
        <f ca="1">HLOOKUP($H23,'SFBaselines and Measures'!$C$2:$V$33,9,FALSE)</f>
        <v>969.81887509547198</v>
      </c>
      <c r="Z23" s="438">
        <f ca="1">HLOOKUP($H23,'SFBaselines and Measures'!$C$2:$V$33,26,FALSE)</f>
        <v>48.600483929999498</v>
      </c>
      <c r="AA23" s="438"/>
      <c r="AB23" s="438">
        <f ca="1">HLOOKUP($H23,'SFBaselines and Measures'!$C$2:$V$33,28,FALSE)</f>
        <v>61.265175466493353</v>
      </c>
      <c r="AC23" s="439">
        <f>HLOOKUP($H23,'SFBaselines and Measures'!$C$2:$V$33,30,FALSE)</f>
        <v>0</v>
      </c>
      <c r="AD23" s="439"/>
      <c r="AE23" s="439">
        <f ca="1">HLOOKUP($H23,'SFBaselines and Measures'!$C$2:$V$33,32,FALSE)</f>
        <v>2.7879739182285577</v>
      </c>
      <c r="AF23" s="440">
        <f ca="1">HLOOKUP($H23,'SFBaselines and Measures'!$C$2:$V$33,10,FALSE)</f>
        <v>36.031658257121869</v>
      </c>
      <c r="AG23" s="441"/>
      <c r="AH23" s="436">
        <f t="shared" ca="1" si="14"/>
        <v>981.07828617610767</v>
      </c>
      <c r="AI23" s="437">
        <f t="shared" ca="1" si="15"/>
        <v>193.50283895096402</v>
      </c>
      <c r="AJ23" s="438">
        <f t="shared" ca="1" si="16"/>
        <v>5.6136748047180163</v>
      </c>
      <c r="AK23" s="438"/>
      <c r="AL23" s="438">
        <f t="shared" ca="1" si="10"/>
        <v>28.93918534981082</v>
      </c>
      <c r="AM23" s="439">
        <f t="shared" si="10"/>
        <v>0</v>
      </c>
      <c r="AN23" s="439"/>
      <c r="AO23" s="439">
        <f t="shared" ca="1" si="17"/>
        <v>1.3169258613187247</v>
      </c>
      <c r="AP23" s="442">
        <f t="shared" ca="1" si="17"/>
        <v>11.526603428682648</v>
      </c>
      <c r="AQ23" s="443"/>
      <c r="AR23" s="435" t="str">
        <f t="shared" si="18"/>
        <v>ENERGY STAR - Front-Load Clothes Washer - Electric DHW, Electric Dryer - 31% ENERGY STAR Baseline</v>
      </c>
      <c r="AS23" s="437">
        <f t="shared" ca="1" si="19"/>
        <v>193.50283895096402</v>
      </c>
      <c r="AT23" s="438">
        <f t="shared" ca="1" si="20"/>
        <v>34.552860154528837</v>
      </c>
      <c r="AU23" s="439">
        <f t="shared" ca="1" si="21"/>
        <v>0</v>
      </c>
      <c r="AV23" s="439">
        <f t="shared" ca="1" si="22"/>
        <v>981.07828617610767</v>
      </c>
      <c r="AW23" s="439"/>
      <c r="AX23" s="438">
        <f t="shared" ca="1" si="11"/>
        <v>38.167294267332295</v>
      </c>
      <c r="AY23" s="438">
        <f t="shared" ca="1" si="23"/>
        <v>11.526603428682648</v>
      </c>
      <c r="AZ23" s="443"/>
      <c r="BA23" s="433" t="str">
        <f t="shared" si="24"/>
        <v>ENERGY STAR - Front-Load Clothes Washer - Electric DHW, Electric Dryer - 31% ENERGY STAR Baseline</v>
      </c>
      <c r="BB23" s="433" t="s">
        <v>25</v>
      </c>
      <c r="BC23" s="438">
        <f t="shared" ca="1" si="25"/>
        <v>34.552860154528837</v>
      </c>
      <c r="BD23" s="438">
        <f>SFAssumptions!$C$7</f>
        <v>14</v>
      </c>
      <c r="BE23" s="444">
        <f t="shared" ca="1" si="26"/>
        <v>193.50283895096402</v>
      </c>
      <c r="BF23" s="433"/>
      <c r="BG23" s="432" t="s">
        <v>157</v>
      </c>
      <c r="BH23" s="445">
        <f t="shared" ca="1" si="27"/>
        <v>11.526603428682648</v>
      </c>
      <c r="BI23" s="433"/>
      <c r="BJ23" s="433"/>
      <c r="BK23" s="433"/>
      <c r="BL23" s="433"/>
      <c r="BM23" s="433"/>
      <c r="BN23" s="433"/>
      <c r="BO23" s="446">
        <f t="shared" ca="1" si="28"/>
        <v>0</v>
      </c>
      <c r="BP23" s="433" t="s">
        <v>158</v>
      </c>
    </row>
    <row r="24" spans="1:69" s="414" customFormat="1">
      <c r="A24" s="433">
        <f t="shared" si="29"/>
        <v>7</v>
      </c>
      <c r="B24" s="433">
        <f t="shared" si="3"/>
        <v>1</v>
      </c>
      <c r="C24" s="433">
        <f t="shared" si="4"/>
        <v>7</v>
      </c>
      <c r="D24" s="433">
        <f t="shared" si="5"/>
        <v>2</v>
      </c>
      <c r="E24" s="433">
        <f t="shared" si="6"/>
        <v>2</v>
      </c>
      <c r="F24" s="433"/>
      <c r="G24" s="433" t="str">
        <f t="shared" si="12"/>
        <v>Current Practice Baseline Using 31% ENERGY STAR Penetration</v>
      </c>
      <c r="H24" s="433" t="str">
        <f t="shared" si="13"/>
        <v>ENERGY STAR - Front-Load</v>
      </c>
      <c r="I24" s="433" t="str">
        <f t="shared" si="7"/>
        <v>Electric DHW, Gas Dryer</v>
      </c>
      <c r="J24" s="433" t="str">
        <f t="shared" si="8"/>
        <v>Electric DHW</v>
      </c>
      <c r="K24" s="433" t="str">
        <f t="shared" si="9"/>
        <v>Gas Dryer</v>
      </c>
      <c r="L24" s="434">
        <f>VLOOKUP(J24,SFAssumptions!$A$14:$B$16,2,FALSE)</f>
        <v>1</v>
      </c>
      <c r="M24" s="435">
        <f>VLOOKUP(K24,SFAssumptions!$A$18:$B$20,2,FALSE)</f>
        <v>0</v>
      </c>
      <c r="N24" s="436">
        <f ca="1">HLOOKUP($G24,'SFBaselines and Measures'!$C$3:$V$33,7,FALSE)</f>
        <v>4047.8861059902265</v>
      </c>
      <c r="O24" s="437">
        <f ca="1">HLOOKUP($G24,'SFBaselines and Measures'!$C$3:$V$33,8,FALSE)</f>
        <v>776.31603614450796</v>
      </c>
      <c r="P24" s="438">
        <f ca="1">HLOOKUP($G24,'SFBaselines and Measures'!$C$3:$V$33,25,FALSE)</f>
        <v>54.214158734717515</v>
      </c>
      <c r="Q24" s="438"/>
      <c r="R24" s="438">
        <f ca="1">HLOOKUP($G24,'SFBaselines and Measures'!$C$3:$V$33,27,FALSE)</f>
        <v>90.204360816304174</v>
      </c>
      <c r="S24" s="439">
        <f>HLOOKUP($G24,'SFBaselines and Measures'!$C$3:$V$33,29,FALSE)</f>
        <v>0</v>
      </c>
      <c r="T24" s="439"/>
      <c r="U24" s="439">
        <f ca="1">HLOOKUP($G24,'SFBaselines and Measures'!$C$3:$V$33,31,FALSE)</f>
        <v>4.1048997795472824</v>
      </c>
      <c r="V24" s="440">
        <f ca="1">HLOOKUP($G24,'SFBaselines and Measures'!$C$3:$V$33,9,FALSE)</f>
        <v>47.558261685804517</v>
      </c>
      <c r="W24" s="441"/>
      <c r="X24" s="436">
        <f ca="1">HLOOKUP($H24,'SFBaselines and Measures'!$C$2:$V$33,8,FALSE)</f>
        <v>3066.8078198141188</v>
      </c>
      <c r="Y24" s="437">
        <f ca="1">HLOOKUP($H24,'SFBaselines and Measures'!$C$2:$V$33,9,FALSE)</f>
        <v>969.81887509547198</v>
      </c>
      <c r="Z24" s="438">
        <f ca="1">HLOOKUP($H24,'SFBaselines and Measures'!$C$2:$V$33,26,FALSE)</f>
        <v>48.600483929999498</v>
      </c>
      <c r="AA24" s="438"/>
      <c r="AB24" s="438">
        <f ca="1">HLOOKUP($H24,'SFBaselines and Measures'!$C$2:$V$33,28,FALSE)</f>
        <v>61.265175466493353</v>
      </c>
      <c r="AC24" s="439">
        <f>HLOOKUP($H24,'SFBaselines and Measures'!$C$2:$V$33,30,FALSE)</f>
        <v>0</v>
      </c>
      <c r="AD24" s="439"/>
      <c r="AE24" s="439">
        <f ca="1">HLOOKUP($H24,'SFBaselines and Measures'!$C$2:$V$33,32,FALSE)</f>
        <v>2.7879739182285577</v>
      </c>
      <c r="AF24" s="440">
        <f ca="1">HLOOKUP($H24,'SFBaselines and Measures'!$C$2:$V$33,10,FALSE)</f>
        <v>36.031658257121869</v>
      </c>
      <c r="AG24" s="441"/>
      <c r="AH24" s="436">
        <f t="shared" ca="1" si="14"/>
        <v>981.07828617610767</v>
      </c>
      <c r="AI24" s="437">
        <f t="shared" ca="1" si="15"/>
        <v>193.50283895096402</v>
      </c>
      <c r="AJ24" s="438">
        <f t="shared" ca="1" si="16"/>
        <v>5.6136748047180163</v>
      </c>
      <c r="AK24" s="438"/>
      <c r="AL24" s="438">
        <f t="shared" ca="1" si="10"/>
        <v>28.93918534981082</v>
      </c>
      <c r="AM24" s="439">
        <f t="shared" si="10"/>
        <v>0</v>
      </c>
      <c r="AN24" s="439"/>
      <c r="AO24" s="439">
        <f t="shared" ca="1" si="17"/>
        <v>1.3169258613187247</v>
      </c>
      <c r="AP24" s="442">
        <f t="shared" ca="1" si="17"/>
        <v>11.526603428682648</v>
      </c>
      <c r="AQ24" s="443"/>
      <c r="AR24" s="435" t="str">
        <f t="shared" si="18"/>
        <v>ENERGY STAR - Front-Load Clothes Washer - Electric DHW, Gas Dryer - 31% ENERGY STAR Baseline</v>
      </c>
      <c r="AS24" s="437">
        <f t="shared" ca="1" si="19"/>
        <v>193.50283895096402</v>
      </c>
      <c r="AT24" s="438">
        <f t="shared" ca="1" si="20"/>
        <v>34.552860154528837</v>
      </c>
      <c r="AU24" s="439">
        <f t="shared" ca="1" si="21"/>
        <v>0</v>
      </c>
      <c r="AV24" s="439">
        <f t="shared" ca="1" si="22"/>
        <v>981.07828617610767</v>
      </c>
      <c r="AW24" s="439"/>
      <c r="AX24" s="438">
        <f t="shared" ca="1" si="11"/>
        <v>38.167294267332295</v>
      </c>
      <c r="AY24" s="438">
        <f t="shared" ca="1" si="23"/>
        <v>11.526603428682648</v>
      </c>
      <c r="AZ24" s="443"/>
      <c r="BA24" s="433" t="str">
        <f t="shared" si="24"/>
        <v>ENERGY STAR - Front-Load Clothes Washer - Electric DHW, Gas Dryer - 31% ENERGY STAR Baseline</v>
      </c>
      <c r="BB24" s="433" t="s">
        <v>25</v>
      </c>
      <c r="BC24" s="438">
        <f t="shared" ca="1" si="25"/>
        <v>34.552860154528837</v>
      </c>
      <c r="BD24" s="438">
        <f>SFAssumptions!$C$7</f>
        <v>14</v>
      </c>
      <c r="BE24" s="444">
        <f t="shared" ca="1" si="26"/>
        <v>193.50283895096402</v>
      </c>
      <c r="BF24" s="433"/>
      <c r="BG24" s="432" t="s">
        <v>157</v>
      </c>
      <c r="BH24" s="445">
        <f t="shared" ca="1" si="27"/>
        <v>11.526603428682648</v>
      </c>
      <c r="BI24" s="433"/>
      <c r="BJ24" s="433"/>
      <c r="BK24" s="433"/>
      <c r="BL24" s="433"/>
      <c r="BM24" s="433"/>
      <c r="BN24" s="433"/>
      <c r="BO24" s="446">
        <f t="shared" ca="1" si="28"/>
        <v>0</v>
      </c>
      <c r="BP24" s="433" t="s">
        <v>158</v>
      </c>
    </row>
    <row r="25" spans="1:69" s="414" customFormat="1">
      <c r="A25" s="433">
        <f t="shared" si="29"/>
        <v>8</v>
      </c>
      <c r="B25" s="433">
        <f t="shared" si="3"/>
        <v>1</v>
      </c>
      <c r="C25" s="433">
        <f t="shared" si="4"/>
        <v>8</v>
      </c>
      <c r="D25" s="433">
        <f t="shared" si="5"/>
        <v>2</v>
      </c>
      <c r="E25" s="433">
        <f t="shared" si="6"/>
        <v>3</v>
      </c>
      <c r="F25" s="433"/>
      <c r="G25" s="433" t="str">
        <f t="shared" si="12"/>
        <v>Current Practice Baseline Using 31% ENERGY STAR Penetration</v>
      </c>
      <c r="H25" s="433" t="str">
        <f t="shared" si="13"/>
        <v>ENERGY STAR - Front-Load</v>
      </c>
      <c r="I25" s="433" t="str">
        <f t="shared" si="7"/>
        <v>Gas DHW, Electric Dryer</v>
      </c>
      <c r="J25" s="433" t="str">
        <f t="shared" si="8"/>
        <v>Gas DHW</v>
      </c>
      <c r="K25" s="433" t="str">
        <f t="shared" si="9"/>
        <v>Electric Dryer</v>
      </c>
      <c r="L25" s="434">
        <f>VLOOKUP(J25,SFAssumptions!$A$14:$B$16,2,FALSE)</f>
        <v>0</v>
      </c>
      <c r="M25" s="435">
        <f>VLOOKUP(K25,SFAssumptions!$A$18:$B$20,2,FALSE)</f>
        <v>1</v>
      </c>
      <c r="N25" s="436">
        <f ca="1">HLOOKUP($G25,'SFBaselines and Measures'!$C$3:$V$33,7,FALSE)</f>
        <v>4047.8861059902265</v>
      </c>
      <c r="O25" s="437">
        <f ca="1">HLOOKUP($G25,'SFBaselines and Measures'!$C$3:$V$33,8,FALSE)</f>
        <v>776.31603614450796</v>
      </c>
      <c r="P25" s="438">
        <f ca="1">HLOOKUP($G25,'SFBaselines and Measures'!$C$3:$V$33,25,FALSE)</f>
        <v>54.214158734717515</v>
      </c>
      <c r="Q25" s="438"/>
      <c r="R25" s="438">
        <f ca="1">HLOOKUP($G25,'SFBaselines and Measures'!$C$3:$V$33,27,FALSE)</f>
        <v>90.204360816304174</v>
      </c>
      <c r="S25" s="439">
        <f>HLOOKUP($G25,'SFBaselines and Measures'!$C$3:$V$33,29,FALSE)</f>
        <v>0</v>
      </c>
      <c r="T25" s="439"/>
      <c r="U25" s="439">
        <f ca="1">HLOOKUP($G25,'SFBaselines and Measures'!$C$3:$V$33,31,FALSE)</f>
        <v>4.1048997795472824</v>
      </c>
      <c r="V25" s="440">
        <f ca="1">HLOOKUP($G25,'SFBaselines and Measures'!$C$3:$V$33,9,FALSE)</f>
        <v>47.558261685804517</v>
      </c>
      <c r="W25" s="441"/>
      <c r="X25" s="436">
        <f ca="1">HLOOKUP($H25,'SFBaselines and Measures'!$C$2:$V$33,8,FALSE)</f>
        <v>3066.8078198141188</v>
      </c>
      <c r="Y25" s="437">
        <f ca="1">HLOOKUP($H25,'SFBaselines and Measures'!$C$2:$V$33,9,FALSE)</f>
        <v>969.81887509547198</v>
      </c>
      <c r="Z25" s="438">
        <f ca="1">HLOOKUP($H25,'SFBaselines and Measures'!$C$2:$V$33,26,FALSE)</f>
        <v>48.600483929999498</v>
      </c>
      <c r="AA25" s="438"/>
      <c r="AB25" s="438">
        <f ca="1">HLOOKUP($H25,'SFBaselines and Measures'!$C$2:$V$33,28,FALSE)</f>
        <v>61.265175466493353</v>
      </c>
      <c r="AC25" s="439">
        <f>HLOOKUP($H25,'SFBaselines and Measures'!$C$2:$V$33,30,FALSE)</f>
        <v>0</v>
      </c>
      <c r="AD25" s="439"/>
      <c r="AE25" s="439">
        <f ca="1">HLOOKUP($H25,'SFBaselines and Measures'!$C$2:$V$33,32,FALSE)</f>
        <v>2.7879739182285577</v>
      </c>
      <c r="AF25" s="440">
        <f ca="1">HLOOKUP($H25,'SFBaselines and Measures'!$C$2:$V$33,10,FALSE)</f>
        <v>36.031658257121869</v>
      </c>
      <c r="AG25" s="441"/>
      <c r="AH25" s="436">
        <f t="shared" ca="1" si="14"/>
        <v>981.07828617610767</v>
      </c>
      <c r="AI25" s="437">
        <f t="shared" ca="1" si="15"/>
        <v>193.50283895096402</v>
      </c>
      <c r="AJ25" s="438">
        <f t="shared" ca="1" si="16"/>
        <v>5.6136748047180163</v>
      </c>
      <c r="AK25" s="438"/>
      <c r="AL25" s="438">
        <f t="shared" ca="1" si="10"/>
        <v>28.93918534981082</v>
      </c>
      <c r="AM25" s="439">
        <f t="shared" si="10"/>
        <v>0</v>
      </c>
      <c r="AN25" s="439"/>
      <c r="AO25" s="439">
        <f t="shared" ca="1" si="17"/>
        <v>1.3169258613187247</v>
      </c>
      <c r="AP25" s="442">
        <f t="shared" ca="1" si="17"/>
        <v>11.526603428682648</v>
      </c>
      <c r="AQ25" s="443"/>
      <c r="AR25" s="435" t="str">
        <f t="shared" si="18"/>
        <v>ENERGY STAR - Front-Load Clothes Washer - Gas DHW, Electric Dryer - 31% ENERGY STAR Baseline</v>
      </c>
      <c r="AS25" s="437">
        <f t="shared" ca="1" si="19"/>
        <v>193.50283895096402</v>
      </c>
      <c r="AT25" s="438">
        <f t="shared" ca="1" si="20"/>
        <v>5.6136748047180163</v>
      </c>
      <c r="AU25" s="439">
        <f t="shared" ca="1" si="21"/>
        <v>1.3169258613187247</v>
      </c>
      <c r="AV25" s="439">
        <f t="shared" ca="1" si="22"/>
        <v>981.07828617610767</v>
      </c>
      <c r="AW25" s="439"/>
      <c r="AX25" s="438">
        <f t="shared" ca="1" si="11"/>
        <v>9.228108917521471</v>
      </c>
      <c r="AY25" s="438">
        <f t="shared" ca="1" si="23"/>
        <v>11.526603428682648</v>
      </c>
      <c r="AZ25" s="443"/>
      <c r="BA25" s="433" t="str">
        <f t="shared" si="24"/>
        <v>ENERGY STAR - Front-Load Clothes Washer - Gas DHW, Electric Dryer - 31% ENERGY STAR Baseline</v>
      </c>
      <c r="BB25" s="433" t="s">
        <v>25</v>
      </c>
      <c r="BC25" s="438">
        <f t="shared" ca="1" si="25"/>
        <v>5.6136748047180163</v>
      </c>
      <c r="BD25" s="438">
        <f>SFAssumptions!$C$7</f>
        <v>14</v>
      </c>
      <c r="BE25" s="444">
        <f t="shared" ca="1" si="26"/>
        <v>193.50283895096402</v>
      </c>
      <c r="BF25" s="433"/>
      <c r="BG25" s="432" t="s">
        <v>157</v>
      </c>
      <c r="BH25" s="445">
        <f t="shared" ca="1" si="27"/>
        <v>11.526603428682648</v>
      </c>
      <c r="BI25" s="433"/>
      <c r="BJ25" s="433"/>
      <c r="BK25" s="433"/>
      <c r="BL25" s="433"/>
      <c r="BM25" s="433"/>
      <c r="BN25" s="433"/>
      <c r="BO25" s="446">
        <f t="shared" ca="1" si="28"/>
        <v>1.3169258613187247</v>
      </c>
      <c r="BP25" s="433" t="s">
        <v>158</v>
      </c>
      <c r="BQ25" s="447"/>
    </row>
    <row r="26" spans="1:69" s="414" customFormat="1">
      <c r="A26" s="433">
        <f t="shared" si="29"/>
        <v>9</v>
      </c>
      <c r="B26" s="433">
        <f t="shared" si="3"/>
        <v>1</v>
      </c>
      <c r="C26" s="433">
        <f t="shared" si="4"/>
        <v>9</v>
      </c>
      <c r="D26" s="433">
        <f t="shared" si="5"/>
        <v>2</v>
      </c>
      <c r="E26" s="433">
        <f t="shared" si="6"/>
        <v>4</v>
      </c>
      <c r="F26" s="433"/>
      <c r="G26" s="433" t="str">
        <f t="shared" si="12"/>
        <v>Current Practice Baseline Using 31% ENERGY STAR Penetration</v>
      </c>
      <c r="H26" s="433" t="str">
        <f t="shared" si="13"/>
        <v>ENERGY STAR - Front-Load</v>
      </c>
      <c r="I26" s="433" t="str">
        <f t="shared" si="7"/>
        <v>Gas DHW, Gas Dryer</v>
      </c>
      <c r="J26" s="433" t="str">
        <f t="shared" si="8"/>
        <v>Gas DHW</v>
      </c>
      <c r="K26" s="433" t="str">
        <f t="shared" si="9"/>
        <v>Gas Dryer</v>
      </c>
      <c r="L26" s="434">
        <f>VLOOKUP(J26,SFAssumptions!$A$14:$B$16,2,FALSE)</f>
        <v>0</v>
      </c>
      <c r="M26" s="435">
        <f>VLOOKUP(K26,SFAssumptions!$A$18:$B$20,2,FALSE)</f>
        <v>0</v>
      </c>
      <c r="N26" s="436">
        <f ca="1">HLOOKUP($G26,'SFBaselines and Measures'!$C$3:$V$33,7,FALSE)</f>
        <v>4047.8861059902265</v>
      </c>
      <c r="O26" s="437">
        <f ca="1">HLOOKUP($G26,'SFBaselines and Measures'!$C$3:$V$33,8,FALSE)</f>
        <v>776.31603614450796</v>
      </c>
      <c r="P26" s="438">
        <f ca="1">HLOOKUP($G26,'SFBaselines and Measures'!$C$3:$V$33,25,FALSE)</f>
        <v>54.214158734717515</v>
      </c>
      <c r="Q26" s="438"/>
      <c r="R26" s="438">
        <f ca="1">HLOOKUP($G26,'SFBaselines and Measures'!$C$3:$V$33,27,FALSE)</f>
        <v>90.204360816304174</v>
      </c>
      <c r="S26" s="439">
        <f>HLOOKUP($G26,'SFBaselines and Measures'!$C$3:$V$33,29,FALSE)</f>
        <v>0</v>
      </c>
      <c r="T26" s="439"/>
      <c r="U26" s="439">
        <f ca="1">HLOOKUP($G26,'SFBaselines and Measures'!$C$3:$V$33,31,FALSE)</f>
        <v>4.1048997795472824</v>
      </c>
      <c r="V26" s="440">
        <f ca="1">HLOOKUP($G26,'SFBaselines and Measures'!$C$3:$V$33,9,FALSE)</f>
        <v>47.558261685804517</v>
      </c>
      <c r="W26" s="441"/>
      <c r="X26" s="436">
        <f ca="1">HLOOKUP($H26,'SFBaselines and Measures'!$C$2:$V$33,8,FALSE)</f>
        <v>3066.8078198141188</v>
      </c>
      <c r="Y26" s="437">
        <f ca="1">HLOOKUP($H26,'SFBaselines and Measures'!$C$2:$V$33,9,FALSE)</f>
        <v>969.81887509547198</v>
      </c>
      <c r="Z26" s="438">
        <f ca="1">HLOOKUP($H26,'SFBaselines and Measures'!$C$2:$V$33,26,FALSE)</f>
        <v>48.600483929999498</v>
      </c>
      <c r="AA26" s="438"/>
      <c r="AB26" s="438">
        <f ca="1">HLOOKUP($H26,'SFBaselines and Measures'!$C$2:$V$33,28,FALSE)</f>
        <v>61.265175466493353</v>
      </c>
      <c r="AC26" s="439">
        <f>HLOOKUP($H26,'SFBaselines and Measures'!$C$2:$V$33,30,FALSE)</f>
        <v>0</v>
      </c>
      <c r="AD26" s="439"/>
      <c r="AE26" s="439">
        <f ca="1">HLOOKUP($H26,'SFBaselines and Measures'!$C$2:$V$33,32,FALSE)</f>
        <v>2.7879739182285577</v>
      </c>
      <c r="AF26" s="440">
        <f ca="1">HLOOKUP($H26,'SFBaselines and Measures'!$C$2:$V$33,10,FALSE)</f>
        <v>36.031658257121869</v>
      </c>
      <c r="AG26" s="441"/>
      <c r="AH26" s="436">
        <f t="shared" ca="1" si="14"/>
        <v>981.07828617610767</v>
      </c>
      <c r="AI26" s="437">
        <f t="shared" ca="1" si="15"/>
        <v>193.50283895096402</v>
      </c>
      <c r="AJ26" s="438">
        <f t="shared" ca="1" si="16"/>
        <v>5.6136748047180163</v>
      </c>
      <c r="AK26" s="438"/>
      <c r="AL26" s="438">
        <f t="shared" ca="1" si="10"/>
        <v>28.93918534981082</v>
      </c>
      <c r="AM26" s="439">
        <f t="shared" si="10"/>
        <v>0</v>
      </c>
      <c r="AN26" s="439"/>
      <c r="AO26" s="439">
        <f t="shared" ca="1" si="17"/>
        <v>1.3169258613187247</v>
      </c>
      <c r="AP26" s="442">
        <f t="shared" ca="1" si="17"/>
        <v>11.526603428682648</v>
      </c>
      <c r="AQ26" s="443"/>
      <c r="AR26" s="435" t="str">
        <f t="shared" si="18"/>
        <v>ENERGY STAR - Front-Load Clothes Washer - Gas DHW, Gas Dryer - 31% ENERGY STAR Baseline</v>
      </c>
      <c r="AS26" s="437">
        <f t="shared" ca="1" si="19"/>
        <v>193.50283895096402</v>
      </c>
      <c r="AT26" s="438">
        <f t="shared" ca="1" si="20"/>
        <v>5.6136748047180163</v>
      </c>
      <c r="AU26" s="439">
        <f t="shared" ca="1" si="21"/>
        <v>1.3169258613187247</v>
      </c>
      <c r="AV26" s="439">
        <f t="shared" ca="1" si="22"/>
        <v>981.07828617610767</v>
      </c>
      <c r="AW26" s="439"/>
      <c r="AX26" s="438">
        <f t="shared" ca="1" si="11"/>
        <v>9.228108917521471</v>
      </c>
      <c r="AY26" s="438">
        <f t="shared" ca="1" si="23"/>
        <v>11.526603428682648</v>
      </c>
      <c r="AZ26" s="443"/>
      <c r="BA26" s="433" t="str">
        <f t="shared" si="24"/>
        <v>ENERGY STAR - Front-Load Clothes Washer - Gas DHW, Gas Dryer - 31% ENERGY STAR Baseline</v>
      </c>
      <c r="BB26" s="433" t="s">
        <v>25</v>
      </c>
      <c r="BC26" s="438">
        <f t="shared" ca="1" si="25"/>
        <v>5.6136748047180163</v>
      </c>
      <c r="BD26" s="438">
        <f>SFAssumptions!$C$7</f>
        <v>14</v>
      </c>
      <c r="BE26" s="444">
        <f t="shared" ca="1" si="26"/>
        <v>193.50283895096402</v>
      </c>
      <c r="BF26" s="433"/>
      <c r="BG26" s="432" t="s">
        <v>157</v>
      </c>
      <c r="BH26" s="445">
        <f t="shared" ca="1" si="27"/>
        <v>11.526603428682648</v>
      </c>
      <c r="BI26" s="433"/>
      <c r="BJ26" s="433"/>
      <c r="BK26" s="433"/>
      <c r="BL26" s="433"/>
      <c r="BM26" s="433"/>
      <c r="BN26" s="433"/>
      <c r="BO26" s="446">
        <f t="shared" ca="1" si="28"/>
        <v>1.3169258613187247</v>
      </c>
      <c r="BP26" s="433" t="s">
        <v>158</v>
      </c>
      <c r="BQ26" s="448"/>
    </row>
    <row r="27" spans="1:69" s="414" customFormat="1">
      <c r="A27" s="433">
        <f t="shared" si="29"/>
        <v>10</v>
      </c>
      <c r="B27" s="433">
        <f t="shared" si="3"/>
        <v>1</v>
      </c>
      <c r="C27" s="433">
        <f t="shared" si="4"/>
        <v>10</v>
      </c>
      <c r="D27" s="433">
        <f t="shared" si="5"/>
        <v>2</v>
      </c>
      <c r="E27" s="433">
        <f t="shared" si="6"/>
        <v>5</v>
      </c>
      <c r="F27" s="433"/>
      <c r="G27" s="433" t="str">
        <f t="shared" si="12"/>
        <v>Current Practice Baseline Using 31% ENERGY STAR Penetration</v>
      </c>
      <c r="H27" s="433" t="str">
        <f t="shared" si="13"/>
        <v>ENERGY STAR - Front-Load</v>
      </c>
      <c r="I27" s="433" t="str">
        <f t="shared" si="7"/>
        <v>Any DHW, Any Dryer</v>
      </c>
      <c r="J27" s="433" t="str">
        <f t="shared" si="8"/>
        <v>Any DHW</v>
      </c>
      <c r="K27" s="433" t="str">
        <f t="shared" si="9"/>
        <v>Any Dryer</v>
      </c>
      <c r="L27" s="434">
        <f>VLOOKUP(J27,SFAssumptions!$A$14:$B$16,2,FALSE)</f>
        <v>0.55200000000000005</v>
      </c>
      <c r="M27" s="435">
        <f>VLOOKUP(K27,SFAssumptions!$A$18:$B$20,2,FALSE)</f>
        <v>0.95</v>
      </c>
      <c r="N27" s="436">
        <f ca="1">HLOOKUP($G27,'SFBaselines and Measures'!$C$3:$V$33,7,FALSE)</f>
        <v>4047.8861059902265</v>
      </c>
      <c r="O27" s="437">
        <f ca="1">HLOOKUP($G27,'SFBaselines and Measures'!$C$3:$V$33,8,FALSE)</f>
        <v>776.31603614450796</v>
      </c>
      <c r="P27" s="438">
        <f ca="1">HLOOKUP($G27,'SFBaselines and Measures'!$C$3:$V$33,25,FALSE)</f>
        <v>54.214158734717515</v>
      </c>
      <c r="Q27" s="438"/>
      <c r="R27" s="438">
        <f ca="1">HLOOKUP($G27,'SFBaselines and Measures'!$C$3:$V$33,27,FALSE)</f>
        <v>90.204360816304174</v>
      </c>
      <c r="S27" s="439">
        <f>HLOOKUP($G27,'SFBaselines and Measures'!$C$3:$V$33,29,FALSE)</f>
        <v>0</v>
      </c>
      <c r="T27" s="439"/>
      <c r="U27" s="439">
        <f ca="1">HLOOKUP($G27,'SFBaselines and Measures'!$C$3:$V$33,31,FALSE)</f>
        <v>4.1048997795472824</v>
      </c>
      <c r="V27" s="440">
        <f ca="1">HLOOKUP($G27,'SFBaselines and Measures'!$C$3:$V$33,9,FALSE)</f>
        <v>47.558261685804517</v>
      </c>
      <c r="W27" s="441"/>
      <c r="X27" s="436">
        <f ca="1">HLOOKUP($H27,'SFBaselines and Measures'!$C$2:$V$33,8,FALSE)</f>
        <v>3066.8078198141188</v>
      </c>
      <c r="Y27" s="437">
        <f ca="1">HLOOKUP($H27,'SFBaselines and Measures'!$C$2:$V$33,9,FALSE)</f>
        <v>969.81887509547198</v>
      </c>
      <c r="Z27" s="438">
        <f ca="1">HLOOKUP($H27,'SFBaselines and Measures'!$C$2:$V$33,26,FALSE)</f>
        <v>48.600483929999498</v>
      </c>
      <c r="AA27" s="438"/>
      <c r="AB27" s="438">
        <f ca="1">HLOOKUP($H27,'SFBaselines and Measures'!$C$2:$V$33,28,FALSE)</f>
        <v>61.265175466493353</v>
      </c>
      <c r="AC27" s="439">
        <f>HLOOKUP($H27,'SFBaselines and Measures'!$C$2:$V$33,30,FALSE)</f>
        <v>0</v>
      </c>
      <c r="AD27" s="439"/>
      <c r="AE27" s="439">
        <f ca="1">HLOOKUP($H27,'SFBaselines and Measures'!$C$2:$V$33,32,FALSE)</f>
        <v>2.7879739182285577</v>
      </c>
      <c r="AF27" s="440">
        <f ca="1">HLOOKUP($H27,'SFBaselines and Measures'!$C$2:$V$33,10,FALSE)</f>
        <v>36.031658257121869</v>
      </c>
      <c r="AG27" s="441"/>
      <c r="AH27" s="436">
        <f t="shared" ca="1" si="14"/>
        <v>981.07828617610767</v>
      </c>
      <c r="AI27" s="437">
        <f t="shared" ca="1" si="15"/>
        <v>193.50283895096402</v>
      </c>
      <c r="AJ27" s="438">
        <f t="shared" ca="1" si="16"/>
        <v>5.6136748047180163</v>
      </c>
      <c r="AK27" s="438"/>
      <c r="AL27" s="438">
        <f t="shared" ca="1" si="10"/>
        <v>28.93918534981082</v>
      </c>
      <c r="AM27" s="439">
        <f t="shared" si="10"/>
        <v>0</v>
      </c>
      <c r="AN27" s="439"/>
      <c r="AO27" s="439">
        <f t="shared" ca="1" si="17"/>
        <v>1.3169258613187247</v>
      </c>
      <c r="AP27" s="442">
        <f t="shared" ca="1" si="17"/>
        <v>11.526603428682648</v>
      </c>
      <c r="AQ27" s="443"/>
      <c r="AR27" s="435" t="str">
        <f t="shared" si="18"/>
        <v>ENERGY STAR - Front-Load Clothes Washer - Any DHW, Any Dryer - 31% ENERGY STAR Baseline</v>
      </c>
      <c r="AS27" s="437">
        <f t="shared" ca="1" si="19"/>
        <v>193.50283895096402</v>
      </c>
      <c r="AT27" s="438">
        <f t="shared" ca="1" si="20"/>
        <v>21.588105117813591</v>
      </c>
      <c r="AU27" s="439">
        <f t="shared" ca="1" si="21"/>
        <v>0.58998278587078856</v>
      </c>
      <c r="AV27" s="439">
        <f t="shared" ca="1" si="22"/>
        <v>981.07828617610767</v>
      </c>
      <c r="AW27" s="439"/>
      <c r="AX27" s="438">
        <f t="shared" ca="1" si="11"/>
        <v>25.202539230617045</v>
      </c>
      <c r="AY27" s="438">
        <f t="shared" ca="1" si="23"/>
        <v>11.526603428682648</v>
      </c>
      <c r="AZ27" s="443"/>
      <c r="BA27" s="433" t="str">
        <f t="shared" si="24"/>
        <v>ENERGY STAR - Front-Load Clothes Washer - Any DHW, Any Dryer - 31% ENERGY STAR Baseline</v>
      </c>
      <c r="BB27" s="433" t="s">
        <v>25</v>
      </c>
      <c r="BC27" s="438">
        <f t="shared" ca="1" si="25"/>
        <v>21.588105117813591</v>
      </c>
      <c r="BD27" s="438">
        <f>SFAssumptions!$C$7</f>
        <v>14</v>
      </c>
      <c r="BE27" s="444">
        <f t="shared" ca="1" si="26"/>
        <v>193.50283895096402</v>
      </c>
      <c r="BF27" s="433"/>
      <c r="BG27" s="432" t="s">
        <v>157</v>
      </c>
      <c r="BH27" s="445">
        <f t="shared" ca="1" si="27"/>
        <v>11.526603428682648</v>
      </c>
      <c r="BI27" s="433"/>
      <c r="BJ27" s="433"/>
      <c r="BK27" s="433"/>
      <c r="BL27" s="433"/>
      <c r="BM27" s="433"/>
      <c r="BN27" s="433"/>
      <c r="BO27" s="446">
        <f t="shared" ca="1" si="28"/>
        <v>0.58998278587078856</v>
      </c>
      <c r="BP27" s="433" t="s">
        <v>158</v>
      </c>
      <c r="BQ27" s="448"/>
    </row>
    <row r="28" spans="1:69" s="414" customFormat="1">
      <c r="A28" s="433">
        <f t="shared" si="29"/>
        <v>11</v>
      </c>
      <c r="B28" s="433">
        <f t="shared" si="3"/>
        <v>1</v>
      </c>
      <c r="C28" s="433">
        <f t="shared" si="4"/>
        <v>11</v>
      </c>
      <c r="D28" s="433">
        <f t="shared" si="5"/>
        <v>3</v>
      </c>
      <c r="E28" s="433">
        <f t="shared" si="6"/>
        <v>1</v>
      </c>
      <c r="F28" s="433"/>
      <c r="G28" s="433" t="str">
        <f t="shared" si="12"/>
        <v>Current Practice Baseline Using 31% ENERGY STAR Penetration</v>
      </c>
      <c r="H28" s="433" t="str">
        <f t="shared" si="13"/>
        <v>Any ENERGY STAR (Top- or Front-Load)</v>
      </c>
      <c r="I28" s="433" t="str">
        <f t="shared" si="7"/>
        <v>Electric DHW, Electric Dryer</v>
      </c>
      <c r="J28" s="433" t="str">
        <f t="shared" si="8"/>
        <v>Electric DHW</v>
      </c>
      <c r="K28" s="433" t="str">
        <f t="shared" si="9"/>
        <v>Electric Dryer</v>
      </c>
      <c r="L28" s="434">
        <f>VLOOKUP(J28,SFAssumptions!$A$14:$B$16,2,FALSE)</f>
        <v>1</v>
      </c>
      <c r="M28" s="435">
        <f>VLOOKUP(K28,SFAssumptions!$A$18:$B$20,2,FALSE)</f>
        <v>1</v>
      </c>
      <c r="N28" s="436">
        <f ca="1">HLOOKUP($G28,'SFBaselines and Measures'!$C$3:$V$33,7,FALSE)</f>
        <v>4047.8861059902265</v>
      </c>
      <c r="O28" s="437">
        <f ca="1">HLOOKUP($G28,'SFBaselines and Measures'!$C$3:$V$33,8,FALSE)</f>
        <v>776.31603614450796</v>
      </c>
      <c r="P28" s="438">
        <f ca="1">HLOOKUP($G28,'SFBaselines and Measures'!$C$3:$V$33,25,FALSE)</f>
        <v>54.214158734717515</v>
      </c>
      <c r="Q28" s="438"/>
      <c r="R28" s="438">
        <f ca="1">HLOOKUP($G28,'SFBaselines and Measures'!$C$3:$V$33,27,FALSE)</f>
        <v>90.204360816304174</v>
      </c>
      <c r="S28" s="439">
        <f>HLOOKUP($G28,'SFBaselines and Measures'!$C$3:$V$33,29,FALSE)</f>
        <v>0</v>
      </c>
      <c r="T28" s="439"/>
      <c r="U28" s="439">
        <f ca="1">HLOOKUP($G28,'SFBaselines and Measures'!$C$3:$V$33,31,FALSE)</f>
        <v>4.1048997795472824</v>
      </c>
      <c r="V28" s="440">
        <f ca="1">HLOOKUP($G28,'SFBaselines and Measures'!$C$3:$V$33,9,FALSE)</f>
        <v>47.558261685804517</v>
      </c>
      <c r="W28" s="441"/>
      <c r="X28" s="436">
        <f ca="1">HLOOKUP($H28,'SFBaselines and Measures'!$C$2:$V$33,8,FALSE)</f>
        <v>3321.230591770463</v>
      </c>
      <c r="Y28" s="437">
        <f ca="1">HLOOKUP($H28,'SFBaselines and Measures'!$C$2:$V$33,9,FALSE)</f>
        <v>921.19144585144784</v>
      </c>
      <c r="Z28" s="438">
        <f ca="1">HLOOKUP($H28,'SFBaselines and Measures'!$C$2:$V$33,26,FALSE)</f>
        <v>49.632609392094977</v>
      </c>
      <c r="AA28" s="438"/>
      <c r="AB28" s="438">
        <f ca="1">HLOOKUP($H28,'SFBaselines and Measures'!$C$2:$V$33,28,FALSE)</f>
        <v>67.756765206008026</v>
      </c>
      <c r="AC28" s="439">
        <f>HLOOKUP($H28,'SFBaselines and Measures'!$C$2:$V$33,30,FALSE)</f>
        <v>0</v>
      </c>
      <c r="AD28" s="439"/>
      <c r="AE28" s="439">
        <f ca="1">HLOOKUP($H28,'SFBaselines and Measures'!$C$2:$V$33,32,FALSE)</f>
        <v>3.0833845286414054</v>
      </c>
      <c r="AF28" s="440">
        <f ca="1">HLOOKUP($H28,'SFBaselines and Measures'!$C$2:$V$33,10,FALSE)</f>
        <v>39.020849269591736</v>
      </c>
      <c r="AG28" s="441"/>
      <c r="AH28" s="436">
        <f t="shared" ca="1" si="14"/>
        <v>726.65551421976352</v>
      </c>
      <c r="AI28" s="437">
        <f t="shared" ca="1" si="15"/>
        <v>144.87540970693988</v>
      </c>
      <c r="AJ28" s="438">
        <f t="shared" ca="1" si="16"/>
        <v>4.5815493426225373</v>
      </c>
      <c r="AK28" s="438"/>
      <c r="AL28" s="438">
        <f t="shared" ca="1" si="10"/>
        <v>22.447595610296148</v>
      </c>
      <c r="AM28" s="439">
        <f t="shared" si="10"/>
        <v>0</v>
      </c>
      <c r="AN28" s="439"/>
      <c r="AO28" s="439">
        <f t="shared" ca="1" si="17"/>
        <v>1.0215152509058769</v>
      </c>
      <c r="AP28" s="442">
        <f t="shared" ca="1" si="17"/>
        <v>8.5374124162127814</v>
      </c>
      <c r="AQ28" s="443"/>
      <c r="AR28" s="435" t="str">
        <f t="shared" si="18"/>
        <v>Any ENERGY STAR (Top- or Front-Load) Clothes Washer - Electric DHW, Electric Dryer - 31% ENERGY STAR Baseline</v>
      </c>
      <c r="AS28" s="437">
        <f t="shared" ca="1" si="19"/>
        <v>144.87540970693988</v>
      </c>
      <c r="AT28" s="438">
        <f t="shared" ca="1" si="20"/>
        <v>27.029144952918685</v>
      </c>
      <c r="AU28" s="439">
        <f t="shared" ca="1" si="21"/>
        <v>0</v>
      </c>
      <c r="AV28" s="439">
        <f t="shared" ca="1" si="22"/>
        <v>726.65551421976352</v>
      </c>
      <c r="AW28" s="439"/>
      <c r="AX28" s="438">
        <f t="shared" ca="1" si="11"/>
        <v>29.706248825117921</v>
      </c>
      <c r="AY28" s="438">
        <f t="shared" ca="1" si="23"/>
        <v>8.5374124162127814</v>
      </c>
      <c r="AZ28" s="443"/>
      <c r="BA28" s="433" t="str">
        <f t="shared" si="24"/>
        <v>Any ENERGY STAR (Top- or Front-Load) Clothes Washer - Electric DHW, Electric Dryer - 31% ENERGY STAR Baseline</v>
      </c>
      <c r="BB28" s="433" t="s">
        <v>25</v>
      </c>
      <c r="BC28" s="438">
        <f t="shared" ca="1" si="25"/>
        <v>27.029144952918685</v>
      </c>
      <c r="BD28" s="438">
        <f>SFAssumptions!$C$7</f>
        <v>14</v>
      </c>
      <c r="BE28" s="444">
        <f t="shared" ca="1" si="26"/>
        <v>144.87540970693988</v>
      </c>
      <c r="BF28" s="433"/>
      <c r="BG28" s="432" t="s">
        <v>157</v>
      </c>
      <c r="BH28" s="445">
        <f t="shared" ca="1" si="27"/>
        <v>8.5374124162127814</v>
      </c>
      <c r="BI28" s="433"/>
      <c r="BJ28" s="433"/>
      <c r="BK28" s="433"/>
      <c r="BL28" s="433"/>
      <c r="BM28" s="433"/>
      <c r="BN28" s="433"/>
      <c r="BO28" s="446">
        <f t="shared" ca="1" si="28"/>
        <v>0</v>
      </c>
      <c r="BP28" s="433" t="s">
        <v>158</v>
      </c>
      <c r="BQ28" s="448"/>
    </row>
    <row r="29" spans="1:69" s="414" customFormat="1">
      <c r="A29" s="433">
        <f t="shared" si="29"/>
        <v>12</v>
      </c>
      <c r="B29" s="433">
        <f t="shared" si="3"/>
        <v>1</v>
      </c>
      <c r="C29" s="433">
        <f t="shared" si="4"/>
        <v>12</v>
      </c>
      <c r="D29" s="433">
        <f t="shared" si="5"/>
        <v>3</v>
      </c>
      <c r="E29" s="433">
        <f t="shared" si="6"/>
        <v>2</v>
      </c>
      <c r="F29" s="433"/>
      <c r="G29" s="433" t="str">
        <f t="shared" si="12"/>
        <v>Current Practice Baseline Using 31% ENERGY STAR Penetration</v>
      </c>
      <c r="H29" s="433" t="str">
        <f t="shared" si="13"/>
        <v>Any ENERGY STAR (Top- or Front-Load)</v>
      </c>
      <c r="I29" s="433" t="str">
        <f t="shared" si="7"/>
        <v>Electric DHW, Gas Dryer</v>
      </c>
      <c r="J29" s="433" t="str">
        <f t="shared" si="8"/>
        <v>Electric DHW</v>
      </c>
      <c r="K29" s="433" t="str">
        <f t="shared" si="9"/>
        <v>Gas Dryer</v>
      </c>
      <c r="L29" s="434">
        <f>VLOOKUP(J29,SFAssumptions!$A$14:$B$16,2,FALSE)</f>
        <v>1</v>
      </c>
      <c r="M29" s="435">
        <f>VLOOKUP(K29,SFAssumptions!$A$18:$B$20,2,FALSE)</f>
        <v>0</v>
      </c>
      <c r="N29" s="436">
        <f ca="1">HLOOKUP($G29,'SFBaselines and Measures'!$C$3:$V$33,7,FALSE)</f>
        <v>4047.8861059902265</v>
      </c>
      <c r="O29" s="437">
        <f ca="1">HLOOKUP($G29,'SFBaselines and Measures'!$C$3:$V$33,8,FALSE)</f>
        <v>776.31603614450796</v>
      </c>
      <c r="P29" s="438">
        <f ca="1">HLOOKUP($G29,'SFBaselines and Measures'!$C$3:$V$33,25,FALSE)</f>
        <v>54.214158734717515</v>
      </c>
      <c r="Q29" s="438"/>
      <c r="R29" s="438">
        <f ca="1">HLOOKUP($G29,'SFBaselines and Measures'!$C$3:$V$33,27,FALSE)</f>
        <v>90.204360816304174</v>
      </c>
      <c r="S29" s="439">
        <f>HLOOKUP($G29,'SFBaselines and Measures'!$C$3:$V$33,29,FALSE)</f>
        <v>0</v>
      </c>
      <c r="T29" s="439"/>
      <c r="U29" s="439">
        <f ca="1">HLOOKUP($G29,'SFBaselines and Measures'!$C$3:$V$33,31,FALSE)</f>
        <v>4.1048997795472824</v>
      </c>
      <c r="V29" s="440">
        <f ca="1">HLOOKUP($G29,'SFBaselines and Measures'!$C$3:$V$33,9,FALSE)</f>
        <v>47.558261685804517</v>
      </c>
      <c r="W29" s="441"/>
      <c r="X29" s="436">
        <f ca="1">HLOOKUP($H29,'SFBaselines and Measures'!$C$2:$V$33,8,FALSE)</f>
        <v>3321.230591770463</v>
      </c>
      <c r="Y29" s="437">
        <f ca="1">HLOOKUP($H29,'SFBaselines and Measures'!$C$2:$V$33,9,FALSE)</f>
        <v>921.19144585144784</v>
      </c>
      <c r="Z29" s="438">
        <f ca="1">HLOOKUP($H29,'SFBaselines and Measures'!$C$2:$V$33,26,FALSE)</f>
        <v>49.632609392094977</v>
      </c>
      <c r="AA29" s="438"/>
      <c r="AB29" s="438">
        <f ca="1">HLOOKUP($H29,'SFBaselines and Measures'!$C$2:$V$33,28,FALSE)</f>
        <v>67.756765206008026</v>
      </c>
      <c r="AC29" s="439">
        <f>HLOOKUP($H29,'SFBaselines and Measures'!$C$2:$V$33,30,FALSE)</f>
        <v>0</v>
      </c>
      <c r="AD29" s="439"/>
      <c r="AE29" s="439">
        <f ca="1">HLOOKUP($H29,'SFBaselines and Measures'!$C$2:$V$33,32,FALSE)</f>
        <v>3.0833845286414054</v>
      </c>
      <c r="AF29" s="440">
        <f ca="1">HLOOKUP($H29,'SFBaselines and Measures'!$C$2:$V$33,10,FALSE)</f>
        <v>39.020849269591736</v>
      </c>
      <c r="AG29" s="441"/>
      <c r="AH29" s="436">
        <f t="shared" ca="1" si="14"/>
        <v>726.65551421976352</v>
      </c>
      <c r="AI29" s="437">
        <f t="shared" ca="1" si="15"/>
        <v>144.87540970693988</v>
      </c>
      <c r="AJ29" s="438">
        <f t="shared" ca="1" si="16"/>
        <v>4.5815493426225373</v>
      </c>
      <c r="AK29" s="438"/>
      <c r="AL29" s="438">
        <f t="shared" ca="1" si="10"/>
        <v>22.447595610296148</v>
      </c>
      <c r="AM29" s="439">
        <f t="shared" si="10"/>
        <v>0</v>
      </c>
      <c r="AN29" s="439"/>
      <c r="AO29" s="439">
        <f t="shared" ca="1" si="17"/>
        <v>1.0215152509058769</v>
      </c>
      <c r="AP29" s="442">
        <f t="shared" ca="1" si="17"/>
        <v>8.5374124162127814</v>
      </c>
      <c r="AQ29" s="443"/>
      <c r="AR29" s="435" t="str">
        <f t="shared" si="18"/>
        <v>Any ENERGY STAR (Top- or Front-Load) Clothes Washer - Electric DHW, Gas Dryer - 31% ENERGY STAR Baseline</v>
      </c>
      <c r="AS29" s="437">
        <f t="shared" ca="1" si="19"/>
        <v>144.87540970693988</v>
      </c>
      <c r="AT29" s="438">
        <f t="shared" ca="1" si="20"/>
        <v>27.029144952918685</v>
      </c>
      <c r="AU29" s="439">
        <f t="shared" ca="1" si="21"/>
        <v>0</v>
      </c>
      <c r="AV29" s="439">
        <f t="shared" ca="1" si="22"/>
        <v>726.65551421976352</v>
      </c>
      <c r="AW29" s="439"/>
      <c r="AX29" s="438">
        <f t="shared" ca="1" si="11"/>
        <v>29.706248825117921</v>
      </c>
      <c r="AY29" s="438">
        <f t="shared" ca="1" si="23"/>
        <v>8.5374124162127814</v>
      </c>
      <c r="AZ29" s="443"/>
      <c r="BA29" s="433" t="str">
        <f t="shared" si="24"/>
        <v>Any ENERGY STAR (Top- or Front-Load) Clothes Washer - Electric DHW, Gas Dryer - 31% ENERGY STAR Baseline</v>
      </c>
      <c r="BB29" s="433" t="s">
        <v>25</v>
      </c>
      <c r="BC29" s="438">
        <f t="shared" ca="1" si="25"/>
        <v>27.029144952918685</v>
      </c>
      <c r="BD29" s="438">
        <f>SFAssumptions!$C$7</f>
        <v>14</v>
      </c>
      <c r="BE29" s="444">
        <f t="shared" ca="1" si="26"/>
        <v>144.87540970693988</v>
      </c>
      <c r="BF29" s="433"/>
      <c r="BG29" s="432" t="s">
        <v>157</v>
      </c>
      <c r="BH29" s="445">
        <f t="shared" ca="1" si="27"/>
        <v>8.5374124162127814</v>
      </c>
      <c r="BI29" s="433"/>
      <c r="BJ29" s="433"/>
      <c r="BK29" s="433"/>
      <c r="BL29" s="433"/>
      <c r="BM29" s="433"/>
      <c r="BN29" s="433"/>
      <c r="BO29" s="446">
        <f t="shared" ca="1" si="28"/>
        <v>0</v>
      </c>
      <c r="BP29" s="433" t="s">
        <v>158</v>
      </c>
      <c r="BQ29" s="447"/>
    </row>
    <row r="30" spans="1:69" s="414" customFormat="1">
      <c r="A30" s="433">
        <f t="shared" si="29"/>
        <v>13</v>
      </c>
      <c r="B30" s="433">
        <f t="shared" si="3"/>
        <v>1</v>
      </c>
      <c r="C30" s="433">
        <f t="shared" si="4"/>
        <v>13</v>
      </c>
      <c r="D30" s="433">
        <f t="shared" si="5"/>
        <v>3</v>
      </c>
      <c r="E30" s="433">
        <f t="shared" si="6"/>
        <v>3</v>
      </c>
      <c r="F30" s="433"/>
      <c r="G30" s="433" t="str">
        <f t="shared" si="12"/>
        <v>Current Practice Baseline Using 31% ENERGY STAR Penetration</v>
      </c>
      <c r="H30" s="433" t="str">
        <f t="shared" si="13"/>
        <v>Any ENERGY STAR (Top- or Front-Load)</v>
      </c>
      <c r="I30" s="433" t="str">
        <f t="shared" si="7"/>
        <v>Gas DHW, Electric Dryer</v>
      </c>
      <c r="J30" s="433" t="str">
        <f t="shared" si="8"/>
        <v>Gas DHW</v>
      </c>
      <c r="K30" s="433" t="str">
        <f t="shared" si="9"/>
        <v>Electric Dryer</v>
      </c>
      <c r="L30" s="434">
        <f>VLOOKUP(J30,SFAssumptions!$A$14:$B$16,2,FALSE)</f>
        <v>0</v>
      </c>
      <c r="M30" s="435">
        <f>VLOOKUP(K30,SFAssumptions!$A$18:$B$20,2,FALSE)</f>
        <v>1</v>
      </c>
      <c r="N30" s="436">
        <f ca="1">HLOOKUP($G30,'SFBaselines and Measures'!$C$3:$V$33,7,FALSE)</f>
        <v>4047.8861059902265</v>
      </c>
      <c r="O30" s="437">
        <f ca="1">HLOOKUP($G30,'SFBaselines and Measures'!$C$3:$V$33,8,FALSE)</f>
        <v>776.31603614450796</v>
      </c>
      <c r="P30" s="438">
        <f ca="1">HLOOKUP($G30,'SFBaselines and Measures'!$C$3:$V$33,25,FALSE)</f>
        <v>54.214158734717515</v>
      </c>
      <c r="Q30" s="438"/>
      <c r="R30" s="438">
        <f ca="1">HLOOKUP($G30,'SFBaselines and Measures'!$C$3:$V$33,27,FALSE)</f>
        <v>90.204360816304174</v>
      </c>
      <c r="S30" s="439">
        <f>HLOOKUP($G30,'SFBaselines and Measures'!$C$3:$V$33,29,FALSE)</f>
        <v>0</v>
      </c>
      <c r="T30" s="439"/>
      <c r="U30" s="439">
        <f ca="1">HLOOKUP($G30,'SFBaselines and Measures'!$C$3:$V$33,31,FALSE)</f>
        <v>4.1048997795472824</v>
      </c>
      <c r="V30" s="440">
        <f ca="1">HLOOKUP($G30,'SFBaselines and Measures'!$C$3:$V$33,9,FALSE)</f>
        <v>47.558261685804517</v>
      </c>
      <c r="W30" s="441"/>
      <c r="X30" s="436">
        <f ca="1">HLOOKUP($H30,'SFBaselines and Measures'!$C$2:$V$33,8,FALSE)</f>
        <v>3321.230591770463</v>
      </c>
      <c r="Y30" s="437">
        <f ca="1">HLOOKUP($H30,'SFBaselines and Measures'!$C$2:$V$33,9,FALSE)</f>
        <v>921.19144585144784</v>
      </c>
      <c r="Z30" s="438">
        <f ca="1">HLOOKUP($H30,'SFBaselines and Measures'!$C$2:$V$33,26,FALSE)</f>
        <v>49.632609392094977</v>
      </c>
      <c r="AA30" s="438"/>
      <c r="AB30" s="438">
        <f ca="1">HLOOKUP($H30,'SFBaselines and Measures'!$C$2:$V$33,28,FALSE)</f>
        <v>67.756765206008026</v>
      </c>
      <c r="AC30" s="439">
        <f>HLOOKUP($H30,'SFBaselines and Measures'!$C$2:$V$33,30,FALSE)</f>
        <v>0</v>
      </c>
      <c r="AD30" s="439"/>
      <c r="AE30" s="439">
        <f ca="1">HLOOKUP($H30,'SFBaselines and Measures'!$C$2:$V$33,32,FALSE)</f>
        <v>3.0833845286414054</v>
      </c>
      <c r="AF30" s="440">
        <f ca="1">HLOOKUP($H30,'SFBaselines and Measures'!$C$2:$V$33,10,FALSE)</f>
        <v>39.020849269591736</v>
      </c>
      <c r="AG30" s="441"/>
      <c r="AH30" s="436">
        <f t="shared" ca="1" si="14"/>
        <v>726.65551421976352</v>
      </c>
      <c r="AI30" s="437">
        <f t="shared" ca="1" si="15"/>
        <v>144.87540970693988</v>
      </c>
      <c r="AJ30" s="438">
        <f t="shared" ca="1" si="16"/>
        <v>4.5815493426225373</v>
      </c>
      <c r="AK30" s="438"/>
      <c r="AL30" s="438">
        <f t="shared" ca="1" si="10"/>
        <v>22.447595610296148</v>
      </c>
      <c r="AM30" s="439">
        <f t="shared" si="10"/>
        <v>0</v>
      </c>
      <c r="AN30" s="439"/>
      <c r="AO30" s="439">
        <f t="shared" ca="1" si="17"/>
        <v>1.0215152509058769</v>
      </c>
      <c r="AP30" s="442">
        <f t="shared" ca="1" si="17"/>
        <v>8.5374124162127814</v>
      </c>
      <c r="AQ30" s="443"/>
      <c r="AR30" s="435" t="str">
        <f t="shared" si="18"/>
        <v>Any ENERGY STAR (Top- or Front-Load) Clothes Washer - Gas DHW, Electric Dryer - 31% ENERGY STAR Baseline</v>
      </c>
      <c r="AS30" s="437">
        <f t="shared" ca="1" si="19"/>
        <v>144.87540970693988</v>
      </c>
      <c r="AT30" s="438">
        <f t="shared" ca="1" si="20"/>
        <v>4.5815493426225373</v>
      </c>
      <c r="AU30" s="439">
        <f t="shared" ca="1" si="21"/>
        <v>1.0215152509058769</v>
      </c>
      <c r="AV30" s="439">
        <f t="shared" ca="1" si="22"/>
        <v>726.65551421976352</v>
      </c>
      <c r="AW30" s="439"/>
      <c r="AX30" s="438">
        <f t="shared" ca="1" si="11"/>
        <v>7.2586532148217753</v>
      </c>
      <c r="AY30" s="438">
        <f t="shared" ca="1" si="23"/>
        <v>8.5374124162127814</v>
      </c>
      <c r="AZ30" s="443"/>
      <c r="BA30" s="433" t="str">
        <f t="shared" si="24"/>
        <v>Any ENERGY STAR (Top- or Front-Load) Clothes Washer - Gas DHW, Electric Dryer - 31% ENERGY STAR Baseline</v>
      </c>
      <c r="BB30" s="433" t="s">
        <v>25</v>
      </c>
      <c r="BC30" s="438">
        <f t="shared" ca="1" si="25"/>
        <v>4.5815493426225373</v>
      </c>
      <c r="BD30" s="438">
        <f>SFAssumptions!$C$7</f>
        <v>14</v>
      </c>
      <c r="BE30" s="444">
        <f t="shared" ca="1" si="26"/>
        <v>144.87540970693988</v>
      </c>
      <c r="BF30" s="433"/>
      <c r="BG30" s="432" t="s">
        <v>157</v>
      </c>
      <c r="BH30" s="445">
        <f t="shared" ca="1" si="27"/>
        <v>8.5374124162127814</v>
      </c>
      <c r="BI30" s="433"/>
      <c r="BJ30" s="433"/>
      <c r="BK30" s="433"/>
      <c r="BL30" s="433"/>
      <c r="BM30" s="433"/>
      <c r="BN30" s="433"/>
      <c r="BO30" s="446">
        <f t="shared" ca="1" si="28"/>
        <v>1.0215152509058769</v>
      </c>
      <c r="BP30" s="433" t="s">
        <v>158</v>
      </c>
    </row>
    <row r="31" spans="1:69" s="414" customFormat="1">
      <c r="A31" s="433">
        <f t="shared" si="29"/>
        <v>14</v>
      </c>
      <c r="B31" s="433">
        <f t="shared" si="3"/>
        <v>1</v>
      </c>
      <c r="C31" s="433">
        <f t="shared" si="4"/>
        <v>14</v>
      </c>
      <c r="D31" s="433">
        <f t="shared" si="5"/>
        <v>3</v>
      </c>
      <c r="E31" s="433">
        <f t="shared" si="6"/>
        <v>4</v>
      </c>
      <c r="F31" s="433"/>
      <c r="G31" s="433" t="str">
        <f t="shared" si="12"/>
        <v>Current Practice Baseline Using 31% ENERGY STAR Penetration</v>
      </c>
      <c r="H31" s="433" t="str">
        <f t="shared" si="13"/>
        <v>Any ENERGY STAR (Top- or Front-Load)</v>
      </c>
      <c r="I31" s="433" t="str">
        <f t="shared" si="7"/>
        <v>Gas DHW, Gas Dryer</v>
      </c>
      <c r="J31" s="433" t="str">
        <f t="shared" si="8"/>
        <v>Gas DHW</v>
      </c>
      <c r="K31" s="433" t="str">
        <f t="shared" si="9"/>
        <v>Gas Dryer</v>
      </c>
      <c r="L31" s="434">
        <f>VLOOKUP(J31,SFAssumptions!$A$14:$B$16,2,FALSE)</f>
        <v>0</v>
      </c>
      <c r="M31" s="435">
        <f>VLOOKUP(K31,SFAssumptions!$A$18:$B$20,2,FALSE)</f>
        <v>0</v>
      </c>
      <c r="N31" s="436">
        <f ca="1">HLOOKUP($G31,'SFBaselines and Measures'!$C$3:$V$33,7,FALSE)</f>
        <v>4047.8861059902265</v>
      </c>
      <c r="O31" s="437">
        <f ca="1">HLOOKUP($G31,'SFBaselines and Measures'!$C$3:$V$33,8,FALSE)</f>
        <v>776.31603614450796</v>
      </c>
      <c r="P31" s="438">
        <f ca="1">HLOOKUP($G31,'SFBaselines and Measures'!$C$3:$V$33,25,FALSE)</f>
        <v>54.214158734717515</v>
      </c>
      <c r="Q31" s="438"/>
      <c r="R31" s="438">
        <f ca="1">HLOOKUP($G31,'SFBaselines and Measures'!$C$3:$V$33,27,FALSE)</f>
        <v>90.204360816304174</v>
      </c>
      <c r="S31" s="439">
        <f>HLOOKUP($G31,'SFBaselines and Measures'!$C$3:$V$33,29,FALSE)</f>
        <v>0</v>
      </c>
      <c r="T31" s="439"/>
      <c r="U31" s="439">
        <f ca="1">HLOOKUP($G31,'SFBaselines and Measures'!$C$3:$V$33,31,FALSE)</f>
        <v>4.1048997795472824</v>
      </c>
      <c r="V31" s="440">
        <f ca="1">HLOOKUP($G31,'SFBaselines and Measures'!$C$3:$V$33,9,FALSE)</f>
        <v>47.558261685804517</v>
      </c>
      <c r="W31" s="441"/>
      <c r="X31" s="436">
        <f ca="1">HLOOKUP($H31,'SFBaselines and Measures'!$C$2:$V$33,8,FALSE)</f>
        <v>3321.230591770463</v>
      </c>
      <c r="Y31" s="437">
        <f ca="1">HLOOKUP($H31,'SFBaselines and Measures'!$C$2:$V$33,9,FALSE)</f>
        <v>921.19144585144784</v>
      </c>
      <c r="Z31" s="438">
        <f ca="1">HLOOKUP($H31,'SFBaselines and Measures'!$C$2:$V$33,26,FALSE)</f>
        <v>49.632609392094977</v>
      </c>
      <c r="AA31" s="438"/>
      <c r="AB31" s="438">
        <f ca="1">HLOOKUP($H31,'SFBaselines and Measures'!$C$2:$V$33,28,FALSE)</f>
        <v>67.756765206008026</v>
      </c>
      <c r="AC31" s="439">
        <f>HLOOKUP($H31,'SFBaselines and Measures'!$C$2:$V$33,30,FALSE)</f>
        <v>0</v>
      </c>
      <c r="AD31" s="439"/>
      <c r="AE31" s="439">
        <f ca="1">HLOOKUP($H31,'SFBaselines and Measures'!$C$2:$V$33,32,FALSE)</f>
        <v>3.0833845286414054</v>
      </c>
      <c r="AF31" s="440">
        <f ca="1">HLOOKUP($H31,'SFBaselines and Measures'!$C$2:$V$33,10,FALSE)</f>
        <v>39.020849269591736</v>
      </c>
      <c r="AG31" s="441"/>
      <c r="AH31" s="436">
        <f t="shared" ca="1" si="14"/>
        <v>726.65551421976352</v>
      </c>
      <c r="AI31" s="437">
        <f t="shared" ca="1" si="15"/>
        <v>144.87540970693988</v>
      </c>
      <c r="AJ31" s="438">
        <f t="shared" ca="1" si="16"/>
        <v>4.5815493426225373</v>
      </c>
      <c r="AK31" s="438"/>
      <c r="AL31" s="438">
        <f t="shared" ca="1" si="10"/>
        <v>22.447595610296148</v>
      </c>
      <c r="AM31" s="439">
        <f t="shared" si="10"/>
        <v>0</v>
      </c>
      <c r="AN31" s="439"/>
      <c r="AO31" s="439">
        <f t="shared" ca="1" si="17"/>
        <v>1.0215152509058769</v>
      </c>
      <c r="AP31" s="442">
        <f t="shared" ca="1" si="17"/>
        <v>8.5374124162127814</v>
      </c>
      <c r="AQ31" s="443"/>
      <c r="AR31" s="435" t="str">
        <f t="shared" si="18"/>
        <v>Any ENERGY STAR (Top- or Front-Load) Clothes Washer - Gas DHW, Gas Dryer - 31% ENERGY STAR Baseline</v>
      </c>
      <c r="AS31" s="437">
        <f t="shared" ca="1" si="19"/>
        <v>144.87540970693988</v>
      </c>
      <c r="AT31" s="438">
        <f t="shared" ca="1" si="20"/>
        <v>4.5815493426225373</v>
      </c>
      <c r="AU31" s="439">
        <f t="shared" ca="1" si="21"/>
        <v>1.0215152509058769</v>
      </c>
      <c r="AV31" s="439">
        <f t="shared" ca="1" si="22"/>
        <v>726.65551421976352</v>
      </c>
      <c r="AW31" s="439"/>
      <c r="AX31" s="438">
        <f t="shared" ca="1" si="11"/>
        <v>7.2586532148217753</v>
      </c>
      <c r="AY31" s="438">
        <f t="shared" ca="1" si="23"/>
        <v>8.5374124162127814</v>
      </c>
      <c r="AZ31" s="443"/>
      <c r="BA31" s="433" t="str">
        <f t="shared" si="24"/>
        <v>Any ENERGY STAR (Top- or Front-Load) Clothes Washer - Gas DHW, Gas Dryer - 31% ENERGY STAR Baseline</v>
      </c>
      <c r="BB31" s="433" t="s">
        <v>25</v>
      </c>
      <c r="BC31" s="438">
        <f t="shared" ca="1" si="25"/>
        <v>4.5815493426225373</v>
      </c>
      <c r="BD31" s="438">
        <f>SFAssumptions!$C$7</f>
        <v>14</v>
      </c>
      <c r="BE31" s="444">
        <f t="shared" ca="1" si="26"/>
        <v>144.87540970693988</v>
      </c>
      <c r="BF31" s="433"/>
      <c r="BG31" s="432" t="s">
        <v>157</v>
      </c>
      <c r="BH31" s="445">
        <f t="shared" ca="1" si="27"/>
        <v>8.5374124162127814</v>
      </c>
      <c r="BI31" s="433"/>
      <c r="BJ31" s="433"/>
      <c r="BK31" s="433"/>
      <c r="BL31" s="433"/>
      <c r="BM31" s="433"/>
      <c r="BN31" s="433"/>
      <c r="BO31" s="446">
        <f t="shared" ca="1" si="28"/>
        <v>1.0215152509058769</v>
      </c>
      <c r="BP31" s="433" t="s">
        <v>158</v>
      </c>
    </row>
    <row r="32" spans="1:69" s="414" customFormat="1">
      <c r="A32" s="433">
        <f t="shared" si="29"/>
        <v>15</v>
      </c>
      <c r="B32" s="433">
        <f t="shared" si="3"/>
        <v>1</v>
      </c>
      <c r="C32" s="433">
        <f t="shared" si="4"/>
        <v>15</v>
      </c>
      <c r="D32" s="433">
        <f t="shared" si="5"/>
        <v>3</v>
      </c>
      <c r="E32" s="433">
        <f t="shared" si="6"/>
        <v>5</v>
      </c>
      <c r="F32" s="433"/>
      <c r="G32" s="433" t="str">
        <f t="shared" si="12"/>
        <v>Current Practice Baseline Using 31% ENERGY STAR Penetration</v>
      </c>
      <c r="H32" s="433" t="str">
        <f t="shared" si="13"/>
        <v>Any ENERGY STAR (Top- or Front-Load)</v>
      </c>
      <c r="I32" s="433" t="str">
        <f t="shared" si="7"/>
        <v>Any DHW, Any Dryer</v>
      </c>
      <c r="J32" s="433" t="str">
        <f t="shared" si="8"/>
        <v>Any DHW</v>
      </c>
      <c r="K32" s="433" t="str">
        <f t="shared" si="9"/>
        <v>Any Dryer</v>
      </c>
      <c r="L32" s="434">
        <f>VLOOKUP(J32,SFAssumptions!$A$14:$B$16,2,FALSE)</f>
        <v>0.55200000000000005</v>
      </c>
      <c r="M32" s="435">
        <f>VLOOKUP(K32,SFAssumptions!$A$18:$B$20,2,FALSE)</f>
        <v>0.95</v>
      </c>
      <c r="N32" s="436">
        <f ca="1">HLOOKUP($G32,'SFBaselines and Measures'!$C$3:$V$33,7,FALSE)</f>
        <v>4047.8861059902265</v>
      </c>
      <c r="O32" s="437">
        <f ca="1">HLOOKUP($G32,'SFBaselines and Measures'!$C$3:$V$33,8,FALSE)</f>
        <v>776.31603614450796</v>
      </c>
      <c r="P32" s="438">
        <f ca="1">HLOOKUP($G32,'SFBaselines and Measures'!$C$3:$V$33,25,FALSE)</f>
        <v>54.214158734717515</v>
      </c>
      <c r="Q32" s="438"/>
      <c r="R32" s="438">
        <f ca="1">HLOOKUP($G32,'SFBaselines and Measures'!$C$3:$V$33,27,FALSE)</f>
        <v>90.204360816304174</v>
      </c>
      <c r="S32" s="439">
        <f>HLOOKUP($G32,'SFBaselines and Measures'!$C$3:$V$33,29,FALSE)</f>
        <v>0</v>
      </c>
      <c r="T32" s="439"/>
      <c r="U32" s="439">
        <f ca="1">HLOOKUP($G32,'SFBaselines and Measures'!$C$3:$V$33,31,FALSE)</f>
        <v>4.1048997795472824</v>
      </c>
      <c r="V32" s="440">
        <f ca="1">HLOOKUP($G32,'SFBaselines and Measures'!$C$3:$V$33,9,FALSE)</f>
        <v>47.558261685804517</v>
      </c>
      <c r="W32" s="441"/>
      <c r="X32" s="436">
        <f ca="1">HLOOKUP($H32,'SFBaselines and Measures'!$C$2:$V$33,8,FALSE)</f>
        <v>3321.230591770463</v>
      </c>
      <c r="Y32" s="437">
        <f ca="1">HLOOKUP($H32,'SFBaselines and Measures'!$C$2:$V$33,9,FALSE)</f>
        <v>921.19144585144784</v>
      </c>
      <c r="Z32" s="438">
        <f ca="1">HLOOKUP($H32,'SFBaselines and Measures'!$C$2:$V$33,26,FALSE)</f>
        <v>49.632609392094977</v>
      </c>
      <c r="AA32" s="438"/>
      <c r="AB32" s="438">
        <f ca="1">HLOOKUP($H32,'SFBaselines and Measures'!$C$2:$V$33,28,FALSE)</f>
        <v>67.756765206008026</v>
      </c>
      <c r="AC32" s="439">
        <f>HLOOKUP($H32,'SFBaselines and Measures'!$C$2:$V$33,30,FALSE)</f>
        <v>0</v>
      </c>
      <c r="AD32" s="439"/>
      <c r="AE32" s="439">
        <f ca="1">HLOOKUP($H32,'SFBaselines and Measures'!$C$2:$V$33,32,FALSE)</f>
        <v>3.0833845286414054</v>
      </c>
      <c r="AF32" s="440">
        <f ca="1">HLOOKUP($H32,'SFBaselines and Measures'!$C$2:$V$33,10,FALSE)</f>
        <v>39.020849269591736</v>
      </c>
      <c r="AG32" s="441"/>
      <c r="AH32" s="436">
        <f t="shared" ca="1" si="14"/>
        <v>726.65551421976352</v>
      </c>
      <c r="AI32" s="437">
        <f t="shared" ca="1" si="15"/>
        <v>144.87540970693988</v>
      </c>
      <c r="AJ32" s="438">
        <f t="shared" ca="1" si="16"/>
        <v>4.5815493426225373</v>
      </c>
      <c r="AK32" s="438"/>
      <c r="AL32" s="438">
        <f t="shared" ca="1" si="10"/>
        <v>22.447595610296148</v>
      </c>
      <c r="AM32" s="439">
        <f t="shared" si="10"/>
        <v>0</v>
      </c>
      <c r="AN32" s="439"/>
      <c r="AO32" s="439">
        <f t="shared" ca="1" si="17"/>
        <v>1.0215152509058769</v>
      </c>
      <c r="AP32" s="442">
        <f t="shared" ca="1" si="17"/>
        <v>8.5374124162127814</v>
      </c>
      <c r="AQ32" s="443"/>
      <c r="AR32" s="435" t="str">
        <f t="shared" si="18"/>
        <v>Any ENERGY STAR (Top- or Front-Load) Clothes Washer - Any DHW, Any Dryer - 31% ENERGY STAR Baseline</v>
      </c>
      <c r="AS32" s="437">
        <f t="shared" ca="1" si="19"/>
        <v>144.87540970693988</v>
      </c>
      <c r="AT32" s="438">
        <f t="shared" ca="1" si="20"/>
        <v>16.972622119506013</v>
      </c>
      <c r="AU32" s="439">
        <f t="shared" ca="1" si="21"/>
        <v>0.45763883240583281</v>
      </c>
      <c r="AV32" s="439">
        <f t="shared" ca="1" si="22"/>
        <v>726.65551421976352</v>
      </c>
      <c r="AW32" s="439"/>
      <c r="AX32" s="438">
        <f t="shared" ca="1" si="11"/>
        <v>19.64972599170525</v>
      </c>
      <c r="AY32" s="438">
        <f t="shared" ca="1" si="23"/>
        <v>8.5374124162127814</v>
      </c>
      <c r="AZ32" s="443"/>
      <c r="BA32" s="433" t="str">
        <f t="shared" si="24"/>
        <v>Any ENERGY STAR (Top- or Front-Load) Clothes Washer - Any DHW, Any Dryer - 31% ENERGY STAR Baseline</v>
      </c>
      <c r="BB32" s="433" t="s">
        <v>25</v>
      </c>
      <c r="BC32" s="438">
        <f t="shared" ca="1" si="25"/>
        <v>16.972622119506013</v>
      </c>
      <c r="BD32" s="438">
        <f>SFAssumptions!$C$7</f>
        <v>14</v>
      </c>
      <c r="BE32" s="444">
        <f t="shared" ca="1" si="26"/>
        <v>144.87540970693988</v>
      </c>
      <c r="BF32" s="433"/>
      <c r="BG32" s="432" t="s">
        <v>157</v>
      </c>
      <c r="BH32" s="445">
        <f t="shared" ca="1" si="27"/>
        <v>8.5374124162127814</v>
      </c>
      <c r="BI32" s="433"/>
      <c r="BJ32" s="433"/>
      <c r="BK32" s="433"/>
      <c r="BL32" s="433"/>
      <c r="BM32" s="433"/>
      <c r="BN32" s="433"/>
      <c r="BO32" s="446">
        <f t="shared" ca="1" si="28"/>
        <v>0.45763883240583281</v>
      </c>
      <c r="BP32" s="433" t="s">
        <v>158</v>
      </c>
    </row>
    <row r="33" spans="1:68" s="414" customFormat="1">
      <c r="A33" s="433">
        <f t="shared" si="29"/>
        <v>16</v>
      </c>
      <c r="B33" s="433">
        <f t="shared" si="3"/>
        <v>1</v>
      </c>
      <c r="C33" s="433">
        <f t="shared" si="4"/>
        <v>16</v>
      </c>
      <c r="D33" s="433">
        <f t="shared" si="5"/>
        <v>4</v>
      </c>
      <c r="E33" s="433">
        <f t="shared" si="6"/>
        <v>1</v>
      </c>
      <c r="F33" s="433"/>
      <c r="G33" s="433" t="str">
        <f t="shared" si="12"/>
        <v>Current Practice Baseline Using 31% ENERGY STAR Penetration</v>
      </c>
      <c r="H33" s="433" t="str">
        <f t="shared" si="13"/>
        <v>CEE Tier 1</v>
      </c>
      <c r="I33" s="433" t="str">
        <f t="shared" si="7"/>
        <v>Electric DHW, Electric Dryer</v>
      </c>
      <c r="J33" s="433" t="str">
        <f t="shared" si="8"/>
        <v>Electric DHW</v>
      </c>
      <c r="K33" s="433" t="str">
        <f t="shared" si="9"/>
        <v>Electric Dryer</v>
      </c>
      <c r="L33" s="434">
        <f>VLOOKUP(J33,SFAssumptions!$A$14:$B$16,2,FALSE)</f>
        <v>1</v>
      </c>
      <c r="M33" s="435">
        <f>VLOOKUP(K33,SFAssumptions!$A$18:$B$20,2,FALSE)</f>
        <v>1</v>
      </c>
      <c r="N33" s="436">
        <f ca="1">HLOOKUP($G33,'SFBaselines and Measures'!$C$3:$V$33,7,FALSE)</f>
        <v>4047.8861059902265</v>
      </c>
      <c r="O33" s="437">
        <f ca="1">HLOOKUP($G33,'SFBaselines and Measures'!$C$3:$V$33,8,FALSE)</f>
        <v>776.31603614450796</v>
      </c>
      <c r="P33" s="438">
        <f ca="1">HLOOKUP($G33,'SFBaselines and Measures'!$C$3:$V$33,25,FALSE)</f>
        <v>54.214158734717515</v>
      </c>
      <c r="Q33" s="438"/>
      <c r="R33" s="438">
        <f ca="1">HLOOKUP($G33,'SFBaselines and Measures'!$C$3:$V$33,27,FALSE)</f>
        <v>90.204360816304174</v>
      </c>
      <c r="S33" s="439">
        <f>HLOOKUP($G33,'SFBaselines and Measures'!$C$3:$V$33,29,FALSE)</f>
        <v>0</v>
      </c>
      <c r="T33" s="439"/>
      <c r="U33" s="439">
        <f ca="1">HLOOKUP($G33,'SFBaselines and Measures'!$C$3:$V$33,31,FALSE)</f>
        <v>4.1048997795472824</v>
      </c>
      <c r="V33" s="440">
        <f ca="1">HLOOKUP($G33,'SFBaselines and Measures'!$C$3:$V$33,9,FALSE)</f>
        <v>47.558261685804517</v>
      </c>
      <c r="W33" s="441"/>
      <c r="X33" s="436">
        <f ca="1">HLOOKUP($H33,'SFBaselines and Measures'!$C$2:$V$33,8,FALSE)</f>
        <v>3186.6458062683578</v>
      </c>
      <c r="Y33" s="437">
        <f ca="1">HLOOKUP($H33,'SFBaselines and Measures'!$C$2:$V$33,9,FALSE)</f>
        <v>951.49912384722427</v>
      </c>
      <c r="Z33" s="438">
        <f ca="1">HLOOKUP($H33,'SFBaselines and Measures'!$C$2:$V$33,26,FALSE)</f>
        <v>49.625920476513251</v>
      </c>
      <c r="AA33" s="438"/>
      <c r="AB33" s="438">
        <f ca="1">HLOOKUP($H33,'SFBaselines and Measures'!$C$2:$V$33,28,FALSE)</f>
        <v>65.002325772243466</v>
      </c>
      <c r="AC33" s="439">
        <f>HLOOKUP($H33,'SFBaselines and Measures'!$C$2:$V$33,30,FALSE)</f>
        <v>0</v>
      </c>
      <c r="AD33" s="439"/>
      <c r="AE33" s="439">
        <f ca="1">HLOOKUP($H33,'SFBaselines and Measures'!$C$2:$V$33,32,FALSE)</f>
        <v>2.9580391714755589</v>
      </c>
      <c r="AF33" s="440">
        <f ca="1">HLOOKUP($H33,'SFBaselines and Measures'!$C$2:$V$33,10,FALSE)</f>
        <v>37.439624333849331</v>
      </c>
      <c r="AG33" s="441"/>
      <c r="AH33" s="436">
        <f t="shared" ca="1" si="14"/>
        <v>861.24029972186872</v>
      </c>
      <c r="AI33" s="437">
        <f t="shared" ca="1" si="15"/>
        <v>175.18308770271631</v>
      </c>
      <c r="AJ33" s="438">
        <f t="shared" ca="1" si="16"/>
        <v>4.5882382582042638</v>
      </c>
      <c r="AK33" s="438"/>
      <c r="AL33" s="438">
        <f t="shared" ca="1" si="10"/>
        <v>25.202035044060707</v>
      </c>
      <c r="AM33" s="439">
        <f t="shared" si="10"/>
        <v>0</v>
      </c>
      <c r="AN33" s="439"/>
      <c r="AO33" s="439">
        <f t="shared" ca="1" si="17"/>
        <v>1.1468606080717234</v>
      </c>
      <c r="AP33" s="442">
        <f t="shared" ca="1" si="17"/>
        <v>10.118637351955186</v>
      </c>
      <c r="AQ33" s="443"/>
      <c r="AR33" s="435" t="str">
        <f t="shared" si="18"/>
        <v>CEE Tier 1 Clothes Washer - Electric DHW, Electric Dryer - 31% ENERGY STAR Baseline</v>
      </c>
      <c r="AS33" s="437">
        <f t="shared" ca="1" si="19"/>
        <v>175.18308770271631</v>
      </c>
      <c r="AT33" s="438">
        <f t="shared" ca="1" si="20"/>
        <v>29.790273302264971</v>
      </c>
      <c r="AU33" s="439">
        <f t="shared" ca="1" si="21"/>
        <v>0</v>
      </c>
      <c r="AV33" s="439">
        <f t="shared" ca="1" si="22"/>
        <v>861.24029972186872</v>
      </c>
      <c r="AW33" s="439"/>
      <c r="AX33" s="438">
        <f t="shared" ca="1" si="11"/>
        <v>32.963206963623179</v>
      </c>
      <c r="AY33" s="438">
        <f t="shared" ca="1" si="23"/>
        <v>10.118637351955186</v>
      </c>
      <c r="AZ33" s="443"/>
      <c r="BA33" s="433" t="str">
        <f t="shared" si="24"/>
        <v>CEE Tier 1 Clothes Washer - Electric DHW, Electric Dryer - 31% ENERGY STAR Baseline</v>
      </c>
      <c r="BB33" s="433" t="s">
        <v>25</v>
      </c>
      <c r="BC33" s="438">
        <f t="shared" ca="1" si="25"/>
        <v>29.790273302264971</v>
      </c>
      <c r="BD33" s="438">
        <f>SFAssumptions!$C$7</f>
        <v>14</v>
      </c>
      <c r="BE33" s="444">
        <f t="shared" ca="1" si="26"/>
        <v>175.18308770271631</v>
      </c>
      <c r="BF33" s="433"/>
      <c r="BG33" s="432" t="s">
        <v>157</v>
      </c>
      <c r="BH33" s="445">
        <f t="shared" ca="1" si="27"/>
        <v>10.118637351955186</v>
      </c>
      <c r="BI33" s="433"/>
      <c r="BJ33" s="433"/>
      <c r="BK33" s="433"/>
      <c r="BL33" s="433"/>
      <c r="BM33" s="433"/>
      <c r="BN33" s="433"/>
      <c r="BO33" s="446">
        <f t="shared" ca="1" si="28"/>
        <v>0</v>
      </c>
      <c r="BP33" s="433" t="s">
        <v>158</v>
      </c>
    </row>
    <row r="34" spans="1:68" s="414" customFormat="1">
      <c r="A34" s="433">
        <f t="shared" si="29"/>
        <v>17</v>
      </c>
      <c r="B34" s="433">
        <f t="shared" si="3"/>
        <v>1</v>
      </c>
      <c r="C34" s="433">
        <f t="shared" si="4"/>
        <v>17</v>
      </c>
      <c r="D34" s="433">
        <f t="shared" si="5"/>
        <v>4</v>
      </c>
      <c r="E34" s="433">
        <f t="shared" si="6"/>
        <v>2</v>
      </c>
      <c r="F34" s="433"/>
      <c r="G34" s="433" t="str">
        <f t="shared" si="12"/>
        <v>Current Practice Baseline Using 31% ENERGY STAR Penetration</v>
      </c>
      <c r="H34" s="433" t="str">
        <f t="shared" si="13"/>
        <v>CEE Tier 1</v>
      </c>
      <c r="I34" s="433" t="str">
        <f t="shared" si="7"/>
        <v>Electric DHW, Gas Dryer</v>
      </c>
      <c r="J34" s="433" t="str">
        <f t="shared" si="8"/>
        <v>Electric DHW</v>
      </c>
      <c r="K34" s="433" t="str">
        <f t="shared" si="9"/>
        <v>Gas Dryer</v>
      </c>
      <c r="L34" s="434">
        <f>VLOOKUP(J34,SFAssumptions!$A$14:$B$16,2,FALSE)</f>
        <v>1</v>
      </c>
      <c r="M34" s="435">
        <f>VLOOKUP(K34,SFAssumptions!$A$18:$B$20,2,FALSE)</f>
        <v>0</v>
      </c>
      <c r="N34" s="436">
        <f ca="1">HLOOKUP($G34,'SFBaselines and Measures'!$C$3:$V$33,7,FALSE)</f>
        <v>4047.8861059902265</v>
      </c>
      <c r="O34" s="437">
        <f ca="1">HLOOKUP($G34,'SFBaselines and Measures'!$C$3:$V$33,8,FALSE)</f>
        <v>776.31603614450796</v>
      </c>
      <c r="P34" s="438">
        <f ca="1">HLOOKUP($G34,'SFBaselines and Measures'!$C$3:$V$33,25,FALSE)</f>
        <v>54.214158734717515</v>
      </c>
      <c r="Q34" s="438"/>
      <c r="R34" s="438">
        <f ca="1">HLOOKUP($G34,'SFBaselines and Measures'!$C$3:$V$33,27,FALSE)</f>
        <v>90.204360816304174</v>
      </c>
      <c r="S34" s="439">
        <f>HLOOKUP($G34,'SFBaselines and Measures'!$C$3:$V$33,29,FALSE)</f>
        <v>0</v>
      </c>
      <c r="T34" s="439"/>
      <c r="U34" s="439">
        <f ca="1">HLOOKUP($G34,'SFBaselines and Measures'!$C$3:$V$33,31,FALSE)</f>
        <v>4.1048997795472824</v>
      </c>
      <c r="V34" s="440">
        <f ca="1">HLOOKUP($G34,'SFBaselines and Measures'!$C$3:$V$33,9,FALSE)</f>
        <v>47.558261685804517</v>
      </c>
      <c r="W34" s="441"/>
      <c r="X34" s="436">
        <f ca="1">HLOOKUP($H34,'SFBaselines and Measures'!$C$2:$V$33,8,FALSE)</f>
        <v>3186.6458062683578</v>
      </c>
      <c r="Y34" s="437">
        <f ca="1">HLOOKUP($H34,'SFBaselines and Measures'!$C$2:$V$33,9,FALSE)</f>
        <v>951.49912384722427</v>
      </c>
      <c r="Z34" s="438">
        <f ca="1">HLOOKUP($H34,'SFBaselines and Measures'!$C$2:$V$33,26,FALSE)</f>
        <v>49.625920476513251</v>
      </c>
      <c r="AA34" s="438"/>
      <c r="AB34" s="438">
        <f ca="1">HLOOKUP($H34,'SFBaselines and Measures'!$C$2:$V$33,28,FALSE)</f>
        <v>65.002325772243466</v>
      </c>
      <c r="AC34" s="439">
        <f>HLOOKUP($H34,'SFBaselines and Measures'!$C$2:$V$33,30,FALSE)</f>
        <v>0</v>
      </c>
      <c r="AD34" s="439"/>
      <c r="AE34" s="439">
        <f ca="1">HLOOKUP($H34,'SFBaselines and Measures'!$C$2:$V$33,32,FALSE)</f>
        <v>2.9580391714755589</v>
      </c>
      <c r="AF34" s="440">
        <f ca="1">HLOOKUP($H34,'SFBaselines and Measures'!$C$2:$V$33,10,FALSE)</f>
        <v>37.439624333849331</v>
      </c>
      <c r="AG34" s="441"/>
      <c r="AH34" s="436">
        <f t="shared" ca="1" si="14"/>
        <v>861.24029972186872</v>
      </c>
      <c r="AI34" s="437">
        <f t="shared" ca="1" si="15"/>
        <v>175.18308770271631</v>
      </c>
      <c r="AJ34" s="438">
        <f t="shared" ca="1" si="16"/>
        <v>4.5882382582042638</v>
      </c>
      <c r="AK34" s="438"/>
      <c r="AL34" s="438">
        <f t="shared" ref="AL34:AM49" ca="1" si="30">R34-AB34</f>
        <v>25.202035044060707</v>
      </c>
      <c r="AM34" s="439">
        <f t="shared" si="30"/>
        <v>0</v>
      </c>
      <c r="AN34" s="439"/>
      <c r="AO34" s="439">
        <f t="shared" ca="1" si="17"/>
        <v>1.1468606080717234</v>
      </c>
      <c r="AP34" s="442">
        <f t="shared" ca="1" si="17"/>
        <v>10.118637351955186</v>
      </c>
      <c r="AQ34" s="443"/>
      <c r="AR34" s="435" t="str">
        <f t="shared" si="18"/>
        <v>CEE Tier 1 Clothes Washer - Electric DHW, Gas Dryer - 31% ENERGY STAR Baseline</v>
      </c>
      <c r="AS34" s="437">
        <f t="shared" ca="1" si="19"/>
        <v>175.18308770271631</v>
      </c>
      <c r="AT34" s="438">
        <f t="shared" ca="1" si="20"/>
        <v>29.790273302264971</v>
      </c>
      <c r="AU34" s="439">
        <f t="shared" ca="1" si="21"/>
        <v>0</v>
      </c>
      <c r="AV34" s="439">
        <f t="shared" ca="1" si="22"/>
        <v>861.24029972186872</v>
      </c>
      <c r="AW34" s="439"/>
      <c r="AX34" s="438">
        <f t="shared" ca="1" si="11"/>
        <v>32.963206963623179</v>
      </c>
      <c r="AY34" s="438">
        <f t="shared" ca="1" si="23"/>
        <v>10.118637351955186</v>
      </c>
      <c r="AZ34" s="443"/>
      <c r="BA34" s="433" t="str">
        <f t="shared" si="24"/>
        <v>CEE Tier 1 Clothes Washer - Electric DHW, Gas Dryer - 31% ENERGY STAR Baseline</v>
      </c>
      <c r="BB34" s="433" t="s">
        <v>25</v>
      </c>
      <c r="BC34" s="438">
        <f t="shared" ca="1" si="25"/>
        <v>29.790273302264971</v>
      </c>
      <c r="BD34" s="438">
        <f>SFAssumptions!$C$7</f>
        <v>14</v>
      </c>
      <c r="BE34" s="444">
        <f t="shared" ca="1" si="26"/>
        <v>175.18308770271631</v>
      </c>
      <c r="BF34" s="433"/>
      <c r="BG34" s="432" t="s">
        <v>157</v>
      </c>
      <c r="BH34" s="445">
        <f t="shared" ca="1" si="27"/>
        <v>10.118637351955186</v>
      </c>
      <c r="BI34" s="433"/>
      <c r="BJ34" s="433"/>
      <c r="BK34" s="433"/>
      <c r="BL34" s="433"/>
      <c r="BM34" s="433"/>
      <c r="BN34" s="433"/>
      <c r="BO34" s="446">
        <f t="shared" ca="1" si="28"/>
        <v>0</v>
      </c>
      <c r="BP34" s="433" t="s">
        <v>158</v>
      </c>
    </row>
    <row r="35" spans="1:68" s="414" customFormat="1">
      <c r="A35" s="433">
        <f t="shared" si="29"/>
        <v>18</v>
      </c>
      <c r="B35" s="433">
        <f t="shared" si="3"/>
        <v>1</v>
      </c>
      <c r="C35" s="433">
        <f t="shared" si="4"/>
        <v>18</v>
      </c>
      <c r="D35" s="433">
        <f t="shared" si="5"/>
        <v>4</v>
      </c>
      <c r="E35" s="433">
        <f t="shared" si="6"/>
        <v>3</v>
      </c>
      <c r="F35" s="433"/>
      <c r="G35" s="433" t="str">
        <f t="shared" si="12"/>
        <v>Current Practice Baseline Using 31% ENERGY STAR Penetration</v>
      </c>
      <c r="H35" s="433" t="str">
        <f t="shared" si="13"/>
        <v>CEE Tier 1</v>
      </c>
      <c r="I35" s="433" t="str">
        <f t="shared" si="7"/>
        <v>Gas DHW, Electric Dryer</v>
      </c>
      <c r="J35" s="433" t="str">
        <f t="shared" si="8"/>
        <v>Gas DHW</v>
      </c>
      <c r="K35" s="433" t="str">
        <f t="shared" si="9"/>
        <v>Electric Dryer</v>
      </c>
      <c r="L35" s="434">
        <f>VLOOKUP(J35,SFAssumptions!$A$14:$B$16,2,FALSE)</f>
        <v>0</v>
      </c>
      <c r="M35" s="435">
        <f>VLOOKUP(K35,SFAssumptions!$A$18:$B$20,2,FALSE)</f>
        <v>1</v>
      </c>
      <c r="N35" s="436">
        <f ca="1">HLOOKUP($G35,'SFBaselines and Measures'!$C$3:$V$33,7,FALSE)</f>
        <v>4047.8861059902265</v>
      </c>
      <c r="O35" s="437">
        <f ca="1">HLOOKUP($G35,'SFBaselines and Measures'!$C$3:$V$33,8,FALSE)</f>
        <v>776.31603614450796</v>
      </c>
      <c r="P35" s="438">
        <f ca="1">HLOOKUP($G35,'SFBaselines and Measures'!$C$3:$V$33,25,FALSE)</f>
        <v>54.214158734717515</v>
      </c>
      <c r="Q35" s="438"/>
      <c r="R35" s="438">
        <f ca="1">HLOOKUP($G35,'SFBaselines and Measures'!$C$3:$V$33,27,FALSE)</f>
        <v>90.204360816304174</v>
      </c>
      <c r="S35" s="439">
        <f>HLOOKUP($G35,'SFBaselines and Measures'!$C$3:$V$33,29,FALSE)</f>
        <v>0</v>
      </c>
      <c r="T35" s="439"/>
      <c r="U35" s="439">
        <f ca="1">HLOOKUP($G35,'SFBaselines and Measures'!$C$3:$V$33,31,FALSE)</f>
        <v>4.1048997795472824</v>
      </c>
      <c r="V35" s="440">
        <f ca="1">HLOOKUP($G35,'SFBaselines and Measures'!$C$3:$V$33,9,FALSE)</f>
        <v>47.558261685804517</v>
      </c>
      <c r="W35" s="441"/>
      <c r="X35" s="436">
        <f ca="1">HLOOKUP($H35,'SFBaselines and Measures'!$C$2:$V$33,8,FALSE)</f>
        <v>3186.6458062683578</v>
      </c>
      <c r="Y35" s="437">
        <f ca="1">HLOOKUP($H35,'SFBaselines and Measures'!$C$2:$V$33,9,FALSE)</f>
        <v>951.49912384722427</v>
      </c>
      <c r="Z35" s="438">
        <f ca="1">HLOOKUP($H35,'SFBaselines and Measures'!$C$2:$V$33,26,FALSE)</f>
        <v>49.625920476513251</v>
      </c>
      <c r="AA35" s="438"/>
      <c r="AB35" s="438">
        <f ca="1">HLOOKUP($H35,'SFBaselines and Measures'!$C$2:$V$33,28,FALSE)</f>
        <v>65.002325772243466</v>
      </c>
      <c r="AC35" s="439">
        <f>HLOOKUP($H35,'SFBaselines and Measures'!$C$2:$V$33,30,FALSE)</f>
        <v>0</v>
      </c>
      <c r="AD35" s="439"/>
      <c r="AE35" s="439">
        <f ca="1">HLOOKUP($H35,'SFBaselines and Measures'!$C$2:$V$33,32,FALSE)</f>
        <v>2.9580391714755589</v>
      </c>
      <c r="AF35" s="440">
        <f ca="1">HLOOKUP($H35,'SFBaselines and Measures'!$C$2:$V$33,10,FALSE)</f>
        <v>37.439624333849331</v>
      </c>
      <c r="AG35" s="441"/>
      <c r="AH35" s="436">
        <f t="shared" ca="1" si="14"/>
        <v>861.24029972186872</v>
      </c>
      <c r="AI35" s="437">
        <f t="shared" ca="1" si="15"/>
        <v>175.18308770271631</v>
      </c>
      <c r="AJ35" s="438">
        <f t="shared" ca="1" si="16"/>
        <v>4.5882382582042638</v>
      </c>
      <c r="AK35" s="438"/>
      <c r="AL35" s="438">
        <f t="shared" ca="1" si="30"/>
        <v>25.202035044060707</v>
      </c>
      <c r="AM35" s="439">
        <f t="shared" si="30"/>
        <v>0</v>
      </c>
      <c r="AN35" s="439"/>
      <c r="AO35" s="439">
        <f t="shared" ref="AO35:AP50" ca="1" si="31">U35-AE35</f>
        <v>1.1468606080717234</v>
      </c>
      <c r="AP35" s="442">
        <f t="shared" ca="1" si="31"/>
        <v>10.118637351955186</v>
      </c>
      <c r="AQ35" s="443"/>
      <c r="AR35" s="435" t="str">
        <f t="shared" si="18"/>
        <v>CEE Tier 1 Clothes Washer - Gas DHW, Electric Dryer - 31% ENERGY STAR Baseline</v>
      </c>
      <c r="AS35" s="437">
        <f t="shared" ca="1" si="19"/>
        <v>175.18308770271631</v>
      </c>
      <c r="AT35" s="438">
        <f t="shared" ca="1" si="20"/>
        <v>4.5882382582042638</v>
      </c>
      <c r="AU35" s="439">
        <f t="shared" ca="1" si="21"/>
        <v>1.1468606080717234</v>
      </c>
      <c r="AV35" s="439">
        <f t="shared" ca="1" si="22"/>
        <v>861.24029972186872</v>
      </c>
      <c r="AW35" s="439"/>
      <c r="AX35" s="438">
        <f t="shared" ca="1" si="11"/>
        <v>7.7611719195624733</v>
      </c>
      <c r="AY35" s="438">
        <f t="shared" ca="1" si="23"/>
        <v>10.118637351955186</v>
      </c>
      <c r="AZ35" s="443"/>
      <c r="BA35" s="433" t="str">
        <f t="shared" si="24"/>
        <v>CEE Tier 1 Clothes Washer - Gas DHW, Electric Dryer - 31% ENERGY STAR Baseline</v>
      </c>
      <c r="BB35" s="433" t="s">
        <v>25</v>
      </c>
      <c r="BC35" s="438">
        <f t="shared" ca="1" si="25"/>
        <v>4.5882382582042638</v>
      </c>
      <c r="BD35" s="438">
        <f>SFAssumptions!$C$7</f>
        <v>14</v>
      </c>
      <c r="BE35" s="444">
        <f t="shared" ca="1" si="26"/>
        <v>175.18308770271631</v>
      </c>
      <c r="BF35" s="433"/>
      <c r="BG35" s="432" t="s">
        <v>157</v>
      </c>
      <c r="BH35" s="445">
        <f t="shared" ca="1" si="27"/>
        <v>10.118637351955186</v>
      </c>
      <c r="BI35" s="433"/>
      <c r="BJ35" s="433"/>
      <c r="BK35" s="433"/>
      <c r="BL35" s="433"/>
      <c r="BM35" s="433"/>
      <c r="BN35" s="433"/>
      <c r="BO35" s="446">
        <f t="shared" ca="1" si="28"/>
        <v>1.1468606080717234</v>
      </c>
      <c r="BP35" s="433" t="s">
        <v>158</v>
      </c>
    </row>
    <row r="36" spans="1:68" s="414" customFormat="1">
      <c r="A36" s="433">
        <f t="shared" si="29"/>
        <v>19</v>
      </c>
      <c r="B36" s="433">
        <f t="shared" si="3"/>
        <v>1</v>
      </c>
      <c r="C36" s="433">
        <f t="shared" si="4"/>
        <v>19</v>
      </c>
      <c r="D36" s="433">
        <f t="shared" si="5"/>
        <v>4</v>
      </c>
      <c r="E36" s="433">
        <f t="shared" si="6"/>
        <v>4</v>
      </c>
      <c r="F36" s="433"/>
      <c r="G36" s="433" t="str">
        <f t="shared" si="12"/>
        <v>Current Practice Baseline Using 31% ENERGY STAR Penetration</v>
      </c>
      <c r="H36" s="433" t="str">
        <f t="shared" si="13"/>
        <v>CEE Tier 1</v>
      </c>
      <c r="I36" s="433" t="str">
        <f t="shared" si="7"/>
        <v>Gas DHW, Gas Dryer</v>
      </c>
      <c r="J36" s="433" t="str">
        <f t="shared" si="8"/>
        <v>Gas DHW</v>
      </c>
      <c r="K36" s="433" t="str">
        <f t="shared" si="9"/>
        <v>Gas Dryer</v>
      </c>
      <c r="L36" s="434">
        <f>VLOOKUP(J36,SFAssumptions!$A$14:$B$16,2,FALSE)</f>
        <v>0</v>
      </c>
      <c r="M36" s="435">
        <f>VLOOKUP(K36,SFAssumptions!$A$18:$B$20,2,FALSE)</f>
        <v>0</v>
      </c>
      <c r="N36" s="436">
        <f ca="1">HLOOKUP($G36,'SFBaselines and Measures'!$C$3:$V$33,7,FALSE)</f>
        <v>4047.8861059902265</v>
      </c>
      <c r="O36" s="437">
        <f ca="1">HLOOKUP($G36,'SFBaselines and Measures'!$C$3:$V$33,8,FALSE)</f>
        <v>776.31603614450796</v>
      </c>
      <c r="P36" s="438">
        <f ca="1">HLOOKUP($G36,'SFBaselines and Measures'!$C$3:$V$33,25,FALSE)</f>
        <v>54.214158734717515</v>
      </c>
      <c r="Q36" s="438"/>
      <c r="R36" s="438">
        <f ca="1">HLOOKUP($G36,'SFBaselines and Measures'!$C$3:$V$33,27,FALSE)</f>
        <v>90.204360816304174</v>
      </c>
      <c r="S36" s="439">
        <f>HLOOKUP($G36,'SFBaselines and Measures'!$C$3:$V$33,29,FALSE)</f>
        <v>0</v>
      </c>
      <c r="T36" s="439"/>
      <c r="U36" s="439">
        <f ca="1">HLOOKUP($G36,'SFBaselines and Measures'!$C$3:$V$33,31,FALSE)</f>
        <v>4.1048997795472824</v>
      </c>
      <c r="V36" s="440">
        <f ca="1">HLOOKUP($G36,'SFBaselines and Measures'!$C$3:$V$33,9,FALSE)</f>
        <v>47.558261685804517</v>
      </c>
      <c r="W36" s="441"/>
      <c r="X36" s="436">
        <f ca="1">HLOOKUP($H36,'SFBaselines and Measures'!$C$2:$V$33,8,FALSE)</f>
        <v>3186.6458062683578</v>
      </c>
      <c r="Y36" s="437">
        <f ca="1">HLOOKUP($H36,'SFBaselines and Measures'!$C$2:$V$33,9,FALSE)</f>
        <v>951.49912384722427</v>
      </c>
      <c r="Z36" s="438">
        <f ca="1">HLOOKUP($H36,'SFBaselines and Measures'!$C$2:$V$33,26,FALSE)</f>
        <v>49.625920476513251</v>
      </c>
      <c r="AA36" s="438"/>
      <c r="AB36" s="438">
        <f ca="1">HLOOKUP($H36,'SFBaselines and Measures'!$C$2:$V$33,28,FALSE)</f>
        <v>65.002325772243466</v>
      </c>
      <c r="AC36" s="439">
        <f>HLOOKUP($H36,'SFBaselines and Measures'!$C$2:$V$33,30,FALSE)</f>
        <v>0</v>
      </c>
      <c r="AD36" s="439"/>
      <c r="AE36" s="439">
        <f ca="1">HLOOKUP($H36,'SFBaselines and Measures'!$C$2:$V$33,32,FALSE)</f>
        <v>2.9580391714755589</v>
      </c>
      <c r="AF36" s="440">
        <f ca="1">HLOOKUP($H36,'SFBaselines and Measures'!$C$2:$V$33,10,FALSE)</f>
        <v>37.439624333849331</v>
      </c>
      <c r="AG36" s="441"/>
      <c r="AH36" s="436">
        <f t="shared" ca="1" si="14"/>
        <v>861.24029972186872</v>
      </c>
      <c r="AI36" s="437">
        <f t="shared" ca="1" si="15"/>
        <v>175.18308770271631</v>
      </c>
      <c r="AJ36" s="438">
        <f t="shared" ca="1" si="16"/>
        <v>4.5882382582042638</v>
      </c>
      <c r="AK36" s="438"/>
      <c r="AL36" s="438">
        <f t="shared" ca="1" si="30"/>
        <v>25.202035044060707</v>
      </c>
      <c r="AM36" s="439">
        <f t="shared" si="30"/>
        <v>0</v>
      </c>
      <c r="AN36" s="439"/>
      <c r="AO36" s="439">
        <f t="shared" ca="1" si="31"/>
        <v>1.1468606080717234</v>
      </c>
      <c r="AP36" s="442">
        <f t="shared" ca="1" si="31"/>
        <v>10.118637351955186</v>
      </c>
      <c r="AQ36" s="443"/>
      <c r="AR36" s="435" t="str">
        <f t="shared" si="18"/>
        <v>CEE Tier 1 Clothes Washer - Gas DHW, Gas Dryer - 31% ENERGY STAR Baseline</v>
      </c>
      <c r="AS36" s="437">
        <f t="shared" ca="1" si="19"/>
        <v>175.18308770271631</v>
      </c>
      <c r="AT36" s="438">
        <f t="shared" ca="1" si="20"/>
        <v>4.5882382582042638</v>
      </c>
      <c r="AU36" s="439">
        <f t="shared" ca="1" si="21"/>
        <v>1.1468606080717234</v>
      </c>
      <c r="AV36" s="439">
        <f t="shared" ca="1" si="22"/>
        <v>861.24029972186872</v>
      </c>
      <c r="AW36" s="439"/>
      <c r="AX36" s="438">
        <f t="shared" ca="1" si="11"/>
        <v>7.7611719195624733</v>
      </c>
      <c r="AY36" s="438">
        <f t="shared" ca="1" si="23"/>
        <v>10.118637351955186</v>
      </c>
      <c r="AZ36" s="443"/>
      <c r="BA36" s="433" t="str">
        <f t="shared" si="24"/>
        <v>CEE Tier 1 Clothes Washer - Gas DHW, Gas Dryer - 31% ENERGY STAR Baseline</v>
      </c>
      <c r="BB36" s="433" t="s">
        <v>25</v>
      </c>
      <c r="BC36" s="438">
        <f t="shared" ca="1" si="25"/>
        <v>4.5882382582042638</v>
      </c>
      <c r="BD36" s="438">
        <f>SFAssumptions!$C$7</f>
        <v>14</v>
      </c>
      <c r="BE36" s="444">
        <f t="shared" ca="1" si="26"/>
        <v>175.18308770271631</v>
      </c>
      <c r="BF36" s="433"/>
      <c r="BG36" s="432" t="s">
        <v>157</v>
      </c>
      <c r="BH36" s="445">
        <f t="shared" ca="1" si="27"/>
        <v>10.118637351955186</v>
      </c>
      <c r="BI36" s="433"/>
      <c r="BJ36" s="433"/>
      <c r="BK36" s="433"/>
      <c r="BL36" s="433"/>
      <c r="BM36" s="433"/>
      <c r="BN36" s="433"/>
      <c r="BO36" s="446">
        <f t="shared" ca="1" si="28"/>
        <v>1.1468606080717234</v>
      </c>
      <c r="BP36" s="433" t="s">
        <v>158</v>
      </c>
    </row>
    <row r="37" spans="1:68" s="414" customFormat="1">
      <c r="A37" s="433">
        <f t="shared" si="29"/>
        <v>20</v>
      </c>
      <c r="B37" s="433">
        <f t="shared" si="3"/>
        <v>1</v>
      </c>
      <c r="C37" s="433">
        <f t="shared" si="4"/>
        <v>20</v>
      </c>
      <c r="D37" s="433">
        <f t="shared" si="5"/>
        <v>4</v>
      </c>
      <c r="E37" s="433">
        <f t="shared" si="6"/>
        <v>5</v>
      </c>
      <c r="F37" s="433"/>
      <c r="G37" s="433" t="str">
        <f t="shared" si="12"/>
        <v>Current Practice Baseline Using 31% ENERGY STAR Penetration</v>
      </c>
      <c r="H37" s="433" t="str">
        <f t="shared" si="13"/>
        <v>CEE Tier 1</v>
      </c>
      <c r="I37" s="433" t="str">
        <f t="shared" si="7"/>
        <v>Any DHW, Any Dryer</v>
      </c>
      <c r="J37" s="433" t="str">
        <f t="shared" si="8"/>
        <v>Any DHW</v>
      </c>
      <c r="K37" s="433" t="str">
        <f t="shared" si="9"/>
        <v>Any Dryer</v>
      </c>
      <c r="L37" s="434">
        <f>VLOOKUP(J37,SFAssumptions!$A$14:$B$16,2,FALSE)</f>
        <v>0.55200000000000005</v>
      </c>
      <c r="M37" s="435">
        <f>VLOOKUP(K37,SFAssumptions!$A$18:$B$20,2,FALSE)</f>
        <v>0.95</v>
      </c>
      <c r="N37" s="436">
        <f ca="1">HLOOKUP($G37,'SFBaselines and Measures'!$C$3:$V$33,7,FALSE)</f>
        <v>4047.8861059902265</v>
      </c>
      <c r="O37" s="437">
        <f ca="1">HLOOKUP($G37,'SFBaselines and Measures'!$C$3:$V$33,8,FALSE)</f>
        <v>776.31603614450796</v>
      </c>
      <c r="P37" s="438">
        <f ca="1">HLOOKUP($G37,'SFBaselines and Measures'!$C$3:$V$33,25,FALSE)</f>
        <v>54.214158734717515</v>
      </c>
      <c r="Q37" s="438"/>
      <c r="R37" s="438">
        <f ca="1">HLOOKUP($G37,'SFBaselines and Measures'!$C$3:$V$33,27,FALSE)</f>
        <v>90.204360816304174</v>
      </c>
      <c r="S37" s="439">
        <f>HLOOKUP($G37,'SFBaselines and Measures'!$C$3:$V$33,29,FALSE)</f>
        <v>0</v>
      </c>
      <c r="T37" s="439"/>
      <c r="U37" s="439">
        <f ca="1">HLOOKUP($G37,'SFBaselines and Measures'!$C$3:$V$33,31,FALSE)</f>
        <v>4.1048997795472824</v>
      </c>
      <c r="V37" s="440">
        <f ca="1">HLOOKUP($G37,'SFBaselines and Measures'!$C$3:$V$33,9,FALSE)</f>
        <v>47.558261685804517</v>
      </c>
      <c r="W37" s="441"/>
      <c r="X37" s="436">
        <f ca="1">HLOOKUP($H37,'SFBaselines and Measures'!$C$2:$V$33,8,FALSE)</f>
        <v>3186.6458062683578</v>
      </c>
      <c r="Y37" s="437">
        <f ca="1">HLOOKUP($H37,'SFBaselines and Measures'!$C$2:$V$33,9,FALSE)</f>
        <v>951.49912384722427</v>
      </c>
      <c r="Z37" s="438">
        <f ca="1">HLOOKUP($H37,'SFBaselines and Measures'!$C$2:$V$33,26,FALSE)</f>
        <v>49.625920476513251</v>
      </c>
      <c r="AA37" s="438"/>
      <c r="AB37" s="438">
        <f ca="1">HLOOKUP($H37,'SFBaselines and Measures'!$C$2:$V$33,28,FALSE)</f>
        <v>65.002325772243466</v>
      </c>
      <c r="AC37" s="439">
        <f>HLOOKUP($H37,'SFBaselines and Measures'!$C$2:$V$33,30,FALSE)</f>
        <v>0</v>
      </c>
      <c r="AD37" s="439"/>
      <c r="AE37" s="439">
        <f ca="1">HLOOKUP($H37,'SFBaselines and Measures'!$C$2:$V$33,32,FALSE)</f>
        <v>2.9580391714755589</v>
      </c>
      <c r="AF37" s="440">
        <f ca="1">HLOOKUP($H37,'SFBaselines and Measures'!$C$2:$V$33,10,FALSE)</f>
        <v>37.439624333849331</v>
      </c>
      <c r="AG37" s="441"/>
      <c r="AH37" s="436">
        <f t="shared" ca="1" si="14"/>
        <v>861.24029972186872</v>
      </c>
      <c r="AI37" s="437">
        <f t="shared" ca="1" si="15"/>
        <v>175.18308770271631</v>
      </c>
      <c r="AJ37" s="438">
        <f t="shared" ca="1" si="16"/>
        <v>4.5882382582042638</v>
      </c>
      <c r="AK37" s="438"/>
      <c r="AL37" s="438">
        <f t="shared" ca="1" si="30"/>
        <v>25.202035044060707</v>
      </c>
      <c r="AM37" s="439">
        <f t="shared" si="30"/>
        <v>0</v>
      </c>
      <c r="AN37" s="439"/>
      <c r="AO37" s="439">
        <f t="shared" ca="1" si="31"/>
        <v>1.1468606080717234</v>
      </c>
      <c r="AP37" s="442">
        <f t="shared" ca="1" si="31"/>
        <v>10.118637351955186</v>
      </c>
      <c r="AQ37" s="443"/>
      <c r="AR37" s="435" t="str">
        <f t="shared" si="18"/>
        <v>CEE Tier 1 Clothes Washer - Any DHW, Any Dryer - 31% ENERGY STAR Baseline</v>
      </c>
      <c r="AS37" s="437">
        <f t="shared" ca="1" si="19"/>
        <v>175.18308770271631</v>
      </c>
      <c r="AT37" s="438">
        <f t="shared" ca="1" si="20"/>
        <v>18.499761602525776</v>
      </c>
      <c r="AU37" s="439">
        <f t="shared" ca="1" si="21"/>
        <v>0.513793552416132</v>
      </c>
      <c r="AV37" s="439">
        <f t="shared" ca="1" si="22"/>
        <v>861.24029972186872</v>
      </c>
      <c r="AW37" s="439"/>
      <c r="AX37" s="438">
        <f t="shared" ca="1" si="11"/>
        <v>21.672695263883988</v>
      </c>
      <c r="AY37" s="438">
        <f t="shared" ca="1" si="23"/>
        <v>10.118637351955186</v>
      </c>
      <c r="AZ37" s="443"/>
      <c r="BA37" s="433" t="str">
        <f t="shared" si="24"/>
        <v>CEE Tier 1 Clothes Washer - Any DHW, Any Dryer - 31% ENERGY STAR Baseline</v>
      </c>
      <c r="BB37" s="433" t="s">
        <v>25</v>
      </c>
      <c r="BC37" s="438">
        <f t="shared" ca="1" si="25"/>
        <v>18.499761602525776</v>
      </c>
      <c r="BD37" s="438">
        <f>SFAssumptions!$C$7</f>
        <v>14</v>
      </c>
      <c r="BE37" s="444">
        <f t="shared" ca="1" si="26"/>
        <v>175.18308770271631</v>
      </c>
      <c r="BF37" s="433"/>
      <c r="BG37" s="432" t="s">
        <v>157</v>
      </c>
      <c r="BH37" s="445">
        <f t="shared" ca="1" si="27"/>
        <v>10.118637351955186</v>
      </c>
      <c r="BI37" s="433"/>
      <c r="BJ37" s="433"/>
      <c r="BK37" s="433"/>
      <c r="BL37" s="433"/>
      <c r="BM37" s="433"/>
      <c r="BN37" s="433"/>
      <c r="BO37" s="446">
        <f t="shared" ca="1" si="28"/>
        <v>0.513793552416132</v>
      </c>
      <c r="BP37" s="433" t="s">
        <v>158</v>
      </c>
    </row>
    <row r="38" spans="1:68" s="414" customFormat="1">
      <c r="A38" s="433">
        <f>A37+1</f>
        <v>21</v>
      </c>
      <c r="B38" s="433">
        <f t="shared" si="3"/>
        <v>1</v>
      </c>
      <c r="C38" s="433">
        <f t="shared" si="4"/>
        <v>21</v>
      </c>
      <c r="D38" s="433">
        <f t="shared" si="5"/>
        <v>5</v>
      </c>
      <c r="E38" s="433">
        <f t="shared" si="6"/>
        <v>1</v>
      </c>
      <c r="F38" s="433"/>
      <c r="G38" s="433" t="str">
        <f t="shared" si="12"/>
        <v>Current Practice Baseline Using 31% ENERGY STAR Penetration</v>
      </c>
      <c r="H38" s="433" t="str">
        <f t="shared" si="13"/>
        <v>CEE Tier 2</v>
      </c>
      <c r="I38" s="433" t="str">
        <f t="shared" si="7"/>
        <v>Electric DHW, Electric Dryer</v>
      </c>
      <c r="J38" s="433" t="str">
        <f t="shared" si="8"/>
        <v>Electric DHW</v>
      </c>
      <c r="K38" s="433" t="str">
        <f t="shared" si="9"/>
        <v>Electric Dryer</v>
      </c>
      <c r="L38" s="434">
        <f>VLOOKUP(J38,SFAssumptions!$A$14:$B$16,2,FALSE)</f>
        <v>1</v>
      </c>
      <c r="M38" s="435">
        <f>VLOOKUP(K38,SFAssumptions!$A$18:$B$20,2,FALSE)</f>
        <v>1</v>
      </c>
      <c r="N38" s="436">
        <f ca="1">HLOOKUP($G38,'SFBaselines and Measures'!$C$3:$V$33,7,FALSE)</f>
        <v>4047.8861059902265</v>
      </c>
      <c r="O38" s="437">
        <f ca="1">HLOOKUP($G38,'SFBaselines and Measures'!$C$3:$V$33,8,FALSE)</f>
        <v>776.31603614450796</v>
      </c>
      <c r="P38" s="438">
        <f ca="1">HLOOKUP($G38,'SFBaselines and Measures'!$C$3:$V$33,25,FALSE)</f>
        <v>54.214158734717515</v>
      </c>
      <c r="Q38" s="438"/>
      <c r="R38" s="438">
        <f ca="1">HLOOKUP($G38,'SFBaselines and Measures'!$C$3:$V$33,27,FALSE)</f>
        <v>90.204360816304174</v>
      </c>
      <c r="S38" s="439">
        <f>HLOOKUP($G38,'SFBaselines and Measures'!$C$3:$V$33,29,FALSE)</f>
        <v>0</v>
      </c>
      <c r="T38" s="439"/>
      <c r="U38" s="439">
        <f ca="1">HLOOKUP($G38,'SFBaselines and Measures'!$C$3:$V$33,31,FALSE)</f>
        <v>4.1048997795472824</v>
      </c>
      <c r="V38" s="440">
        <f ca="1">HLOOKUP($G38,'SFBaselines and Measures'!$C$3:$V$33,9,FALSE)</f>
        <v>47.558261685804517</v>
      </c>
      <c r="W38" s="441"/>
      <c r="X38" s="436">
        <f ca="1">HLOOKUP($H38,'SFBaselines and Measures'!$C$2:$V$33,8,FALSE)</f>
        <v>2899.206481928567</v>
      </c>
      <c r="Y38" s="437">
        <f ca="1">HLOOKUP($H38,'SFBaselines and Measures'!$C$2:$V$33,9,FALSE)</f>
        <v>1001.0825583529517</v>
      </c>
      <c r="Z38" s="438">
        <f ca="1">HLOOKUP($H38,'SFBaselines and Measures'!$C$2:$V$33,26,FALSE)</f>
        <v>47.173103200037019</v>
      </c>
      <c r="AA38" s="438"/>
      <c r="AB38" s="438">
        <f ca="1">HLOOKUP($H38,'SFBaselines and Measures'!$C$2:$V$33,28,FALSE)</f>
        <v>56.216023167259465</v>
      </c>
      <c r="AC38" s="439">
        <f>HLOOKUP($H38,'SFBaselines and Measures'!$C$2:$V$33,30,FALSE)</f>
        <v>0</v>
      </c>
      <c r="AD38" s="439"/>
      <c r="AE38" s="439">
        <f ca="1">HLOOKUP($H38,'SFBaselines and Measures'!$C$2:$V$33,32,FALSE)</f>
        <v>2.5582038275980876</v>
      </c>
      <c r="AF38" s="440">
        <f ca="1">HLOOKUP($H38,'SFBaselines and Measures'!$C$2:$V$33,10,FALSE)</f>
        <v>34.062524719926635</v>
      </c>
      <c r="AG38" s="441"/>
      <c r="AH38" s="436">
        <f t="shared" ca="1" si="14"/>
        <v>1148.6796240616595</v>
      </c>
      <c r="AI38" s="437">
        <f t="shared" ca="1" si="15"/>
        <v>224.76652220844369</v>
      </c>
      <c r="AJ38" s="438">
        <f t="shared" ca="1" si="16"/>
        <v>7.0410555346804955</v>
      </c>
      <c r="AK38" s="438"/>
      <c r="AL38" s="438">
        <f t="shared" ca="1" si="30"/>
        <v>33.988337649044709</v>
      </c>
      <c r="AM38" s="439">
        <f t="shared" si="30"/>
        <v>0</v>
      </c>
      <c r="AN38" s="439"/>
      <c r="AO38" s="439">
        <f t="shared" ca="1" si="31"/>
        <v>1.5466959519491947</v>
      </c>
      <c r="AP38" s="442">
        <f t="shared" ca="1" si="31"/>
        <v>13.495736965877882</v>
      </c>
      <c r="AQ38" s="443"/>
      <c r="AR38" s="435" t="str">
        <f t="shared" si="18"/>
        <v>CEE Tier 2 Clothes Washer - Electric DHW, Electric Dryer - 31% ENERGY STAR Baseline</v>
      </c>
      <c r="AS38" s="437">
        <f t="shared" ca="1" si="19"/>
        <v>224.76652220844369</v>
      </c>
      <c r="AT38" s="438">
        <f t="shared" ca="1" si="20"/>
        <v>41.029393183725205</v>
      </c>
      <c r="AU38" s="439">
        <f t="shared" ca="1" si="21"/>
        <v>0</v>
      </c>
      <c r="AV38" s="439">
        <f t="shared" ca="1" si="22"/>
        <v>1148.6796240616595</v>
      </c>
      <c r="AW38" s="439"/>
      <c r="AX38" s="438">
        <f t="shared" ca="1" si="11"/>
        <v>45.261294833565046</v>
      </c>
      <c r="AY38" s="438">
        <f t="shared" ca="1" si="23"/>
        <v>13.495736965877882</v>
      </c>
      <c r="AZ38" s="443"/>
      <c r="BA38" s="433" t="str">
        <f t="shared" si="24"/>
        <v>CEE Tier 2 Clothes Washer - Electric DHW, Electric Dryer - 31% ENERGY STAR Baseline</v>
      </c>
      <c r="BB38" s="433" t="s">
        <v>25</v>
      </c>
      <c r="BC38" s="438">
        <f t="shared" ca="1" si="25"/>
        <v>41.029393183725205</v>
      </c>
      <c r="BD38" s="438">
        <f>SFAssumptions!$C$7</f>
        <v>14</v>
      </c>
      <c r="BE38" s="444">
        <f t="shared" ca="1" si="26"/>
        <v>224.76652220844369</v>
      </c>
      <c r="BF38" s="433"/>
      <c r="BG38" s="432" t="s">
        <v>157</v>
      </c>
      <c r="BH38" s="445">
        <f t="shared" ca="1" si="27"/>
        <v>13.495736965877882</v>
      </c>
      <c r="BI38" s="433"/>
      <c r="BJ38" s="433"/>
      <c r="BK38" s="433"/>
      <c r="BL38" s="433"/>
      <c r="BM38" s="433"/>
      <c r="BN38" s="433"/>
      <c r="BO38" s="446">
        <f t="shared" ca="1" si="28"/>
        <v>0</v>
      </c>
      <c r="BP38" s="433" t="s">
        <v>158</v>
      </c>
    </row>
    <row r="39" spans="1:68" s="414" customFormat="1">
      <c r="A39" s="433">
        <f t="shared" si="29"/>
        <v>22</v>
      </c>
      <c r="B39" s="433">
        <f t="shared" si="3"/>
        <v>1</v>
      </c>
      <c r="C39" s="433">
        <f t="shared" si="4"/>
        <v>22</v>
      </c>
      <c r="D39" s="433">
        <f t="shared" si="5"/>
        <v>5</v>
      </c>
      <c r="E39" s="433">
        <f t="shared" si="6"/>
        <v>2</v>
      </c>
      <c r="F39" s="433"/>
      <c r="G39" s="433" t="str">
        <f t="shared" si="12"/>
        <v>Current Practice Baseline Using 31% ENERGY STAR Penetration</v>
      </c>
      <c r="H39" s="433" t="str">
        <f t="shared" si="13"/>
        <v>CEE Tier 2</v>
      </c>
      <c r="I39" s="433" t="str">
        <f t="shared" si="7"/>
        <v>Electric DHW, Gas Dryer</v>
      </c>
      <c r="J39" s="433" t="str">
        <f t="shared" si="8"/>
        <v>Electric DHW</v>
      </c>
      <c r="K39" s="433" t="str">
        <f t="shared" si="9"/>
        <v>Gas Dryer</v>
      </c>
      <c r="L39" s="434">
        <f>VLOOKUP(J39,SFAssumptions!$A$14:$B$16,2,FALSE)</f>
        <v>1</v>
      </c>
      <c r="M39" s="435">
        <f>VLOOKUP(K39,SFAssumptions!$A$18:$B$20,2,FALSE)</f>
        <v>0</v>
      </c>
      <c r="N39" s="436">
        <f ca="1">HLOOKUP($G39,'SFBaselines and Measures'!$C$3:$V$33,7,FALSE)</f>
        <v>4047.8861059902265</v>
      </c>
      <c r="O39" s="437">
        <f ca="1">HLOOKUP($G39,'SFBaselines and Measures'!$C$3:$V$33,8,FALSE)</f>
        <v>776.31603614450796</v>
      </c>
      <c r="P39" s="438">
        <f ca="1">HLOOKUP($G39,'SFBaselines and Measures'!$C$3:$V$33,25,FALSE)</f>
        <v>54.214158734717515</v>
      </c>
      <c r="Q39" s="438"/>
      <c r="R39" s="438">
        <f ca="1">HLOOKUP($G39,'SFBaselines and Measures'!$C$3:$V$33,27,FALSE)</f>
        <v>90.204360816304174</v>
      </c>
      <c r="S39" s="439">
        <f>HLOOKUP($G39,'SFBaselines and Measures'!$C$3:$V$33,29,FALSE)</f>
        <v>0</v>
      </c>
      <c r="T39" s="439"/>
      <c r="U39" s="439">
        <f ca="1">HLOOKUP($G39,'SFBaselines and Measures'!$C$3:$V$33,31,FALSE)</f>
        <v>4.1048997795472824</v>
      </c>
      <c r="V39" s="440">
        <f ca="1">HLOOKUP($G39,'SFBaselines and Measures'!$C$3:$V$33,9,FALSE)</f>
        <v>47.558261685804517</v>
      </c>
      <c r="W39" s="441"/>
      <c r="X39" s="436">
        <f ca="1">HLOOKUP($H39,'SFBaselines and Measures'!$C$2:$V$33,8,FALSE)</f>
        <v>2899.206481928567</v>
      </c>
      <c r="Y39" s="437">
        <f ca="1">HLOOKUP($H39,'SFBaselines and Measures'!$C$2:$V$33,9,FALSE)</f>
        <v>1001.0825583529517</v>
      </c>
      <c r="Z39" s="438">
        <f ca="1">HLOOKUP($H39,'SFBaselines and Measures'!$C$2:$V$33,26,FALSE)</f>
        <v>47.173103200037019</v>
      </c>
      <c r="AA39" s="438"/>
      <c r="AB39" s="438">
        <f ca="1">HLOOKUP($H39,'SFBaselines and Measures'!$C$2:$V$33,28,FALSE)</f>
        <v>56.216023167259465</v>
      </c>
      <c r="AC39" s="439">
        <f>HLOOKUP($H39,'SFBaselines and Measures'!$C$2:$V$33,30,FALSE)</f>
        <v>0</v>
      </c>
      <c r="AD39" s="439"/>
      <c r="AE39" s="439">
        <f ca="1">HLOOKUP($H39,'SFBaselines and Measures'!$C$2:$V$33,32,FALSE)</f>
        <v>2.5582038275980876</v>
      </c>
      <c r="AF39" s="440">
        <f ca="1">HLOOKUP($H39,'SFBaselines and Measures'!$C$2:$V$33,10,FALSE)</f>
        <v>34.062524719926635</v>
      </c>
      <c r="AG39" s="441"/>
      <c r="AH39" s="436">
        <f t="shared" ca="1" si="14"/>
        <v>1148.6796240616595</v>
      </c>
      <c r="AI39" s="437">
        <f t="shared" ca="1" si="15"/>
        <v>224.76652220844369</v>
      </c>
      <c r="AJ39" s="438">
        <f t="shared" ca="1" si="16"/>
        <v>7.0410555346804955</v>
      </c>
      <c r="AK39" s="438"/>
      <c r="AL39" s="438">
        <f t="shared" ca="1" si="30"/>
        <v>33.988337649044709</v>
      </c>
      <c r="AM39" s="439">
        <f t="shared" si="30"/>
        <v>0</v>
      </c>
      <c r="AN39" s="439"/>
      <c r="AO39" s="439">
        <f t="shared" ca="1" si="31"/>
        <v>1.5466959519491947</v>
      </c>
      <c r="AP39" s="442">
        <f t="shared" ca="1" si="31"/>
        <v>13.495736965877882</v>
      </c>
      <c r="AQ39" s="443"/>
      <c r="AR39" s="435" t="str">
        <f t="shared" si="18"/>
        <v>CEE Tier 2 Clothes Washer - Electric DHW, Gas Dryer - 31% ENERGY STAR Baseline</v>
      </c>
      <c r="AS39" s="437">
        <f t="shared" ca="1" si="19"/>
        <v>224.76652220844369</v>
      </c>
      <c r="AT39" s="438">
        <f t="shared" ca="1" si="20"/>
        <v>41.029393183725205</v>
      </c>
      <c r="AU39" s="439">
        <f t="shared" ca="1" si="21"/>
        <v>0</v>
      </c>
      <c r="AV39" s="439">
        <f t="shared" ca="1" si="22"/>
        <v>1148.6796240616595</v>
      </c>
      <c r="AW39" s="439"/>
      <c r="AX39" s="438">
        <f t="shared" ca="1" si="11"/>
        <v>45.261294833565046</v>
      </c>
      <c r="AY39" s="438">
        <f t="shared" ca="1" si="23"/>
        <v>13.495736965877882</v>
      </c>
      <c r="AZ39" s="443"/>
      <c r="BA39" s="433" t="str">
        <f t="shared" si="24"/>
        <v>CEE Tier 2 Clothes Washer - Electric DHW, Gas Dryer - 31% ENERGY STAR Baseline</v>
      </c>
      <c r="BB39" s="433" t="s">
        <v>25</v>
      </c>
      <c r="BC39" s="438">
        <f t="shared" ca="1" si="25"/>
        <v>41.029393183725205</v>
      </c>
      <c r="BD39" s="438">
        <f>SFAssumptions!$C$7</f>
        <v>14</v>
      </c>
      <c r="BE39" s="444">
        <f t="shared" ca="1" si="26"/>
        <v>224.76652220844369</v>
      </c>
      <c r="BF39" s="433"/>
      <c r="BG39" s="432" t="s">
        <v>157</v>
      </c>
      <c r="BH39" s="445">
        <f t="shared" ca="1" si="27"/>
        <v>13.495736965877882</v>
      </c>
      <c r="BI39" s="433"/>
      <c r="BJ39" s="433"/>
      <c r="BK39" s="433"/>
      <c r="BL39" s="433"/>
      <c r="BM39" s="433"/>
      <c r="BN39" s="433"/>
      <c r="BO39" s="446">
        <f t="shared" ca="1" si="28"/>
        <v>0</v>
      </c>
      <c r="BP39" s="433" t="s">
        <v>158</v>
      </c>
    </row>
    <row r="40" spans="1:68" s="414" customFormat="1">
      <c r="A40" s="433">
        <f t="shared" si="29"/>
        <v>23</v>
      </c>
      <c r="B40" s="433">
        <f t="shared" si="3"/>
        <v>1</v>
      </c>
      <c r="C40" s="433">
        <f t="shared" si="4"/>
        <v>23</v>
      </c>
      <c r="D40" s="433">
        <f t="shared" si="5"/>
        <v>5</v>
      </c>
      <c r="E40" s="433">
        <f t="shared" si="6"/>
        <v>3</v>
      </c>
      <c r="F40" s="433"/>
      <c r="G40" s="433" t="str">
        <f t="shared" si="12"/>
        <v>Current Practice Baseline Using 31% ENERGY STAR Penetration</v>
      </c>
      <c r="H40" s="433" t="str">
        <f t="shared" si="13"/>
        <v>CEE Tier 2</v>
      </c>
      <c r="I40" s="433" t="str">
        <f t="shared" si="7"/>
        <v>Gas DHW, Electric Dryer</v>
      </c>
      <c r="J40" s="433" t="str">
        <f t="shared" si="8"/>
        <v>Gas DHW</v>
      </c>
      <c r="K40" s="433" t="str">
        <f t="shared" si="9"/>
        <v>Electric Dryer</v>
      </c>
      <c r="L40" s="434">
        <f>VLOOKUP(J40,SFAssumptions!$A$14:$B$16,2,FALSE)</f>
        <v>0</v>
      </c>
      <c r="M40" s="435">
        <f>VLOOKUP(K40,SFAssumptions!$A$18:$B$20,2,FALSE)</f>
        <v>1</v>
      </c>
      <c r="N40" s="436">
        <f ca="1">HLOOKUP($G40,'SFBaselines and Measures'!$C$3:$V$33,7,FALSE)</f>
        <v>4047.8861059902265</v>
      </c>
      <c r="O40" s="437">
        <f ca="1">HLOOKUP($G40,'SFBaselines and Measures'!$C$3:$V$33,8,FALSE)</f>
        <v>776.31603614450796</v>
      </c>
      <c r="P40" s="438">
        <f ca="1">HLOOKUP($G40,'SFBaselines and Measures'!$C$3:$V$33,25,FALSE)</f>
        <v>54.214158734717515</v>
      </c>
      <c r="Q40" s="438"/>
      <c r="R40" s="438">
        <f ca="1">HLOOKUP($G40,'SFBaselines and Measures'!$C$3:$V$33,27,FALSE)</f>
        <v>90.204360816304174</v>
      </c>
      <c r="S40" s="439">
        <f>HLOOKUP($G40,'SFBaselines and Measures'!$C$3:$V$33,29,FALSE)</f>
        <v>0</v>
      </c>
      <c r="T40" s="439"/>
      <c r="U40" s="439">
        <f ca="1">HLOOKUP($G40,'SFBaselines and Measures'!$C$3:$V$33,31,FALSE)</f>
        <v>4.1048997795472824</v>
      </c>
      <c r="V40" s="440">
        <f ca="1">HLOOKUP($G40,'SFBaselines and Measures'!$C$3:$V$33,9,FALSE)</f>
        <v>47.558261685804517</v>
      </c>
      <c r="W40" s="441"/>
      <c r="X40" s="436">
        <f ca="1">HLOOKUP($H40,'SFBaselines and Measures'!$C$2:$V$33,8,FALSE)</f>
        <v>2899.206481928567</v>
      </c>
      <c r="Y40" s="437">
        <f ca="1">HLOOKUP($H40,'SFBaselines and Measures'!$C$2:$V$33,9,FALSE)</f>
        <v>1001.0825583529517</v>
      </c>
      <c r="Z40" s="438">
        <f ca="1">HLOOKUP($H40,'SFBaselines and Measures'!$C$2:$V$33,26,FALSE)</f>
        <v>47.173103200037019</v>
      </c>
      <c r="AA40" s="438"/>
      <c r="AB40" s="438">
        <f ca="1">HLOOKUP($H40,'SFBaselines and Measures'!$C$2:$V$33,28,FALSE)</f>
        <v>56.216023167259465</v>
      </c>
      <c r="AC40" s="439">
        <f>HLOOKUP($H40,'SFBaselines and Measures'!$C$2:$V$33,30,FALSE)</f>
        <v>0</v>
      </c>
      <c r="AD40" s="439"/>
      <c r="AE40" s="439">
        <f ca="1">HLOOKUP($H40,'SFBaselines and Measures'!$C$2:$V$33,32,FALSE)</f>
        <v>2.5582038275980876</v>
      </c>
      <c r="AF40" s="440">
        <f ca="1">HLOOKUP($H40,'SFBaselines and Measures'!$C$2:$V$33,10,FALSE)</f>
        <v>34.062524719926635</v>
      </c>
      <c r="AG40" s="441"/>
      <c r="AH40" s="436">
        <f t="shared" ca="1" si="14"/>
        <v>1148.6796240616595</v>
      </c>
      <c r="AI40" s="437">
        <f t="shared" ca="1" si="15"/>
        <v>224.76652220844369</v>
      </c>
      <c r="AJ40" s="438">
        <f t="shared" ca="1" si="16"/>
        <v>7.0410555346804955</v>
      </c>
      <c r="AK40" s="438"/>
      <c r="AL40" s="438">
        <f t="shared" ca="1" si="30"/>
        <v>33.988337649044709</v>
      </c>
      <c r="AM40" s="439">
        <f t="shared" si="30"/>
        <v>0</v>
      </c>
      <c r="AN40" s="439"/>
      <c r="AO40" s="439">
        <f t="shared" ca="1" si="31"/>
        <v>1.5466959519491947</v>
      </c>
      <c r="AP40" s="442">
        <f t="shared" ca="1" si="31"/>
        <v>13.495736965877882</v>
      </c>
      <c r="AQ40" s="443"/>
      <c r="AR40" s="435" t="str">
        <f t="shared" si="18"/>
        <v>CEE Tier 2 Clothes Washer - Gas DHW, Electric Dryer - 31% ENERGY STAR Baseline</v>
      </c>
      <c r="AS40" s="437">
        <f t="shared" ca="1" si="19"/>
        <v>224.76652220844369</v>
      </c>
      <c r="AT40" s="438">
        <f t="shared" ca="1" si="20"/>
        <v>7.0410555346804955</v>
      </c>
      <c r="AU40" s="439">
        <f t="shared" ca="1" si="21"/>
        <v>1.5466959519491947</v>
      </c>
      <c r="AV40" s="439">
        <f t="shared" ca="1" si="22"/>
        <v>1148.6796240616595</v>
      </c>
      <c r="AW40" s="439"/>
      <c r="AX40" s="438">
        <f t="shared" ca="1" si="11"/>
        <v>11.272957184520333</v>
      </c>
      <c r="AY40" s="438">
        <f t="shared" ca="1" si="23"/>
        <v>13.495736965877882</v>
      </c>
      <c r="AZ40" s="443"/>
      <c r="BA40" s="433" t="str">
        <f t="shared" si="24"/>
        <v>CEE Tier 2 Clothes Washer - Gas DHW, Electric Dryer - 31% ENERGY STAR Baseline</v>
      </c>
      <c r="BB40" s="433" t="s">
        <v>25</v>
      </c>
      <c r="BC40" s="438">
        <f t="shared" ca="1" si="25"/>
        <v>7.0410555346804955</v>
      </c>
      <c r="BD40" s="438">
        <f>SFAssumptions!$C$7</f>
        <v>14</v>
      </c>
      <c r="BE40" s="444">
        <f t="shared" ca="1" si="26"/>
        <v>224.76652220844369</v>
      </c>
      <c r="BF40" s="433"/>
      <c r="BG40" s="432" t="s">
        <v>157</v>
      </c>
      <c r="BH40" s="445">
        <f t="shared" ca="1" si="27"/>
        <v>13.495736965877882</v>
      </c>
      <c r="BI40" s="433"/>
      <c r="BJ40" s="433"/>
      <c r="BK40" s="433"/>
      <c r="BL40" s="433"/>
      <c r="BM40" s="433"/>
      <c r="BN40" s="433"/>
      <c r="BO40" s="446">
        <f t="shared" ca="1" si="28"/>
        <v>1.5466959519491947</v>
      </c>
      <c r="BP40" s="433" t="s">
        <v>158</v>
      </c>
    </row>
    <row r="41" spans="1:68" s="414" customFormat="1">
      <c r="A41" s="433">
        <f t="shared" si="29"/>
        <v>24</v>
      </c>
      <c r="B41" s="433">
        <f t="shared" si="3"/>
        <v>1</v>
      </c>
      <c r="C41" s="433">
        <f t="shared" si="4"/>
        <v>24</v>
      </c>
      <c r="D41" s="433">
        <f t="shared" si="5"/>
        <v>5</v>
      </c>
      <c r="E41" s="433">
        <f t="shared" si="6"/>
        <v>4</v>
      </c>
      <c r="F41" s="433"/>
      <c r="G41" s="433" t="str">
        <f t="shared" si="12"/>
        <v>Current Practice Baseline Using 31% ENERGY STAR Penetration</v>
      </c>
      <c r="H41" s="433" t="str">
        <f t="shared" si="13"/>
        <v>CEE Tier 2</v>
      </c>
      <c r="I41" s="433" t="str">
        <f t="shared" si="7"/>
        <v>Gas DHW, Gas Dryer</v>
      </c>
      <c r="J41" s="433" t="str">
        <f t="shared" si="8"/>
        <v>Gas DHW</v>
      </c>
      <c r="K41" s="433" t="str">
        <f t="shared" si="9"/>
        <v>Gas Dryer</v>
      </c>
      <c r="L41" s="434">
        <f>VLOOKUP(J41,SFAssumptions!$A$14:$B$16,2,FALSE)</f>
        <v>0</v>
      </c>
      <c r="M41" s="435">
        <f>VLOOKUP(K41,SFAssumptions!$A$18:$B$20,2,FALSE)</f>
        <v>0</v>
      </c>
      <c r="N41" s="436">
        <f ca="1">HLOOKUP($G41,'SFBaselines and Measures'!$C$3:$V$33,7,FALSE)</f>
        <v>4047.8861059902265</v>
      </c>
      <c r="O41" s="437">
        <f ca="1">HLOOKUP($G41,'SFBaselines and Measures'!$C$3:$V$33,8,FALSE)</f>
        <v>776.31603614450796</v>
      </c>
      <c r="P41" s="438">
        <f ca="1">HLOOKUP($G41,'SFBaselines and Measures'!$C$3:$V$33,25,FALSE)</f>
        <v>54.214158734717515</v>
      </c>
      <c r="Q41" s="438"/>
      <c r="R41" s="438">
        <f ca="1">HLOOKUP($G41,'SFBaselines and Measures'!$C$3:$V$33,27,FALSE)</f>
        <v>90.204360816304174</v>
      </c>
      <c r="S41" s="439">
        <f>HLOOKUP($G41,'SFBaselines and Measures'!$C$3:$V$33,29,FALSE)</f>
        <v>0</v>
      </c>
      <c r="T41" s="439"/>
      <c r="U41" s="439">
        <f ca="1">HLOOKUP($G41,'SFBaselines and Measures'!$C$3:$V$33,31,FALSE)</f>
        <v>4.1048997795472824</v>
      </c>
      <c r="V41" s="440">
        <f ca="1">HLOOKUP($G41,'SFBaselines and Measures'!$C$3:$V$33,9,FALSE)</f>
        <v>47.558261685804517</v>
      </c>
      <c r="W41" s="441"/>
      <c r="X41" s="436">
        <f ca="1">HLOOKUP($H41,'SFBaselines and Measures'!$C$2:$V$33,8,FALSE)</f>
        <v>2899.206481928567</v>
      </c>
      <c r="Y41" s="437">
        <f ca="1">HLOOKUP($H41,'SFBaselines and Measures'!$C$2:$V$33,9,FALSE)</f>
        <v>1001.0825583529517</v>
      </c>
      <c r="Z41" s="438">
        <f ca="1">HLOOKUP($H41,'SFBaselines and Measures'!$C$2:$V$33,26,FALSE)</f>
        <v>47.173103200037019</v>
      </c>
      <c r="AA41" s="438"/>
      <c r="AB41" s="438">
        <f ca="1">HLOOKUP($H41,'SFBaselines and Measures'!$C$2:$V$33,28,FALSE)</f>
        <v>56.216023167259465</v>
      </c>
      <c r="AC41" s="439">
        <f>HLOOKUP($H41,'SFBaselines and Measures'!$C$2:$V$33,30,FALSE)</f>
        <v>0</v>
      </c>
      <c r="AD41" s="439"/>
      <c r="AE41" s="439">
        <f ca="1">HLOOKUP($H41,'SFBaselines and Measures'!$C$2:$V$33,32,FALSE)</f>
        <v>2.5582038275980876</v>
      </c>
      <c r="AF41" s="440">
        <f ca="1">HLOOKUP($H41,'SFBaselines and Measures'!$C$2:$V$33,10,FALSE)</f>
        <v>34.062524719926635</v>
      </c>
      <c r="AG41" s="441"/>
      <c r="AH41" s="436">
        <f t="shared" ca="1" si="14"/>
        <v>1148.6796240616595</v>
      </c>
      <c r="AI41" s="437">
        <f t="shared" ca="1" si="15"/>
        <v>224.76652220844369</v>
      </c>
      <c r="AJ41" s="438">
        <f t="shared" ca="1" si="16"/>
        <v>7.0410555346804955</v>
      </c>
      <c r="AK41" s="438"/>
      <c r="AL41" s="438">
        <f t="shared" ca="1" si="30"/>
        <v>33.988337649044709</v>
      </c>
      <c r="AM41" s="439">
        <f t="shared" si="30"/>
        <v>0</v>
      </c>
      <c r="AN41" s="439"/>
      <c r="AO41" s="439">
        <f t="shared" ca="1" si="31"/>
        <v>1.5466959519491947</v>
      </c>
      <c r="AP41" s="442">
        <f t="shared" ca="1" si="31"/>
        <v>13.495736965877882</v>
      </c>
      <c r="AQ41" s="443"/>
      <c r="AR41" s="435" t="str">
        <f t="shared" si="18"/>
        <v>CEE Tier 2 Clothes Washer - Gas DHW, Gas Dryer - 31% ENERGY STAR Baseline</v>
      </c>
      <c r="AS41" s="437">
        <f t="shared" ca="1" si="19"/>
        <v>224.76652220844369</v>
      </c>
      <c r="AT41" s="438">
        <f t="shared" ca="1" si="20"/>
        <v>7.0410555346804955</v>
      </c>
      <c r="AU41" s="439">
        <f t="shared" ca="1" si="21"/>
        <v>1.5466959519491947</v>
      </c>
      <c r="AV41" s="439">
        <f t="shared" ca="1" si="22"/>
        <v>1148.6796240616595</v>
      </c>
      <c r="AW41" s="439"/>
      <c r="AX41" s="438">
        <f t="shared" ca="1" si="11"/>
        <v>11.272957184520333</v>
      </c>
      <c r="AY41" s="438">
        <f t="shared" ca="1" si="23"/>
        <v>13.495736965877882</v>
      </c>
      <c r="AZ41" s="443"/>
      <c r="BA41" s="433" t="str">
        <f t="shared" si="24"/>
        <v>CEE Tier 2 Clothes Washer - Gas DHW, Gas Dryer - 31% ENERGY STAR Baseline</v>
      </c>
      <c r="BB41" s="433" t="s">
        <v>25</v>
      </c>
      <c r="BC41" s="438">
        <f t="shared" ca="1" si="25"/>
        <v>7.0410555346804955</v>
      </c>
      <c r="BD41" s="438">
        <f>SFAssumptions!$C$7</f>
        <v>14</v>
      </c>
      <c r="BE41" s="444">
        <f t="shared" ca="1" si="26"/>
        <v>224.76652220844369</v>
      </c>
      <c r="BF41" s="433"/>
      <c r="BG41" s="432" t="s">
        <v>157</v>
      </c>
      <c r="BH41" s="445">
        <f t="shared" ca="1" si="27"/>
        <v>13.495736965877882</v>
      </c>
      <c r="BI41" s="433"/>
      <c r="BJ41" s="433"/>
      <c r="BK41" s="433"/>
      <c r="BL41" s="433"/>
      <c r="BM41" s="433"/>
      <c r="BN41" s="433"/>
      <c r="BO41" s="446">
        <f t="shared" ca="1" si="28"/>
        <v>1.5466959519491947</v>
      </c>
      <c r="BP41" s="433" t="s">
        <v>158</v>
      </c>
    </row>
    <row r="42" spans="1:68" s="414" customFormat="1">
      <c r="A42" s="433">
        <f t="shared" si="29"/>
        <v>25</v>
      </c>
      <c r="B42" s="433">
        <f t="shared" si="3"/>
        <v>1</v>
      </c>
      <c r="C42" s="433">
        <f t="shared" si="4"/>
        <v>25</v>
      </c>
      <c r="D42" s="433">
        <f t="shared" si="5"/>
        <v>5</v>
      </c>
      <c r="E42" s="433">
        <f t="shared" si="6"/>
        <v>5</v>
      </c>
      <c r="F42" s="433"/>
      <c r="G42" s="433" t="str">
        <f t="shared" si="12"/>
        <v>Current Practice Baseline Using 31% ENERGY STAR Penetration</v>
      </c>
      <c r="H42" s="433" t="str">
        <f t="shared" si="13"/>
        <v>CEE Tier 2</v>
      </c>
      <c r="I42" s="433" t="str">
        <f t="shared" si="7"/>
        <v>Any DHW, Any Dryer</v>
      </c>
      <c r="J42" s="433" t="str">
        <f t="shared" si="8"/>
        <v>Any DHW</v>
      </c>
      <c r="K42" s="433" t="str">
        <f t="shared" si="9"/>
        <v>Any Dryer</v>
      </c>
      <c r="L42" s="434">
        <f>VLOOKUP(J42,SFAssumptions!$A$14:$B$16,2,FALSE)</f>
        <v>0.55200000000000005</v>
      </c>
      <c r="M42" s="435">
        <f>VLOOKUP(K42,SFAssumptions!$A$18:$B$20,2,FALSE)</f>
        <v>0.95</v>
      </c>
      <c r="N42" s="436">
        <f ca="1">HLOOKUP($G42,'SFBaselines and Measures'!$C$3:$V$33,7,FALSE)</f>
        <v>4047.8861059902265</v>
      </c>
      <c r="O42" s="437">
        <f ca="1">HLOOKUP($G42,'SFBaselines and Measures'!$C$3:$V$33,8,FALSE)</f>
        <v>776.31603614450796</v>
      </c>
      <c r="P42" s="438">
        <f ca="1">HLOOKUP($G42,'SFBaselines and Measures'!$C$3:$V$33,25,FALSE)</f>
        <v>54.214158734717515</v>
      </c>
      <c r="Q42" s="438"/>
      <c r="R42" s="438">
        <f ca="1">HLOOKUP($G42,'SFBaselines and Measures'!$C$3:$V$33,27,FALSE)</f>
        <v>90.204360816304174</v>
      </c>
      <c r="S42" s="439">
        <f>HLOOKUP($G42,'SFBaselines and Measures'!$C$3:$V$33,29,FALSE)</f>
        <v>0</v>
      </c>
      <c r="T42" s="439"/>
      <c r="U42" s="439">
        <f ca="1">HLOOKUP($G42,'SFBaselines and Measures'!$C$3:$V$33,31,FALSE)</f>
        <v>4.1048997795472824</v>
      </c>
      <c r="V42" s="440">
        <f ca="1">HLOOKUP($G42,'SFBaselines and Measures'!$C$3:$V$33,9,FALSE)</f>
        <v>47.558261685804517</v>
      </c>
      <c r="W42" s="441"/>
      <c r="X42" s="436">
        <f ca="1">HLOOKUP($H42,'SFBaselines and Measures'!$C$2:$V$33,8,FALSE)</f>
        <v>2899.206481928567</v>
      </c>
      <c r="Y42" s="437">
        <f ca="1">HLOOKUP($H42,'SFBaselines and Measures'!$C$2:$V$33,9,FALSE)</f>
        <v>1001.0825583529517</v>
      </c>
      <c r="Z42" s="438">
        <f ca="1">HLOOKUP($H42,'SFBaselines and Measures'!$C$2:$V$33,26,FALSE)</f>
        <v>47.173103200037019</v>
      </c>
      <c r="AA42" s="438"/>
      <c r="AB42" s="438">
        <f ca="1">HLOOKUP($H42,'SFBaselines and Measures'!$C$2:$V$33,28,FALSE)</f>
        <v>56.216023167259465</v>
      </c>
      <c r="AC42" s="439">
        <f>HLOOKUP($H42,'SFBaselines and Measures'!$C$2:$V$33,30,FALSE)</f>
        <v>0</v>
      </c>
      <c r="AD42" s="439"/>
      <c r="AE42" s="439">
        <f ca="1">HLOOKUP($H42,'SFBaselines and Measures'!$C$2:$V$33,32,FALSE)</f>
        <v>2.5582038275980876</v>
      </c>
      <c r="AF42" s="440">
        <f ca="1">HLOOKUP($H42,'SFBaselines and Measures'!$C$2:$V$33,10,FALSE)</f>
        <v>34.062524719926635</v>
      </c>
      <c r="AG42" s="441"/>
      <c r="AH42" s="436">
        <f t="shared" ca="1" si="14"/>
        <v>1148.6796240616595</v>
      </c>
      <c r="AI42" s="437">
        <f t="shared" ca="1" si="15"/>
        <v>224.76652220844369</v>
      </c>
      <c r="AJ42" s="438">
        <f t="shared" ca="1" si="16"/>
        <v>7.0410555346804955</v>
      </c>
      <c r="AK42" s="438"/>
      <c r="AL42" s="438">
        <f t="shared" ca="1" si="30"/>
        <v>33.988337649044709</v>
      </c>
      <c r="AM42" s="439">
        <f t="shared" si="30"/>
        <v>0</v>
      </c>
      <c r="AN42" s="439"/>
      <c r="AO42" s="439">
        <f t="shared" ca="1" si="31"/>
        <v>1.5466959519491947</v>
      </c>
      <c r="AP42" s="442">
        <f t="shared" ca="1" si="31"/>
        <v>13.495736965877882</v>
      </c>
      <c r="AQ42" s="443"/>
      <c r="AR42" s="435" t="str">
        <f t="shared" si="18"/>
        <v>CEE Tier 2 Clothes Washer - Any DHW, Any Dryer - 31% ENERGY STAR Baseline</v>
      </c>
      <c r="AS42" s="437">
        <f t="shared" ca="1" si="19"/>
        <v>224.76652220844369</v>
      </c>
      <c r="AT42" s="438">
        <f t="shared" ca="1" si="20"/>
        <v>25.802617916953178</v>
      </c>
      <c r="AU42" s="439">
        <f t="shared" ca="1" si="21"/>
        <v>0.69291978647323915</v>
      </c>
      <c r="AV42" s="439">
        <f t="shared" ca="1" si="22"/>
        <v>1148.6796240616595</v>
      </c>
      <c r="AW42" s="439"/>
      <c r="AX42" s="438">
        <f t="shared" ca="1" si="11"/>
        <v>30.034519566793016</v>
      </c>
      <c r="AY42" s="438">
        <f t="shared" ca="1" si="23"/>
        <v>13.495736965877882</v>
      </c>
      <c r="AZ42" s="443"/>
      <c r="BA42" s="433" t="str">
        <f t="shared" si="24"/>
        <v>CEE Tier 2 Clothes Washer - Any DHW, Any Dryer - 31% ENERGY STAR Baseline</v>
      </c>
      <c r="BB42" s="433" t="s">
        <v>25</v>
      </c>
      <c r="BC42" s="438">
        <f t="shared" ca="1" si="25"/>
        <v>25.802617916953178</v>
      </c>
      <c r="BD42" s="438">
        <f>SFAssumptions!$C$7</f>
        <v>14</v>
      </c>
      <c r="BE42" s="444">
        <f t="shared" ca="1" si="26"/>
        <v>224.76652220844369</v>
      </c>
      <c r="BF42" s="433"/>
      <c r="BG42" s="432" t="s">
        <v>157</v>
      </c>
      <c r="BH42" s="445">
        <f t="shared" ca="1" si="27"/>
        <v>13.495736965877882</v>
      </c>
      <c r="BI42" s="433"/>
      <c r="BJ42" s="433"/>
      <c r="BK42" s="433"/>
      <c r="BL42" s="433"/>
      <c r="BM42" s="433"/>
      <c r="BN42" s="433"/>
      <c r="BO42" s="446">
        <f t="shared" ca="1" si="28"/>
        <v>0.69291978647323915</v>
      </c>
      <c r="BP42" s="433" t="s">
        <v>158</v>
      </c>
    </row>
    <row r="43" spans="1:68" s="414" customFormat="1">
      <c r="A43" s="433">
        <f t="shared" si="29"/>
        <v>26</v>
      </c>
      <c r="B43" s="433">
        <f t="shared" si="3"/>
        <v>1</v>
      </c>
      <c r="C43" s="433">
        <f t="shared" si="4"/>
        <v>26</v>
      </c>
      <c r="D43" s="433">
        <f t="shared" si="5"/>
        <v>6</v>
      </c>
      <c r="E43" s="433">
        <f t="shared" si="6"/>
        <v>1</v>
      </c>
      <c r="F43" s="433"/>
      <c r="G43" s="433" t="str">
        <f t="shared" si="12"/>
        <v>Current Practice Baseline Using 31% ENERGY STAR Penetration</v>
      </c>
      <c r="H43" s="433" t="str">
        <f t="shared" si="13"/>
        <v>CEE Tier 3</v>
      </c>
      <c r="I43" s="433" t="str">
        <f t="shared" si="7"/>
        <v>Electric DHW, Electric Dryer</v>
      </c>
      <c r="J43" s="433" t="str">
        <f t="shared" si="8"/>
        <v>Electric DHW</v>
      </c>
      <c r="K43" s="433" t="str">
        <f t="shared" si="9"/>
        <v>Electric Dryer</v>
      </c>
      <c r="L43" s="434">
        <f>VLOOKUP(J43,SFAssumptions!$A$14:$B$16,2,FALSE)</f>
        <v>1</v>
      </c>
      <c r="M43" s="435">
        <f>VLOOKUP(K43,SFAssumptions!$A$18:$B$20,2,FALSE)</f>
        <v>1</v>
      </c>
      <c r="N43" s="436">
        <f ca="1">HLOOKUP($G43,'SFBaselines and Measures'!$C$3:$V$33,7,FALSE)</f>
        <v>4047.8861059902265</v>
      </c>
      <c r="O43" s="437">
        <f ca="1">HLOOKUP($G43,'SFBaselines and Measures'!$C$3:$V$33,8,FALSE)</f>
        <v>776.31603614450796</v>
      </c>
      <c r="P43" s="438">
        <f ca="1">HLOOKUP($G43,'SFBaselines and Measures'!$C$3:$V$33,25,FALSE)</f>
        <v>54.214158734717515</v>
      </c>
      <c r="Q43" s="438"/>
      <c r="R43" s="438">
        <f ca="1">HLOOKUP($G43,'SFBaselines and Measures'!$C$3:$V$33,27,FALSE)</f>
        <v>90.204360816304174</v>
      </c>
      <c r="S43" s="439">
        <f>HLOOKUP($G43,'SFBaselines and Measures'!$C$3:$V$33,29,FALSE)</f>
        <v>0</v>
      </c>
      <c r="T43" s="439"/>
      <c r="U43" s="439">
        <f ca="1">HLOOKUP($G43,'SFBaselines and Measures'!$C$3:$V$33,31,FALSE)</f>
        <v>4.1048997795472824</v>
      </c>
      <c r="V43" s="440">
        <f ca="1">HLOOKUP($G43,'SFBaselines and Measures'!$C$3:$V$33,9,FALSE)</f>
        <v>47.558261685804517</v>
      </c>
      <c r="W43" s="441"/>
      <c r="X43" s="436">
        <f ca="1">HLOOKUP($H43,'SFBaselines and Measures'!$C$2:$V$33,8,FALSE)</f>
        <v>2874.3796688857838</v>
      </c>
      <c r="Y43" s="437">
        <f ca="1">HLOOKUP($H43,'SFBaselines and Measures'!$C$2:$V$33,9,FALSE)</f>
        <v>996.04811179834417</v>
      </c>
      <c r="Z43" s="438">
        <f ca="1">HLOOKUP($H43,'SFBaselines and Measures'!$C$2:$V$33,26,FALSE)</f>
        <v>46.532567798860654</v>
      </c>
      <c r="AA43" s="438"/>
      <c r="AB43" s="438">
        <f ca="1">HLOOKUP($H43,'SFBaselines and Measures'!$C$2:$V$33,28,FALSE)</f>
        <v>54.977840524819655</v>
      </c>
      <c r="AC43" s="439">
        <f>HLOOKUP($H43,'SFBaselines and Measures'!$C$2:$V$33,30,FALSE)</f>
        <v>0</v>
      </c>
      <c r="AD43" s="439"/>
      <c r="AE43" s="439">
        <f ca="1">HLOOKUP($H43,'SFBaselines and Measures'!$C$2:$V$33,32,FALSE)</f>
        <v>2.5018582628161266</v>
      </c>
      <c r="AF43" s="440">
        <f ca="1">HLOOKUP($H43,'SFBaselines and Measures'!$C$2:$V$33,10,FALSE)</f>
        <v>33.77083665346499</v>
      </c>
      <c r="AG43" s="441"/>
      <c r="AH43" s="436">
        <f t="shared" ca="1" si="14"/>
        <v>1173.5064371044427</v>
      </c>
      <c r="AI43" s="437">
        <f t="shared" ca="1" si="15"/>
        <v>219.7320756538362</v>
      </c>
      <c r="AJ43" s="438">
        <f t="shared" ca="1" si="16"/>
        <v>7.6815909358568604</v>
      </c>
      <c r="AK43" s="438"/>
      <c r="AL43" s="438">
        <f t="shared" ca="1" si="30"/>
        <v>35.226520291484519</v>
      </c>
      <c r="AM43" s="439">
        <f t="shared" si="30"/>
        <v>0</v>
      </c>
      <c r="AN43" s="439"/>
      <c r="AO43" s="439">
        <f t="shared" ca="1" si="31"/>
        <v>1.6030415167311558</v>
      </c>
      <c r="AP43" s="442">
        <f t="shared" ca="1" si="31"/>
        <v>13.787425032339527</v>
      </c>
      <c r="AQ43" s="443"/>
      <c r="AR43" s="435" t="str">
        <f t="shared" si="18"/>
        <v>CEE Tier 3 Clothes Washer - Electric DHW, Electric Dryer - 31% ENERGY STAR Baseline</v>
      </c>
      <c r="AS43" s="437">
        <f t="shared" ca="1" si="19"/>
        <v>219.7320756538362</v>
      </c>
      <c r="AT43" s="438">
        <f t="shared" ca="1" si="20"/>
        <v>42.908111227341379</v>
      </c>
      <c r="AU43" s="439">
        <f t="shared" ca="1" si="21"/>
        <v>0</v>
      </c>
      <c r="AV43" s="439">
        <f t="shared" ca="1" si="22"/>
        <v>1173.5064371044427</v>
      </c>
      <c r="AW43" s="439"/>
      <c r="AX43" s="438">
        <f t="shared" ca="1" si="11"/>
        <v>47.231478442405155</v>
      </c>
      <c r="AY43" s="438">
        <f t="shared" ca="1" si="23"/>
        <v>13.787425032339527</v>
      </c>
      <c r="AZ43" s="443"/>
      <c r="BA43" s="433" t="str">
        <f t="shared" si="24"/>
        <v>CEE Tier 3 Clothes Washer - Electric DHW, Electric Dryer - 31% ENERGY STAR Baseline</v>
      </c>
      <c r="BB43" s="433" t="s">
        <v>25</v>
      </c>
      <c r="BC43" s="438">
        <f t="shared" ca="1" si="25"/>
        <v>42.908111227341379</v>
      </c>
      <c r="BD43" s="438">
        <f>SFAssumptions!$C$7</f>
        <v>14</v>
      </c>
      <c r="BE43" s="444">
        <f t="shared" ca="1" si="26"/>
        <v>219.7320756538362</v>
      </c>
      <c r="BF43" s="433"/>
      <c r="BG43" s="432" t="s">
        <v>157</v>
      </c>
      <c r="BH43" s="445">
        <f t="shared" ca="1" si="27"/>
        <v>13.787425032339527</v>
      </c>
      <c r="BI43" s="433"/>
      <c r="BJ43" s="433"/>
      <c r="BK43" s="433"/>
      <c r="BL43" s="433"/>
      <c r="BM43" s="433"/>
      <c r="BN43" s="433"/>
      <c r="BO43" s="446">
        <f t="shared" ca="1" si="28"/>
        <v>0</v>
      </c>
      <c r="BP43" s="433" t="s">
        <v>158</v>
      </c>
    </row>
    <row r="44" spans="1:68" s="414" customFormat="1">
      <c r="A44" s="433">
        <f t="shared" si="29"/>
        <v>27</v>
      </c>
      <c r="B44" s="433">
        <f t="shared" si="3"/>
        <v>1</v>
      </c>
      <c r="C44" s="433">
        <f t="shared" si="4"/>
        <v>27</v>
      </c>
      <c r="D44" s="433">
        <f t="shared" si="5"/>
        <v>6</v>
      </c>
      <c r="E44" s="433">
        <f t="shared" si="6"/>
        <v>2</v>
      </c>
      <c r="F44" s="433"/>
      <c r="G44" s="433" t="str">
        <f t="shared" si="12"/>
        <v>Current Practice Baseline Using 31% ENERGY STAR Penetration</v>
      </c>
      <c r="H44" s="433" t="str">
        <f t="shared" si="13"/>
        <v>CEE Tier 3</v>
      </c>
      <c r="I44" s="433" t="str">
        <f t="shared" si="7"/>
        <v>Electric DHW, Gas Dryer</v>
      </c>
      <c r="J44" s="433" t="str">
        <f t="shared" si="8"/>
        <v>Electric DHW</v>
      </c>
      <c r="K44" s="433" t="str">
        <f t="shared" si="9"/>
        <v>Gas Dryer</v>
      </c>
      <c r="L44" s="434">
        <f>VLOOKUP(J44,SFAssumptions!$A$14:$B$16,2,FALSE)</f>
        <v>1</v>
      </c>
      <c r="M44" s="435">
        <f>VLOOKUP(K44,SFAssumptions!$A$18:$B$20,2,FALSE)</f>
        <v>0</v>
      </c>
      <c r="N44" s="436">
        <f ca="1">HLOOKUP($G44,'SFBaselines and Measures'!$C$3:$V$33,7,FALSE)</f>
        <v>4047.8861059902265</v>
      </c>
      <c r="O44" s="437">
        <f ca="1">HLOOKUP($G44,'SFBaselines and Measures'!$C$3:$V$33,8,FALSE)</f>
        <v>776.31603614450796</v>
      </c>
      <c r="P44" s="438">
        <f ca="1">HLOOKUP($G44,'SFBaselines and Measures'!$C$3:$V$33,25,FALSE)</f>
        <v>54.214158734717515</v>
      </c>
      <c r="Q44" s="438"/>
      <c r="R44" s="438">
        <f ca="1">HLOOKUP($G44,'SFBaselines and Measures'!$C$3:$V$33,27,FALSE)</f>
        <v>90.204360816304174</v>
      </c>
      <c r="S44" s="439">
        <f>HLOOKUP($G44,'SFBaselines and Measures'!$C$3:$V$33,29,FALSE)</f>
        <v>0</v>
      </c>
      <c r="T44" s="439"/>
      <c r="U44" s="439">
        <f ca="1">HLOOKUP($G44,'SFBaselines and Measures'!$C$3:$V$33,31,FALSE)</f>
        <v>4.1048997795472824</v>
      </c>
      <c r="V44" s="440">
        <f ca="1">HLOOKUP($G44,'SFBaselines and Measures'!$C$3:$V$33,9,FALSE)</f>
        <v>47.558261685804517</v>
      </c>
      <c r="W44" s="441"/>
      <c r="X44" s="436">
        <f ca="1">HLOOKUP($H44,'SFBaselines and Measures'!$C$2:$V$33,8,FALSE)</f>
        <v>2874.3796688857838</v>
      </c>
      <c r="Y44" s="437">
        <f ca="1">HLOOKUP($H44,'SFBaselines and Measures'!$C$2:$V$33,9,FALSE)</f>
        <v>996.04811179834417</v>
      </c>
      <c r="Z44" s="438">
        <f ca="1">HLOOKUP($H44,'SFBaselines and Measures'!$C$2:$V$33,26,FALSE)</f>
        <v>46.532567798860654</v>
      </c>
      <c r="AA44" s="438"/>
      <c r="AB44" s="438">
        <f ca="1">HLOOKUP($H44,'SFBaselines and Measures'!$C$2:$V$33,28,FALSE)</f>
        <v>54.977840524819655</v>
      </c>
      <c r="AC44" s="439">
        <f>HLOOKUP($H44,'SFBaselines and Measures'!$C$2:$V$33,30,FALSE)</f>
        <v>0</v>
      </c>
      <c r="AD44" s="439"/>
      <c r="AE44" s="439">
        <f ca="1">HLOOKUP($H44,'SFBaselines and Measures'!$C$2:$V$33,32,FALSE)</f>
        <v>2.5018582628161266</v>
      </c>
      <c r="AF44" s="440">
        <f ca="1">HLOOKUP($H44,'SFBaselines and Measures'!$C$2:$V$33,10,FALSE)</f>
        <v>33.77083665346499</v>
      </c>
      <c r="AG44" s="441"/>
      <c r="AH44" s="436">
        <f t="shared" ca="1" si="14"/>
        <v>1173.5064371044427</v>
      </c>
      <c r="AI44" s="437">
        <f t="shared" ca="1" si="15"/>
        <v>219.7320756538362</v>
      </c>
      <c r="AJ44" s="438">
        <f t="shared" ca="1" si="16"/>
        <v>7.6815909358568604</v>
      </c>
      <c r="AK44" s="438"/>
      <c r="AL44" s="438">
        <f t="shared" ca="1" si="30"/>
        <v>35.226520291484519</v>
      </c>
      <c r="AM44" s="439">
        <f t="shared" si="30"/>
        <v>0</v>
      </c>
      <c r="AN44" s="439"/>
      <c r="AO44" s="439">
        <f t="shared" ca="1" si="31"/>
        <v>1.6030415167311558</v>
      </c>
      <c r="AP44" s="442">
        <f t="shared" ca="1" si="31"/>
        <v>13.787425032339527</v>
      </c>
      <c r="AQ44" s="443"/>
      <c r="AR44" s="435" t="str">
        <f t="shared" si="18"/>
        <v>CEE Tier 3 Clothes Washer - Electric DHW, Gas Dryer - 31% ENERGY STAR Baseline</v>
      </c>
      <c r="AS44" s="437">
        <f t="shared" ca="1" si="19"/>
        <v>219.7320756538362</v>
      </c>
      <c r="AT44" s="438">
        <f t="shared" ca="1" si="20"/>
        <v>42.908111227341379</v>
      </c>
      <c r="AU44" s="439">
        <f t="shared" ca="1" si="21"/>
        <v>0</v>
      </c>
      <c r="AV44" s="439">
        <f t="shared" ca="1" si="22"/>
        <v>1173.5064371044427</v>
      </c>
      <c r="AW44" s="439"/>
      <c r="AX44" s="438">
        <f t="shared" ca="1" si="11"/>
        <v>47.231478442405155</v>
      </c>
      <c r="AY44" s="438">
        <f t="shared" ca="1" si="23"/>
        <v>13.787425032339527</v>
      </c>
      <c r="AZ44" s="443"/>
      <c r="BA44" s="433" t="str">
        <f t="shared" si="24"/>
        <v>CEE Tier 3 Clothes Washer - Electric DHW, Gas Dryer - 31% ENERGY STAR Baseline</v>
      </c>
      <c r="BB44" s="433" t="s">
        <v>25</v>
      </c>
      <c r="BC44" s="438">
        <f t="shared" ca="1" si="25"/>
        <v>42.908111227341379</v>
      </c>
      <c r="BD44" s="438">
        <f>SFAssumptions!$C$7</f>
        <v>14</v>
      </c>
      <c r="BE44" s="444">
        <f t="shared" ca="1" si="26"/>
        <v>219.7320756538362</v>
      </c>
      <c r="BF44" s="433"/>
      <c r="BG44" s="432" t="s">
        <v>157</v>
      </c>
      <c r="BH44" s="445">
        <f t="shared" ca="1" si="27"/>
        <v>13.787425032339527</v>
      </c>
      <c r="BI44" s="433"/>
      <c r="BJ44" s="433"/>
      <c r="BK44" s="433"/>
      <c r="BL44" s="433"/>
      <c r="BM44" s="433"/>
      <c r="BN44" s="433"/>
      <c r="BO44" s="446">
        <f t="shared" ca="1" si="28"/>
        <v>0</v>
      </c>
      <c r="BP44" s="433" t="s">
        <v>158</v>
      </c>
    </row>
    <row r="45" spans="1:68" s="414" customFormat="1">
      <c r="A45" s="433">
        <f t="shared" si="29"/>
        <v>28</v>
      </c>
      <c r="B45" s="433">
        <f t="shared" si="3"/>
        <v>1</v>
      </c>
      <c r="C45" s="433">
        <f t="shared" si="4"/>
        <v>28</v>
      </c>
      <c r="D45" s="433">
        <f t="shared" si="5"/>
        <v>6</v>
      </c>
      <c r="E45" s="433">
        <f t="shared" si="6"/>
        <v>3</v>
      </c>
      <c r="F45" s="433"/>
      <c r="G45" s="433" t="str">
        <f t="shared" si="12"/>
        <v>Current Practice Baseline Using 31% ENERGY STAR Penetration</v>
      </c>
      <c r="H45" s="433" t="str">
        <f t="shared" si="13"/>
        <v>CEE Tier 3</v>
      </c>
      <c r="I45" s="433" t="str">
        <f t="shared" si="7"/>
        <v>Gas DHW, Electric Dryer</v>
      </c>
      <c r="J45" s="433" t="str">
        <f t="shared" si="8"/>
        <v>Gas DHW</v>
      </c>
      <c r="K45" s="433" t="str">
        <f t="shared" si="9"/>
        <v>Electric Dryer</v>
      </c>
      <c r="L45" s="434">
        <f>VLOOKUP(J45,SFAssumptions!$A$14:$B$16,2,FALSE)</f>
        <v>0</v>
      </c>
      <c r="M45" s="435">
        <f>VLOOKUP(K45,SFAssumptions!$A$18:$B$20,2,FALSE)</f>
        <v>1</v>
      </c>
      <c r="N45" s="436">
        <f ca="1">HLOOKUP($G45,'SFBaselines and Measures'!$C$3:$V$33,7,FALSE)</f>
        <v>4047.8861059902265</v>
      </c>
      <c r="O45" s="437">
        <f ca="1">HLOOKUP($G45,'SFBaselines and Measures'!$C$3:$V$33,8,FALSE)</f>
        <v>776.31603614450796</v>
      </c>
      <c r="P45" s="438">
        <f ca="1">HLOOKUP($G45,'SFBaselines and Measures'!$C$3:$V$33,25,FALSE)</f>
        <v>54.214158734717515</v>
      </c>
      <c r="Q45" s="438"/>
      <c r="R45" s="438">
        <f ca="1">HLOOKUP($G45,'SFBaselines and Measures'!$C$3:$V$33,27,FALSE)</f>
        <v>90.204360816304174</v>
      </c>
      <c r="S45" s="439">
        <f>HLOOKUP($G45,'SFBaselines and Measures'!$C$3:$V$33,29,FALSE)</f>
        <v>0</v>
      </c>
      <c r="T45" s="439"/>
      <c r="U45" s="439">
        <f ca="1">HLOOKUP($G45,'SFBaselines and Measures'!$C$3:$V$33,31,FALSE)</f>
        <v>4.1048997795472824</v>
      </c>
      <c r="V45" s="440">
        <f ca="1">HLOOKUP($G45,'SFBaselines and Measures'!$C$3:$V$33,9,FALSE)</f>
        <v>47.558261685804517</v>
      </c>
      <c r="W45" s="441"/>
      <c r="X45" s="436">
        <f ca="1">HLOOKUP($H45,'SFBaselines and Measures'!$C$2:$V$33,8,FALSE)</f>
        <v>2874.3796688857838</v>
      </c>
      <c r="Y45" s="437">
        <f ca="1">HLOOKUP($H45,'SFBaselines and Measures'!$C$2:$V$33,9,FALSE)</f>
        <v>996.04811179834417</v>
      </c>
      <c r="Z45" s="438">
        <f ca="1">HLOOKUP($H45,'SFBaselines and Measures'!$C$2:$V$33,26,FALSE)</f>
        <v>46.532567798860654</v>
      </c>
      <c r="AA45" s="438"/>
      <c r="AB45" s="438">
        <f ca="1">HLOOKUP($H45,'SFBaselines and Measures'!$C$2:$V$33,28,FALSE)</f>
        <v>54.977840524819655</v>
      </c>
      <c r="AC45" s="439">
        <f>HLOOKUP($H45,'SFBaselines and Measures'!$C$2:$V$33,30,FALSE)</f>
        <v>0</v>
      </c>
      <c r="AD45" s="439"/>
      <c r="AE45" s="439">
        <f ca="1">HLOOKUP($H45,'SFBaselines and Measures'!$C$2:$V$33,32,FALSE)</f>
        <v>2.5018582628161266</v>
      </c>
      <c r="AF45" s="440">
        <f ca="1">HLOOKUP($H45,'SFBaselines and Measures'!$C$2:$V$33,10,FALSE)</f>
        <v>33.77083665346499</v>
      </c>
      <c r="AG45" s="441"/>
      <c r="AH45" s="436">
        <f t="shared" ca="1" si="14"/>
        <v>1173.5064371044427</v>
      </c>
      <c r="AI45" s="437">
        <f t="shared" ca="1" si="15"/>
        <v>219.7320756538362</v>
      </c>
      <c r="AJ45" s="438">
        <f t="shared" ca="1" si="16"/>
        <v>7.6815909358568604</v>
      </c>
      <c r="AK45" s="438"/>
      <c r="AL45" s="438">
        <f t="shared" ca="1" si="30"/>
        <v>35.226520291484519</v>
      </c>
      <c r="AM45" s="439">
        <f t="shared" si="30"/>
        <v>0</v>
      </c>
      <c r="AN45" s="439"/>
      <c r="AO45" s="439">
        <f t="shared" ca="1" si="31"/>
        <v>1.6030415167311558</v>
      </c>
      <c r="AP45" s="442">
        <f t="shared" ca="1" si="31"/>
        <v>13.787425032339527</v>
      </c>
      <c r="AQ45" s="443"/>
      <c r="AR45" s="435" t="str">
        <f t="shared" si="18"/>
        <v>CEE Tier 3 Clothes Washer - Gas DHW, Electric Dryer - 31% ENERGY STAR Baseline</v>
      </c>
      <c r="AS45" s="437">
        <f t="shared" ca="1" si="19"/>
        <v>219.7320756538362</v>
      </c>
      <c r="AT45" s="438">
        <f t="shared" ca="1" si="20"/>
        <v>7.6815909358568604</v>
      </c>
      <c r="AU45" s="439">
        <f t="shared" ca="1" si="21"/>
        <v>1.6030415167311558</v>
      </c>
      <c r="AV45" s="439">
        <f t="shared" ca="1" si="22"/>
        <v>1173.5064371044427</v>
      </c>
      <c r="AW45" s="439"/>
      <c r="AX45" s="438">
        <f t="shared" ca="1" si="11"/>
        <v>12.004958150920636</v>
      </c>
      <c r="AY45" s="438">
        <f t="shared" ca="1" si="23"/>
        <v>13.787425032339527</v>
      </c>
      <c r="AZ45" s="443"/>
      <c r="BA45" s="433" t="str">
        <f t="shared" si="24"/>
        <v>CEE Tier 3 Clothes Washer - Gas DHW, Electric Dryer - 31% ENERGY STAR Baseline</v>
      </c>
      <c r="BB45" s="433" t="s">
        <v>25</v>
      </c>
      <c r="BC45" s="438">
        <f t="shared" ca="1" si="25"/>
        <v>7.6815909358568604</v>
      </c>
      <c r="BD45" s="438">
        <f>SFAssumptions!$C$7</f>
        <v>14</v>
      </c>
      <c r="BE45" s="444">
        <f t="shared" ca="1" si="26"/>
        <v>219.7320756538362</v>
      </c>
      <c r="BF45" s="433"/>
      <c r="BG45" s="432" t="s">
        <v>157</v>
      </c>
      <c r="BH45" s="445">
        <f t="shared" ca="1" si="27"/>
        <v>13.787425032339527</v>
      </c>
      <c r="BI45" s="433"/>
      <c r="BJ45" s="433"/>
      <c r="BK45" s="433"/>
      <c r="BL45" s="433"/>
      <c r="BM45" s="433"/>
      <c r="BN45" s="433"/>
      <c r="BO45" s="446">
        <f t="shared" ca="1" si="28"/>
        <v>1.6030415167311558</v>
      </c>
      <c r="BP45" s="433" t="s">
        <v>158</v>
      </c>
    </row>
    <row r="46" spans="1:68" s="414" customFormat="1">
      <c r="A46" s="433">
        <f t="shared" si="29"/>
        <v>29</v>
      </c>
      <c r="B46" s="433">
        <f t="shared" si="3"/>
        <v>1</v>
      </c>
      <c r="C46" s="433">
        <f t="shared" si="4"/>
        <v>29</v>
      </c>
      <c r="D46" s="433">
        <f t="shared" si="5"/>
        <v>6</v>
      </c>
      <c r="E46" s="433">
        <f t="shared" si="6"/>
        <v>4</v>
      </c>
      <c r="F46" s="433"/>
      <c r="G46" s="433" t="str">
        <f t="shared" si="12"/>
        <v>Current Practice Baseline Using 31% ENERGY STAR Penetration</v>
      </c>
      <c r="H46" s="433" t="str">
        <f t="shared" si="13"/>
        <v>CEE Tier 3</v>
      </c>
      <c r="I46" s="433" t="str">
        <f t="shared" si="7"/>
        <v>Gas DHW, Gas Dryer</v>
      </c>
      <c r="J46" s="433" t="str">
        <f t="shared" si="8"/>
        <v>Gas DHW</v>
      </c>
      <c r="K46" s="433" t="str">
        <f t="shared" si="9"/>
        <v>Gas Dryer</v>
      </c>
      <c r="L46" s="434">
        <f>VLOOKUP(J46,SFAssumptions!$A$14:$B$16,2,FALSE)</f>
        <v>0</v>
      </c>
      <c r="M46" s="435">
        <f>VLOOKUP(K46,SFAssumptions!$A$18:$B$20,2,FALSE)</f>
        <v>0</v>
      </c>
      <c r="N46" s="436">
        <f ca="1">HLOOKUP($G46,'SFBaselines and Measures'!$C$3:$V$33,7,FALSE)</f>
        <v>4047.8861059902265</v>
      </c>
      <c r="O46" s="437">
        <f ca="1">HLOOKUP($G46,'SFBaselines and Measures'!$C$3:$V$33,8,FALSE)</f>
        <v>776.31603614450796</v>
      </c>
      <c r="P46" s="438">
        <f ca="1">HLOOKUP($G46,'SFBaselines and Measures'!$C$3:$V$33,25,FALSE)</f>
        <v>54.214158734717515</v>
      </c>
      <c r="Q46" s="438"/>
      <c r="R46" s="438">
        <f ca="1">HLOOKUP($G46,'SFBaselines and Measures'!$C$3:$V$33,27,FALSE)</f>
        <v>90.204360816304174</v>
      </c>
      <c r="S46" s="439">
        <f>HLOOKUP($G46,'SFBaselines and Measures'!$C$3:$V$33,29,FALSE)</f>
        <v>0</v>
      </c>
      <c r="T46" s="439"/>
      <c r="U46" s="439">
        <f ca="1">HLOOKUP($G46,'SFBaselines and Measures'!$C$3:$V$33,31,FALSE)</f>
        <v>4.1048997795472824</v>
      </c>
      <c r="V46" s="440">
        <f ca="1">HLOOKUP($G46,'SFBaselines and Measures'!$C$3:$V$33,9,FALSE)</f>
        <v>47.558261685804517</v>
      </c>
      <c r="W46" s="441"/>
      <c r="X46" s="436">
        <f ca="1">HLOOKUP($H46,'SFBaselines and Measures'!$C$2:$V$33,8,FALSE)</f>
        <v>2874.3796688857838</v>
      </c>
      <c r="Y46" s="437">
        <f ca="1">HLOOKUP($H46,'SFBaselines and Measures'!$C$2:$V$33,9,FALSE)</f>
        <v>996.04811179834417</v>
      </c>
      <c r="Z46" s="438">
        <f ca="1">HLOOKUP($H46,'SFBaselines and Measures'!$C$2:$V$33,26,FALSE)</f>
        <v>46.532567798860654</v>
      </c>
      <c r="AA46" s="438"/>
      <c r="AB46" s="438">
        <f ca="1">HLOOKUP($H46,'SFBaselines and Measures'!$C$2:$V$33,28,FALSE)</f>
        <v>54.977840524819655</v>
      </c>
      <c r="AC46" s="439">
        <f>HLOOKUP($H46,'SFBaselines and Measures'!$C$2:$V$33,30,FALSE)</f>
        <v>0</v>
      </c>
      <c r="AD46" s="439"/>
      <c r="AE46" s="439">
        <f ca="1">HLOOKUP($H46,'SFBaselines and Measures'!$C$2:$V$33,32,FALSE)</f>
        <v>2.5018582628161266</v>
      </c>
      <c r="AF46" s="440">
        <f ca="1">HLOOKUP($H46,'SFBaselines and Measures'!$C$2:$V$33,10,FALSE)</f>
        <v>33.77083665346499</v>
      </c>
      <c r="AG46" s="441"/>
      <c r="AH46" s="436">
        <f t="shared" ca="1" si="14"/>
        <v>1173.5064371044427</v>
      </c>
      <c r="AI46" s="437">
        <f t="shared" ca="1" si="15"/>
        <v>219.7320756538362</v>
      </c>
      <c r="AJ46" s="438">
        <f t="shared" ca="1" si="16"/>
        <v>7.6815909358568604</v>
      </c>
      <c r="AK46" s="438"/>
      <c r="AL46" s="438">
        <f t="shared" ca="1" si="30"/>
        <v>35.226520291484519</v>
      </c>
      <c r="AM46" s="439">
        <f t="shared" si="30"/>
        <v>0</v>
      </c>
      <c r="AN46" s="439"/>
      <c r="AO46" s="439">
        <f t="shared" ca="1" si="31"/>
        <v>1.6030415167311558</v>
      </c>
      <c r="AP46" s="442">
        <f t="shared" ca="1" si="31"/>
        <v>13.787425032339527</v>
      </c>
      <c r="AQ46" s="443"/>
      <c r="AR46" s="435" t="str">
        <f t="shared" si="18"/>
        <v>CEE Tier 3 Clothes Washer - Gas DHW, Gas Dryer - 31% ENERGY STAR Baseline</v>
      </c>
      <c r="AS46" s="437">
        <f t="shared" ca="1" si="19"/>
        <v>219.7320756538362</v>
      </c>
      <c r="AT46" s="438">
        <f t="shared" ca="1" si="20"/>
        <v>7.6815909358568604</v>
      </c>
      <c r="AU46" s="439">
        <f t="shared" ca="1" si="21"/>
        <v>1.6030415167311558</v>
      </c>
      <c r="AV46" s="439">
        <f t="shared" ca="1" si="22"/>
        <v>1173.5064371044427</v>
      </c>
      <c r="AW46" s="439"/>
      <c r="AX46" s="438">
        <f t="shared" ca="1" si="11"/>
        <v>12.004958150920636</v>
      </c>
      <c r="AY46" s="438">
        <f t="shared" ca="1" si="23"/>
        <v>13.787425032339527</v>
      </c>
      <c r="AZ46" s="443"/>
      <c r="BA46" s="433" t="str">
        <f t="shared" si="24"/>
        <v>CEE Tier 3 Clothes Washer - Gas DHW, Gas Dryer - 31% ENERGY STAR Baseline</v>
      </c>
      <c r="BB46" s="433" t="s">
        <v>25</v>
      </c>
      <c r="BC46" s="438">
        <f t="shared" ca="1" si="25"/>
        <v>7.6815909358568604</v>
      </c>
      <c r="BD46" s="438">
        <f>SFAssumptions!$C$7</f>
        <v>14</v>
      </c>
      <c r="BE46" s="444">
        <f t="shared" ca="1" si="26"/>
        <v>219.7320756538362</v>
      </c>
      <c r="BF46" s="433"/>
      <c r="BG46" s="432" t="s">
        <v>157</v>
      </c>
      <c r="BH46" s="445">
        <f t="shared" ca="1" si="27"/>
        <v>13.787425032339527</v>
      </c>
      <c r="BI46" s="433"/>
      <c r="BJ46" s="433"/>
      <c r="BK46" s="433"/>
      <c r="BL46" s="433"/>
      <c r="BM46" s="433"/>
      <c r="BN46" s="433"/>
      <c r="BO46" s="446">
        <f t="shared" ca="1" si="28"/>
        <v>1.6030415167311558</v>
      </c>
      <c r="BP46" s="433" t="s">
        <v>158</v>
      </c>
    </row>
    <row r="47" spans="1:68" s="414" customFormat="1">
      <c r="A47" s="433">
        <f t="shared" si="29"/>
        <v>30</v>
      </c>
      <c r="B47" s="433">
        <f t="shared" si="3"/>
        <v>1</v>
      </c>
      <c r="C47" s="433">
        <f t="shared" si="4"/>
        <v>30</v>
      </c>
      <c r="D47" s="433">
        <f t="shared" si="5"/>
        <v>6</v>
      </c>
      <c r="E47" s="433">
        <f t="shared" si="6"/>
        <v>5</v>
      </c>
      <c r="F47" s="433"/>
      <c r="G47" s="433" t="str">
        <f t="shared" si="12"/>
        <v>Current Practice Baseline Using 31% ENERGY STAR Penetration</v>
      </c>
      <c r="H47" s="433" t="str">
        <f t="shared" si="13"/>
        <v>CEE Tier 3</v>
      </c>
      <c r="I47" s="433" t="str">
        <f t="shared" si="7"/>
        <v>Any DHW, Any Dryer</v>
      </c>
      <c r="J47" s="433" t="str">
        <f t="shared" si="8"/>
        <v>Any DHW</v>
      </c>
      <c r="K47" s="433" t="str">
        <f t="shared" si="9"/>
        <v>Any Dryer</v>
      </c>
      <c r="L47" s="434">
        <f>VLOOKUP(J47,SFAssumptions!$A$14:$B$16,2,FALSE)</f>
        <v>0.55200000000000005</v>
      </c>
      <c r="M47" s="435">
        <f>VLOOKUP(K47,SFAssumptions!$A$18:$B$20,2,FALSE)</f>
        <v>0.95</v>
      </c>
      <c r="N47" s="436">
        <f ca="1">HLOOKUP($G47,'SFBaselines and Measures'!$C$3:$V$33,7,FALSE)</f>
        <v>4047.8861059902265</v>
      </c>
      <c r="O47" s="437">
        <f ca="1">HLOOKUP($G47,'SFBaselines and Measures'!$C$3:$V$33,8,FALSE)</f>
        <v>776.31603614450796</v>
      </c>
      <c r="P47" s="438">
        <f ca="1">HLOOKUP($G47,'SFBaselines and Measures'!$C$3:$V$33,25,FALSE)</f>
        <v>54.214158734717515</v>
      </c>
      <c r="Q47" s="438"/>
      <c r="R47" s="438">
        <f ca="1">HLOOKUP($G47,'SFBaselines and Measures'!$C$3:$V$33,27,FALSE)</f>
        <v>90.204360816304174</v>
      </c>
      <c r="S47" s="439">
        <f>HLOOKUP($G47,'SFBaselines and Measures'!$C$3:$V$33,29,FALSE)</f>
        <v>0</v>
      </c>
      <c r="T47" s="439"/>
      <c r="U47" s="439">
        <f ca="1">HLOOKUP($G47,'SFBaselines and Measures'!$C$3:$V$33,31,FALSE)</f>
        <v>4.1048997795472824</v>
      </c>
      <c r="V47" s="440">
        <f ca="1">HLOOKUP($G47,'SFBaselines and Measures'!$C$3:$V$33,9,FALSE)</f>
        <v>47.558261685804517</v>
      </c>
      <c r="W47" s="441"/>
      <c r="X47" s="436">
        <f ca="1">HLOOKUP($H47,'SFBaselines and Measures'!$C$2:$V$33,8,FALSE)</f>
        <v>2874.3796688857838</v>
      </c>
      <c r="Y47" s="437">
        <f ca="1">HLOOKUP($H47,'SFBaselines and Measures'!$C$2:$V$33,9,FALSE)</f>
        <v>996.04811179834417</v>
      </c>
      <c r="Z47" s="438">
        <f ca="1">HLOOKUP($H47,'SFBaselines and Measures'!$C$2:$V$33,26,FALSE)</f>
        <v>46.532567798860654</v>
      </c>
      <c r="AA47" s="438"/>
      <c r="AB47" s="438">
        <f ca="1">HLOOKUP($H47,'SFBaselines and Measures'!$C$2:$V$33,28,FALSE)</f>
        <v>54.977840524819655</v>
      </c>
      <c r="AC47" s="439">
        <f>HLOOKUP($H47,'SFBaselines and Measures'!$C$2:$V$33,30,FALSE)</f>
        <v>0</v>
      </c>
      <c r="AD47" s="439"/>
      <c r="AE47" s="439">
        <f ca="1">HLOOKUP($H47,'SFBaselines and Measures'!$C$2:$V$33,32,FALSE)</f>
        <v>2.5018582628161266</v>
      </c>
      <c r="AF47" s="440">
        <f ca="1">HLOOKUP($H47,'SFBaselines and Measures'!$C$2:$V$33,10,FALSE)</f>
        <v>33.77083665346499</v>
      </c>
      <c r="AG47" s="441"/>
      <c r="AH47" s="436">
        <f t="shared" ca="1" si="14"/>
        <v>1173.5064371044427</v>
      </c>
      <c r="AI47" s="437">
        <f t="shared" ca="1" si="15"/>
        <v>219.7320756538362</v>
      </c>
      <c r="AJ47" s="438">
        <f t="shared" ca="1" si="16"/>
        <v>7.6815909358568604</v>
      </c>
      <c r="AK47" s="438"/>
      <c r="AL47" s="438">
        <f t="shared" ca="1" si="30"/>
        <v>35.226520291484519</v>
      </c>
      <c r="AM47" s="439">
        <f t="shared" si="30"/>
        <v>0</v>
      </c>
      <c r="AN47" s="439"/>
      <c r="AO47" s="439">
        <f t="shared" ca="1" si="31"/>
        <v>1.6030415167311558</v>
      </c>
      <c r="AP47" s="442">
        <f t="shared" ca="1" si="31"/>
        <v>13.787425032339527</v>
      </c>
      <c r="AQ47" s="443"/>
      <c r="AR47" s="435" t="str">
        <f t="shared" si="18"/>
        <v>CEE Tier 3 Clothes Washer - Any DHW, Any Dryer - 31% ENERGY STAR Baseline</v>
      </c>
      <c r="AS47" s="437">
        <f t="shared" ca="1" si="19"/>
        <v>219.7320756538362</v>
      </c>
      <c r="AT47" s="438">
        <f t="shared" ca="1" si="20"/>
        <v>27.126630136756315</v>
      </c>
      <c r="AU47" s="439">
        <f t="shared" ca="1" si="21"/>
        <v>0.71816259949555772</v>
      </c>
      <c r="AV47" s="439">
        <f t="shared" ca="1" si="22"/>
        <v>1173.5064371044427</v>
      </c>
      <c r="AW47" s="439"/>
      <c r="AX47" s="438">
        <f t="shared" ca="1" si="11"/>
        <v>31.449997351820091</v>
      </c>
      <c r="AY47" s="438">
        <f t="shared" ca="1" si="23"/>
        <v>13.787425032339527</v>
      </c>
      <c r="AZ47" s="443"/>
      <c r="BA47" s="433" t="str">
        <f t="shared" si="24"/>
        <v>CEE Tier 3 Clothes Washer - Any DHW, Any Dryer - 31% ENERGY STAR Baseline</v>
      </c>
      <c r="BB47" s="433" t="s">
        <v>25</v>
      </c>
      <c r="BC47" s="438">
        <f t="shared" ca="1" si="25"/>
        <v>27.126630136756315</v>
      </c>
      <c r="BD47" s="438">
        <f>SFAssumptions!$C$7</f>
        <v>14</v>
      </c>
      <c r="BE47" s="444">
        <f t="shared" ca="1" si="26"/>
        <v>219.7320756538362</v>
      </c>
      <c r="BF47" s="433"/>
      <c r="BG47" s="432" t="s">
        <v>157</v>
      </c>
      <c r="BH47" s="445">
        <f t="shared" ca="1" si="27"/>
        <v>13.787425032339527</v>
      </c>
      <c r="BI47" s="433"/>
      <c r="BJ47" s="433"/>
      <c r="BK47" s="433"/>
      <c r="BL47" s="433"/>
      <c r="BM47" s="433"/>
      <c r="BN47" s="433"/>
      <c r="BO47" s="446">
        <f t="shared" ca="1" si="28"/>
        <v>0.71816259949555772</v>
      </c>
      <c r="BP47" s="433" t="s">
        <v>158</v>
      </c>
    </row>
    <row r="48" spans="1:68" s="414" customFormat="1">
      <c r="A48" s="433">
        <f t="shared" si="29"/>
        <v>31</v>
      </c>
      <c r="B48" s="433">
        <f t="shared" si="3"/>
        <v>2</v>
      </c>
      <c r="C48" s="433">
        <f t="shared" si="4"/>
        <v>1</v>
      </c>
      <c r="D48" s="433">
        <f t="shared" si="5"/>
        <v>1</v>
      </c>
      <c r="E48" s="433">
        <f t="shared" si="6"/>
        <v>1</v>
      </c>
      <c r="F48" s="433"/>
      <c r="G48" s="433" t="str">
        <f t="shared" si="12"/>
        <v>Current Practice Baseline Using 54% ENERGY STAR Penetration</v>
      </c>
      <c r="H48" s="433" t="str">
        <f t="shared" si="13"/>
        <v>ENERGY STAR - Top-Load</v>
      </c>
      <c r="I48" s="433" t="str">
        <f t="shared" si="7"/>
        <v>Electric DHW, Electric Dryer</v>
      </c>
      <c r="J48" s="433" t="str">
        <f t="shared" si="8"/>
        <v>Electric DHW</v>
      </c>
      <c r="K48" s="433" t="str">
        <f t="shared" si="9"/>
        <v>Electric Dryer</v>
      </c>
      <c r="L48" s="434">
        <f>VLOOKUP(J48,SFAssumptions!$A$14:$B$16,2,FALSE)</f>
        <v>1</v>
      </c>
      <c r="M48" s="435">
        <f>VLOOKUP(K48,SFAssumptions!$A$18:$B$20,2,FALSE)</f>
        <v>1</v>
      </c>
      <c r="N48" s="436">
        <f ca="1">HLOOKUP($G48,'SFBaselines and Measures'!$C$3:$V$33,7,FALSE)</f>
        <v>3802.5240664273615</v>
      </c>
      <c r="O48" s="437">
        <f ca="1">HLOOKUP($G48,'SFBaselines and Measures'!$C$3:$V$33,8,FALSE)</f>
        <v>825.23457500176619</v>
      </c>
      <c r="P48" s="438">
        <f ca="1">HLOOKUP($G48,'SFBaselines and Measures'!$C$3:$V$33,25,FALSE)</f>
        <v>52.777549864992686</v>
      </c>
      <c r="Q48" s="438"/>
      <c r="R48" s="438">
        <f ca="1">HLOOKUP($G48,'SFBaselines and Measures'!$C$3:$V$33,27,FALSE)</f>
        <v>82.491219159202572</v>
      </c>
      <c r="S48" s="439">
        <f>HLOOKUP($G48,'SFBaselines and Measures'!$C$3:$V$33,29,FALSE)</f>
        <v>0</v>
      </c>
      <c r="T48" s="439"/>
      <c r="U48" s="439">
        <f ca="1">HLOOKUP($G48,'SFBaselines and Measures'!$C$3:$V$33,31,FALSE)</f>
        <v>3.7539004132047786</v>
      </c>
      <c r="V48" s="440">
        <f ca="1">HLOOKUP($G48,'SFBaselines and Measures'!$C$3:$V$33,9,FALSE)</f>
        <v>44.675524429925424</v>
      </c>
      <c r="W48" s="441"/>
      <c r="X48" s="436">
        <f ca="1">HLOOKUP($H48,'SFBaselines and Measures'!$C$2:$V$33,8,FALSE)</f>
        <v>3967.88847049284</v>
      </c>
      <c r="Y48" s="437">
        <f ca="1">HLOOKUP($H48,'SFBaselines and Measures'!$C$2:$V$33,9,FALSE)</f>
        <v>754.7360149776722</v>
      </c>
      <c r="Z48" s="438">
        <f ca="1">HLOOKUP($H48,'SFBaselines and Measures'!$C$2:$V$33,26,FALSE)</f>
        <v>51.72825296727148</v>
      </c>
      <c r="AA48" s="438"/>
      <c r="AB48" s="438">
        <f ca="1">HLOOKUP($H48,'SFBaselines and Measures'!$C$2:$V$33,28,FALSE)</f>
        <v>84.367230649540986</v>
      </c>
      <c r="AC48" s="439">
        <f>HLOOKUP($H48,'SFBaselines and Measures'!$C$2:$V$33,30,FALSE)</f>
        <v>0</v>
      </c>
      <c r="AD48" s="439"/>
      <c r="AE48" s="439">
        <f ca="1">HLOOKUP($H48,'SFBaselines and Measures'!$C$2:$V$33,32,FALSE)</f>
        <v>3.8392714427584451</v>
      </c>
      <c r="AF48" s="440">
        <f ca="1">HLOOKUP($H48,'SFBaselines and Measures'!$C$2:$V$33,10,FALSE)</f>
        <v>46.61837642628597</v>
      </c>
      <c r="AG48" s="441"/>
      <c r="AH48" s="436">
        <f t="shared" ca="1" si="14"/>
        <v>-165.36440406547854</v>
      </c>
      <c r="AI48" s="437">
        <f t="shared" ca="1" si="15"/>
        <v>-70.49856002409399</v>
      </c>
      <c r="AJ48" s="438">
        <f t="shared" ca="1" si="16"/>
        <v>1.0492968977212058</v>
      </c>
      <c r="AK48" s="438"/>
      <c r="AL48" s="438">
        <f t="shared" ca="1" si="30"/>
        <v>-1.8760114903384135</v>
      </c>
      <c r="AM48" s="439">
        <f t="shared" si="30"/>
        <v>0</v>
      </c>
      <c r="AN48" s="439"/>
      <c r="AO48" s="439">
        <f t="shared" ca="1" si="31"/>
        <v>-8.5371029553666489E-2</v>
      </c>
      <c r="AP48" s="442">
        <f t="shared" ca="1" si="31"/>
        <v>-1.9428519963605453</v>
      </c>
      <c r="AQ48" s="443"/>
      <c r="AR48" s="435" t="str">
        <f t="shared" si="18"/>
        <v>ENERGY STAR - Top-Load Clothes Washer - Electric DHW, Electric Dryer - 54% ENERGY STAR Baseline</v>
      </c>
      <c r="AS48" s="437">
        <f t="shared" ca="1" si="19"/>
        <v>-70.49856002409399</v>
      </c>
      <c r="AT48" s="438">
        <f t="shared" ca="1" si="20"/>
        <v>-0.8267145926172077</v>
      </c>
      <c r="AU48" s="439">
        <f t="shared" ca="1" si="21"/>
        <v>0</v>
      </c>
      <c r="AV48" s="439">
        <f t="shared" ca="1" si="22"/>
        <v>-165.36440406547854</v>
      </c>
      <c r="AW48" s="439"/>
      <c r="AX48" s="438">
        <f t="shared" ca="1" si="11"/>
        <v>-1.4359409423586702</v>
      </c>
      <c r="AY48" s="438">
        <f t="shared" ca="1" si="23"/>
        <v>-1.9428519963605453</v>
      </c>
      <c r="AZ48" s="443"/>
      <c r="BA48" s="433" t="str">
        <f>CONCATENATE(H48," Clothes Washer - ",I48," - 54% ENERGY STAR Baseline")</f>
        <v>ENERGY STAR - Top-Load Clothes Washer - Electric DHW, Electric Dryer - 54% ENERGY STAR Baseline</v>
      </c>
      <c r="BB48" s="433" t="s">
        <v>25</v>
      </c>
      <c r="BC48" s="438">
        <f t="shared" ca="1" si="25"/>
        <v>-0.8267145926172077</v>
      </c>
      <c r="BD48" s="438">
        <f>SFAssumptions!$C$7</f>
        <v>14</v>
      </c>
      <c r="BE48" s="444">
        <f t="shared" ca="1" si="26"/>
        <v>-70.49856002409399</v>
      </c>
      <c r="BF48" s="433"/>
      <c r="BG48" s="432" t="s">
        <v>157</v>
      </c>
      <c r="BH48" s="445">
        <f t="shared" ca="1" si="27"/>
        <v>-1.9428519963605453</v>
      </c>
      <c r="BI48" s="433"/>
      <c r="BJ48" s="433"/>
      <c r="BK48" s="433"/>
      <c r="BL48" s="433"/>
      <c r="BM48" s="433"/>
      <c r="BN48" s="433"/>
      <c r="BO48" s="446">
        <f t="shared" ca="1" si="28"/>
        <v>0</v>
      </c>
      <c r="BP48" s="433" t="s">
        <v>158</v>
      </c>
    </row>
    <row r="49" spans="1:68" s="414" customFormat="1">
      <c r="A49" s="433">
        <f t="shared" si="29"/>
        <v>32</v>
      </c>
      <c r="B49" s="433">
        <f t="shared" si="3"/>
        <v>2</v>
      </c>
      <c r="C49" s="433">
        <f t="shared" si="4"/>
        <v>2</v>
      </c>
      <c r="D49" s="433">
        <f t="shared" si="5"/>
        <v>1</v>
      </c>
      <c r="E49" s="433">
        <f t="shared" si="6"/>
        <v>2</v>
      </c>
      <c r="F49" s="433"/>
      <c r="G49" s="433" t="str">
        <f t="shared" si="12"/>
        <v>Current Practice Baseline Using 54% ENERGY STAR Penetration</v>
      </c>
      <c r="H49" s="433" t="str">
        <f t="shared" si="13"/>
        <v>ENERGY STAR - Top-Load</v>
      </c>
      <c r="I49" s="433" t="str">
        <f t="shared" si="7"/>
        <v>Electric DHW, Gas Dryer</v>
      </c>
      <c r="J49" s="433" t="str">
        <f t="shared" si="8"/>
        <v>Electric DHW</v>
      </c>
      <c r="K49" s="433" t="str">
        <f t="shared" si="9"/>
        <v>Gas Dryer</v>
      </c>
      <c r="L49" s="434">
        <f>VLOOKUP(J49,SFAssumptions!$A$14:$B$16,2,FALSE)</f>
        <v>1</v>
      </c>
      <c r="M49" s="435">
        <f>VLOOKUP(K49,SFAssumptions!$A$18:$B$20,2,FALSE)</f>
        <v>0</v>
      </c>
      <c r="N49" s="436">
        <f ca="1">HLOOKUP($G49,'SFBaselines and Measures'!$C$3:$V$33,7,FALSE)</f>
        <v>3802.5240664273615</v>
      </c>
      <c r="O49" s="437">
        <f ca="1">HLOOKUP($G49,'SFBaselines and Measures'!$C$3:$V$33,8,FALSE)</f>
        <v>825.23457500176619</v>
      </c>
      <c r="P49" s="438">
        <f ca="1">HLOOKUP($G49,'SFBaselines and Measures'!$C$3:$V$33,25,FALSE)</f>
        <v>52.777549864992686</v>
      </c>
      <c r="Q49" s="438"/>
      <c r="R49" s="438">
        <f ca="1">HLOOKUP($G49,'SFBaselines and Measures'!$C$3:$V$33,27,FALSE)</f>
        <v>82.491219159202572</v>
      </c>
      <c r="S49" s="439">
        <f>HLOOKUP($G49,'SFBaselines and Measures'!$C$3:$V$33,29,FALSE)</f>
        <v>0</v>
      </c>
      <c r="T49" s="439"/>
      <c r="U49" s="439">
        <f ca="1">HLOOKUP($G49,'SFBaselines and Measures'!$C$3:$V$33,31,FALSE)</f>
        <v>3.7539004132047786</v>
      </c>
      <c r="V49" s="440">
        <f ca="1">HLOOKUP($G49,'SFBaselines and Measures'!$C$3:$V$33,9,FALSE)</f>
        <v>44.675524429925424</v>
      </c>
      <c r="W49" s="441"/>
      <c r="X49" s="436">
        <f ca="1">HLOOKUP($H49,'SFBaselines and Measures'!$C$2:$V$33,8,FALSE)</f>
        <v>3967.88847049284</v>
      </c>
      <c r="Y49" s="437">
        <f ca="1">HLOOKUP($H49,'SFBaselines and Measures'!$C$2:$V$33,9,FALSE)</f>
        <v>754.7360149776722</v>
      </c>
      <c r="Z49" s="438">
        <f ca="1">HLOOKUP($H49,'SFBaselines and Measures'!$C$2:$V$33,26,FALSE)</f>
        <v>51.72825296727148</v>
      </c>
      <c r="AA49" s="438"/>
      <c r="AB49" s="438">
        <f ca="1">HLOOKUP($H49,'SFBaselines and Measures'!$C$2:$V$33,28,FALSE)</f>
        <v>84.367230649540986</v>
      </c>
      <c r="AC49" s="439">
        <f>HLOOKUP($H49,'SFBaselines and Measures'!$C$2:$V$33,30,FALSE)</f>
        <v>0</v>
      </c>
      <c r="AD49" s="439"/>
      <c r="AE49" s="439">
        <f ca="1">HLOOKUP($H49,'SFBaselines and Measures'!$C$2:$V$33,32,FALSE)</f>
        <v>3.8392714427584451</v>
      </c>
      <c r="AF49" s="440">
        <f ca="1">HLOOKUP($H49,'SFBaselines and Measures'!$C$2:$V$33,10,FALSE)</f>
        <v>46.61837642628597</v>
      </c>
      <c r="AG49" s="441"/>
      <c r="AH49" s="436">
        <f t="shared" ca="1" si="14"/>
        <v>-165.36440406547854</v>
      </c>
      <c r="AI49" s="437">
        <f t="shared" ca="1" si="15"/>
        <v>-70.49856002409399</v>
      </c>
      <c r="AJ49" s="438">
        <f t="shared" ca="1" si="16"/>
        <v>1.0492968977212058</v>
      </c>
      <c r="AK49" s="438"/>
      <c r="AL49" s="438">
        <f t="shared" ca="1" si="30"/>
        <v>-1.8760114903384135</v>
      </c>
      <c r="AM49" s="439">
        <f t="shared" si="30"/>
        <v>0</v>
      </c>
      <c r="AN49" s="439"/>
      <c r="AO49" s="439">
        <f t="shared" ca="1" si="31"/>
        <v>-8.5371029553666489E-2</v>
      </c>
      <c r="AP49" s="442">
        <f t="shared" ca="1" si="31"/>
        <v>-1.9428519963605453</v>
      </c>
      <c r="AQ49" s="443"/>
      <c r="AR49" s="435" t="str">
        <f t="shared" si="18"/>
        <v>ENERGY STAR - Top-Load Clothes Washer - Electric DHW, Gas Dryer - 54% ENERGY STAR Baseline</v>
      </c>
      <c r="AS49" s="437">
        <f t="shared" ca="1" si="19"/>
        <v>-70.49856002409399</v>
      </c>
      <c r="AT49" s="438">
        <f t="shared" ca="1" si="20"/>
        <v>-0.8267145926172077</v>
      </c>
      <c r="AU49" s="439">
        <f t="shared" ca="1" si="21"/>
        <v>0</v>
      </c>
      <c r="AV49" s="439">
        <f t="shared" ca="1" si="22"/>
        <v>-165.36440406547854</v>
      </c>
      <c r="AW49" s="439"/>
      <c r="AX49" s="438">
        <f t="shared" ca="1" si="11"/>
        <v>-1.4359409423586702</v>
      </c>
      <c r="AY49" s="438">
        <f t="shared" ca="1" si="23"/>
        <v>-1.9428519963605453</v>
      </c>
      <c r="AZ49" s="443"/>
      <c r="BA49" s="433" t="str">
        <f t="shared" ref="BA49:BA77" si="32">CONCATENATE(H49," Clothes Washer - ",I49," - 54% ENERGY STAR Baseline")</f>
        <v>ENERGY STAR - Top-Load Clothes Washer - Electric DHW, Gas Dryer - 54% ENERGY STAR Baseline</v>
      </c>
      <c r="BB49" s="433" t="s">
        <v>25</v>
      </c>
      <c r="BC49" s="438">
        <f t="shared" ca="1" si="25"/>
        <v>-0.8267145926172077</v>
      </c>
      <c r="BD49" s="438">
        <f>SFAssumptions!$C$7</f>
        <v>14</v>
      </c>
      <c r="BE49" s="444">
        <f t="shared" ca="1" si="26"/>
        <v>-70.49856002409399</v>
      </c>
      <c r="BF49" s="433"/>
      <c r="BG49" s="432" t="s">
        <v>157</v>
      </c>
      <c r="BH49" s="445">
        <f t="shared" ca="1" si="27"/>
        <v>-1.9428519963605453</v>
      </c>
      <c r="BI49" s="433"/>
      <c r="BJ49" s="433"/>
      <c r="BK49" s="433"/>
      <c r="BL49" s="433"/>
      <c r="BM49" s="433"/>
      <c r="BN49" s="433"/>
      <c r="BO49" s="446">
        <f t="shared" ca="1" si="28"/>
        <v>0</v>
      </c>
      <c r="BP49" s="433" t="s">
        <v>158</v>
      </c>
    </row>
    <row r="50" spans="1:68" s="414" customFormat="1">
      <c r="A50" s="433">
        <f t="shared" si="29"/>
        <v>33</v>
      </c>
      <c r="B50" s="433">
        <f t="shared" si="3"/>
        <v>2</v>
      </c>
      <c r="C50" s="433">
        <f t="shared" si="4"/>
        <v>3</v>
      </c>
      <c r="D50" s="433">
        <f t="shared" si="5"/>
        <v>1</v>
      </c>
      <c r="E50" s="433">
        <f t="shared" si="6"/>
        <v>3</v>
      </c>
      <c r="F50" s="433"/>
      <c r="G50" s="433" t="str">
        <f t="shared" si="12"/>
        <v>Current Practice Baseline Using 54% ENERGY STAR Penetration</v>
      </c>
      <c r="H50" s="433" t="str">
        <f t="shared" si="13"/>
        <v>ENERGY STAR - Top-Load</v>
      </c>
      <c r="I50" s="433" t="str">
        <f t="shared" si="7"/>
        <v>Gas DHW, Electric Dryer</v>
      </c>
      <c r="J50" s="433" t="str">
        <f t="shared" si="8"/>
        <v>Gas DHW</v>
      </c>
      <c r="K50" s="433" t="str">
        <f t="shared" si="9"/>
        <v>Electric Dryer</v>
      </c>
      <c r="L50" s="434">
        <f>VLOOKUP(J50,SFAssumptions!$A$14:$B$16,2,FALSE)</f>
        <v>0</v>
      </c>
      <c r="M50" s="435">
        <f>VLOOKUP(K50,SFAssumptions!$A$18:$B$20,2,FALSE)</f>
        <v>1</v>
      </c>
      <c r="N50" s="436">
        <f ca="1">HLOOKUP($G50,'SFBaselines and Measures'!$C$3:$V$33,7,FALSE)</f>
        <v>3802.5240664273615</v>
      </c>
      <c r="O50" s="437">
        <f ca="1">HLOOKUP($G50,'SFBaselines and Measures'!$C$3:$V$33,8,FALSE)</f>
        <v>825.23457500176619</v>
      </c>
      <c r="P50" s="438">
        <f ca="1">HLOOKUP($G50,'SFBaselines and Measures'!$C$3:$V$33,25,FALSE)</f>
        <v>52.777549864992686</v>
      </c>
      <c r="Q50" s="438"/>
      <c r="R50" s="438">
        <f ca="1">HLOOKUP($G50,'SFBaselines and Measures'!$C$3:$V$33,27,FALSE)</f>
        <v>82.491219159202572</v>
      </c>
      <c r="S50" s="439">
        <f>HLOOKUP($G50,'SFBaselines and Measures'!$C$3:$V$33,29,FALSE)</f>
        <v>0</v>
      </c>
      <c r="T50" s="439"/>
      <c r="U50" s="439">
        <f ca="1">HLOOKUP($G50,'SFBaselines and Measures'!$C$3:$V$33,31,FALSE)</f>
        <v>3.7539004132047786</v>
      </c>
      <c r="V50" s="440">
        <f ca="1">HLOOKUP($G50,'SFBaselines and Measures'!$C$3:$V$33,9,FALSE)</f>
        <v>44.675524429925424</v>
      </c>
      <c r="W50" s="441"/>
      <c r="X50" s="436">
        <f ca="1">HLOOKUP($H50,'SFBaselines and Measures'!$C$2:$V$33,8,FALSE)</f>
        <v>3967.88847049284</v>
      </c>
      <c r="Y50" s="437">
        <f ca="1">HLOOKUP($H50,'SFBaselines and Measures'!$C$2:$V$33,9,FALSE)</f>
        <v>754.7360149776722</v>
      </c>
      <c r="Z50" s="438">
        <f ca="1">HLOOKUP($H50,'SFBaselines and Measures'!$C$2:$V$33,26,FALSE)</f>
        <v>51.72825296727148</v>
      </c>
      <c r="AA50" s="438"/>
      <c r="AB50" s="438">
        <f ca="1">HLOOKUP($H50,'SFBaselines and Measures'!$C$2:$V$33,28,FALSE)</f>
        <v>84.367230649540986</v>
      </c>
      <c r="AC50" s="439">
        <f>HLOOKUP($H50,'SFBaselines and Measures'!$C$2:$V$33,30,FALSE)</f>
        <v>0</v>
      </c>
      <c r="AD50" s="439"/>
      <c r="AE50" s="439">
        <f ca="1">HLOOKUP($H50,'SFBaselines and Measures'!$C$2:$V$33,32,FALSE)</f>
        <v>3.8392714427584451</v>
      </c>
      <c r="AF50" s="440">
        <f ca="1">HLOOKUP($H50,'SFBaselines and Measures'!$C$2:$V$33,10,FALSE)</f>
        <v>46.61837642628597</v>
      </c>
      <c r="AG50" s="441"/>
      <c r="AH50" s="436">
        <f t="shared" ca="1" si="14"/>
        <v>-165.36440406547854</v>
      </c>
      <c r="AI50" s="437">
        <f t="shared" ca="1" si="15"/>
        <v>-70.49856002409399</v>
      </c>
      <c r="AJ50" s="438">
        <f t="shared" ca="1" si="16"/>
        <v>1.0492968977212058</v>
      </c>
      <c r="AK50" s="438"/>
      <c r="AL50" s="438">
        <f t="shared" ref="AL50:AM77" ca="1" si="33">R50-AB50</f>
        <v>-1.8760114903384135</v>
      </c>
      <c r="AM50" s="439">
        <f t="shared" si="33"/>
        <v>0</v>
      </c>
      <c r="AN50" s="439"/>
      <c r="AO50" s="439">
        <f t="shared" ca="1" si="31"/>
        <v>-8.5371029553666489E-2</v>
      </c>
      <c r="AP50" s="442">
        <f t="shared" ca="1" si="31"/>
        <v>-1.9428519963605453</v>
      </c>
      <c r="AQ50" s="443"/>
      <c r="AR50" s="435" t="str">
        <f t="shared" si="18"/>
        <v>ENERGY STAR - Top-Load Clothes Washer - Gas DHW, Electric Dryer - 54% ENERGY STAR Baseline</v>
      </c>
      <c r="AS50" s="437">
        <f t="shared" ca="1" si="19"/>
        <v>-70.49856002409399</v>
      </c>
      <c r="AT50" s="438">
        <f t="shared" ca="1" si="20"/>
        <v>1.0492968977212058</v>
      </c>
      <c r="AU50" s="439">
        <f t="shared" ca="1" si="21"/>
        <v>-8.5371029553666489E-2</v>
      </c>
      <c r="AV50" s="439">
        <f t="shared" ca="1" si="22"/>
        <v>-165.36440406547854</v>
      </c>
      <c r="AW50" s="439"/>
      <c r="AX50" s="438">
        <f t="shared" ca="1" si="11"/>
        <v>0.44007054797974321</v>
      </c>
      <c r="AY50" s="438">
        <f t="shared" ca="1" si="23"/>
        <v>-1.9428519963605453</v>
      </c>
      <c r="AZ50" s="443"/>
      <c r="BA50" s="433" t="str">
        <f t="shared" si="32"/>
        <v>ENERGY STAR - Top-Load Clothes Washer - Gas DHW, Electric Dryer - 54% ENERGY STAR Baseline</v>
      </c>
      <c r="BB50" s="433" t="s">
        <v>25</v>
      </c>
      <c r="BC50" s="438">
        <f t="shared" ca="1" si="25"/>
        <v>1.0492968977212058</v>
      </c>
      <c r="BD50" s="438">
        <f>SFAssumptions!$C$7</f>
        <v>14</v>
      </c>
      <c r="BE50" s="444">
        <f t="shared" ca="1" si="26"/>
        <v>-70.49856002409399</v>
      </c>
      <c r="BF50" s="433"/>
      <c r="BG50" s="432" t="s">
        <v>157</v>
      </c>
      <c r="BH50" s="445">
        <f t="shared" ca="1" si="27"/>
        <v>-1.9428519963605453</v>
      </c>
      <c r="BI50" s="433"/>
      <c r="BJ50" s="433"/>
      <c r="BK50" s="433"/>
      <c r="BL50" s="433"/>
      <c r="BM50" s="433"/>
      <c r="BN50" s="433"/>
      <c r="BO50" s="446">
        <f t="shared" ca="1" si="28"/>
        <v>-8.5371029553666489E-2</v>
      </c>
      <c r="BP50" s="433" t="s">
        <v>158</v>
      </c>
    </row>
    <row r="51" spans="1:68" s="414" customFormat="1">
      <c r="A51" s="433">
        <f t="shared" si="29"/>
        <v>34</v>
      </c>
      <c r="B51" s="433">
        <f t="shared" si="3"/>
        <v>2</v>
      </c>
      <c r="C51" s="433">
        <f t="shared" si="4"/>
        <v>4</v>
      </c>
      <c r="D51" s="433">
        <f t="shared" si="5"/>
        <v>1</v>
      </c>
      <c r="E51" s="433">
        <f t="shared" si="6"/>
        <v>4</v>
      </c>
      <c r="F51" s="433"/>
      <c r="G51" s="433" t="str">
        <f t="shared" si="12"/>
        <v>Current Practice Baseline Using 54% ENERGY STAR Penetration</v>
      </c>
      <c r="H51" s="433" t="str">
        <f t="shared" si="13"/>
        <v>ENERGY STAR - Top-Load</v>
      </c>
      <c r="I51" s="433" t="str">
        <f t="shared" si="7"/>
        <v>Gas DHW, Gas Dryer</v>
      </c>
      <c r="J51" s="433" t="str">
        <f t="shared" si="8"/>
        <v>Gas DHW</v>
      </c>
      <c r="K51" s="433" t="str">
        <f t="shared" si="9"/>
        <v>Gas Dryer</v>
      </c>
      <c r="L51" s="434">
        <f>VLOOKUP(J51,SFAssumptions!$A$14:$B$16,2,FALSE)</f>
        <v>0</v>
      </c>
      <c r="M51" s="435">
        <f>VLOOKUP(K51,SFAssumptions!$A$18:$B$20,2,FALSE)</f>
        <v>0</v>
      </c>
      <c r="N51" s="436">
        <f ca="1">HLOOKUP($G51,'SFBaselines and Measures'!$C$3:$V$33,7,FALSE)</f>
        <v>3802.5240664273615</v>
      </c>
      <c r="O51" s="437">
        <f ca="1">HLOOKUP($G51,'SFBaselines and Measures'!$C$3:$V$33,8,FALSE)</f>
        <v>825.23457500176619</v>
      </c>
      <c r="P51" s="438">
        <f ca="1">HLOOKUP($G51,'SFBaselines and Measures'!$C$3:$V$33,25,FALSE)</f>
        <v>52.777549864992686</v>
      </c>
      <c r="Q51" s="438"/>
      <c r="R51" s="438">
        <f ca="1">HLOOKUP($G51,'SFBaselines and Measures'!$C$3:$V$33,27,FALSE)</f>
        <v>82.491219159202572</v>
      </c>
      <c r="S51" s="439">
        <f>HLOOKUP($G51,'SFBaselines and Measures'!$C$3:$V$33,29,FALSE)</f>
        <v>0</v>
      </c>
      <c r="T51" s="439"/>
      <c r="U51" s="439">
        <f ca="1">HLOOKUP($G51,'SFBaselines and Measures'!$C$3:$V$33,31,FALSE)</f>
        <v>3.7539004132047786</v>
      </c>
      <c r="V51" s="440">
        <f ca="1">HLOOKUP($G51,'SFBaselines and Measures'!$C$3:$V$33,9,FALSE)</f>
        <v>44.675524429925424</v>
      </c>
      <c r="W51" s="441"/>
      <c r="X51" s="436">
        <f ca="1">HLOOKUP($H51,'SFBaselines and Measures'!$C$2:$V$33,8,FALSE)</f>
        <v>3967.88847049284</v>
      </c>
      <c r="Y51" s="437">
        <f ca="1">HLOOKUP($H51,'SFBaselines and Measures'!$C$2:$V$33,9,FALSE)</f>
        <v>754.7360149776722</v>
      </c>
      <c r="Z51" s="438">
        <f ca="1">HLOOKUP($H51,'SFBaselines and Measures'!$C$2:$V$33,26,FALSE)</f>
        <v>51.72825296727148</v>
      </c>
      <c r="AA51" s="438"/>
      <c r="AB51" s="438">
        <f ca="1">HLOOKUP($H51,'SFBaselines and Measures'!$C$2:$V$33,28,FALSE)</f>
        <v>84.367230649540986</v>
      </c>
      <c r="AC51" s="439">
        <f>HLOOKUP($H51,'SFBaselines and Measures'!$C$2:$V$33,30,FALSE)</f>
        <v>0</v>
      </c>
      <c r="AD51" s="439"/>
      <c r="AE51" s="439">
        <f ca="1">HLOOKUP($H51,'SFBaselines and Measures'!$C$2:$V$33,32,FALSE)</f>
        <v>3.8392714427584451</v>
      </c>
      <c r="AF51" s="440">
        <f ca="1">HLOOKUP($H51,'SFBaselines and Measures'!$C$2:$V$33,10,FALSE)</f>
        <v>46.61837642628597</v>
      </c>
      <c r="AG51" s="441"/>
      <c r="AH51" s="436">
        <f t="shared" ca="1" si="14"/>
        <v>-165.36440406547854</v>
      </c>
      <c r="AI51" s="437">
        <f t="shared" ca="1" si="15"/>
        <v>-70.49856002409399</v>
      </c>
      <c r="AJ51" s="438">
        <f t="shared" ca="1" si="16"/>
        <v>1.0492968977212058</v>
      </c>
      <c r="AK51" s="438"/>
      <c r="AL51" s="438">
        <f t="shared" ca="1" si="33"/>
        <v>-1.8760114903384135</v>
      </c>
      <c r="AM51" s="439">
        <f t="shared" si="33"/>
        <v>0</v>
      </c>
      <c r="AN51" s="439"/>
      <c r="AO51" s="439">
        <f t="shared" ref="AO51:AP77" ca="1" si="34">U51-AE51</f>
        <v>-8.5371029553666489E-2</v>
      </c>
      <c r="AP51" s="442">
        <f t="shared" ca="1" si="34"/>
        <v>-1.9428519963605453</v>
      </c>
      <c r="AQ51" s="443"/>
      <c r="AR51" s="435" t="str">
        <f t="shared" si="18"/>
        <v>ENERGY STAR - Top-Load Clothes Washer - Gas DHW, Gas Dryer - 54% ENERGY STAR Baseline</v>
      </c>
      <c r="AS51" s="437">
        <f t="shared" ca="1" si="19"/>
        <v>-70.49856002409399</v>
      </c>
      <c r="AT51" s="438">
        <f t="shared" ca="1" si="20"/>
        <v>1.0492968977212058</v>
      </c>
      <c r="AU51" s="439">
        <f t="shared" ca="1" si="21"/>
        <v>-8.5371029553666489E-2</v>
      </c>
      <c r="AV51" s="439">
        <f t="shared" ca="1" si="22"/>
        <v>-165.36440406547854</v>
      </c>
      <c r="AW51" s="439"/>
      <c r="AX51" s="438">
        <f t="shared" ca="1" si="11"/>
        <v>0.44007054797974321</v>
      </c>
      <c r="AY51" s="438">
        <f t="shared" ca="1" si="23"/>
        <v>-1.9428519963605453</v>
      </c>
      <c r="AZ51" s="443"/>
      <c r="BA51" s="433" t="str">
        <f t="shared" si="32"/>
        <v>ENERGY STAR - Top-Load Clothes Washer - Gas DHW, Gas Dryer - 54% ENERGY STAR Baseline</v>
      </c>
      <c r="BB51" s="433" t="s">
        <v>25</v>
      </c>
      <c r="BC51" s="438">
        <f t="shared" ca="1" si="25"/>
        <v>1.0492968977212058</v>
      </c>
      <c r="BD51" s="438">
        <f>SFAssumptions!$C$7</f>
        <v>14</v>
      </c>
      <c r="BE51" s="444">
        <f t="shared" ca="1" si="26"/>
        <v>-70.49856002409399</v>
      </c>
      <c r="BF51" s="433"/>
      <c r="BG51" s="432" t="s">
        <v>157</v>
      </c>
      <c r="BH51" s="445">
        <f t="shared" ca="1" si="27"/>
        <v>-1.9428519963605453</v>
      </c>
      <c r="BI51" s="433"/>
      <c r="BJ51" s="433"/>
      <c r="BK51" s="433"/>
      <c r="BL51" s="433"/>
      <c r="BM51" s="433"/>
      <c r="BN51" s="433"/>
      <c r="BO51" s="446">
        <f t="shared" ca="1" si="28"/>
        <v>-8.5371029553666489E-2</v>
      </c>
      <c r="BP51" s="433" t="s">
        <v>158</v>
      </c>
    </row>
    <row r="52" spans="1:68" s="414" customFormat="1">
      <c r="A52" s="433">
        <f t="shared" si="29"/>
        <v>35</v>
      </c>
      <c r="B52" s="433">
        <f t="shared" si="3"/>
        <v>2</v>
      </c>
      <c r="C52" s="433">
        <f t="shared" si="4"/>
        <v>5</v>
      </c>
      <c r="D52" s="433">
        <f t="shared" si="5"/>
        <v>1</v>
      </c>
      <c r="E52" s="433">
        <f t="shared" si="6"/>
        <v>5</v>
      </c>
      <c r="F52" s="433"/>
      <c r="G52" s="433" t="str">
        <f t="shared" si="12"/>
        <v>Current Practice Baseline Using 54% ENERGY STAR Penetration</v>
      </c>
      <c r="H52" s="433" t="str">
        <f t="shared" si="13"/>
        <v>ENERGY STAR - Top-Load</v>
      </c>
      <c r="I52" s="433" t="str">
        <f t="shared" si="7"/>
        <v>Any DHW, Any Dryer</v>
      </c>
      <c r="J52" s="433" t="str">
        <f t="shared" si="8"/>
        <v>Any DHW</v>
      </c>
      <c r="K52" s="433" t="str">
        <f t="shared" si="9"/>
        <v>Any Dryer</v>
      </c>
      <c r="L52" s="434">
        <f>VLOOKUP(J52,SFAssumptions!$A$14:$B$16,2,FALSE)</f>
        <v>0.55200000000000005</v>
      </c>
      <c r="M52" s="435">
        <f>VLOOKUP(K52,SFAssumptions!$A$18:$B$20,2,FALSE)</f>
        <v>0.95</v>
      </c>
      <c r="N52" s="436">
        <f ca="1">HLOOKUP($G52,'SFBaselines and Measures'!$C$3:$V$33,7,FALSE)</f>
        <v>3802.5240664273615</v>
      </c>
      <c r="O52" s="437">
        <f ca="1">HLOOKUP($G52,'SFBaselines and Measures'!$C$3:$V$33,8,FALSE)</f>
        <v>825.23457500176619</v>
      </c>
      <c r="P52" s="438">
        <f ca="1">HLOOKUP($G52,'SFBaselines and Measures'!$C$3:$V$33,25,FALSE)</f>
        <v>52.777549864992686</v>
      </c>
      <c r="Q52" s="438"/>
      <c r="R52" s="438">
        <f ca="1">HLOOKUP($G52,'SFBaselines and Measures'!$C$3:$V$33,27,FALSE)</f>
        <v>82.491219159202572</v>
      </c>
      <c r="S52" s="439">
        <f>HLOOKUP($G52,'SFBaselines and Measures'!$C$3:$V$33,29,FALSE)</f>
        <v>0</v>
      </c>
      <c r="T52" s="439"/>
      <c r="U52" s="439">
        <f ca="1">HLOOKUP($G52,'SFBaselines and Measures'!$C$3:$V$33,31,FALSE)</f>
        <v>3.7539004132047786</v>
      </c>
      <c r="V52" s="440">
        <f ca="1">HLOOKUP($G52,'SFBaselines and Measures'!$C$3:$V$33,9,FALSE)</f>
        <v>44.675524429925424</v>
      </c>
      <c r="W52" s="441"/>
      <c r="X52" s="436">
        <f ca="1">HLOOKUP($H52,'SFBaselines and Measures'!$C$2:$V$33,8,FALSE)</f>
        <v>3967.88847049284</v>
      </c>
      <c r="Y52" s="437">
        <f ca="1">HLOOKUP($H52,'SFBaselines and Measures'!$C$2:$V$33,9,FALSE)</f>
        <v>754.7360149776722</v>
      </c>
      <c r="Z52" s="438">
        <f ca="1">HLOOKUP($H52,'SFBaselines and Measures'!$C$2:$V$33,26,FALSE)</f>
        <v>51.72825296727148</v>
      </c>
      <c r="AA52" s="438"/>
      <c r="AB52" s="438">
        <f ca="1">HLOOKUP($H52,'SFBaselines and Measures'!$C$2:$V$33,28,FALSE)</f>
        <v>84.367230649540986</v>
      </c>
      <c r="AC52" s="439">
        <f>HLOOKUP($H52,'SFBaselines and Measures'!$C$2:$V$33,30,FALSE)</f>
        <v>0</v>
      </c>
      <c r="AD52" s="439"/>
      <c r="AE52" s="439">
        <f ca="1">HLOOKUP($H52,'SFBaselines and Measures'!$C$2:$V$33,32,FALSE)</f>
        <v>3.8392714427584451</v>
      </c>
      <c r="AF52" s="440">
        <f ca="1">HLOOKUP($H52,'SFBaselines and Measures'!$C$2:$V$33,10,FALSE)</f>
        <v>46.61837642628597</v>
      </c>
      <c r="AG52" s="441"/>
      <c r="AH52" s="436">
        <f t="shared" ca="1" si="14"/>
        <v>-165.36440406547854</v>
      </c>
      <c r="AI52" s="437">
        <f t="shared" ca="1" si="15"/>
        <v>-70.49856002409399</v>
      </c>
      <c r="AJ52" s="438">
        <f t="shared" ca="1" si="16"/>
        <v>1.0492968977212058</v>
      </c>
      <c r="AK52" s="438"/>
      <c r="AL52" s="438">
        <f t="shared" ca="1" si="33"/>
        <v>-1.8760114903384135</v>
      </c>
      <c r="AM52" s="439">
        <f t="shared" si="33"/>
        <v>0</v>
      </c>
      <c r="AN52" s="439"/>
      <c r="AO52" s="439">
        <f t="shared" ca="1" si="34"/>
        <v>-8.5371029553666489E-2</v>
      </c>
      <c r="AP52" s="442">
        <f t="shared" ca="1" si="34"/>
        <v>-1.9428519963605453</v>
      </c>
      <c r="AQ52" s="443"/>
      <c r="AR52" s="435" t="str">
        <f t="shared" si="18"/>
        <v>ENERGY STAR - Top-Load Clothes Washer - Any DHW, Any Dryer - 54% ENERGY STAR Baseline</v>
      </c>
      <c r="AS52" s="437">
        <f t="shared" ca="1" si="19"/>
        <v>-70.49856002409399</v>
      </c>
      <c r="AT52" s="438">
        <f t="shared" ca="1" si="20"/>
        <v>1.373855505440158E-2</v>
      </c>
      <c r="AU52" s="439">
        <f t="shared" ca="1" si="21"/>
        <v>-3.824622124004258E-2</v>
      </c>
      <c r="AV52" s="439">
        <f t="shared" ca="1" si="22"/>
        <v>-165.36440406547854</v>
      </c>
      <c r="AW52" s="439"/>
      <c r="AX52" s="438">
        <f t="shared" ca="1" si="11"/>
        <v>-0.59548779468706103</v>
      </c>
      <c r="AY52" s="438">
        <f t="shared" ca="1" si="23"/>
        <v>-1.9428519963605453</v>
      </c>
      <c r="AZ52" s="443"/>
      <c r="BA52" s="433" t="str">
        <f t="shared" si="32"/>
        <v>ENERGY STAR - Top-Load Clothes Washer - Any DHW, Any Dryer - 54% ENERGY STAR Baseline</v>
      </c>
      <c r="BB52" s="433" t="s">
        <v>25</v>
      </c>
      <c r="BC52" s="438">
        <f t="shared" ca="1" si="25"/>
        <v>1.373855505440158E-2</v>
      </c>
      <c r="BD52" s="438">
        <f>SFAssumptions!$C$7</f>
        <v>14</v>
      </c>
      <c r="BE52" s="444">
        <f t="shared" ca="1" si="26"/>
        <v>-70.49856002409399</v>
      </c>
      <c r="BF52" s="433"/>
      <c r="BG52" s="432" t="s">
        <v>157</v>
      </c>
      <c r="BH52" s="445">
        <f t="shared" ca="1" si="27"/>
        <v>-1.9428519963605453</v>
      </c>
      <c r="BI52" s="433"/>
      <c r="BJ52" s="433"/>
      <c r="BK52" s="433"/>
      <c r="BL52" s="433"/>
      <c r="BM52" s="433"/>
      <c r="BN52" s="433"/>
      <c r="BO52" s="446">
        <f t="shared" ca="1" si="28"/>
        <v>-3.824622124004258E-2</v>
      </c>
      <c r="BP52" s="433" t="s">
        <v>158</v>
      </c>
    </row>
    <row r="53" spans="1:68" s="414" customFormat="1">
      <c r="A53" s="433">
        <f t="shared" si="29"/>
        <v>36</v>
      </c>
      <c r="B53" s="433">
        <f t="shared" si="3"/>
        <v>2</v>
      </c>
      <c r="C53" s="433">
        <f t="shared" si="4"/>
        <v>6</v>
      </c>
      <c r="D53" s="433">
        <f t="shared" si="5"/>
        <v>2</v>
      </c>
      <c r="E53" s="433">
        <f t="shared" si="6"/>
        <v>1</v>
      </c>
      <c r="F53" s="433"/>
      <c r="G53" s="433" t="str">
        <f t="shared" si="12"/>
        <v>Current Practice Baseline Using 54% ENERGY STAR Penetration</v>
      </c>
      <c r="H53" s="433" t="str">
        <f t="shared" si="13"/>
        <v>ENERGY STAR - Front-Load</v>
      </c>
      <c r="I53" s="433" t="str">
        <f t="shared" si="7"/>
        <v>Electric DHW, Electric Dryer</v>
      </c>
      <c r="J53" s="433" t="str">
        <f t="shared" si="8"/>
        <v>Electric DHW</v>
      </c>
      <c r="K53" s="433" t="str">
        <f t="shared" si="9"/>
        <v>Electric Dryer</v>
      </c>
      <c r="L53" s="434">
        <f>VLOOKUP(J53,SFAssumptions!$A$14:$B$16,2,FALSE)</f>
        <v>1</v>
      </c>
      <c r="M53" s="435">
        <f>VLOOKUP(K53,SFAssumptions!$A$18:$B$20,2,FALSE)</f>
        <v>1</v>
      </c>
      <c r="N53" s="436">
        <f ca="1">HLOOKUP($G53,'SFBaselines and Measures'!$C$3:$V$33,7,FALSE)</f>
        <v>3802.5240664273615</v>
      </c>
      <c r="O53" s="437">
        <f ca="1">HLOOKUP($G53,'SFBaselines and Measures'!$C$3:$V$33,8,FALSE)</f>
        <v>825.23457500176619</v>
      </c>
      <c r="P53" s="438">
        <f ca="1">HLOOKUP($G53,'SFBaselines and Measures'!$C$3:$V$33,25,FALSE)</f>
        <v>52.777549864992686</v>
      </c>
      <c r="Q53" s="438"/>
      <c r="R53" s="438">
        <f ca="1">HLOOKUP($G53,'SFBaselines and Measures'!$C$3:$V$33,27,FALSE)</f>
        <v>82.491219159202572</v>
      </c>
      <c r="S53" s="439">
        <f>HLOOKUP($G53,'SFBaselines and Measures'!$C$3:$V$33,29,FALSE)</f>
        <v>0</v>
      </c>
      <c r="T53" s="439"/>
      <c r="U53" s="439">
        <f ca="1">HLOOKUP($G53,'SFBaselines and Measures'!$C$3:$V$33,31,FALSE)</f>
        <v>3.7539004132047786</v>
      </c>
      <c r="V53" s="440">
        <f ca="1">HLOOKUP($G53,'SFBaselines and Measures'!$C$3:$V$33,9,FALSE)</f>
        <v>44.675524429925424</v>
      </c>
      <c r="W53" s="441"/>
      <c r="X53" s="436">
        <f ca="1">HLOOKUP($H53,'SFBaselines and Measures'!$C$2:$V$33,8,FALSE)</f>
        <v>3066.8078198141188</v>
      </c>
      <c r="Y53" s="437">
        <f ca="1">HLOOKUP($H53,'SFBaselines and Measures'!$C$2:$V$33,9,FALSE)</f>
        <v>969.81887509547198</v>
      </c>
      <c r="Z53" s="438">
        <f ca="1">HLOOKUP($H53,'SFBaselines and Measures'!$C$2:$V$33,26,FALSE)</f>
        <v>48.600483929999498</v>
      </c>
      <c r="AA53" s="438"/>
      <c r="AB53" s="438">
        <f ca="1">HLOOKUP($H53,'SFBaselines and Measures'!$C$2:$V$33,28,FALSE)</f>
        <v>61.265175466493353</v>
      </c>
      <c r="AC53" s="439">
        <f>HLOOKUP($H53,'SFBaselines and Measures'!$C$2:$V$33,30,FALSE)</f>
        <v>0</v>
      </c>
      <c r="AD53" s="439"/>
      <c r="AE53" s="439">
        <f ca="1">HLOOKUP($H53,'SFBaselines and Measures'!$C$2:$V$33,32,FALSE)</f>
        <v>2.7879739182285577</v>
      </c>
      <c r="AF53" s="440">
        <f ca="1">HLOOKUP($H53,'SFBaselines and Measures'!$C$2:$V$33,10,FALSE)</f>
        <v>36.031658257121869</v>
      </c>
      <c r="AG53" s="441"/>
      <c r="AH53" s="436">
        <f t="shared" ca="1" si="14"/>
        <v>735.71624661324267</v>
      </c>
      <c r="AI53" s="437">
        <f t="shared" ca="1" si="15"/>
        <v>144.58430009370579</v>
      </c>
      <c r="AJ53" s="438">
        <f t="shared" ca="1" si="16"/>
        <v>4.1770659349931876</v>
      </c>
      <c r="AK53" s="438"/>
      <c r="AL53" s="438">
        <f t="shared" ca="1" si="33"/>
        <v>21.226043692709219</v>
      </c>
      <c r="AM53" s="439">
        <f t="shared" si="33"/>
        <v>0</v>
      </c>
      <c r="AN53" s="439"/>
      <c r="AO53" s="439">
        <f t="shared" ca="1" si="34"/>
        <v>0.96592649497622096</v>
      </c>
      <c r="AP53" s="442">
        <f t="shared" ca="1" si="34"/>
        <v>8.6438661728035555</v>
      </c>
      <c r="AQ53" s="443"/>
      <c r="AR53" s="435" t="str">
        <f t="shared" si="18"/>
        <v>ENERGY STAR - Front-Load Clothes Washer - Electric DHW, Electric Dryer - 54% ENERGY STAR Baseline</v>
      </c>
      <c r="AS53" s="437">
        <f t="shared" ca="1" si="19"/>
        <v>144.58430009370579</v>
      </c>
      <c r="AT53" s="438">
        <f t="shared" ca="1" si="20"/>
        <v>25.403109627702406</v>
      </c>
      <c r="AU53" s="439">
        <f t="shared" ca="1" si="21"/>
        <v>0</v>
      </c>
      <c r="AV53" s="439">
        <f t="shared" ca="1" si="22"/>
        <v>735.71624661324267</v>
      </c>
      <c r="AW53" s="439"/>
      <c r="AX53" s="438">
        <f t="shared" ca="1" si="11"/>
        <v>28.113594546767558</v>
      </c>
      <c r="AY53" s="438">
        <f t="shared" ca="1" si="23"/>
        <v>8.6438661728035555</v>
      </c>
      <c r="AZ53" s="443"/>
      <c r="BA53" s="433" t="str">
        <f t="shared" si="32"/>
        <v>ENERGY STAR - Front-Load Clothes Washer - Electric DHW, Electric Dryer - 54% ENERGY STAR Baseline</v>
      </c>
      <c r="BB53" s="433" t="s">
        <v>25</v>
      </c>
      <c r="BC53" s="438">
        <f t="shared" ca="1" si="25"/>
        <v>25.403109627702406</v>
      </c>
      <c r="BD53" s="438">
        <f>SFAssumptions!$C$7</f>
        <v>14</v>
      </c>
      <c r="BE53" s="444">
        <f t="shared" ca="1" si="26"/>
        <v>144.58430009370579</v>
      </c>
      <c r="BF53" s="433"/>
      <c r="BG53" s="432" t="s">
        <v>157</v>
      </c>
      <c r="BH53" s="445">
        <f t="shared" ca="1" si="27"/>
        <v>8.6438661728035555</v>
      </c>
      <c r="BI53" s="433"/>
      <c r="BJ53" s="433"/>
      <c r="BK53" s="433"/>
      <c r="BL53" s="433"/>
      <c r="BM53" s="433"/>
      <c r="BN53" s="433"/>
      <c r="BO53" s="446">
        <f t="shared" ca="1" si="28"/>
        <v>0</v>
      </c>
      <c r="BP53" s="433" t="s">
        <v>158</v>
      </c>
    </row>
    <row r="54" spans="1:68" s="414" customFormat="1">
      <c r="A54" s="433">
        <f t="shared" si="29"/>
        <v>37</v>
      </c>
      <c r="B54" s="433">
        <f t="shared" si="3"/>
        <v>2</v>
      </c>
      <c r="C54" s="433">
        <f t="shared" si="4"/>
        <v>7</v>
      </c>
      <c r="D54" s="433">
        <f t="shared" si="5"/>
        <v>2</v>
      </c>
      <c r="E54" s="433">
        <f t="shared" si="6"/>
        <v>2</v>
      </c>
      <c r="F54" s="433"/>
      <c r="G54" s="433" t="str">
        <f t="shared" si="12"/>
        <v>Current Practice Baseline Using 54% ENERGY STAR Penetration</v>
      </c>
      <c r="H54" s="433" t="str">
        <f t="shared" si="13"/>
        <v>ENERGY STAR - Front-Load</v>
      </c>
      <c r="I54" s="433" t="str">
        <f t="shared" si="7"/>
        <v>Electric DHW, Gas Dryer</v>
      </c>
      <c r="J54" s="433" t="str">
        <f t="shared" si="8"/>
        <v>Electric DHW</v>
      </c>
      <c r="K54" s="433" t="str">
        <f t="shared" si="9"/>
        <v>Gas Dryer</v>
      </c>
      <c r="L54" s="434">
        <f>VLOOKUP(J54,SFAssumptions!$A$14:$B$16,2,FALSE)</f>
        <v>1</v>
      </c>
      <c r="M54" s="435">
        <f>VLOOKUP(K54,SFAssumptions!$A$18:$B$20,2,FALSE)</f>
        <v>0</v>
      </c>
      <c r="N54" s="436">
        <f ca="1">HLOOKUP($G54,'SFBaselines and Measures'!$C$3:$V$33,7,FALSE)</f>
        <v>3802.5240664273615</v>
      </c>
      <c r="O54" s="437">
        <f ca="1">HLOOKUP($G54,'SFBaselines and Measures'!$C$3:$V$33,8,FALSE)</f>
        <v>825.23457500176619</v>
      </c>
      <c r="P54" s="438">
        <f ca="1">HLOOKUP($G54,'SFBaselines and Measures'!$C$3:$V$33,25,FALSE)</f>
        <v>52.777549864992686</v>
      </c>
      <c r="Q54" s="438"/>
      <c r="R54" s="438">
        <f ca="1">HLOOKUP($G54,'SFBaselines and Measures'!$C$3:$V$33,27,FALSE)</f>
        <v>82.491219159202572</v>
      </c>
      <c r="S54" s="439">
        <f>HLOOKUP($G54,'SFBaselines and Measures'!$C$3:$V$33,29,FALSE)</f>
        <v>0</v>
      </c>
      <c r="T54" s="439"/>
      <c r="U54" s="439">
        <f ca="1">HLOOKUP($G54,'SFBaselines and Measures'!$C$3:$V$33,31,FALSE)</f>
        <v>3.7539004132047786</v>
      </c>
      <c r="V54" s="440">
        <f ca="1">HLOOKUP($G54,'SFBaselines and Measures'!$C$3:$V$33,9,FALSE)</f>
        <v>44.675524429925424</v>
      </c>
      <c r="W54" s="441"/>
      <c r="X54" s="436">
        <f ca="1">HLOOKUP($H54,'SFBaselines and Measures'!$C$2:$V$33,8,FALSE)</f>
        <v>3066.8078198141188</v>
      </c>
      <c r="Y54" s="437">
        <f ca="1">HLOOKUP($H54,'SFBaselines and Measures'!$C$2:$V$33,9,FALSE)</f>
        <v>969.81887509547198</v>
      </c>
      <c r="Z54" s="438">
        <f ca="1">HLOOKUP($H54,'SFBaselines and Measures'!$C$2:$V$33,26,FALSE)</f>
        <v>48.600483929999498</v>
      </c>
      <c r="AA54" s="438"/>
      <c r="AB54" s="438">
        <f ca="1">HLOOKUP($H54,'SFBaselines and Measures'!$C$2:$V$33,28,FALSE)</f>
        <v>61.265175466493353</v>
      </c>
      <c r="AC54" s="439">
        <f>HLOOKUP($H54,'SFBaselines and Measures'!$C$2:$V$33,30,FALSE)</f>
        <v>0</v>
      </c>
      <c r="AD54" s="439"/>
      <c r="AE54" s="439">
        <f ca="1">HLOOKUP($H54,'SFBaselines and Measures'!$C$2:$V$33,32,FALSE)</f>
        <v>2.7879739182285577</v>
      </c>
      <c r="AF54" s="440">
        <f ca="1">HLOOKUP($H54,'SFBaselines and Measures'!$C$2:$V$33,10,FALSE)</f>
        <v>36.031658257121869</v>
      </c>
      <c r="AG54" s="441"/>
      <c r="AH54" s="436">
        <f t="shared" ca="1" si="14"/>
        <v>735.71624661324267</v>
      </c>
      <c r="AI54" s="437">
        <f t="shared" ca="1" si="15"/>
        <v>144.58430009370579</v>
      </c>
      <c r="AJ54" s="438">
        <f t="shared" ca="1" si="16"/>
        <v>4.1770659349931876</v>
      </c>
      <c r="AK54" s="438"/>
      <c r="AL54" s="438">
        <f t="shared" ca="1" si="33"/>
        <v>21.226043692709219</v>
      </c>
      <c r="AM54" s="439">
        <f t="shared" si="33"/>
        <v>0</v>
      </c>
      <c r="AN54" s="439"/>
      <c r="AO54" s="439">
        <f t="shared" ca="1" si="34"/>
        <v>0.96592649497622096</v>
      </c>
      <c r="AP54" s="442">
        <f t="shared" ca="1" si="34"/>
        <v>8.6438661728035555</v>
      </c>
      <c r="AQ54" s="443"/>
      <c r="AR54" s="435" t="str">
        <f t="shared" si="18"/>
        <v>ENERGY STAR - Front-Load Clothes Washer - Electric DHW, Gas Dryer - 54% ENERGY STAR Baseline</v>
      </c>
      <c r="AS54" s="437">
        <f t="shared" ca="1" si="19"/>
        <v>144.58430009370579</v>
      </c>
      <c r="AT54" s="438">
        <f t="shared" ca="1" si="20"/>
        <v>25.403109627702406</v>
      </c>
      <c r="AU54" s="439">
        <f t="shared" ca="1" si="21"/>
        <v>0</v>
      </c>
      <c r="AV54" s="439">
        <f t="shared" ca="1" si="22"/>
        <v>735.71624661324267</v>
      </c>
      <c r="AW54" s="439"/>
      <c r="AX54" s="438">
        <f t="shared" ca="1" si="11"/>
        <v>28.113594546767558</v>
      </c>
      <c r="AY54" s="438">
        <f t="shared" ca="1" si="23"/>
        <v>8.6438661728035555</v>
      </c>
      <c r="AZ54" s="443"/>
      <c r="BA54" s="433" t="str">
        <f t="shared" si="32"/>
        <v>ENERGY STAR - Front-Load Clothes Washer - Electric DHW, Gas Dryer - 54% ENERGY STAR Baseline</v>
      </c>
      <c r="BB54" s="433" t="s">
        <v>25</v>
      </c>
      <c r="BC54" s="438">
        <f t="shared" ca="1" si="25"/>
        <v>25.403109627702406</v>
      </c>
      <c r="BD54" s="438">
        <f>SFAssumptions!$C$7</f>
        <v>14</v>
      </c>
      <c r="BE54" s="444">
        <f t="shared" ca="1" si="26"/>
        <v>144.58430009370579</v>
      </c>
      <c r="BF54" s="433"/>
      <c r="BG54" s="432" t="s">
        <v>157</v>
      </c>
      <c r="BH54" s="445">
        <f t="shared" ca="1" si="27"/>
        <v>8.6438661728035555</v>
      </c>
      <c r="BI54" s="433"/>
      <c r="BJ54" s="433"/>
      <c r="BK54" s="433"/>
      <c r="BL54" s="433"/>
      <c r="BM54" s="433"/>
      <c r="BN54" s="433"/>
      <c r="BO54" s="446">
        <f t="shared" ca="1" si="28"/>
        <v>0</v>
      </c>
      <c r="BP54" s="433" t="s">
        <v>158</v>
      </c>
    </row>
    <row r="55" spans="1:68" s="414" customFormat="1">
      <c r="A55" s="433">
        <f t="shared" si="29"/>
        <v>38</v>
      </c>
      <c r="B55" s="433">
        <f t="shared" si="3"/>
        <v>2</v>
      </c>
      <c r="C55" s="433">
        <f t="shared" si="4"/>
        <v>8</v>
      </c>
      <c r="D55" s="433">
        <f t="shared" si="5"/>
        <v>2</v>
      </c>
      <c r="E55" s="433">
        <f t="shared" si="6"/>
        <v>3</v>
      </c>
      <c r="F55" s="433"/>
      <c r="G55" s="433" t="str">
        <f t="shared" si="12"/>
        <v>Current Practice Baseline Using 54% ENERGY STAR Penetration</v>
      </c>
      <c r="H55" s="433" t="str">
        <f t="shared" si="13"/>
        <v>ENERGY STAR - Front-Load</v>
      </c>
      <c r="I55" s="433" t="str">
        <f t="shared" si="7"/>
        <v>Gas DHW, Electric Dryer</v>
      </c>
      <c r="J55" s="433" t="str">
        <f t="shared" si="8"/>
        <v>Gas DHW</v>
      </c>
      <c r="K55" s="433" t="str">
        <f t="shared" si="9"/>
        <v>Electric Dryer</v>
      </c>
      <c r="L55" s="434">
        <f>VLOOKUP(J55,SFAssumptions!$A$14:$B$16,2,FALSE)</f>
        <v>0</v>
      </c>
      <c r="M55" s="435">
        <f>VLOOKUP(K55,SFAssumptions!$A$18:$B$20,2,FALSE)</f>
        <v>1</v>
      </c>
      <c r="N55" s="436">
        <f ca="1">HLOOKUP($G55,'SFBaselines and Measures'!$C$3:$V$33,7,FALSE)</f>
        <v>3802.5240664273615</v>
      </c>
      <c r="O55" s="437">
        <f ca="1">HLOOKUP($G55,'SFBaselines and Measures'!$C$3:$V$33,8,FALSE)</f>
        <v>825.23457500176619</v>
      </c>
      <c r="P55" s="438">
        <f ca="1">HLOOKUP($G55,'SFBaselines and Measures'!$C$3:$V$33,25,FALSE)</f>
        <v>52.777549864992686</v>
      </c>
      <c r="Q55" s="438"/>
      <c r="R55" s="438">
        <f ca="1">HLOOKUP($G55,'SFBaselines and Measures'!$C$3:$V$33,27,FALSE)</f>
        <v>82.491219159202572</v>
      </c>
      <c r="S55" s="439">
        <f>HLOOKUP($G55,'SFBaselines and Measures'!$C$3:$V$33,29,FALSE)</f>
        <v>0</v>
      </c>
      <c r="T55" s="439"/>
      <c r="U55" s="439">
        <f ca="1">HLOOKUP($G55,'SFBaselines and Measures'!$C$3:$V$33,31,FALSE)</f>
        <v>3.7539004132047786</v>
      </c>
      <c r="V55" s="440">
        <f ca="1">HLOOKUP($G55,'SFBaselines and Measures'!$C$3:$V$33,9,FALSE)</f>
        <v>44.675524429925424</v>
      </c>
      <c r="W55" s="441"/>
      <c r="X55" s="436">
        <f ca="1">HLOOKUP($H55,'SFBaselines and Measures'!$C$2:$V$33,8,FALSE)</f>
        <v>3066.8078198141188</v>
      </c>
      <c r="Y55" s="437">
        <f ca="1">HLOOKUP($H55,'SFBaselines and Measures'!$C$2:$V$33,9,FALSE)</f>
        <v>969.81887509547198</v>
      </c>
      <c r="Z55" s="438">
        <f ca="1">HLOOKUP($H55,'SFBaselines and Measures'!$C$2:$V$33,26,FALSE)</f>
        <v>48.600483929999498</v>
      </c>
      <c r="AA55" s="438"/>
      <c r="AB55" s="438">
        <f ca="1">HLOOKUP($H55,'SFBaselines and Measures'!$C$2:$V$33,28,FALSE)</f>
        <v>61.265175466493353</v>
      </c>
      <c r="AC55" s="439">
        <f>HLOOKUP($H55,'SFBaselines and Measures'!$C$2:$V$33,30,FALSE)</f>
        <v>0</v>
      </c>
      <c r="AD55" s="439"/>
      <c r="AE55" s="439">
        <f ca="1">HLOOKUP($H55,'SFBaselines and Measures'!$C$2:$V$33,32,FALSE)</f>
        <v>2.7879739182285577</v>
      </c>
      <c r="AF55" s="440">
        <f ca="1">HLOOKUP($H55,'SFBaselines and Measures'!$C$2:$V$33,10,FALSE)</f>
        <v>36.031658257121869</v>
      </c>
      <c r="AG55" s="441"/>
      <c r="AH55" s="436">
        <f t="shared" ca="1" si="14"/>
        <v>735.71624661324267</v>
      </c>
      <c r="AI55" s="437">
        <f t="shared" ca="1" si="15"/>
        <v>144.58430009370579</v>
      </c>
      <c r="AJ55" s="438">
        <f t="shared" ca="1" si="16"/>
        <v>4.1770659349931876</v>
      </c>
      <c r="AK55" s="438"/>
      <c r="AL55" s="438">
        <f t="shared" ca="1" si="33"/>
        <v>21.226043692709219</v>
      </c>
      <c r="AM55" s="439">
        <f t="shared" si="33"/>
        <v>0</v>
      </c>
      <c r="AN55" s="439"/>
      <c r="AO55" s="439">
        <f t="shared" ca="1" si="34"/>
        <v>0.96592649497622096</v>
      </c>
      <c r="AP55" s="442">
        <f t="shared" ca="1" si="34"/>
        <v>8.6438661728035555</v>
      </c>
      <c r="AQ55" s="443"/>
      <c r="AR55" s="435" t="str">
        <f t="shared" si="18"/>
        <v>ENERGY STAR - Front-Load Clothes Washer - Gas DHW, Electric Dryer - 54% ENERGY STAR Baseline</v>
      </c>
      <c r="AS55" s="437">
        <f t="shared" ca="1" si="19"/>
        <v>144.58430009370579</v>
      </c>
      <c r="AT55" s="438">
        <f t="shared" ca="1" si="20"/>
        <v>4.1770659349931876</v>
      </c>
      <c r="AU55" s="439">
        <f t="shared" ca="1" si="21"/>
        <v>0.96592649497622096</v>
      </c>
      <c r="AV55" s="439">
        <f t="shared" ca="1" si="22"/>
        <v>735.71624661324267</v>
      </c>
      <c r="AW55" s="439"/>
      <c r="AX55" s="438">
        <f t="shared" ca="1" si="11"/>
        <v>6.8875508540583379</v>
      </c>
      <c r="AY55" s="438">
        <f t="shared" ca="1" si="23"/>
        <v>8.6438661728035555</v>
      </c>
      <c r="AZ55" s="443"/>
      <c r="BA55" s="433" t="str">
        <f t="shared" si="32"/>
        <v>ENERGY STAR - Front-Load Clothes Washer - Gas DHW, Electric Dryer - 54% ENERGY STAR Baseline</v>
      </c>
      <c r="BB55" s="433" t="s">
        <v>25</v>
      </c>
      <c r="BC55" s="438">
        <f t="shared" ca="1" si="25"/>
        <v>4.1770659349931876</v>
      </c>
      <c r="BD55" s="438">
        <f>SFAssumptions!$C$7</f>
        <v>14</v>
      </c>
      <c r="BE55" s="444">
        <f t="shared" ca="1" si="26"/>
        <v>144.58430009370579</v>
      </c>
      <c r="BF55" s="433"/>
      <c r="BG55" s="432" t="s">
        <v>157</v>
      </c>
      <c r="BH55" s="445">
        <f t="shared" ca="1" si="27"/>
        <v>8.6438661728035555</v>
      </c>
      <c r="BI55" s="433"/>
      <c r="BJ55" s="433"/>
      <c r="BK55" s="433"/>
      <c r="BL55" s="433"/>
      <c r="BM55" s="433"/>
      <c r="BN55" s="433"/>
      <c r="BO55" s="446">
        <f t="shared" ca="1" si="28"/>
        <v>0.96592649497622096</v>
      </c>
      <c r="BP55" s="433" t="s">
        <v>158</v>
      </c>
    </row>
    <row r="56" spans="1:68" s="414" customFormat="1">
      <c r="A56" s="433">
        <f t="shared" si="29"/>
        <v>39</v>
      </c>
      <c r="B56" s="433">
        <f t="shared" si="3"/>
        <v>2</v>
      </c>
      <c r="C56" s="433">
        <f t="shared" si="4"/>
        <v>9</v>
      </c>
      <c r="D56" s="433">
        <f t="shared" si="5"/>
        <v>2</v>
      </c>
      <c r="E56" s="433">
        <f t="shared" si="6"/>
        <v>4</v>
      </c>
      <c r="F56" s="433"/>
      <c r="G56" s="433" t="str">
        <f t="shared" si="12"/>
        <v>Current Practice Baseline Using 54% ENERGY STAR Penetration</v>
      </c>
      <c r="H56" s="433" t="str">
        <f t="shared" si="13"/>
        <v>ENERGY STAR - Front-Load</v>
      </c>
      <c r="I56" s="433" t="str">
        <f t="shared" si="7"/>
        <v>Gas DHW, Gas Dryer</v>
      </c>
      <c r="J56" s="433" t="str">
        <f t="shared" si="8"/>
        <v>Gas DHW</v>
      </c>
      <c r="K56" s="433" t="str">
        <f t="shared" si="9"/>
        <v>Gas Dryer</v>
      </c>
      <c r="L56" s="434">
        <f>VLOOKUP(J56,SFAssumptions!$A$14:$B$16,2,FALSE)</f>
        <v>0</v>
      </c>
      <c r="M56" s="435">
        <f>VLOOKUP(K56,SFAssumptions!$A$18:$B$20,2,FALSE)</f>
        <v>0</v>
      </c>
      <c r="N56" s="436">
        <f ca="1">HLOOKUP($G56,'SFBaselines and Measures'!$C$3:$V$33,7,FALSE)</f>
        <v>3802.5240664273615</v>
      </c>
      <c r="O56" s="437">
        <f ca="1">HLOOKUP($G56,'SFBaselines and Measures'!$C$3:$V$33,8,FALSE)</f>
        <v>825.23457500176619</v>
      </c>
      <c r="P56" s="438">
        <f ca="1">HLOOKUP($G56,'SFBaselines and Measures'!$C$3:$V$33,25,FALSE)</f>
        <v>52.777549864992686</v>
      </c>
      <c r="Q56" s="438"/>
      <c r="R56" s="438">
        <f ca="1">HLOOKUP($G56,'SFBaselines and Measures'!$C$3:$V$33,27,FALSE)</f>
        <v>82.491219159202572</v>
      </c>
      <c r="S56" s="439">
        <f>HLOOKUP($G56,'SFBaselines and Measures'!$C$3:$V$33,29,FALSE)</f>
        <v>0</v>
      </c>
      <c r="T56" s="439"/>
      <c r="U56" s="439">
        <f ca="1">HLOOKUP($G56,'SFBaselines and Measures'!$C$3:$V$33,31,FALSE)</f>
        <v>3.7539004132047786</v>
      </c>
      <c r="V56" s="440">
        <f ca="1">HLOOKUP($G56,'SFBaselines and Measures'!$C$3:$V$33,9,FALSE)</f>
        <v>44.675524429925424</v>
      </c>
      <c r="W56" s="441"/>
      <c r="X56" s="436">
        <f ca="1">HLOOKUP($H56,'SFBaselines and Measures'!$C$2:$V$33,8,FALSE)</f>
        <v>3066.8078198141188</v>
      </c>
      <c r="Y56" s="437">
        <f ca="1">HLOOKUP($H56,'SFBaselines and Measures'!$C$2:$V$33,9,FALSE)</f>
        <v>969.81887509547198</v>
      </c>
      <c r="Z56" s="438">
        <f ca="1">HLOOKUP($H56,'SFBaselines and Measures'!$C$2:$V$33,26,FALSE)</f>
        <v>48.600483929999498</v>
      </c>
      <c r="AA56" s="438"/>
      <c r="AB56" s="438">
        <f ca="1">HLOOKUP($H56,'SFBaselines and Measures'!$C$2:$V$33,28,FALSE)</f>
        <v>61.265175466493353</v>
      </c>
      <c r="AC56" s="439">
        <f>HLOOKUP($H56,'SFBaselines and Measures'!$C$2:$V$33,30,FALSE)</f>
        <v>0</v>
      </c>
      <c r="AD56" s="439"/>
      <c r="AE56" s="439">
        <f ca="1">HLOOKUP($H56,'SFBaselines and Measures'!$C$2:$V$33,32,FALSE)</f>
        <v>2.7879739182285577</v>
      </c>
      <c r="AF56" s="440">
        <f ca="1">HLOOKUP($H56,'SFBaselines and Measures'!$C$2:$V$33,10,FALSE)</f>
        <v>36.031658257121869</v>
      </c>
      <c r="AG56" s="441"/>
      <c r="AH56" s="436">
        <f t="shared" ca="1" si="14"/>
        <v>735.71624661324267</v>
      </c>
      <c r="AI56" s="437">
        <f t="shared" ca="1" si="15"/>
        <v>144.58430009370579</v>
      </c>
      <c r="AJ56" s="438">
        <f t="shared" ca="1" si="16"/>
        <v>4.1770659349931876</v>
      </c>
      <c r="AK56" s="438"/>
      <c r="AL56" s="438">
        <f t="shared" ca="1" si="33"/>
        <v>21.226043692709219</v>
      </c>
      <c r="AM56" s="439">
        <f t="shared" si="33"/>
        <v>0</v>
      </c>
      <c r="AN56" s="439"/>
      <c r="AO56" s="439">
        <f t="shared" ca="1" si="34"/>
        <v>0.96592649497622096</v>
      </c>
      <c r="AP56" s="442">
        <f t="shared" ca="1" si="34"/>
        <v>8.6438661728035555</v>
      </c>
      <c r="AQ56" s="443"/>
      <c r="AR56" s="435" t="str">
        <f t="shared" si="18"/>
        <v>ENERGY STAR - Front-Load Clothes Washer - Gas DHW, Gas Dryer - 54% ENERGY STAR Baseline</v>
      </c>
      <c r="AS56" s="437">
        <f t="shared" ca="1" si="19"/>
        <v>144.58430009370579</v>
      </c>
      <c r="AT56" s="438">
        <f t="shared" ca="1" si="20"/>
        <v>4.1770659349931876</v>
      </c>
      <c r="AU56" s="439">
        <f t="shared" ca="1" si="21"/>
        <v>0.96592649497622096</v>
      </c>
      <c r="AV56" s="439">
        <f t="shared" ca="1" si="22"/>
        <v>735.71624661324267</v>
      </c>
      <c r="AW56" s="439"/>
      <c r="AX56" s="438">
        <f t="shared" ca="1" si="11"/>
        <v>6.8875508540583379</v>
      </c>
      <c r="AY56" s="438">
        <f t="shared" ca="1" si="23"/>
        <v>8.6438661728035555</v>
      </c>
      <c r="AZ56" s="443"/>
      <c r="BA56" s="433" t="str">
        <f t="shared" si="32"/>
        <v>ENERGY STAR - Front-Load Clothes Washer - Gas DHW, Gas Dryer - 54% ENERGY STAR Baseline</v>
      </c>
      <c r="BB56" s="433" t="s">
        <v>25</v>
      </c>
      <c r="BC56" s="438">
        <f t="shared" ca="1" si="25"/>
        <v>4.1770659349931876</v>
      </c>
      <c r="BD56" s="438">
        <f>SFAssumptions!$C$7</f>
        <v>14</v>
      </c>
      <c r="BE56" s="444">
        <f t="shared" ca="1" si="26"/>
        <v>144.58430009370579</v>
      </c>
      <c r="BF56" s="433"/>
      <c r="BG56" s="432" t="s">
        <v>157</v>
      </c>
      <c r="BH56" s="445">
        <f t="shared" ca="1" si="27"/>
        <v>8.6438661728035555</v>
      </c>
      <c r="BI56" s="433"/>
      <c r="BJ56" s="433"/>
      <c r="BK56" s="433"/>
      <c r="BL56" s="433"/>
      <c r="BM56" s="433"/>
      <c r="BN56" s="433"/>
      <c r="BO56" s="446">
        <f t="shared" ca="1" si="28"/>
        <v>0.96592649497622096</v>
      </c>
      <c r="BP56" s="433" t="s">
        <v>158</v>
      </c>
    </row>
    <row r="57" spans="1:68" s="414" customFormat="1">
      <c r="A57" s="433">
        <f t="shared" si="29"/>
        <v>40</v>
      </c>
      <c r="B57" s="433">
        <f t="shared" si="3"/>
        <v>2</v>
      </c>
      <c r="C57" s="433">
        <f t="shared" si="4"/>
        <v>10</v>
      </c>
      <c r="D57" s="433">
        <f t="shared" si="5"/>
        <v>2</v>
      </c>
      <c r="E57" s="433">
        <f t="shared" si="6"/>
        <v>5</v>
      </c>
      <c r="F57" s="433"/>
      <c r="G57" s="433" t="str">
        <f t="shared" si="12"/>
        <v>Current Practice Baseline Using 54% ENERGY STAR Penetration</v>
      </c>
      <c r="H57" s="433" t="str">
        <f t="shared" si="13"/>
        <v>ENERGY STAR - Front-Load</v>
      </c>
      <c r="I57" s="433" t="str">
        <f t="shared" si="7"/>
        <v>Any DHW, Any Dryer</v>
      </c>
      <c r="J57" s="433" t="str">
        <f t="shared" si="8"/>
        <v>Any DHW</v>
      </c>
      <c r="K57" s="433" t="str">
        <f t="shared" si="9"/>
        <v>Any Dryer</v>
      </c>
      <c r="L57" s="434">
        <f>VLOOKUP(J57,SFAssumptions!$A$14:$B$16,2,FALSE)</f>
        <v>0.55200000000000005</v>
      </c>
      <c r="M57" s="435">
        <f>VLOOKUP(K57,SFAssumptions!$A$18:$B$20,2,FALSE)</f>
        <v>0.95</v>
      </c>
      <c r="N57" s="436">
        <f ca="1">HLOOKUP($G57,'SFBaselines and Measures'!$C$3:$V$33,7,FALSE)</f>
        <v>3802.5240664273615</v>
      </c>
      <c r="O57" s="437">
        <f ca="1">HLOOKUP($G57,'SFBaselines and Measures'!$C$3:$V$33,8,FALSE)</f>
        <v>825.23457500176619</v>
      </c>
      <c r="P57" s="438">
        <f ca="1">HLOOKUP($G57,'SFBaselines and Measures'!$C$3:$V$33,25,FALSE)</f>
        <v>52.777549864992686</v>
      </c>
      <c r="Q57" s="438"/>
      <c r="R57" s="438">
        <f ca="1">HLOOKUP($G57,'SFBaselines and Measures'!$C$3:$V$33,27,FALSE)</f>
        <v>82.491219159202572</v>
      </c>
      <c r="S57" s="439">
        <f>HLOOKUP($G57,'SFBaselines and Measures'!$C$3:$V$33,29,FALSE)</f>
        <v>0</v>
      </c>
      <c r="T57" s="439"/>
      <c r="U57" s="439">
        <f ca="1">HLOOKUP($G57,'SFBaselines and Measures'!$C$3:$V$33,31,FALSE)</f>
        <v>3.7539004132047786</v>
      </c>
      <c r="V57" s="440">
        <f ca="1">HLOOKUP($G57,'SFBaselines and Measures'!$C$3:$V$33,9,FALSE)</f>
        <v>44.675524429925424</v>
      </c>
      <c r="W57" s="441"/>
      <c r="X57" s="436">
        <f ca="1">HLOOKUP($H57,'SFBaselines and Measures'!$C$2:$V$33,8,FALSE)</f>
        <v>3066.8078198141188</v>
      </c>
      <c r="Y57" s="437">
        <f ca="1">HLOOKUP($H57,'SFBaselines and Measures'!$C$2:$V$33,9,FALSE)</f>
        <v>969.81887509547198</v>
      </c>
      <c r="Z57" s="438">
        <f ca="1">HLOOKUP($H57,'SFBaselines and Measures'!$C$2:$V$33,26,FALSE)</f>
        <v>48.600483929999498</v>
      </c>
      <c r="AA57" s="438"/>
      <c r="AB57" s="438">
        <f ca="1">HLOOKUP($H57,'SFBaselines and Measures'!$C$2:$V$33,28,FALSE)</f>
        <v>61.265175466493353</v>
      </c>
      <c r="AC57" s="439">
        <f>HLOOKUP($H57,'SFBaselines and Measures'!$C$2:$V$33,30,FALSE)</f>
        <v>0</v>
      </c>
      <c r="AD57" s="439"/>
      <c r="AE57" s="439">
        <f ca="1">HLOOKUP($H57,'SFBaselines and Measures'!$C$2:$V$33,32,FALSE)</f>
        <v>2.7879739182285577</v>
      </c>
      <c r="AF57" s="440">
        <f ca="1">HLOOKUP($H57,'SFBaselines and Measures'!$C$2:$V$33,10,FALSE)</f>
        <v>36.031658257121869</v>
      </c>
      <c r="AG57" s="441"/>
      <c r="AH57" s="436">
        <f t="shared" ca="1" si="14"/>
        <v>735.71624661324267</v>
      </c>
      <c r="AI57" s="437">
        <f t="shared" ca="1" si="15"/>
        <v>144.58430009370579</v>
      </c>
      <c r="AJ57" s="438">
        <f t="shared" ca="1" si="16"/>
        <v>4.1770659349931876</v>
      </c>
      <c r="AK57" s="438"/>
      <c r="AL57" s="438">
        <f t="shared" ca="1" si="33"/>
        <v>21.226043692709219</v>
      </c>
      <c r="AM57" s="439">
        <f t="shared" si="33"/>
        <v>0</v>
      </c>
      <c r="AN57" s="439"/>
      <c r="AO57" s="439">
        <f t="shared" ca="1" si="34"/>
        <v>0.96592649497622096</v>
      </c>
      <c r="AP57" s="442">
        <f t="shared" ca="1" si="34"/>
        <v>8.6438661728035555</v>
      </c>
      <c r="AQ57" s="443"/>
      <c r="AR57" s="435" t="str">
        <f t="shared" si="18"/>
        <v>ENERGY STAR - Front-Load Clothes Washer - Any DHW, Any Dryer - 54% ENERGY STAR Baseline</v>
      </c>
      <c r="AS57" s="437">
        <f t="shared" ca="1" si="19"/>
        <v>144.58430009370579</v>
      </c>
      <c r="AT57" s="438">
        <f t="shared" ca="1" si="20"/>
        <v>15.893842053368678</v>
      </c>
      <c r="AU57" s="439">
        <f t="shared" ca="1" si="21"/>
        <v>0.43273506974934695</v>
      </c>
      <c r="AV57" s="439">
        <f t="shared" ca="1" si="22"/>
        <v>735.71624661324267</v>
      </c>
      <c r="AW57" s="439"/>
      <c r="AX57" s="438">
        <f t="shared" ca="1" si="11"/>
        <v>18.604326972433828</v>
      </c>
      <c r="AY57" s="438">
        <f t="shared" ca="1" si="23"/>
        <v>8.6438661728035555</v>
      </c>
      <c r="AZ57" s="443"/>
      <c r="BA57" s="433" t="str">
        <f t="shared" si="32"/>
        <v>ENERGY STAR - Front-Load Clothes Washer - Any DHW, Any Dryer - 54% ENERGY STAR Baseline</v>
      </c>
      <c r="BB57" s="433" t="s">
        <v>25</v>
      </c>
      <c r="BC57" s="438">
        <f t="shared" ca="1" si="25"/>
        <v>15.893842053368678</v>
      </c>
      <c r="BD57" s="438">
        <f>SFAssumptions!$C$7</f>
        <v>14</v>
      </c>
      <c r="BE57" s="444">
        <f t="shared" ca="1" si="26"/>
        <v>144.58430009370579</v>
      </c>
      <c r="BF57" s="433"/>
      <c r="BG57" s="432" t="s">
        <v>157</v>
      </c>
      <c r="BH57" s="445">
        <f t="shared" ca="1" si="27"/>
        <v>8.6438661728035555</v>
      </c>
      <c r="BI57" s="433"/>
      <c r="BJ57" s="433"/>
      <c r="BK57" s="433"/>
      <c r="BL57" s="433"/>
      <c r="BM57" s="433"/>
      <c r="BN57" s="433"/>
      <c r="BO57" s="446">
        <f t="shared" ca="1" si="28"/>
        <v>0.43273506974934695</v>
      </c>
      <c r="BP57" s="433" t="s">
        <v>158</v>
      </c>
    </row>
    <row r="58" spans="1:68" s="414" customFormat="1">
      <c r="A58" s="433">
        <f t="shared" si="29"/>
        <v>41</v>
      </c>
      <c r="B58" s="433">
        <f t="shared" si="3"/>
        <v>2</v>
      </c>
      <c r="C58" s="433">
        <f t="shared" si="4"/>
        <v>11</v>
      </c>
      <c r="D58" s="433">
        <f t="shared" si="5"/>
        <v>3</v>
      </c>
      <c r="E58" s="433">
        <f t="shared" si="6"/>
        <v>1</v>
      </c>
      <c r="F58" s="433"/>
      <c r="G58" s="433" t="str">
        <f t="shared" si="12"/>
        <v>Current Practice Baseline Using 54% ENERGY STAR Penetration</v>
      </c>
      <c r="H58" s="433" t="str">
        <f t="shared" si="13"/>
        <v>Any ENERGY STAR (Top- or Front-Load)</v>
      </c>
      <c r="I58" s="433" t="str">
        <f t="shared" si="7"/>
        <v>Electric DHW, Electric Dryer</v>
      </c>
      <c r="J58" s="433" t="str">
        <f t="shared" si="8"/>
        <v>Electric DHW</v>
      </c>
      <c r="K58" s="433" t="str">
        <f t="shared" si="9"/>
        <v>Electric Dryer</v>
      </c>
      <c r="L58" s="434">
        <f>VLOOKUP(J58,SFAssumptions!$A$14:$B$16,2,FALSE)</f>
        <v>1</v>
      </c>
      <c r="M58" s="435">
        <f>VLOOKUP(K58,SFAssumptions!$A$18:$B$20,2,FALSE)</f>
        <v>1</v>
      </c>
      <c r="N58" s="436">
        <f ca="1">HLOOKUP($G58,'SFBaselines and Measures'!$C$3:$V$33,7,FALSE)</f>
        <v>3802.5240664273615</v>
      </c>
      <c r="O58" s="437">
        <f ca="1">HLOOKUP($G58,'SFBaselines and Measures'!$C$3:$V$33,8,FALSE)</f>
        <v>825.23457500176619</v>
      </c>
      <c r="P58" s="438">
        <f ca="1">HLOOKUP($G58,'SFBaselines and Measures'!$C$3:$V$33,25,FALSE)</f>
        <v>52.777549864992686</v>
      </c>
      <c r="Q58" s="438"/>
      <c r="R58" s="438">
        <f ca="1">HLOOKUP($G58,'SFBaselines and Measures'!$C$3:$V$33,27,FALSE)</f>
        <v>82.491219159202572</v>
      </c>
      <c r="S58" s="439">
        <f>HLOOKUP($G58,'SFBaselines and Measures'!$C$3:$V$33,29,FALSE)</f>
        <v>0</v>
      </c>
      <c r="T58" s="439"/>
      <c r="U58" s="439">
        <f ca="1">HLOOKUP($G58,'SFBaselines and Measures'!$C$3:$V$33,31,FALSE)</f>
        <v>3.7539004132047786</v>
      </c>
      <c r="V58" s="440">
        <f ca="1">HLOOKUP($G58,'SFBaselines and Measures'!$C$3:$V$33,9,FALSE)</f>
        <v>44.675524429925424</v>
      </c>
      <c r="W58" s="441"/>
      <c r="X58" s="436">
        <f ca="1">HLOOKUP($H58,'SFBaselines and Measures'!$C$2:$V$33,8,FALSE)</f>
        <v>3321.230591770463</v>
      </c>
      <c r="Y58" s="437">
        <f ca="1">HLOOKUP($H58,'SFBaselines and Measures'!$C$2:$V$33,9,FALSE)</f>
        <v>921.19144585144784</v>
      </c>
      <c r="Z58" s="438">
        <f ca="1">HLOOKUP($H58,'SFBaselines and Measures'!$C$2:$V$33,26,FALSE)</f>
        <v>49.632609392094977</v>
      </c>
      <c r="AA58" s="438"/>
      <c r="AB58" s="438">
        <f ca="1">HLOOKUP($H58,'SFBaselines and Measures'!$C$2:$V$33,28,FALSE)</f>
        <v>67.756765206008026</v>
      </c>
      <c r="AC58" s="439">
        <f>HLOOKUP($H58,'SFBaselines and Measures'!$C$2:$V$33,30,FALSE)</f>
        <v>0</v>
      </c>
      <c r="AD58" s="439"/>
      <c r="AE58" s="439">
        <f ca="1">HLOOKUP($H58,'SFBaselines and Measures'!$C$2:$V$33,32,FALSE)</f>
        <v>3.0833845286414054</v>
      </c>
      <c r="AF58" s="440">
        <f ca="1">HLOOKUP($H58,'SFBaselines and Measures'!$C$2:$V$33,10,FALSE)</f>
        <v>39.020849269591736</v>
      </c>
      <c r="AG58" s="441"/>
      <c r="AH58" s="436">
        <f t="shared" ca="1" si="14"/>
        <v>481.29347465689852</v>
      </c>
      <c r="AI58" s="437">
        <f t="shared" ca="1" si="15"/>
        <v>95.95687084968165</v>
      </c>
      <c r="AJ58" s="438">
        <f t="shared" ca="1" si="16"/>
        <v>3.1449404728977086</v>
      </c>
      <c r="AK58" s="438"/>
      <c r="AL58" s="438">
        <f t="shared" ca="1" si="33"/>
        <v>14.734453953194546</v>
      </c>
      <c r="AM58" s="439">
        <f t="shared" si="33"/>
        <v>0</v>
      </c>
      <c r="AN58" s="439"/>
      <c r="AO58" s="439">
        <f t="shared" ca="1" si="34"/>
        <v>0.67051588456337319</v>
      </c>
      <c r="AP58" s="442">
        <f t="shared" ca="1" si="34"/>
        <v>5.6546751603336887</v>
      </c>
      <c r="AQ58" s="443"/>
      <c r="AR58" s="435" t="str">
        <f t="shared" si="18"/>
        <v>Any ENERGY STAR (Top- or Front-Load) Clothes Washer - Electric DHW, Electric Dryer - 54% ENERGY STAR Baseline</v>
      </c>
      <c r="AS58" s="437">
        <f t="shared" ca="1" si="19"/>
        <v>95.95687084968165</v>
      </c>
      <c r="AT58" s="438">
        <f t="shared" ca="1" si="20"/>
        <v>17.879394426092254</v>
      </c>
      <c r="AU58" s="439">
        <f t="shared" ca="1" si="21"/>
        <v>0</v>
      </c>
      <c r="AV58" s="439">
        <f t="shared" ca="1" si="22"/>
        <v>481.29347465689852</v>
      </c>
      <c r="AW58" s="439"/>
      <c r="AX58" s="438">
        <f t="shared" ca="1" si="11"/>
        <v>19.652549104553188</v>
      </c>
      <c r="AY58" s="438">
        <f t="shared" ca="1" si="23"/>
        <v>5.6546751603336887</v>
      </c>
      <c r="AZ58" s="443"/>
      <c r="BA58" s="433" t="str">
        <f t="shared" si="32"/>
        <v>Any ENERGY STAR (Top- or Front-Load) Clothes Washer - Electric DHW, Electric Dryer - 54% ENERGY STAR Baseline</v>
      </c>
      <c r="BB58" s="433" t="s">
        <v>25</v>
      </c>
      <c r="BC58" s="438">
        <f t="shared" ca="1" si="25"/>
        <v>17.879394426092254</v>
      </c>
      <c r="BD58" s="438">
        <f>SFAssumptions!$C$7</f>
        <v>14</v>
      </c>
      <c r="BE58" s="444">
        <f t="shared" ca="1" si="26"/>
        <v>95.95687084968165</v>
      </c>
      <c r="BF58" s="433"/>
      <c r="BG58" s="432" t="s">
        <v>157</v>
      </c>
      <c r="BH58" s="445">
        <f t="shared" ca="1" si="27"/>
        <v>5.6546751603336887</v>
      </c>
      <c r="BI58" s="433"/>
      <c r="BJ58" s="433"/>
      <c r="BK58" s="433"/>
      <c r="BL58" s="433"/>
      <c r="BM58" s="433"/>
      <c r="BN58" s="433"/>
      <c r="BO58" s="446">
        <f t="shared" ca="1" si="28"/>
        <v>0</v>
      </c>
      <c r="BP58" s="433" t="s">
        <v>158</v>
      </c>
    </row>
    <row r="59" spans="1:68" s="414" customFormat="1">
      <c r="A59" s="433">
        <f t="shared" si="29"/>
        <v>42</v>
      </c>
      <c r="B59" s="433">
        <f t="shared" si="3"/>
        <v>2</v>
      </c>
      <c r="C59" s="433">
        <f t="shared" si="4"/>
        <v>12</v>
      </c>
      <c r="D59" s="433">
        <f t="shared" si="5"/>
        <v>3</v>
      </c>
      <c r="E59" s="433">
        <f t="shared" si="6"/>
        <v>2</v>
      </c>
      <c r="F59" s="433"/>
      <c r="G59" s="433" t="str">
        <f t="shared" si="12"/>
        <v>Current Practice Baseline Using 54% ENERGY STAR Penetration</v>
      </c>
      <c r="H59" s="433" t="str">
        <f t="shared" si="13"/>
        <v>Any ENERGY STAR (Top- or Front-Load)</v>
      </c>
      <c r="I59" s="433" t="str">
        <f t="shared" si="7"/>
        <v>Electric DHW, Gas Dryer</v>
      </c>
      <c r="J59" s="433" t="str">
        <f t="shared" si="8"/>
        <v>Electric DHW</v>
      </c>
      <c r="K59" s="433" t="str">
        <f t="shared" si="9"/>
        <v>Gas Dryer</v>
      </c>
      <c r="L59" s="434">
        <f>VLOOKUP(J59,SFAssumptions!$A$14:$B$16,2,FALSE)</f>
        <v>1</v>
      </c>
      <c r="M59" s="435">
        <f>VLOOKUP(K59,SFAssumptions!$A$18:$B$20,2,FALSE)</f>
        <v>0</v>
      </c>
      <c r="N59" s="436">
        <f ca="1">HLOOKUP($G59,'SFBaselines and Measures'!$C$3:$V$33,7,FALSE)</f>
        <v>3802.5240664273615</v>
      </c>
      <c r="O59" s="437">
        <f ca="1">HLOOKUP($G59,'SFBaselines and Measures'!$C$3:$V$33,8,FALSE)</f>
        <v>825.23457500176619</v>
      </c>
      <c r="P59" s="438">
        <f ca="1">HLOOKUP($G59,'SFBaselines and Measures'!$C$3:$V$33,25,FALSE)</f>
        <v>52.777549864992686</v>
      </c>
      <c r="Q59" s="438"/>
      <c r="R59" s="438">
        <f ca="1">HLOOKUP($G59,'SFBaselines and Measures'!$C$3:$V$33,27,FALSE)</f>
        <v>82.491219159202572</v>
      </c>
      <c r="S59" s="439">
        <f>HLOOKUP($G59,'SFBaselines and Measures'!$C$3:$V$33,29,FALSE)</f>
        <v>0</v>
      </c>
      <c r="T59" s="439"/>
      <c r="U59" s="439">
        <f ca="1">HLOOKUP($G59,'SFBaselines and Measures'!$C$3:$V$33,31,FALSE)</f>
        <v>3.7539004132047786</v>
      </c>
      <c r="V59" s="440">
        <f ca="1">HLOOKUP($G59,'SFBaselines and Measures'!$C$3:$V$33,9,FALSE)</f>
        <v>44.675524429925424</v>
      </c>
      <c r="W59" s="441"/>
      <c r="X59" s="436">
        <f ca="1">HLOOKUP($H59,'SFBaselines and Measures'!$C$2:$V$33,8,FALSE)</f>
        <v>3321.230591770463</v>
      </c>
      <c r="Y59" s="437">
        <f ca="1">HLOOKUP($H59,'SFBaselines and Measures'!$C$2:$V$33,9,FALSE)</f>
        <v>921.19144585144784</v>
      </c>
      <c r="Z59" s="438">
        <f ca="1">HLOOKUP($H59,'SFBaselines and Measures'!$C$2:$V$33,26,FALSE)</f>
        <v>49.632609392094977</v>
      </c>
      <c r="AA59" s="438"/>
      <c r="AB59" s="438">
        <f ca="1">HLOOKUP($H59,'SFBaselines and Measures'!$C$2:$V$33,28,FALSE)</f>
        <v>67.756765206008026</v>
      </c>
      <c r="AC59" s="439">
        <f>HLOOKUP($H59,'SFBaselines and Measures'!$C$2:$V$33,30,FALSE)</f>
        <v>0</v>
      </c>
      <c r="AD59" s="439"/>
      <c r="AE59" s="439">
        <f ca="1">HLOOKUP($H59,'SFBaselines and Measures'!$C$2:$V$33,32,FALSE)</f>
        <v>3.0833845286414054</v>
      </c>
      <c r="AF59" s="440">
        <f ca="1">HLOOKUP($H59,'SFBaselines and Measures'!$C$2:$V$33,10,FALSE)</f>
        <v>39.020849269591736</v>
      </c>
      <c r="AG59" s="441"/>
      <c r="AH59" s="436">
        <f t="shared" ca="1" si="14"/>
        <v>481.29347465689852</v>
      </c>
      <c r="AI59" s="437">
        <f t="shared" ca="1" si="15"/>
        <v>95.95687084968165</v>
      </c>
      <c r="AJ59" s="438">
        <f t="shared" ca="1" si="16"/>
        <v>3.1449404728977086</v>
      </c>
      <c r="AK59" s="438"/>
      <c r="AL59" s="438">
        <f t="shared" ca="1" si="33"/>
        <v>14.734453953194546</v>
      </c>
      <c r="AM59" s="439">
        <f t="shared" si="33"/>
        <v>0</v>
      </c>
      <c r="AN59" s="439"/>
      <c r="AO59" s="439">
        <f t="shared" ca="1" si="34"/>
        <v>0.67051588456337319</v>
      </c>
      <c r="AP59" s="442">
        <f t="shared" ca="1" si="34"/>
        <v>5.6546751603336887</v>
      </c>
      <c r="AQ59" s="443"/>
      <c r="AR59" s="435" t="str">
        <f t="shared" si="18"/>
        <v>Any ENERGY STAR (Top- or Front-Load) Clothes Washer - Electric DHW, Gas Dryer - 54% ENERGY STAR Baseline</v>
      </c>
      <c r="AS59" s="437">
        <f t="shared" ca="1" si="19"/>
        <v>95.95687084968165</v>
      </c>
      <c r="AT59" s="438">
        <f t="shared" ca="1" si="20"/>
        <v>17.879394426092254</v>
      </c>
      <c r="AU59" s="439">
        <f t="shared" ca="1" si="21"/>
        <v>0</v>
      </c>
      <c r="AV59" s="439">
        <f t="shared" ca="1" si="22"/>
        <v>481.29347465689852</v>
      </c>
      <c r="AW59" s="439"/>
      <c r="AX59" s="438">
        <f t="shared" ca="1" si="11"/>
        <v>19.652549104553188</v>
      </c>
      <c r="AY59" s="438">
        <f t="shared" ca="1" si="23"/>
        <v>5.6546751603336887</v>
      </c>
      <c r="AZ59" s="443"/>
      <c r="BA59" s="433" t="str">
        <f t="shared" si="32"/>
        <v>Any ENERGY STAR (Top- or Front-Load) Clothes Washer - Electric DHW, Gas Dryer - 54% ENERGY STAR Baseline</v>
      </c>
      <c r="BB59" s="433" t="s">
        <v>25</v>
      </c>
      <c r="BC59" s="438">
        <f t="shared" ca="1" si="25"/>
        <v>17.879394426092254</v>
      </c>
      <c r="BD59" s="438">
        <f>SFAssumptions!$C$7</f>
        <v>14</v>
      </c>
      <c r="BE59" s="444">
        <f t="shared" ca="1" si="26"/>
        <v>95.95687084968165</v>
      </c>
      <c r="BF59" s="433"/>
      <c r="BG59" s="432" t="s">
        <v>157</v>
      </c>
      <c r="BH59" s="445">
        <f t="shared" ca="1" si="27"/>
        <v>5.6546751603336887</v>
      </c>
      <c r="BI59" s="433"/>
      <c r="BJ59" s="433"/>
      <c r="BK59" s="433"/>
      <c r="BL59" s="433"/>
      <c r="BM59" s="433"/>
      <c r="BN59" s="433"/>
      <c r="BO59" s="446">
        <f t="shared" ca="1" si="28"/>
        <v>0</v>
      </c>
      <c r="BP59" s="433" t="s">
        <v>158</v>
      </c>
    </row>
    <row r="60" spans="1:68" s="414" customFormat="1">
      <c r="A60" s="433">
        <f t="shared" si="29"/>
        <v>43</v>
      </c>
      <c r="B60" s="433">
        <f t="shared" si="3"/>
        <v>2</v>
      </c>
      <c r="C60" s="433">
        <f t="shared" si="4"/>
        <v>13</v>
      </c>
      <c r="D60" s="433">
        <f t="shared" si="5"/>
        <v>3</v>
      </c>
      <c r="E60" s="433">
        <f t="shared" si="6"/>
        <v>3</v>
      </c>
      <c r="F60" s="433"/>
      <c r="G60" s="433" t="str">
        <f t="shared" si="12"/>
        <v>Current Practice Baseline Using 54% ENERGY STAR Penetration</v>
      </c>
      <c r="H60" s="433" t="str">
        <f t="shared" si="13"/>
        <v>Any ENERGY STAR (Top- or Front-Load)</v>
      </c>
      <c r="I60" s="433" t="str">
        <f t="shared" si="7"/>
        <v>Gas DHW, Electric Dryer</v>
      </c>
      <c r="J60" s="433" t="str">
        <f t="shared" si="8"/>
        <v>Gas DHW</v>
      </c>
      <c r="K60" s="433" t="str">
        <f t="shared" si="9"/>
        <v>Electric Dryer</v>
      </c>
      <c r="L60" s="434">
        <f>VLOOKUP(J60,SFAssumptions!$A$14:$B$16,2,FALSE)</f>
        <v>0</v>
      </c>
      <c r="M60" s="435">
        <f>VLOOKUP(K60,SFAssumptions!$A$18:$B$20,2,FALSE)</f>
        <v>1</v>
      </c>
      <c r="N60" s="436">
        <f ca="1">HLOOKUP($G60,'SFBaselines and Measures'!$C$3:$V$33,7,FALSE)</f>
        <v>3802.5240664273615</v>
      </c>
      <c r="O60" s="437">
        <f ca="1">HLOOKUP($G60,'SFBaselines and Measures'!$C$3:$V$33,8,FALSE)</f>
        <v>825.23457500176619</v>
      </c>
      <c r="P60" s="438">
        <f ca="1">HLOOKUP($G60,'SFBaselines and Measures'!$C$3:$V$33,25,FALSE)</f>
        <v>52.777549864992686</v>
      </c>
      <c r="Q60" s="438"/>
      <c r="R60" s="438">
        <f ca="1">HLOOKUP($G60,'SFBaselines and Measures'!$C$3:$V$33,27,FALSE)</f>
        <v>82.491219159202572</v>
      </c>
      <c r="S60" s="439">
        <f>HLOOKUP($G60,'SFBaselines and Measures'!$C$3:$V$33,29,FALSE)</f>
        <v>0</v>
      </c>
      <c r="T60" s="439"/>
      <c r="U60" s="439">
        <f ca="1">HLOOKUP($G60,'SFBaselines and Measures'!$C$3:$V$33,31,FALSE)</f>
        <v>3.7539004132047786</v>
      </c>
      <c r="V60" s="440">
        <f ca="1">HLOOKUP($G60,'SFBaselines and Measures'!$C$3:$V$33,9,FALSE)</f>
        <v>44.675524429925424</v>
      </c>
      <c r="W60" s="441"/>
      <c r="X60" s="436">
        <f ca="1">HLOOKUP($H60,'SFBaselines and Measures'!$C$2:$V$33,8,FALSE)</f>
        <v>3321.230591770463</v>
      </c>
      <c r="Y60" s="437">
        <f ca="1">HLOOKUP($H60,'SFBaselines and Measures'!$C$2:$V$33,9,FALSE)</f>
        <v>921.19144585144784</v>
      </c>
      <c r="Z60" s="438">
        <f ca="1">HLOOKUP($H60,'SFBaselines and Measures'!$C$2:$V$33,26,FALSE)</f>
        <v>49.632609392094977</v>
      </c>
      <c r="AA60" s="438"/>
      <c r="AB60" s="438">
        <f ca="1">HLOOKUP($H60,'SFBaselines and Measures'!$C$2:$V$33,28,FALSE)</f>
        <v>67.756765206008026</v>
      </c>
      <c r="AC60" s="439">
        <f>HLOOKUP($H60,'SFBaselines and Measures'!$C$2:$V$33,30,FALSE)</f>
        <v>0</v>
      </c>
      <c r="AD60" s="439"/>
      <c r="AE60" s="439">
        <f ca="1">HLOOKUP($H60,'SFBaselines and Measures'!$C$2:$V$33,32,FALSE)</f>
        <v>3.0833845286414054</v>
      </c>
      <c r="AF60" s="440">
        <f ca="1">HLOOKUP($H60,'SFBaselines and Measures'!$C$2:$V$33,10,FALSE)</f>
        <v>39.020849269591736</v>
      </c>
      <c r="AG60" s="441"/>
      <c r="AH60" s="436">
        <f t="shared" ca="1" si="14"/>
        <v>481.29347465689852</v>
      </c>
      <c r="AI60" s="437">
        <f t="shared" ca="1" si="15"/>
        <v>95.95687084968165</v>
      </c>
      <c r="AJ60" s="438">
        <f t="shared" ca="1" si="16"/>
        <v>3.1449404728977086</v>
      </c>
      <c r="AK60" s="438"/>
      <c r="AL60" s="438">
        <f t="shared" ca="1" si="33"/>
        <v>14.734453953194546</v>
      </c>
      <c r="AM60" s="439">
        <f t="shared" si="33"/>
        <v>0</v>
      </c>
      <c r="AN60" s="439"/>
      <c r="AO60" s="439">
        <f t="shared" ca="1" si="34"/>
        <v>0.67051588456337319</v>
      </c>
      <c r="AP60" s="442">
        <f t="shared" ca="1" si="34"/>
        <v>5.6546751603336887</v>
      </c>
      <c r="AQ60" s="443"/>
      <c r="AR60" s="435" t="str">
        <f t="shared" si="18"/>
        <v>Any ENERGY STAR (Top- or Front-Load) Clothes Washer - Gas DHW, Electric Dryer - 54% ENERGY STAR Baseline</v>
      </c>
      <c r="AS60" s="437">
        <f t="shared" ca="1" si="19"/>
        <v>95.95687084968165</v>
      </c>
      <c r="AT60" s="438">
        <f t="shared" ca="1" si="20"/>
        <v>3.1449404728977086</v>
      </c>
      <c r="AU60" s="439">
        <f t="shared" ca="1" si="21"/>
        <v>0.67051588456337319</v>
      </c>
      <c r="AV60" s="439">
        <f t="shared" ca="1" si="22"/>
        <v>481.29347465689852</v>
      </c>
      <c r="AW60" s="439"/>
      <c r="AX60" s="438">
        <f t="shared" ca="1" si="11"/>
        <v>4.9180951513586422</v>
      </c>
      <c r="AY60" s="438">
        <f t="shared" ca="1" si="23"/>
        <v>5.6546751603336887</v>
      </c>
      <c r="AZ60" s="443"/>
      <c r="BA60" s="433" t="str">
        <f t="shared" si="32"/>
        <v>Any ENERGY STAR (Top- or Front-Load) Clothes Washer - Gas DHW, Electric Dryer - 54% ENERGY STAR Baseline</v>
      </c>
      <c r="BB60" s="433" t="s">
        <v>25</v>
      </c>
      <c r="BC60" s="438">
        <f t="shared" ca="1" si="25"/>
        <v>3.1449404728977086</v>
      </c>
      <c r="BD60" s="438">
        <f>SFAssumptions!$C$7</f>
        <v>14</v>
      </c>
      <c r="BE60" s="444">
        <f t="shared" ca="1" si="26"/>
        <v>95.95687084968165</v>
      </c>
      <c r="BF60" s="433"/>
      <c r="BG60" s="432" t="s">
        <v>157</v>
      </c>
      <c r="BH60" s="445">
        <f t="shared" ca="1" si="27"/>
        <v>5.6546751603336887</v>
      </c>
      <c r="BI60" s="433"/>
      <c r="BJ60" s="433"/>
      <c r="BK60" s="433"/>
      <c r="BL60" s="433"/>
      <c r="BM60" s="433"/>
      <c r="BN60" s="433"/>
      <c r="BO60" s="446">
        <f t="shared" ca="1" si="28"/>
        <v>0.67051588456337319</v>
      </c>
      <c r="BP60" s="433" t="s">
        <v>158</v>
      </c>
    </row>
    <row r="61" spans="1:68" s="414" customFormat="1">
      <c r="A61" s="433">
        <f t="shared" si="29"/>
        <v>44</v>
      </c>
      <c r="B61" s="433">
        <f t="shared" si="3"/>
        <v>2</v>
      </c>
      <c r="C61" s="433">
        <f t="shared" si="4"/>
        <v>14</v>
      </c>
      <c r="D61" s="433">
        <f t="shared" si="5"/>
        <v>3</v>
      </c>
      <c r="E61" s="433">
        <f t="shared" si="6"/>
        <v>4</v>
      </c>
      <c r="F61" s="433"/>
      <c r="G61" s="433" t="str">
        <f t="shared" si="12"/>
        <v>Current Practice Baseline Using 54% ENERGY STAR Penetration</v>
      </c>
      <c r="H61" s="433" t="str">
        <f t="shared" si="13"/>
        <v>Any ENERGY STAR (Top- or Front-Load)</v>
      </c>
      <c r="I61" s="433" t="str">
        <f t="shared" si="7"/>
        <v>Gas DHW, Gas Dryer</v>
      </c>
      <c r="J61" s="433" t="str">
        <f t="shared" si="8"/>
        <v>Gas DHW</v>
      </c>
      <c r="K61" s="433" t="str">
        <f t="shared" si="9"/>
        <v>Gas Dryer</v>
      </c>
      <c r="L61" s="434">
        <f>VLOOKUP(J61,SFAssumptions!$A$14:$B$16,2,FALSE)</f>
        <v>0</v>
      </c>
      <c r="M61" s="435">
        <f>VLOOKUP(K61,SFAssumptions!$A$18:$B$20,2,FALSE)</f>
        <v>0</v>
      </c>
      <c r="N61" s="436">
        <f ca="1">HLOOKUP($G61,'SFBaselines and Measures'!$C$3:$V$33,7,FALSE)</f>
        <v>3802.5240664273615</v>
      </c>
      <c r="O61" s="437">
        <f ca="1">HLOOKUP($G61,'SFBaselines and Measures'!$C$3:$V$33,8,FALSE)</f>
        <v>825.23457500176619</v>
      </c>
      <c r="P61" s="438">
        <f ca="1">HLOOKUP($G61,'SFBaselines and Measures'!$C$3:$V$33,25,FALSE)</f>
        <v>52.777549864992686</v>
      </c>
      <c r="Q61" s="438"/>
      <c r="R61" s="438">
        <f ca="1">HLOOKUP($G61,'SFBaselines and Measures'!$C$3:$V$33,27,FALSE)</f>
        <v>82.491219159202572</v>
      </c>
      <c r="S61" s="439">
        <f>HLOOKUP($G61,'SFBaselines and Measures'!$C$3:$V$33,29,FALSE)</f>
        <v>0</v>
      </c>
      <c r="T61" s="439"/>
      <c r="U61" s="439">
        <f ca="1">HLOOKUP($G61,'SFBaselines and Measures'!$C$3:$V$33,31,FALSE)</f>
        <v>3.7539004132047786</v>
      </c>
      <c r="V61" s="440">
        <f ca="1">HLOOKUP($G61,'SFBaselines and Measures'!$C$3:$V$33,9,FALSE)</f>
        <v>44.675524429925424</v>
      </c>
      <c r="W61" s="441"/>
      <c r="X61" s="436">
        <f ca="1">HLOOKUP($H61,'SFBaselines and Measures'!$C$2:$V$33,8,FALSE)</f>
        <v>3321.230591770463</v>
      </c>
      <c r="Y61" s="437">
        <f ca="1">HLOOKUP($H61,'SFBaselines and Measures'!$C$2:$V$33,9,FALSE)</f>
        <v>921.19144585144784</v>
      </c>
      <c r="Z61" s="438">
        <f ca="1">HLOOKUP($H61,'SFBaselines and Measures'!$C$2:$V$33,26,FALSE)</f>
        <v>49.632609392094977</v>
      </c>
      <c r="AA61" s="438"/>
      <c r="AB61" s="438">
        <f ca="1">HLOOKUP($H61,'SFBaselines and Measures'!$C$2:$V$33,28,FALSE)</f>
        <v>67.756765206008026</v>
      </c>
      <c r="AC61" s="439">
        <f>HLOOKUP($H61,'SFBaselines and Measures'!$C$2:$V$33,30,FALSE)</f>
        <v>0</v>
      </c>
      <c r="AD61" s="439"/>
      <c r="AE61" s="439">
        <f ca="1">HLOOKUP($H61,'SFBaselines and Measures'!$C$2:$V$33,32,FALSE)</f>
        <v>3.0833845286414054</v>
      </c>
      <c r="AF61" s="440">
        <f ca="1">HLOOKUP($H61,'SFBaselines and Measures'!$C$2:$V$33,10,FALSE)</f>
        <v>39.020849269591736</v>
      </c>
      <c r="AG61" s="441"/>
      <c r="AH61" s="436">
        <f t="shared" ca="1" si="14"/>
        <v>481.29347465689852</v>
      </c>
      <c r="AI61" s="437">
        <f t="shared" ca="1" si="15"/>
        <v>95.95687084968165</v>
      </c>
      <c r="AJ61" s="438">
        <f t="shared" ca="1" si="16"/>
        <v>3.1449404728977086</v>
      </c>
      <c r="AK61" s="438"/>
      <c r="AL61" s="438">
        <f t="shared" ca="1" si="33"/>
        <v>14.734453953194546</v>
      </c>
      <c r="AM61" s="439">
        <f t="shared" si="33"/>
        <v>0</v>
      </c>
      <c r="AN61" s="439"/>
      <c r="AO61" s="439">
        <f t="shared" ca="1" si="34"/>
        <v>0.67051588456337319</v>
      </c>
      <c r="AP61" s="442">
        <f t="shared" ca="1" si="34"/>
        <v>5.6546751603336887</v>
      </c>
      <c r="AQ61" s="443"/>
      <c r="AR61" s="435" t="str">
        <f t="shared" si="18"/>
        <v>Any ENERGY STAR (Top- or Front-Load) Clothes Washer - Gas DHW, Gas Dryer - 54% ENERGY STAR Baseline</v>
      </c>
      <c r="AS61" s="437">
        <f t="shared" ca="1" si="19"/>
        <v>95.95687084968165</v>
      </c>
      <c r="AT61" s="438">
        <f t="shared" ca="1" si="20"/>
        <v>3.1449404728977086</v>
      </c>
      <c r="AU61" s="439">
        <f t="shared" ca="1" si="21"/>
        <v>0.67051588456337319</v>
      </c>
      <c r="AV61" s="439">
        <f t="shared" ca="1" si="22"/>
        <v>481.29347465689852</v>
      </c>
      <c r="AW61" s="439"/>
      <c r="AX61" s="438">
        <f t="shared" ca="1" si="11"/>
        <v>4.9180951513586422</v>
      </c>
      <c r="AY61" s="438">
        <f t="shared" ca="1" si="23"/>
        <v>5.6546751603336887</v>
      </c>
      <c r="AZ61" s="443"/>
      <c r="BA61" s="433" t="str">
        <f t="shared" si="32"/>
        <v>Any ENERGY STAR (Top- or Front-Load) Clothes Washer - Gas DHW, Gas Dryer - 54% ENERGY STAR Baseline</v>
      </c>
      <c r="BB61" s="433" t="s">
        <v>25</v>
      </c>
      <c r="BC61" s="438">
        <f t="shared" ca="1" si="25"/>
        <v>3.1449404728977086</v>
      </c>
      <c r="BD61" s="438">
        <f>SFAssumptions!$C$7</f>
        <v>14</v>
      </c>
      <c r="BE61" s="444">
        <f t="shared" ca="1" si="26"/>
        <v>95.95687084968165</v>
      </c>
      <c r="BF61" s="433"/>
      <c r="BG61" s="432" t="s">
        <v>157</v>
      </c>
      <c r="BH61" s="445">
        <f t="shared" ca="1" si="27"/>
        <v>5.6546751603336887</v>
      </c>
      <c r="BI61" s="433"/>
      <c r="BJ61" s="433"/>
      <c r="BK61" s="433"/>
      <c r="BL61" s="433"/>
      <c r="BM61" s="433"/>
      <c r="BN61" s="433"/>
      <c r="BO61" s="446">
        <f t="shared" ca="1" si="28"/>
        <v>0.67051588456337319</v>
      </c>
      <c r="BP61" s="433" t="s">
        <v>158</v>
      </c>
    </row>
    <row r="62" spans="1:68" s="414" customFormat="1">
      <c r="A62" s="433">
        <f t="shared" si="29"/>
        <v>45</v>
      </c>
      <c r="B62" s="433">
        <f t="shared" si="3"/>
        <v>2</v>
      </c>
      <c r="C62" s="433">
        <f t="shared" si="4"/>
        <v>15</v>
      </c>
      <c r="D62" s="433">
        <f t="shared" si="5"/>
        <v>3</v>
      </c>
      <c r="E62" s="433">
        <f t="shared" si="6"/>
        <v>5</v>
      </c>
      <c r="F62" s="433"/>
      <c r="G62" s="433" t="str">
        <f t="shared" si="12"/>
        <v>Current Practice Baseline Using 54% ENERGY STAR Penetration</v>
      </c>
      <c r="H62" s="433" t="str">
        <f t="shared" si="13"/>
        <v>Any ENERGY STAR (Top- or Front-Load)</v>
      </c>
      <c r="I62" s="433" t="str">
        <f t="shared" si="7"/>
        <v>Any DHW, Any Dryer</v>
      </c>
      <c r="J62" s="433" t="str">
        <f t="shared" si="8"/>
        <v>Any DHW</v>
      </c>
      <c r="K62" s="433" t="str">
        <f t="shared" si="9"/>
        <v>Any Dryer</v>
      </c>
      <c r="L62" s="434">
        <f>VLOOKUP(J62,SFAssumptions!$A$14:$B$16,2,FALSE)</f>
        <v>0.55200000000000005</v>
      </c>
      <c r="M62" s="435">
        <f>VLOOKUP(K62,SFAssumptions!$A$18:$B$20,2,FALSE)</f>
        <v>0.95</v>
      </c>
      <c r="N62" s="436">
        <f ca="1">HLOOKUP($G62,'SFBaselines and Measures'!$C$3:$V$33,7,FALSE)</f>
        <v>3802.5240664273615</v>
      </c>
      <c r="O62" s="437">
        <f ca="1">HLOOKUP($G62,'SFBaselines and Measures'!$C$3:$V$33,8,FALSE)</f>
        <v>825.23457500176619</v>
      </c>
      <c r="P62" s="438">
        <f ca="1">HLOOKUP($G62,'SFBaselines and Measures'!$C$3:$V$33,25,FALSE)</f>
        <v>52.777549864992686</v>
      </c>
      <c r="Q62" s="438"/>
      <c r="R62" s="438">
        <f ca="1">HLOOKUP($G62,'SFBaselines and Measures'!$C$3:$V$33,27,FALSE)</f>
        <v>82.491219159202572</v>
      </c>
      <c r="S62" s="439">
        <f>HLOOKUP($G62,'SFBaselines and Measures'!$C$3:$V$33,29,FALSE)</f>
        <v>0</v>
      </c>
      <c r="T62" s="439"/>
      <c r="U62" s="439">
        <f ca="1">HLOOKUP($G62,'SFBaselines and Measures'!$C$3:$V$33,31,FALSE)</f>
        <v>3.7539004132047786</v>
      </c>
      <c r="V62" s="440">
        <f ca="1">HLOOKUP($G62,'SFBaselines and Measures'!$C$3:$V$33,9,FALSE)</f>
        <v>44.675524429925424</v>
      </c>
      <c r="W62" s="441"/>
      <c r="X62" s="436">
        <f ca="1">HLOOKUP($H62,'SFBaselines and Measures'!$C$2:$V$33,8,FALSE)</f>
        <v>3321.230591770463</v>
      </c>
      <c r="Y62" s="437">
        <f ca="1">HLOOKUP($H62,'SFBaselines and Measures'!$C$2:$V$33,9,FALSE)</f>
        <v>921.19144585144784</v>
      </c>
      <c r="Z62" s="438">
        <f ca="1">HLOOKUP($H62,'SFBaselines and Measures'!$C$2:$V$33,26,FALSE)</f>
        <v>49.632609392094977</v>
      </c>
      <c r="AA62" s="438"/>
      <c r="AB62" s="438">
        <f ca="1">HLOOKUP($H62,'SFBaselines and Measures'!$C$2:$V$33,28,FALSE)</f>
        <v>67.756765206008026</v>
      </c>
      <c r="AC62" s="439">
        <f>HLOOKUP($H62,'SFBaselines and Measures'!$C$2:$V$33,30,FALSE)</f>
        <v>0</v>
      </c>
      <c r="AD62" s="439"/>
      <c r="AE62" s="439">
        <f ca="1">HLOOKUP($H62,'SFBaselines and Measures'!$C$2:$V$33,32,FALSE)</f>
        <v>3.0833845286414054</v>
      </c>
      <c r="AF62" s="440">
        <f ca="1">HLOOKUP($H62,'SFBaselines and Measures'!$C$2:$V$33,10,FALSE)</f>
        <v>39.020849269591736</v>
      </c>
      <c r="AG62" s="441"/>
      <c r="AH62" s="436">
        <f t="shared" ca="1" si="14"/>
        <v>481.29347465689852</v>
      </c>
      <c r="AI62" s="437">
        <f t="shared" ca="1" si="15"/>
        <v>95.95687084968165</v>
      </c>
      <c r="AJ62" s="438">
        <f t="shared" ca="1" si="16"/>
        <v>3.1449404728977086</v>
      </c>
      <c r="AK62" s="438"/>
      <c r="AL62" s="438">
        <f t="shared" ca="1" si="33"/>
        <v>14.734453953194546</v>
      </c>
      <c r="AM62" s="439">
        <f t="shared" si="33"/>
        <v>0</v>
      </c>
      <c r="AN62" s="439"/>
      <c r="AO62" s="439">
        <f t="shared" ca="1" si="34"/>
        <v>0.67051588456337319</v>
      </c>
      <c r="AP62" s="442">
        <f t="shared" ca="1" si="34"/>
        <v>5.6546751603336887</v>
      </c>
      <c r="AQ62" s="443"/>
      <c r="AR62" s="435" t="str">
        <f t="shared" si="18"/>
        <v>Any ENERGY STAR (Top- or Front-Load) Clothes Washer - Any DHW, Any Dryer - 54% ENERGY STAR Baseline</v>
      </c>
      <c r="AS62" s="437">
        <f t="shared" ca="1" si="19"/>
        <v>95.95687084968165</v>
      </c>
      <c r="AT62" s="438">
        <f t="shared" ca="1" si="20"/>
        <v>11.278359055061099</v>
      </c>
      <c r="AU62" s="439">
        <f t="shared" ca="1" si="21"/>
        <v>0.30039111628439114</v>
      </c>
      <c r="AV62" s="439">
        <f t="shared" ca="1" si="22"/>
        <v>481.29347465689852</v>
      </c>
      <c r="AW62" s="439"/>
      <c r="AX62" s="438">
        <f t="shared" ca="1" si="11"/>
        <v>13.051513733522032</v>
      </c>
      <c r="AY62" s="438">
        <f t="shared" ca="1" si="23"/>
        <v>5.6546751603336887</v>
      </c>
      <c r="AZ62" s="443"/>
      <c r="BA62" s="433" t="str">
        <f t="shared" si="32"/>
        <v>Any ENERGY STAR (Top- or Front-Load) Clothes Washer - Any DHW, Any Dryer - 54% ENERGY STAR Baseline</v>
      </c>
      <c r="BB62" s="433" t="s">
        <v>25</v>
      </c>
      <c r="BC62" s="438">
        <f t="shared" ca="1" si="25"/>
        <v>11.278359055061099</v>
      </c>
      <c r="BD62" s="438">
        <f>SFAssumptions!$C$7</f>
        <v>14</v>
      </c>
      <c r="BE62" s="444">
        <f t="shared" ca="1" si="26"/>
        <v>95.95687084968165</v>
      </c>
      <c r="BF62" s="433"/>
      <c r="BG62" s="432" t="s">
        <v>157</v>
      </c>
      <c r="BH62" s="445">
        <f t="shared" ca="1" si="27"/>
        <v>5.6546751603336887</v>
      </c>
      <c r="BI62" s="433"/>
      <c r="BJ62" s="433"/>
      <c r="BK62" s="433"/>
      <c r="BL62" s="433"/>
      <c r="BM62" s="433"/>
      <c r="BN62" s="433"/>
      <c r="BO62" s="446">
        <f t="shared" ca="1" si="28"/>
        <v>0.30039111628439114</v>
      </c>
      <c r="BP62" s="433" t="s">
        <v>158</v>
      </c>
    </row>
    <row r="63" spans="1:68" s="414" customFormat="1">
      <c r="A63" s="433">
        <f t="shared" si="29"/>
        <v>46</v>
      </c>
      <c r="B63" s="433">
        <f t="shared" si="3"/>
        <v>2</v>
      </c>
      <c r="C63" s="433">
        <f t="shared" si="4"/>
        <v>16</v>
      </c>
      <c r="D63" s="433">
        <f t="shared" si="5"/>
        <v>4</v>
      </c>
      <c r="E63" s="433">
        <f t="shared" si="6"/>
        <v>1</v>
      </c>
      <c r="F63" s="433"/>
      <c r="G63" s="433" t="str">
        <f t="shared" si="12"/>
        <v>Current Practice Baseline Using 54% ENERGY STAR Penetration</v>
      </c>
      <c r="H63" s="433" t="str">
        <f t="shared" si="13"/>
        <v>CEE Tier 1</v>
      </c>
      <c r="I63" s="433" t="str">
        <f t="shared" si="7"/>
        <v>Electric DHW, Electric Dryer</v>
      </c>
      <c r="J63" s="433" t="str">
        <f t="shared" si="8"/>
        <v>Electric DHW</v>
      </c>
      <c r="K63" s="433" t="str">
        <f t="shared" si="9"/>
        <v>Electric Dryer</v>
      </c>
      <c r="L63" s="434">
        <f>VLOOKUP(J63,SFAssumptions!$A$14:$B$16,2,FALSE)</f>
        <v>1</v>
      </c>
      <c r="M63" s="435">
        <f>VLOOKUP(K63,SFAssumptions!$A$18:$B$20,2,FALSE)</f>
        <v>1</v>
      </c>
      <c r="N63" s="436">
        <f ca="1">HLOOKUP($G63,'SFBaselines and Measures'!$C$3:$V$33,7,FALSE)</f>
        <v>3802.5240664273615</v>
      </c>
      <c r="O63" s="437">
        <f ca="1">HLOOKUP($G63,'SFBaselines and Measures'!$C$3:$V$33,8,FALSE)</f>
        <v>825.23457500176619</v>
      </c>
      <c r="P63" s="438">
        <f ca="1">HLOOKUP($G63,'SFBaselines and Measures'!$C$3:$V$33,25,FALSE)</f>
        <v>52.777549864992686</v>
      </c>
      <c r="Q63" s="438"/>
      <c r="R63" s="438">
        <f ca="1">HLOOKUP($G63,'SFBaselines and Measures'!$C$3:$V$33,27,FALSE)</f>
        <v>82.491219159202572</v>
      </c>
      <c r="S63" s="439">
        <f>HLOOKUP($G63,'SFBaselines and Measures'!$C$3:$V$33,29,FALSE)</f>
        <v>0</v>
      </c>
      <c r="T63" s="439"/>
      <c r="U63" s="439">
        <f ca="1">HLOOKUP($G63,'SFBaselines and Measures'!$C$3:$V$33,31,FALSE)</f>
        <v>3.7539004132047786</v>
      </c>
      <c r="V63" s="440">
        <f ca="1">HLOOKUP($G63,'SFBaselines and Measures'!$C$3:$V$33,9,FALSE)</f>
        <v>44.675524429925424</v>
      </c>
      <c r="W63" s="441"/>
      <c r="X63" s="436">
        <f ca="1">HLOOKUP($H63,'SFBaselines and Measures'!$C$2:$V$33,8,FALSE)</f>
        <v>3186.6458062683578</v>
      </c>
      <c r="Y63" s="437">
        <f ca="1">HLOOKUP($H63,'SFBaselines and Measures'!$C$2:$V$33,9,FALSE)</f>
        <v>951.49912384722427</v>
      </c>
      <c r="Z63" s="438">
        <f ca="1">HLOOKUP($H63,'SFBaselines and Measures'!$C$2:$V$33,26,FALSE)</f>
        <v>49.625920476513251</v>
      </c>
      <c r="AA63" s="438"/>
      <c r="AB63" s="438">
        <f ca="1">HLOOKUP($H63,'SFBaselines and Measures'!$C$2:$V$33,28,FALSE)</f>
        <v>65.002325772243466</v>
      </c>
      <c r="AC63" s="439">
        <f>HLOOKUP($H63,'SFBaselines and Measures'!$C$2:$V$33,30,FALSE)</f>
        <v>0</v>
      </c>
      <c r="AD63" s="439"/>
      <c r="AE63" s="439">
        <f ca="1">HLOOKUP($H63,'SFBaselines and Measures'!$C$2:$V$33,32,FALSE)</f>
        <v>2.9580391714755589</v>
      </c>
      <c r="AF63" s="440">
        <f ca="1">HLOOKUP($H63,'SFBaselines and Measures'!$C$2:$V$33,10,FALSE)</f>
        <v>37.439624333849331</v>
      </c>
      <c r="AG63" s="441"/>
      <c r="AH63" s="436">
        <f t="shared" ca="1" si="14"/>
        <v>615.87826015900373</v>
      </c>
      <c r="AI63" s="437">
        <f t="shared" ca="1" si="15"/>
        <v>126.26454884545808</v>
      </c>
      <c r="AJ63" s="438">
        <f t="shared" ca="1" si="16"/>
        <v>3.1516293884794351</v>
      </c>
      <c r="AK63" s="438"/>
      <c r="AL63" s="438">
        <f t="shared" ca="1" si="33"/>
        <v>17.488893386959106</v>
      </c>
      <c r="AM63" s="439">
        <f t="shared" si="33"/>
        <v>0</v>
      </c>
      <c r="AN63" s="439"/>
      <c r="AO63" s="439">
        <f t="shared" ca="1" si="34"/>
        <v>0.79586124172921968</v>
      </c>
      <c r="AP63" s="442">
        <f t="shared" ca="1" si="34"/>
        <v>7.2359000960760937</v>
      </c>
      <c r="AQ63" s="443"/>
      <c r="AR63" s="435" t="str">
        <f t="shared" si="18"/>
        <v>CEE Tier 1 Clothes Washer - Electric DHW, Electric Dryer - 54% ENERGY STAR Baseline</v>
      </c>
      <c r="AS63" s="437">
        <f t="shared" ca="1" si="19"/>
        <v>126.26454884545808</v>
      </c>
      <c r="AT63" s="438">
        <f t="shared" ca="1" si="20"/>
        <v>20.640522775438541</v>
      </c>
      <c r="AU63" s="439">
        <f t="shared" ca="1" si="21"/>
        <v>0</v>
      </c>
      <c r="AV63" s="439">
        <f t="shared" ca="1" si="22"/>
        <v>615.87826015900373</v>
      </c>
      <c r="AW63" s="439"/>
      <c r="AX63" s="438">
        <f t="shared" ca="1" si="11"/>
        <v>22.909507243058446</v>
      </c>
      <c r="AY63" s="438">
        <f t="shared" ca="1" si="23"/>
        <v>7.2359000960760937</v>
      </c>
      <c r="AZ63" s="443"/>
      <c r="BA63" s="433" t="str">
        <f t="shared" si="32"/>
        <v>CEE Tier 1 Clothes Washer - Electric DHW, Electric Dryer - 54% ENERGY STAR Baseline</v>
      </c>
      <c r="BB63" s="433" t="s">
        <v>25</v>
      </c>
      <c r="BC63" s="438">
        <f t="shared" ca="1" si="25"/>
        <v>20.640522775438541</v>
      </c>
      <c r="BD63" s="438">
        <f>SFAssumptions!$C$7</f>
        <v>14</v>
      </c>
      <c r="BE63" s="444">
        <f t="shared" ca="1" si="26"/>
        <v>126.26454884545808</v>
      </c>
      <c r="BF63" s="433"/>
      <c r="BG63" s="432" t="s">
        <v>157</v>
      </c>
      <c r="BH63" s="445">
        <f t="shared" ca="1" si="27"/>
        <v>7.2359000960760937</v>
      </c>
      <c r="BI63" s="433"/>
      <c r="BJ63" s="433"/>
      <c r="BK63" s="433"/>
      <c r="BL63" s="433"/>
      <c r="BM63" s="433"/>
      <c r="BN63" s="433"/>
      <c r="BO63" s="446">
        <f t="shared" ca="1" si="28"/>
        <v>0</v>
      </c>
      <c r="BP63" s="433" t="s">
        <v>158</v>
      </c>
    </row>
    <row r="64" spans="1:68" s="414" customFormat="1">
      <c r="A64" s="433">
        <f t="shared" si="29"/>
        <v>47</v>
      </c>
      <c r="B64" s="433">
        <f t="shared" si="3"/>
        <v>2</v>
      </c>
      <c r="C64" s="433">
        <f t="shared" si="4"/>
        <v>17</v>
      </c>
      <c r="D64" s="433">
        <f t="shared" si="5"/>
        <v>4</v>
      </c>
      <c r="E64" s="433">
        <f t="shared" si="6"/>
        <v>2</v>
      </c>
      <c r="F64" s="433"/>
      <c r="G64" s="433" t="str">
        <f t="shared" si="12"/>
        <v>Current Practice Baseline Using 54% ENERGY STAR Penetration</v>
      </c>
      <c r="H64" s="433" t="str">
        <f t="shared" si="13"/>
        <v>CEE Tier 1</v>
      </c>
      <c r="I64" s="433" t="str">
        <f t="shared" si="7"/>
        <v>Electric DHW, Gas Dryer</v>
      </c>
      <c r="J64" s="433" t="str">
        <f t="shared" si="8"/>
        <v>Electric DHW</v>
      </c>
      <c r="K64" s="433" t="str">
        <f t="shared" si="9"/>
        <v>Gas Dryer</v>
      </c>
      <c r="L64" s="434">
        <f>VLOOKUP(J64,SFAssumptions!$A$14:$B$16,2,FALSE)</f>
        <v>1</v>
      </c>
      <c r="M64" s="435">
        <f>VLOOKUP(K64,SFAssumptions!$A$18:$B$20,2,FALSE)</f>
        <v>0</v>
      </c>
      <c r="N64" s="436">
        <f ca="1">HLOOKUP($G64,'SFBaselines and Measures'!$C$3:$V$33,7,FALSE)</f>
        <v>3802.5240664273615</v>
      </c>
      <c r="O64" s="437">
        <f ca="1">HLOOKUP($G64,'SFBaselines and Measures'!$C$3:$V$33,8,FALSE)</f>
        <v>825.23457500176619</v>
      </c>
      <c r="P64" s="438">
        <f ca="1">HLOOKUP($G64,'SFBaselines and Measures'!$C$3:$V$33,25,FALSE)</f>
        <v>52.777549864992686</v>
      </c>
      <c r="Q64" s="438"/>
      <c r="R64" s="438">
        <f ca="1">HLOOKUP($G64,'SFBaselines and Measures'!$C$3:$V$33,27,FALSE)</f>
        <v>82.491219159202572</v>
      </c>
      <c r="S64" s="439">
        <f>HLOOKUP($G64,'SFBaselines and Measures'!$C$3:$V$33,29,FALSE)</f>
        <v>0</v>
      </c>
      <c r="T64" s="439"/>
      <c r="U64" s="439">
        <f ca="1">HLOOKUP($G64,'SFBaselines and Measures'!$C$3:$V$33,31,FALSE)</f>
        <v>3.7539004132047786</v>
      </c>
      <c r="V64" s="440">
        <f ca="1">HLOOKUP($G64,'SFBaselines and Measures'!$C$3:$V$33,9,FALSE)</f>
        <v>44.675524429925424</v>
      </c>
      <c r="W64" s="441"/>
      <c r="X64" s="436">
        <f ca="1">HLOOKUP($H64,'SFBaselines and Measures'!$C$2:$V$33,8,FALSE)</f>
        <v>3186.6458062683578</v>
      </c>
      <c r="Y64" s="437">
        <f ca="1">HLOOKUP($H64,'SFBaselines and Measures'!$C$2:$V$33,9,FALSE)</f>
        <v>951.49912384722427</v>
      </c>
      <c r="Z64" s="438">
        <f ca="1">HLOOKUP($H64,'SFBaselines and Measures'!$C$2:$V$33,26,FALSE)</f>
        <v>49.625920476513251</v>
      </c>
      <c r="AA64" s="438"/>
      <c r="AB64" s="438">
        <f ca="1">HLOOKUP($H64,'SFBaselines and Measures'!$C$2:$V$33,28,FALSE)</f>
        <v>65.002325772243466</v>
      </c>
      <c r="AC64" s="439">
        <f>HLOOKUP($H64,'SFBaselines and Measures'!$C$2:$V$33,30,FALSE)</f>
        <v>0</v>
      </c>
      <c r="AD64" s="439"/>
      <c r="AE64" s="439">
        <f ca="1">HLOOKUP($H64,'SFBaselines and Measures'!$C$2:$V$33,32,FALSE)</f>
        <v>2.9580391714755589</v>
      </c>
      <c r="AF64" s="440">
        <f ca="1">HLOOKUP($H64,'SFBaselines and Measures'!$C$2:$V$33,10,FALSE)</f>
        <v>37.439624333849331</v>
      </c>
      <c r="AG64" s="441"/>
      <c r="AH64" s="436">
        <f t="shared" ca="1" si="14"/>
        <v>615.87826015900373</v>
      </c>
      <c r="AI64" s="437">
        <f t="shared" ca="1" si="15"/>
        <v>126.26454884545808</v>
      </c>
      <c r="AJ64" s="438">
        <f t="shared" ca="1" si="16"/>
        <v>3.1516293884794351</v>
      </c>
      <c r="AK64" s="438"/>
      <c r="AL64" s="438">
        <f t="shared" ca="1" si="33"/>
        <v>17.488893386959106</v>
      </c>
      <c r="AM64" s="439">
        <f t="shared" si="33"/>
        <v>0</v>
      </c>
      <c r="AN64" s="439"/>
      <c r="AO64" s="439">
        <f t="shared" ca="1" si="34"/>
        <v>0.79586124172921968</v>
      </c>
      <c r="AP64" s="442">
        <f t="shared" ca="1" si="34"/>
        <v>7.2359000960760937</v>
      </c>
      <c r="AQ64" s="443"/>
      <c r="AR64" s="435" t="str">
        <f t="shared" si="18"/>
        <v>CEE Tier 1 Clothes Washer - Electric DHW, Gas Dryer - 54% ENERGY STAR Baseline</v>
      </c>
      <c r="AS64" s="437">
        <f t="shared" ca="1" si="19"/>
        <v>126.26454884545808</v>
      </c>
      <c r="AT64" s="438">
        <f t="shared" ca="1" si="20"/>
        <v>20.640522775438541</v>
      </c>
      <c r="AU64" s="439">
        <f t="shared" ca="1" si="21"/>
        <v>0</v>
      </c>
      <c r="AV64" s="439">
        <f t="shared" ca="1" si="22"/>
        <v>615.87826015900373</v>
      </c>
      <c r="AW64" s="439"/>
      <c r="AX64" s="438">
        <f t="shared" ca="1" si="11"/>
        <v>22.909507243058446</v>
      </c>
      <c r="AY64" s="438">
        <f t="shared" ca="1" si="23"/>
        <v>7.2359000960760937</v>
      </c>
      <c r="AZ64" s="443"/>
      <c r="BA64" s="433" t="str">
        <f t="shared" si="32"/>
        <v>CEE Tier 1 Clothes Washer - Electric DHW, Gas Dryer - 54% ENERGY STAR Baseline</v>
      </c>
      <c r="BB64" s="433" t="s">
        <v>25</v>
      </c>
      <c r="BC64" s="438">
        <f t="shared" ca="1" si="25"/>
        <v>20.640522775438541</v>
      </c>
      <c r="BD64" s="438">
        <f>SFAssumptions!$C$7</f>
        <v>14</v>
      </c>
      <c r="BE64" s="444">
        <f t="shared" ca="1" si="26"/>
        <v>126.26454884545808</v>
      </c>
      <c r="BF64" s="433"/>
      <c r="BG64" s="432" t="s">
        <v>157</v>
      </c>
      <c r="BH64" s="445">
        <f t="shared" ca="1" si="27"/>
        <v>7.2359000960760937</v>
      </c>
      <c r="BI64" s="433"/>
      <c r="BJ64" s="433"/>
      <c r="BK64" s="433"/>
      <c r="BL64" s="433"/>
      <c r="BM64" s="433"/>
      <c r="BN64" s="433"/>
      <c r="BO64" s="446">
        <f t="shared" ca="1" si="28"/>
        <v>0</v>
      </c>
      <c r="BP64" s="433" t="s">
        <v>158</v>
      </c>
    </row>
    <row r="65" spans="1:68" s="414" customFormat="1">
      <c r="A65" s="433">
        <f t="shared" si="29"/>
        <v>48</v>
      </c>
      <c r="B65" s="433">
        <f t="shared" si="3"/>
        <v>2</v>
      </c>
      <c r="C65" s="433">
        <f t="shared" si="4"/>
        <v>18</v>
      </c>
      <c r="D65" s="433">
        <f t="shared" si="5"/>
        <v>4</v>
      </c>
      <c r="E65" s="433">
        <f t="shared" si="6"/>
        <v>3</v>
      </c>
      <c r="F65" s="433"/>
      <c r="G65" s="433" t="str">
        <f t="shared" si="12"/>
        <v>Current Practice Baseline Using 54% ENERGY STAR Penetration</v>
      </c>
      <c r="H65" s="433" t="str">
        <f t="shared" si="13"/>
        <v>CEE Tier 1</v>
      </c>
      <c r="I65" s="433" t="str">
        <f t="shared" si="7"/>
        <v>Gas DHW, Electric Dryer</v>
      </c>
      <c r="J65" s="433" t="str">
        <f t="shared" si="8"/>
        <v>Gas DHW</v>
      </c>
      <c r="K65" s="433" t="str">
        <f t="shared" si="9"/>
        <v>Electric Dryer</v>
      </c>
      <c r="L65" s="434">
        <f>VLOOKUP(J65,SFAssumptions!$A$14:$B$16,2,FALSE)</f>
        <v>0</v>
      </c>
      <c r="M65" s="435">
        <f>VLOOKUP(K65,SFAssumptions!$A$18:$B$20,2,FALSE)</f>
        <v>1</v>
      </c>
      <c r="N65" s="436">
        <f ca="1">HLOOKUP($G65,'SFBaselines and Measures'!$C$3:$V$33,7,FALSE)</f>
        <v>3802.5240664273615</v>
      </c>
      <c r="O65" s="437">
        <f ca="1">HLOOKUP($G65,'SFBaselines and Measures'!$C$3:$V$33,8,FALSE)</f>
        <v>825.23457500176619</v>
      </c>
      <c r="P65" s="438">
        <f ca="1">HLOOKUP($G65,'SFBaselines and Measures'!$C$3:$V$33,25,FALSE)</f>
        <v>52.777549864992686</v>
      </c>
      <c r="Q65" s="438"/>
      <c r="R65" s="438">
        <f ca="1">HLOOKUP($G65,'SFBaselines and Measures'!$C$3:$V$33,27,FALSE)</f>
        <v>82.491219159202572</v>
      </c>
      <c r="S65" s="439">
        <f>HLOOKUP($G65,'SFBaselines and Measures'!$C$3:$V$33,29,FALSE)</f>
        <v>0</v>
      </c>
      <c r="T65" s="439"/>
      <c r="U65" s="439">
        <f ca="1">HLOOKUP($G65,'SFBaselines and Measures'!$C$3:$V$33,31,FALSE)</f>
        <v>3.7539004132047786</v>
      </c>
      <c r="V65" s="440">
        <f ca="1">HLOOKUP($G65,'SFBaselines and Measures'!$C$3:$V$33,9,FALSE)</f>
        <v>44.675524429925424</v>
      </c>
      <c r="W65" s="441"/>
      <c r="X65" s="436">
        <f ca="1">HLOOKUP($H65,'SFBaselines and Measures'!$C$2:$V$33,8,FALSE)</f>
        <v>3186.6458062683578</v>
      </c>
      <c r="Y65" s="437">
        <f ca="1">HLOOKUP($H65,'SFBaselines and Measures'!$C$2:$V$33,9,FALSE)</f>
        <v>951.49912384722427</v>
      </c>
      <c r="Z65" s="438">
        <f ca="1">HLOOKUP($H65,'SFBaselines and Measures'!$C$2:$V$33,26,FALSE)</f>
        <v>49.625920476513251</v>
      </c>
      <c r="AA65" s="438"/>
      <c r="AB65" s="438">
        <f ca="1">HLOOKUP($H65,'SFBaselines and Measures'!$C$2:$V$33,28,FALSE)</f>
        <v>65.002325772243466</v>
      </c>
      <c r="AC65" s="439">
        <f>HLOOKUP($H65,'SFBaselines and Measures'!$C$2:$V$33,30,FALSE)</f>
        <v>0</v>
      </c>
      <c r="AD65" s="439"/>
      <c r="AE65" s="439">
        <f ca="1">HLOOKUP($H65,'SFBaselines and Measures'!$C$2:$V$33,32,FALSE)</f>
        <v>2.9580391714755589</v>
      </c>
      <c r="AF65" s="440">
        <f ca="1">HLOOKUP($H65,'SFBaselines and Measures'!$C$2:$V$33,10,FALSE)</f>
        <v>37.439624333849331</v>
      </c>
      <c r="AG65" s="441"/>
      <c r="AH65" s="436">
        <f t="shared" ca="1" si="14"/>
        <v>615.87826015900373</v>
      </c>
      <c r="AI65" s="437">
        <f t="shared" ca="1" si="15"/>
        <v>126.26454884545808</v>
      </c>
      <c r="AJ65" s="438">
        <f t="shared" ca="1" si="16"/>
        <v>3.1516293884794351</v>
      </c>
      <c r="AK65" s="438"/>
      <c r="AL65" s="438">
        <f t="shared" ca="1" si="33"/>
        <v>17.488893386959106</v>
      </c>
      <c r="AM65" s="439">
        <f t="shared" si="33"/>
        <v>0</v>
      </c>
      <c r="AN65" s="439"/>
      <c r="AO65" s="439">
        <f t="shared" ca="1" si="34"/>
        <v>0.79586124172921968</v>
      </c>
      <c r="AP65" s="442">
        <f t="shared" ca="1" si="34"/>
        <v>7.2359000960760937</v>
      </c>
      <c r="AQ65" s="443"/>
      <c r="AR65" s="435" t="str">
        <f t="shared" si="18"/>
        <v>CEE Tier 1 Clothes Washer - Gas DHW, Electric Dryer - 54% ENERGY STAR Baseline</v>
      </c>
      <c r="AS65" s="437">
        <f t="shared" ca="1" si="19"/>
        <v>126.26454884545808</v>
      </c>
      <c r="AT65" s="438">
        <f t="shared" ca="1" si="20"/>
        <v>3.1516293884794351</v>
      </c>
      <c r="AU65" s="439">
        <f t="shared" ca="1" si="21"/>
        <v>0.79586124172921968</v>
      </c>
      <c r="AV65" s="439">
        <f t="shared" ca="1" si="22"/>
        <v>615.87826015900373</v>
      </c>
      <c r="AW65" s="439"/>
      <c r="AX65" s="438">
        <f t="shared" ca="1" si="11"/>
        <v>5.4206138560993402</v>
      </c>
      <c r="AY65" s="438">
        <f t="shared" ca="1" si="23"/>
        <v>7.2359000960760937</v>
      </c>
      <c r="AZ65" s="443"/>
      <c r="BA65" s="433" t="str">
        <f t="shared" si="32"/>
        <v>CEE Tier 1 Clothes Washer - Gas DHW, Electric Dryer - 54% ENERGY STAR Baseline</v>
      </c>
      <c r="BB65" s="433" t="s">
        <v>25</v>
      </c>
      <c r="BC65" s="438">
        <f t="shared" ca="1" si="25"/>
        <v>3.1516293884794351</v>
      </c>
      <c r="BD65" s="438">
        <f>SFAssumptions!$C$7</f>
        <v>14</v>
      </c>
      <c r="BE65" s="444">
        <f t="shared" ca="1" si="26"/>
        <v>126.26454884545808</v>
      </c>
      <c r="BF65" s="433"/>
      <c r="BG65" s="432" t="s">
        <v>157</v>
      </c>
      <c r="BH65" s="445">
        <f t="shared" ca="1" si="27"/>
        <v>7.2359000960760937</v>
      </c>
      <c r="BI65" s="433"/>
      <c r="BJ65" s="433"/>
      <c r="BK65" s="433"/>
      <c r="BL65" s="433"/>
      <c r="BM65" s="433"/>
      <c r="BN65" s="433"/>
      <c r="BO65" s="446">
        <f t="shared" ca="1" si="28"/>
        <v>0.79586124172921968</v>
      </c>
      <c r="BP65" s="433" t="s">
        <v>158</v>
      </c>
    </row>
    <row r="66" spans="1:68" s="414" customFormat="1">
      <c r="A66" s="433">
        <f t="shared" si="29"/>
        <v>49</v>
      </c>
      <c r="B66" s="433">
        <f t="shared" si="3"/>
        <v>2</v>
      </c>
      <c r="C66" s="433">
        <f t="shared" si="4"/>
        <v>19</v>
      </c>
      <c r="D66" s="433">
        <f t="shared" si="5"/>
        <v>4</v>
      </c>
      <c r="E66" s="433">
        <f t="shared" si="6"/>
        <v>4</v>
      </c>
      <c r="F66" s="433"/>
      <c r="G66" s="433" t="str">
        <f t="shared" si="12"/>
        <v>Current Practice Baseline Using 54% ENERGY STAR Penetration</v>
      </c>
      <c r="H66" s="433" t="str">
        <f t="shared" si="13"/>
        <v>CEE Tier 1</v>
      </c>
      <c r="I66" s="433" t="str">
        <f t="shared" si="7"/>
        <v>Gas DHW, Gas Dryer</v>
      </c>
      <c r="J66" s="433" t="str">
        <f t="shared" si="8"/>
        <v>Gas DHW</v>
      </c>
      <c r="K66" s="433" t="str">
        <f t="shared" si="9"/>
        <v>Gas Dryer</v>
      </c>
      <c r="L66" s="434">
        <f>VLOOKUP(J66,SFAssumptions!$A$14:$B$16,2,FALSE)</f>
        <v>0</v>
      </c>
      <c r="M66" s="435">
        <f>VLOOKUP(K66,SFAssumptions!$A$18:$B$20,2,FALSE)</f>
        <v>0</v>
      </c>
      <c r="N66" s="436">
        <f ca="1">HLOOKUP($G66,'SFBaselines and Measures'!$C$3:$V$33,7,FALSE)</f>
        <v>3802.5240664273615</v>
      </c>
      <c r="O66" s="437">
        <f ca="1">HLOOKUP($G66,'SFBaselines and Measures'!$C$3:$V$33,8,FALSE)</f>
        <v>825.23457500176619</v>
      </c>
      <c r="P66" s="438">
        <f ca="1">HLOOKUP($G66,'SFBaselines and Measures'!$C$3:$V$33,25,FALSE)</f>
        <v>52.777549864992686</v>
      </c>
      <c r="Q66" s="438"/>
      <c r="R66" s="438">
        <f ca="1">HLOOKUP($G66,'SFBaselines and Measures'!$C$3:$V$33,27,FALSE)</f>
        <v>82.491219159202572</v>
      </c>
      <c r="S66" s="439">
        <f>HLOOKUP($G66,'SFBaselines and Measures'!$C$3:$V$33,29,FALSE)</f>
        <v>0</v>
      </c>
      <c r="T66" s="439"/>
      <c r="U66" s="439">
        <f ca="1">HLOOKUP($G66,'SFBaselines and Measures'!$C$3:$V$33,31,FALSE)</f>
        <v>3.7539004132047786</v>
      </c>
      <c r="V66" s="440">
        <f ca="1">HLOOKUP($G66,'SFBaselines and Measures'!$C$3:$V$33,9,FALSE)</f>
        <v>44.675524429925424</v>
      </c>
      <c r="W66" s="441"/>
      <c r="X66" s="436">
        <f ca="1">HLOOKUP($H66,'SFBaselines and Measures'!$C$2:$V$33,8,FALSE)</f>
        <v>3186.6458062683578</v>
      </c>
      <c r="Y66" s="437">
        <f ca="1">HLOOKUP($H66,'SFBaselines and Measures'!$C$2:$V$33,9,FALSE)</f>
        <v>951.49912384722427</v>
      </c>
      <c r="Z66" s="438">
        <f ca="1">HLOOKUP($H66,'SFBaselines and Measures'!$C$2:$V$33,26,FALSE)</f>
        <v>49.625920476513251</v>
      </c>
      <c r="AA66" s="438"/>
      <c r="AB66" s="438">
        <f ca="1">HLOOKUP($H66,'SFBaselines and Measures'!$C$2:$V$33,28,FALSE)</f>
        <v>65.002325772243466</v>
      </c>
      <c r="AC66" s="439">
        <f>HLOOKUP($H66,'SFBaselines and Measures'!$C$2:$V$33,30,FALSE)</f>
        <v>0</v>
      </c>
      <c r="AD66" s="439"/>
      <c r="AE66" s="439">
        <f ca="1">HLOOKUP($H66,'SFBaselines and Measures'!$C$2:$V$33,32,FALSE)</f>
        <v>2.9580391714755589</v>
      </c>
      <c r="AF66" s="440">
        <f ca="1">HLOOKUP($H66,'SFBaselines and Measures'!$C$2:$V$33,10,FALSE)</f>
        <v>37.439624333849331</v>
      </c>
      <c r="AG66" s="441"/>
      <c r="AH66" s="436">
        <f t="shared" ca="1" si="14"/>
        <v>615.87826015900373</v>
      </c>
      <c r="AI66" s="437">
        <f t="shared" ca="1" si="15"/>
        <v>126.26454884545808</v>
      </c>
      <c r="AJ66" s="438">
        <f t="shared" ca="1" si="16"/>
        <v>3.1516293884794351</v>
      </c>
      <c r="AK66" s="438"/>
      <c r="AL66" s="438">
        <f t="shared" ca="1" si="33"/>
        <v>17.488893386959106</v>
      </c>
      <c r="AM66" s="439">
        <f t="shared" si="33"/>
        <v>0</v>
      </c>
      <c r="AN66" s="439"/>
      <c r="AO66" s="439">
        <f t="shared" ca="1" si="34"/>
        <v>0.79586124172921968</v>
      </c>
      <c r="AP66" s="442">
        <f t="shared" ca="1" si="34"/>
        <v>7.2359000960760937</v>
      </c>
      <c r="AQ66" s="443"/>
      <c r="AR66" s="435" t="str">
        <f t="shared" si="18"/>
        <v>CEE Tier 1 Clothes Washer - Gas DHW, Gas Dryer - 54% ENERGY STAR Baseline</v>
      </c>
      <c r="AS66" s="437">
        <f t="shared" ca="1" si="19"/>
        <v>126.26454884545808</v>
      </c>
      <c r="AT66" s="438">
        <f t="shared" ca="1" si="20"/>
        <v>3.1516293884794351</v>
      </c>
      <c r="AU66" s="439">
        <f t="shared" ca="1" si="21"/>
        <v>0.79586124172921968</v>
      </c>
      <c r="AV66" s="439">
        <f t="shared" ca="1" si="22"/>
        <v>615.87826015900373</v>
      </c>
      <c r="AW66" s="439"/>
      <c r="AX66" s="438">
        <f t="shared" ca="1" si="11"/>
        <v>5.4206138560993402</v>
      </c>
      <c r="AY66" s="438">
        <f t="shared" ca="1" si="23"/>
        <v>7.2359000960760937</v>
      </c>
      <c r="AZ66" s="443"/>
      <c r="BA66" s="433" t="str">
        <f t="shared" si="32"/>
        <v>CEE Tier 1 Clothes Washer - Gas DHW, Gas Dryer - 54% ENERGY STAR Baseline</v>
      </c>
      <c r="BB66" s="433" t="s">
        <v>25</v>
      </c>
      <c r="BC66" s="438">
        <f t="shared" ca="1" si="25"/>
        <v>3.1516293884794351</v>
      </c>
      <c r="BD66" s="438">
        <f>SFAssumptions!$C$7</f>
        <v>14</v>
      </c>
      <c r="BE66" s="444">
        <f t="shared" ca="1" si="26"/>
        <v>126.26454884545808</v>
      </c>
      <c r="BF66" s="433"/>
      <c r="BG66" s="432" t="s">
        <v>157</v>
      </c>
      <c r="BH66" s="445">
        <f t="shared" ca="1" si="27"/>
        <v>7.2359000960760937</v>
      </c>
      <c r="BI66" s="433"/>
      <c r="BJ66" s="433"/>
      <c r="BK66" s="433"/>
      <c r="BL66" s="433"/>
      <c r="BM66" s="433"/>
      <c r="BN66" s="433"/>
      <c r="BO66" s="446">
        <f t="shared" ca="1" si="28"/>
        <v>0.79586124172921968</v>
      </c>
      <c r="BP66" s="433" t="s">
        <v>158</v>
      </c>
    </row>
    <row r="67" spans="1:68" s="414" customFormat="1">
      <c r="A67" s="433">
        <f t="shared" si="29"/>
        <v>50</v>
      </c>
      <c r="B67" s="433">
        <f t="shared" si="3"/>
        <v>2</v>
      </c>
      <c r="C67" s="433">
        <f t="shared" si="4"/>
        <v>20</v>
      </c>
      <c r="D67" s="433">
        <f t="shared" si="5"/>
        <v>4</v>
      </c>
      <c r="E67" s="433">
        <f t="shared" si="6"/>
        <v>5</v>
      </c>
      <c r="F67" s="433"/>
      <c r="G67" s="433" t="str">
        <f t="shared" si="12"/>
        <v>Current Practice Baseline Using 54% ENERGY STAR Penetration</v>
      </c>
      <c r="H67" s="433" t="str">
        <f t="shared" si="13"/>
        <v>CEE Tier 1</v>
      </c>
      <c r="I67" s="433" t="str">
        <f t="shared" si="7"/>
        <v>Any DHW, Any Dryer</v>
      </c>
      <c r="J67" s="433" t="str">
        <f t="shared" si="8"/>
        <v>Any DHW</v>
      </c>
      <c r="K67" s="433" t="str">
        <f t="shared" si="9"/>
        <v>Any Dryer</v>
      </c>
      <c r="L67" s="434">
        <f>VLOOKUP(J67,SFAssumptions!$A$14:$B$16,2,FALSE)</f>
        <v>0.55200000000000005</v>
      </c>
      <c r="M67" s="435">
        <f>VLOOKUP(K67,SFAssumptions!$A$18:$B$20,2,FALSE)</f>
        <v>0.95</v>
      </c>
      <c r="N67" s="436">
        <f ca="1">HLOOKUP($G67,'SFBaselines and Measures'!$C$3:$V$33,7,FALSE)</f>
        <v>3802.5240664273615</v>
      </c>
      <c r="O67" s="437">
        <f ca="1">HLOOKUP($G67,'SFBaselines and Measures'!$C$3:$V$33,8,FALSE)</f>
        <v>825.23457500176619</v>
      </c>
      <c r="P67" s="438">
        <f ca="1">HLOOKUP($G67,'SFBaselines and Measures'!$C$3:$V$33,25,FALSE)</f>
        <v>52.777549864992686</v>
      </c>
      <c r="Q67" s="438"/>
      <c r="R67" s="438">
        <f ca="1">HLOOKUP($G67,'SFBaselines and Measures'!$C$3:$V$33,27,FALSE)</f>
        <v>82.491219159202572</v>
      </c>
      <c r="S67" s="439">
        <f>HLOOKUP($G67,'SFBaselines and Measures'!$C$3:$V$33,29,FALSE)</f>
        <v>0</v>
      </c>
      <c r="T67" s="439"/>
      <c r="U67" s="439">
        <f ca="1">HLOOKUP($G67,'SFBaselines and Measures'!$C$3:$V$33,31,FALSE)</f>
        <v>3.7539004132047786</v>
      </c>
      <c r="V67" s="440">
        <f ca="1">HLOOKUP($G67,'SFBaselines and Measures'!$C$3:$V$33,9,FALSE)</f>
        <v>44.675524429925424</v>
      </c>
      <c r="W67" s="441"/>
      <c r="X67" s="436">
        <f ca="1">HLOOKUP($H67,'SFBaselines and Measures'!$C$2:$V$33,8,FALSE)</f>
        <v>3186.6458062683578</v>
      </c>
      <c r="Y67" s="437">
        <f ca="1">HLOOKUP($H67,'SFBaselines and Measures'!$C$2:$V$33,9,FALSE)</f>
        <v>951.49912384722427</v>
      </c>
      <c r="Z67" s="438">
        <f ca="1">HLOOKUP($H67,'SFBaselines and Measures'!$C$2:$V$33,26,FALSE)</f>
        <v>49.625920476513251</v>
      </c>
      <c r="AA67" s="438"/>
      <c r="AB67" s="438">
        <f ca="1">HLOOKUP($H67,'SFBaselines and Measures'!$C$2:$V$33,28,FALSE)</f>
        <v>65.002325772243466</v>
      </c>
      <c r="AC67" s="439">
        <f>HLOOKUP($H67,'SFBaselines and Measures'!$C$2:$V$33,30,FALSE)</f>
        <v>0</v>
      </c>
      <c r="AD67" s="439"/>
      <c r="AE67" s="439">
        <f ca="1">HLOOKUP($H67,'SFBaselines and Measures'!$C$2:$V$33,32,FALSE)</f>
        <v>2.9580391714755589</v>
      </c>
      <c r="AF67" s="440">
        <f ca="1">HLOOKUP($H67,'SFBaselines and Measures'!$C$2:$V$33,10,FALSE)</f>
        <v>37.439624333849331</v>
      </c>
      <c r="AG67" s="441"/>
      <c r="AH67" s="436">
        <f t="shared" ca="1" si="14"/>
        <v>615.87826015900373</v>
      </c>
      <c r="AI67" s="437">
        <f t="shared" ca="1" si="15"/>
        <v>126.26454884545808</v>
      </c>
      <c r="AJ67" s="438">
        <f t="shared" ca="1" si="16"/>
        <v>3.1516293884794351</v>
      </c>
      <c r="AK67" s="438"/>
      <c r="AL67" s="438">
        <f t="shared" ca="1" si="33"/>
        <v>17.488893386959106</v>
      </c>
      <c r="AM67" s="439">
        <f t="shared" si="33"/>
        <v>0</v>
      </c>
      <c r="AN67" s="439"/>
      <c r="AO67" s="439">
        <f t="shared" ca="1" si="34"/>
        <v>0.79586124172921968</v>
      </c>
      <c r="AP67" s="442">
        <f t="shared" ca="1" si="34"/>
        <v>7.2359000960760937</v>
      </c>
      <c r="AQ67" s="443"/>
      <c r="AR67" s="435" t="str">
        <f t="shared" si="18"/>
        <v>CEE Tier 1 Clothes Washer - Any DHW, Any Dryer - 54% ENERGY STAR Baseline</v>
      </c>
      <c r="AS67" s="437">
        <f t="shared" ca="1" si="19"/>
        <v>126.26454884545808</v>
      </c>
      <c r="AT67" s="438">
        <f t="shared" ca="1" si="20"/>
        <v>12.805498538080862</v>
      </c>
      <c r="AU67" s="439">
        <f t="shared" ca="1" si="21"/>
        <v>0.35654583629469039</v>
      </c>
      <c r="AV67" s="439">
        <f t="shared" ca="1" si="22"/>
        <v>615.87826015900373</v>
      </c>
      <c r="AW67" s="439"/>
      <c r="AX67" s="438">
        <f t="shared" ca="1" si="11"/>
        <v>15.074483005700767</v>
      </c>
      <c r="AY67" s="438">
        <f t="shared" ca="1" si="23"/>
        <v>7.2359000960760937</v>
      </c>
      <c r="AZ67" s="443"/>
      <c r="BA67" s="433" t="str">
        <f t="shared" si="32"/>
        <v>CEE Tier 1 Clothes Washer - Any DHW, Any Dryer - 54% ENERGY STAR Baseline</v>
      </c>
      <c r="BB67" s="433" t="s">
        <v>25</v>
      </c>
      <c r="BC67" s="438">
        <f t="shared" ca="1" si="25"/>
        <v>12.805498538080862</v>
      </c>
      <c r="BD67" s="438">
        <f>SFAssumptions!$C$7</f>
        <v>14</v>
      </c>
      <c r="BE67" s="444">
        <f t="shared" ca="1" si="26"/>
        <v>126.26454884545808</v>
      </c>
      <c r="BF67" s="433"/>
      <c r="BG67" s="432" t="s">
        <v>157</v>
      </c>
      <c r="BH67" s="445">
        <f t="shared" ca="1" si="27"/>
        <v>7.2359000960760937</v>
      </c>
      <c r="BI67" s="433"/>
      <c r="BJ67" s="433"/>
      <c r="BK67" s="433"/>
      <c r="BL67" s="433"/>
      <c r="BM67" s="433"/>
      <c r="BN67" s="433"/>
      <c r="BO67" s="446">
        <f t="shared" ca="1" si="28"/>
        <v>0.35654583629469039</v>
      </c>
      <c r="BP67" s="433" t="s">
        <v>158</v>
      </c>
    </row>
    <row r="68" spans="1:68" s="414" customFormat="1">
      <c r="A68" s="433">
        <f t="shared" si="29"/>
        <v>51</v>
      </c>
      <c r="B68" s="433">
        <f t="shared" si="3"/>
        <v>2</v>
      </c>
      <c r="C68" s="433">
        <f t="shared" si="4"/>
        <v>21</v>
      </c>
      <c r="D68" s="433">
        <f t="shared" si="5"/>
        <v>5</v>
      </c>
      <c r="E68" s="433">
        <f t="shared" si="6"/>
        <v>1</v>
      </c>
      <c r="F68" s="433"/>
      <c r="G68" s="433" t="str">
        <f t="shared" si="12"/>
        <v>Current Practice Baseline Using 54% ENERGY STAR Penetration</v>
      </c>
      <c r="H68" s="433" t="str">
        <f t="shared" si="13"/>
        <v>CEE Tier 2</v>
      </c>
      <c r="I68" s="433" t="str">
        <f t="shared" si="7"/>
        <v>Electric DHW, Electric Dryer</v>
      </c>
      <c r="J68" s="433" t="str">
        <f t="shared" si="8"/>
        <v>Electric DHW</v>
      </c>
      <c r="K68" s="433" t="str">
        <f t="shared" si="9"/>
        <v>Electric Dryer</v>
      </c>
      <c r="L68" s="434">
        <f>VLOOKUP(J68,SFAssumptions!$A$14:$B$16,2,FALSE)</f>
        <v>1</v>
      </c>
      <c r="M68" s="435">
        <f>VLOOKUP(K68,SFAssumptions!$A$18:$B$20,2,FALSE)</f>
        <v>1</v>
      </c>
      <c r="N68" s="436">
        <f ca="1">HLOOKUP($G68,'SFBaselines and Measures'!$C$3:$V$33,7,FALSE)</f>
        <v>3802.5240664273615</v>
      </c>
      <c r="O68" s="437">
        <f ca="1">HLOOKUP($G68,'SFBaselines and Measures'!$C$3:$V$33,8,FALSE)</f>
        <v>825.23457500176619</v>
      </c>
      <c r="P68" s="438">
        <f ca="1">HLOOKUP($G68,'SFBaselines and Measures'!$C$3:$V$33,25,FALSE)</f>
        <v>52.777549864992686</v>
      </c>
      <c r="Q68" s="438"/>
      <c r="R68" s="438">
        <f ca="1">HLOOKUP($G68,'SFBaselines and Measures'!$C$3:$V$33,27,FALSE)</f>
        <v>82.491219159202572</v>
      </c>
      <c r="S68" s="439">
        <f>HLOOKUP($G68,'SFBaselines and Measures'!$C$3:$V$33,29,FALSE)</f>
        <v>0</v>
      </c>
      <c r="T68" s="439"/>
      <c r="U68" s="439">
        <f ca="1">HLOOKUP($G68,'SFBaselines and Measures'!$C$3:$V$33,31,FALSE)</f>
        <v>3.7539004132047786</v>
      </c>
      <c r="V68" s="440">
        <f ca="1">HLOOKUP($G68,'SFBaselines and Measures'!$C$3:$V$33,9,FALSE)</f>
        <v>44.675524429925424</v>
      </c>
      <c r="W68" s="441"/>
      <c r="X68" s="436">
        <f ca="1">HLOOKUP($H68,'SFBaselines and Measures'!$C$2:$V$33,8,FALSE)</f>
        <v>2899.206481928567</v>
      </c>
      <c r="Y68" s="437">
        <f ca="1">HLOOKUP($H68,'SFBaselines and Measures'!$C$2:$V$33,9,FALSE)</f>
        <v>1001.0825583529517</v>
      </c>
      <c r="Z68" s="438">
        <f ca="1">HLOOKUP($H68,'SFBaselines and Measures'!$C$2:$V$33,26,FALSE)</f>
        <v>47.173103200037019</v>
      </c>
      <c r="AA68" s="438"/>
      <c r="AB68" s="438">
        <f ca="1">HLOOKUP($H68,'SFBaselines and Measures'!$C$2:$V$33,28,FALSE)</f>
        <v>56.216023167259465</v>
      </c>
      <c r="AC68" s="439">
        <f>HLOOKUP($H68,'SFBaselines and Measures'!$C$2:$V$33,30,FALSE)</f>
        <v>0</v>
      </c>
      <c r="AD68" s="439"/>
      <c r="AE68" s="439">
        <f ca="1">HLOOKUP($H68,'SFBaselines and Measures'!$C$2:$V$33,32,FALSE)</f>
        <v>2.5582038275980876</v>
      </c>
      <c r="AF68" s="440">
        <f ca="1">HLOOKUP($H68,'SFBaselines and Measures'!$C$2:$V$33,10,FALSE)</f>
        <v>34.062524719926635</v>
      </c>
      <c r="AG68" s="441"/>
      <c r="AH68" s="436">
        <f t="shared" ca="1" si="14"/>
        <v>903.31758449879453</v>
      </c>
      <c r="AI68" s="437">
        <f t="shared" ca="1" si="15"/>
        <v>175.84798335118546</v>
      </c>
      <c r="AJ68" s="438">
        <f t="shared" ca="1" si="16"/>
        <v>5.6044466649556668</v>
      </c>
      <c r="AK68" s="438"/>
      <c r="AL68" s="438">
        <f t="shared" ca="1" si="33"/>
        <v>26.275195991943107</v>
      </c>
      <c r="AM68" s="439">
        <f t="shared" si="33"/>
        <v>0</v>
      </c>
      <c r="AN68" s="439"/>
      <c r="AO68" s="439">
        <f t="shared" ca="1" si="34"/>
        <v>1.195696585606691</v>
      </c>
      <c r="AP68" s="442">
        <f t="shared" ca="1" si="34"/>
        <v>10.612999709998789</v>
      </c>
      <c r="AQ68" s="443"/>
      <c r="AR68" s="435" t="str">
        <f t="shared" si="18"/>
        <v>CEE Tier 2 Clothes Washer - Electric DHW, Electric Dryer - 54% ENERGY STAR Baseline</v>
      </c>
      <c r="AS68" s="437">
        <f t="shared" ca="1" si="19"/>
        <v>175.84798335118546</v>
      </c>
      <c r="AT68" s="438">
        <f t="shared" ca="1" si="20"/>
        <v>31.879642656898774</v>
      </c>
      <c r="AU68" s="439">
        <f t="shared" ca="1" si="21"/>
        <v>0</v>
      </c>
      <c r="AV68" s="439">
        <f t="shared" ca="1" si="22"/>
        <v>903.31758449879453</v>
      </c>
      <c r="AW68" s="439"/>
      <c r="AX68" s="438">
        <f t="shared" ca="1" si="11"/>
        <v>35.207595113000309</v>
      </c>
      <c r="AY68" s="438">
        <f t="shared" ca="1" si="23"/>
        <v>10.612999709998789</v>
      </c>
      <c r="AZ68" s="443"/>
      <c r="BA68" s="433" t="str">
        <f t="shared" si="32"/>
        <v>CEE Tier 2 Clothes Washer - Electric DHW, Electric Dryer - 54% ENERGY STAR Baseline</v>
      </c>
      <c r="BB68" s="433" t="s">
        <v>25</v>
      </c>
      <c r="BC68" s="438">
        <f t="shared" ca="1" si="25"/>
        <v>31.879642656898774</v>
      </c>
      <c r="BD68" s="438">
        <f>SFAssumptions!$C$7</f>
        <v>14</v>
      </c>
      <c r="BE68" s="444">
        <f t="shared" ca="1" si="26"/>
        <v>175.84798335118546</v>
      </c>
      <c r="BF68" s="433"/>
      <c r="BG68" s="432" t="s">
        <v>157</v>
      </c>
      <c r="BH68" s="445">
        <f t="shared" ca="1" si="27"/>
        <v>10.612999709998789</v>
      </c>
      <c r="BI68" s="433"/>
      <c r="BJ68" s="433"/>
      <c r="BK68" s="433"/>
      <c r="BL68" s="433"/>
      <c r="BM68" s="433"/>
      <c r="BN68" s="433"/>
      <c r="BO68" s="446">
        <f t="shared" ca="1" si="28"/>
        <v>0</v>
      </c>
      <c r="BP68" s="433" t="s">
        <v>158</v>
      </c>
    </row>
    <row r="69" spans="1:68" s="414" customFormat="1">
      <c r="A69" s="433">
        <f t="shared" si="29"/>
        <v>52</v>
      </c>
      <c r="B69" s="433">
        <f t="shared" si="3"/>
        <v>2</v>
      </c>
      <c r="C69" s="433">
        <f t="shared" si="4"/>
        <v>22</v>
      </c>
      <c r="D69" s="433">
        <f t="shared" si="5"/>
        <v>5</v>
      </c>
      <c r="E69" s="433">
        <f t="shared" si="6"/>
        <v>2</v>
      </c>
      <c r="F69" s="433"/>
      <c r="G69" s="433" t="str">
        <f t="shared" si="12"/>
        <v>Current Practice Baseline Using 54% ENERGY STAR Penetration</v>
      </c>
      <c r="H69" s="433" t="str">
        <f t="shared" si="13"/>
        <v>CEE Tier 2</v>
      </c>
      <c r="I69" s="433" t="str">
        <f t="shared" si="7"/>
        <v>Electric DHW, Gas Dryer</v>
      </c>
      <c r="J69" s="433" t="str">
        <f t="shared" si="8"/>
        <v>Electric DHW</v>
      </c>
      <c r="K69" s="433" t="str">
        <f t="shared" si="9"/>
        <v>Gas Dryer</v>
      </c>
      <c r="L69" s="434">
        <f>VLOOKUP(J69,SFAssumptions!$A$14:$B$16,2,FALSE)</f>
        <v>1</v>
      </c>
      <c r="M69" s="435">
        <f>VLOOKUP(K69,SFAssumptions!$A$18:$B$20,2,FALSE)</f>
        <v>0</v>
      </c>
      <c r="N69" s="436">
        <f ca="1">HLOOKUP($G69,'SFBaselines and Measures'!$C$3:$V$33,7,FALSE)</f>
        <v>3802.5240664273615</v>
      </c>
      <c r="O69" s="437">
        <f ca="1">HLOOKUP($G69,'SFBaselines and Measures'!$C$3:$V$33,8,FALSE)</f>
        <v>825.23457500176619</v>
      </c>
      <c r="P69" s="438">
        <f ca="1">HLOOKUP($G69,'SFBaselines and Measures'!$C$3:$V$33,25,FALSE)</f>
        <v>52.777549864992686</v>
      </c>
      <c r="Q69" s="438"/>
      <c r="R69" s="438">
        <f ca="1">HLOOKUP($G69,'SFBaselines and Measures'!$C$3:$V$33,27,FALSE)</f>
        <v>82.491219159202572</v>
      </c>
      <c r="S69" s="439">
        <f>HLOOKUP($G69,'SFBaselines and Measures'!$C$3:$V$33,29,FALSE)</f>
        <v>0</v>
      </c>
      <c r="T69" s="439"/>
      <c r="U69" s="439">
        <f ca="1">HLOOKUP($G69,'SFBaselines and Measures'!$C$3:$V$33,31,FALSE)</f>
        <v>3.7539004132047786</v>
      </c>
      <c r="V69" s="440">
        <f ca="1">HLOOKUP($G69,'SFBaselines and Measures'!$C$3:$V$33,9,FALSE)</f>
        <v>44.675524429925424</v>
      </c>
      <c r="W69" s="441"/>
      <c r="X69" s="436">
        <f ca="1">HLOOKUP($H69,'SFBaselines and Measures'!$C$2:$V$33,8,FALSE)</f>
        <v>2899.206481928567</v>
      </c>
      <c r="Y69" s="437">
        <f ca="1">HLOOKUP($H69,'SFBaselines and Measures'!$C$2:$V$33,9,FALSE)</f>
        <v>1001.0825583529517</v>
      </c>
      <c r="Z69" s="438">
        <f ca="1">HLOOKUP($H69,'SFBaselines and Measures'!$C$2:$V$33,26,FALSE)</f>
        <v>47.173103200037019</v>
      </c>
      <c r="AA69" s="438"/>
      <c r="AB69" s="438">
        <f ca="1">HLOOKUP($H69,'SFBaselines and Measures'!$C$2:$V$33,28,FALSE)</f>
        <v>56.216023167259465</v>
      </c>
      <c r="AC69" s="439">
        <f>HLOOKUP($H69,'SFBaselines and Measures'!$C$2:$V$33,30,FALSE)</f>
        <v>0</v>
      </c>
      <c r="AD69" s="439"/>
      <c r="AE69" s="439">
        <f ca="1">HLOOKUP($H69,'SFBaselines and Measures'!$C$2:$V$33,32,FALSE)</f>
        <v>2.5582038275980876</v>
      </c>
      <c r="AF69" s="440">
        <f ca="1">HLOOKUP($H69,'SFBaselines and Measures'!$C$2:$V$33,10,FALSE)</f>
        <v>34.062524719926635</v>
      </c>
      <c r="AG69" s="441"/>
      <c r="AH69" s="436">
        <f t="shared" ca="1" si="14"/>
        <v>903.31758449879453</v>
      </c>
      <c r="AI69" s="437">
        <f t="shared" ca="1" si="15"/>
        <v>175.84798335118546</v>
      </c>
      <c r="AJ69" s="438">
        <f t="shared" ca="1" si="16"/>
        <v>5.6044466649556668</v>
      </c>
      <c r="AK69" s="438"/>
      <c r="AL69" s="438">
        <f t="shared" ca="1" si="33"/>
        <v>26.275195991943107</v>
      </c>
      <c r="AM69" s="439">
        <f t="shared" si="33"/>
        <v>0</v>
      </c>
      <c r="AN69" s="439"/>
      <c r="AO69" s="439">
        <f t="shared" ca="1" si="34"/>
        <v>1.195696585606691</v>
      </c>
      <c r="AP69" s="442">
        <f t="shared" ca="1" si="34"/>
        <v>10.612999709998789</v>
      </c>
      <c r="AQ69" s="443"/>
      <c r="AR69" s="435" t="str">
        <f t="shared" si="18"/>
        <v>CEE Tier 2 Clothes Washer - Electric DHW, Gas Dryer - 54% ENERGY STAR Baseline</v>
      </c>
      <c r="AS69" s="437">
        <f t="shared" ca="1" si="19"/>
        <v>175.84798335118546</v>
      </c>
      <c r="AT69" s="438">
        <f t="shared" ca="1" si="20"/>
        <v>31.879642656898774</v>
      </c>
      <c r="AU69" s="439">
        <f t="shared" ca="1" si="21"/>
        <v>0</v>
      </c>
      <c r="AV69" s="439">
        <f t="shared" ca="1" si="22"/>
        <v>903.31758449879453</v>
      </c>
      <c r="AW69" s="439"/>
      <c r="AX69" s="438">
        <f t="shared" ca="1" si="11"/>
        <v>35.207595113000309</v>
      </c>
      <c r="AY69" s="438">
        <f t="shared" ca="1" si="23"/>
        <v>10.612999709998789</v>
      </c>
      <c r="AZ69" s="443"/>
      <c r="BA69" s="433" t="str">
        <f t="shared" si="32"/>
        <v>CEE Tier 2 Clothes Washer - Electric DHW, Gas Dryer - 54% ENERGY STAR Baseline</v>
      </c>
      <c r="BB69" s="433" t="s">
        <v>25</v>
      </c>
      <c r="BC69" s="438">
        <f t="shared" ca="1" si="25"/>
        <v>31.879642656898774</v>
      </c>
      <c r="BD69" s="438">
        <f>SFAssumptions!$C$7</f>
        <v>14</v>
      </c>
      <c r="BE69" s="444">
        <f t="shared" ca="1" si="26"/>
        <v>175.84798335118546</v>
      </c>
      <c r="BF69" s="433"/>
      <c r="BG69" s="432" t="s">
        <v>157</v>
      </c>
      <c r="BH69" s="445">
        <f t="shared" ca="1" si="27"/>
        <v>10.612999709998789</v>
      </c>
      <c r="BI69" s="433"/>
      <c r="BJ69" s="433"/>
      <c r="BK69" s="433"/>
      <c r="BL69" s="433"/>
      <c r="BM69" s="433"/>
      <c r="BN69" s="433"/>
      <c r="BO69" s="446">
        <f t="shared" ca="1" si="28"/>
        <v>0</v>
      </c>
      <c r="BP69" s="433" t="s">
        <v>158</v>
      </c>
    </row>
    <row r="70" spans="1:68" s="414" customFormat="1">
      <c r="A70" s="433">
        <f t="shared" si="29"/>
        <v>53</v>
      </c>
      <c r="B70" s="433">
        <f t="shared" si="3"/>
        <v>2</v>
      </c>
      <c r="C70" s="433">
        <f t="shared" si="4"/>
        <v>23</v>
      </c>
      <c r="D70" s="433">
        <f t="shared" si="5"/>
        <v>5</v>
      </c>
      <c r="E70" s="433">
        <f t="shared" si="6"/>
        <v>3</v>
      </c>
      <c r="F70" s="433"/>
      <c r="G70" s="433" t="str">
        <f t="shared" si="12"/>
        <v>Current Practice Baseline Using 54% ENERGY STAR Penetration</v>
      </c>
      <c r="H70" s="433" t="str">
        <f t="shared" si="13"/>
        <v>CEE Tier 2</v>
      </c>
      <c r="I70" s="433" t="str">
        <f t="shared" si="7"/>
        <v>Gas DHW, Electric Dryer</v>
      </c>
      <c r="J70" s="433" t="str">
        <f t="shared" si="8"/>
        <v>Gas DHW</v>
      </c>
      <c r="K70" s="433" t="str">
        <f t="shared" si="9"/>
        <v>Electric Dryer</v>
      </c>
      <c r="L70" s="434">
        <f>VLOOKUP(J70,SFAssumptions!$A$14:$B$16,2,FALSE)</f>
        <v>0</v>
      </c>
      <c r="M70" s="435">
        <f>VLOOKUP(K70,SFAssumptions!$A$18:$B$20,2,FALSE)</f>
        <v>1</v>
      </c>
      <c r="N70" s="436">
        <f ca="1">HLOOKUP($G70,'SFBaselines and Measures'!$C$3:$V$33,7,FALSE)</f>
        <v>3802.5240664273615</v>
      </c>
      <c r="O70" s="437">
        <f ca="1">HLOOKUP($G70,'SFBaselines and Measures'!$C$3:$V$33,8,FALSE)</f>
        <v>825.23457500176619</v>
      </c>
      <c r="P70" s="438">
        <f ca="1">HLOOKUP($G70,'SFBaselines and Measures'!$C$3:$V$33,25,FALSE)</f>
        <v>52.777549864992686</v>
      </c>
      <c r="Q70" s="438"/>
      <c r="R70" s="438">
        <f ca="1">HLOOKUP($G70,'SFBaselines and Measures'!$C$3:$V$33,27,FALSE)</f>
        <v>82.491219159202572</v>
      </c>
      <c r="S70" s="439">
        <f>HLOOKUP($G70,'SFBaselines and Measures'!$C$3:$V$33,29,FALSE)</f>
        <v>0</v>
      </c>
      <c r="T70" s="439"/>
      <c r="U70" s="439">
        <f ca="1">HLOOKUP($G70,'SFBaselines and Measures'!$C$3:$V$33,31,FALSE)</f>
        <v>3.7539004132047786</v>
      </c>
      <c r="V70" s="440">
        <f ca="1">HLOOKUP($G70,'SFBaselines and Measures'!$C$3:$V$33,9,FALSE)</f>
        <v>44.675524429925424</v>
      </c>
      <c r="W70" s="441"/>
      <c r="X70" s="436">
        <f ca="1">HLOOKUP($H70,'SFBaselines and Measures'!$C$2:$V$33,8,FALSE)</f>
        <v>2899.206481928567</v>
      </c>
      <c r="Y70" s="437">
        <f ca="1">HLOOKUP($H70,'SFBaselines and Measures'!$C$2:$V$33,9,FALSE)</f>
        <v>1001.0825583529517</v>
      </c>
      <c r="Z70" s="438">
        <f ca="1">HLOOKUP($H70,'SFBaselines and Measures'!$C$2:$V$33,26,FALSE)</f>
        <v>47.173103200037019</v>
      </c>
      <c r="AA70" s="438"/>
      <c r="AB70" s="438">
        <f ca="1">HLOOKUP($H70,'SFBaselines and Measures'!$C$2:$V$33,28,FALSE)</f>
        <v>56.216023167259465</v>
      </c>
      <c r="AC70" s="439">
        <f>HLOOKUP($H70,'SFBaselines and Measures'!$C$2:$V$33,30,FALSE)</f>
        <v>0</v>
      </c>
      <c r="AD70" s="439"/>
      <c r="AE70" s="439">
        <f ca="1">HLOOKUP($H70,'SFBaselines and Measures'!$C$2:$V$33,32,FALSE)</f>
        <v>2.5582038275980876</v>
      </c>
      <c r="AF70" s="440">
        <f ca="1">HLOOKUP($H70,'SFBaselines and Measures'!$C$2:$V$33,10,FALSE)</f>
        <v>34.062524719926635</v>
      </c>
      <c r="AG70" s="441"/>
      <c r="AH70" s="436">
        <f t="shared" ca="1" si="14"/>
        <v>903.31758449879453</v>
      </c>
      <c r="AI70" s="437">
        <f t="shared" ca="1" si="15"/>
        <v>175.84798335118546</v>
      </c>
      <c r="AJ70" s="438">
        <f t="shared" ca="1" si="16"/>
        <v>5.6044466649556668</v>
      </c>
      <c r="AK70" s="438"/>
      <c r="AL70" s="438">
        <f t="shared" ca="1" si="33"/>
        <v>26.275195991943107</v>
      </c>
      <c r="AM70" s="439">
        <f t="shared" si="33"/>
        <v>0</v>
      </c>
      <c r="AN70" s="439"/>
      <c r="AO70" s="439">
        <f t="shared" ca="1" si="34"/>
        <v>1.195696585606691</v>
      </c>
      <c r="AP70" s="442">
        <f t="shared" ca="1" si="34"/>
        <v>10.612999709998789</v>
      </c>
      <c r="AQ70" s="443"/>
      <c r="AR70" s="435" t="str">
        <f t="shared" si="18"/>
        <v>CEE Tier 2 Clothes Washer - Gas DHW, Electric Dryer - 54% ENERGY STAR Baseline</v>
      </c>
      <c r="AS70" s="437">
        <f t="shared" ca="1" si="19"/>
        <v>175.84798335118546</v>
      </c>
      <c r="AT70" s="438">
        <f t="shared" ca="1" si="20"/>
        <v>5.6044466649556668</v>
      </c>
      <c r="AU70" s="439">
        <f t="shared" ca="1" si="21"/>
        <v>1.195696585606691</v>
      </c>
      <c r="AV70" s="439">
        <f t="shared" ca="1" si="22"/>
        <v>903.31758449879453</v>
      </c>
      <c r="AW70" s="439"/>
      <c r="AX70" s="438">
        <f t="shared" ca="1" si="11"/>
        <v>8.9323991210572</v>
      </c>
      <c r="AY70" s="438">
        <f t="shared" ca="1" si="23"/>
        <v>10.612999709998789</v>
      </c>
      <c r="AZ70" s="443"/>
      <c r="BA70" s="433" t="str">
        <f t="shared" si="32"/>
        <v>CEE Tier 2 Clothes Washer - Gas DHW, Electric Dryer - 54% ENERGY STAR Baseline</v>
      </c>
      <c r="BB70" s="433" t="s">
        <v>25</v>
      </c>
      <c r="BC70" s="438">
        <f t="shared" ca="1" si="25"/>
        <v>5.6044466649556668</v>
      </c>
      <c r="BD70" s="438">
        <f>SFAssumptions!$C$7</f>
        <v>14</v>
      </c>
      <c r="BE70" s="444">
        <f t="shared" ca="1" si="26"/>
        <v>175.84798335118546</v>
      </c>
      <c r="BF70" s="433"/>
      <c r="BG70" s="432" t="s">
        <v>157</v>
      </c>
      <c r="BH70" s="445">
        <f t="shared" ca="1" si="27"/>
        <v>10.612999709998789</v>
      </c>
      <c r="BI70" s="433"/>
      <c r="BJ70" s="433"/>
      <c r="BK70" s="433"/>
      <c r="BL70" s="433"/>
      <c r="BM70" s="433"/>
      <c r="BN70" s="433"/>
      <c r="BO70" s="446">
        <f t="shared" ca="1" si="28"/>
        <v>1.195696585606691</v>
      </c>
      <c r="BP70" s="433" t="s">
        <v>158</v>
      </c>
    </row>
    <row r="71" spans="1:68" s="414" customFormat="1">
      <c r="A71" s="433">
        <f t="shared" si="29"/>
        <v>54</v>
      </c>
      <c r="B71" s="433">
        <f t="shared" si="3"/>
        <v>2</v>
      </c>
      <c r="C71" s="433">
        <f t="shared" si="4"/>
        <v>24</v>
      </c>
      <c r="D71" s="433">
        <f t="shared" si="5"/>
        <v>5</v>
      </c>
      <c r="E71" s="433">
        <f t="shared" si="6"/>
        <v>4</v>
      </c>
      <c r="F71" s="433"/>
      <c r="G71" s="433" t="str">
        <f t="shared" si="12"/>
        <v>Current Practice Baseline Using 54% ENERGY STAR Penetration</v>
      </c>
      <c r="H71" s="433" t="str">
        <f t="shared" si="13"/>
        <v>CEE Tier 2</v>
      </c>
      <c r="I71" s="433" t="str">
        <f t="shared" si="7"/>
        <v>Gas DHW, Gas Dryer</v>
      </c>
      <c r="J71" s="433" t="str">
        <f t="shared" si="8"/>
        <v>Gas DHW</v>
      </c>
      <c r="K71" s="433" t="str">
        <f t="shared" si="9"/>
        <v>Gas Dryer</v>
      </c>
      <c r="L71" s="434">
        <f>VLOOKUP(J71,SFAssumptions!$A$14:$B$16,2,FALSE)</f>
        <v>0</v>
      </c>
      <c r="M71" s="435">
        <f>VLOOKUP(K71,SFAssumptions!$A$18:$B$20,2,FALSE)</f>
        <v>0</v>
      </c>
      <c r="N71" s="436">
        <f ca="1">HLOOKUP($G71,'SFBaselines and Measures'!$C$3:$V$33,7,FALSE)</f>
        <v>3802.5240664273615</v>
      </c>
      <c r="O71" s="437">
        <f ca="1">HLOOKUP($G71,'SFBaselines and Measures'!$C$3:$V$33,8,FALSE)</f>
        <v>825.23457500176619</v>
      </c>
      <c r="P71" s="438">
        <f ca="1">HLOOKUP($G71,'SFBaselines and Measures'!$C$3:$V$33,25,FALSE)</f>
        <v>52.777549864992686</v>
      </c>
      <c r="Q71" s="438"/>
      <c r="R71" s="438">
        <f ca="1">HLOOKUP($G71,'SFBaselines and Measures'!$C$3:$V$33,27,FALSE)</f>
        <v>82.491219159202572</v>
      </c>
      <c r="S71" s="439">
        <f>HLOOKUP($G71,'SFBaselines and Measures'!$C$3:$V$33,29,FALSE)</f>
        <v>0</v>
      </c>
      <c r="T71" s="439"/>
      <c r="U71" s="439">
        <f ca="1">HLOOKUP($G71,'SFBaselines and Measures'!$C$3:$V$33,31,FALSE)</f>
        <v>3.7539004132047786</v>
      </c>
      <c r="V71" s="440">
        <f ca="1">HLOOKUP($G71,'SFBaselines and Measures'!$C$3:$V$33,9,FALSE)</f>
        <v>44.675524429925424</v>
      </c>
      <c r="W71" s="441"/>
      <c r="X71" s="436">
        <f ca="1">HLOOKUP($H71,'SFBaselines and Measures'!$C$2:$V$33,8,FALSE)</f>
        <v>2899.206481928567</v>
      </c>
      <c r="Y71" s="437">
        <f ca="1">HLOOKUP($H71,'SFBaselines and Measures'!$C$2:$V$33,9,FALSE)</f>
        <v>1001.0825583529517</v>
      </c>
      <c r="Z71" s="438">
        <f ca="1">HLOOKUP($H71,'SFBaselines and Measures'!$C$2:$V$33,26,FALSE)</f>
        <v>47.173103200037019</v>
      </c>
      <c r="AA71" s="438"/>
      <c r="AB71" s="438">
        <f ca="1">HLOOKUP($H71,'SFBaselines and Measures'!$C$2:$V$33,28,FALSE)</f>
        <v>56.216023167259465</v>
      </c>
      <c r="AC71" s="439">
        <f>HLOOKUP($H71,'SFBaselines and Measures'!$C$2:$V$33,30,FALSE)</f>
        <v>0</v>
      </c>
      <c r="AD71" s="439"/>
      <c r="AE71" s="439">
        <f ca="1">HLOOKUP($H71,'SFBaselines and Measures'!$C$2:$V$33,32,FALSE)</f>
        <v>2.5582038275980876</v>
      </c>
      <c r="AF71" s="440">
        <f ca="1">HLOOKUP($H71,'SFBaselines and Measures'!$C$2:$V$33,10,FALSE)</f>
        <v>34.062524719926635</v>
      </c>
      <c r="AG71" s="441"/>
      <c r="AH71" s="436">
        <f t="shared" ca="1" si="14"/>
        <v>903.31758449879453</v>
      </c>
      <c r="AI71" s="437">
        <f t="shared" ca="1" si="15"/>
        <v>175.84798335118546</v>
      </c>
      <c r="AJ71" s="438">
        <f t="shared" ca="1" si="16"/>
        <v>5.6044466649556668</v>
      </c>
      <c r="AK71" s="438"/>
      <c r="AL71" s="438">
        <f t="shared" ca="1" si="33"/>
        <v>26.275195991943107</v>
      </c>
      <c r="AM71" s="439">
        <f t="shared" si="33"/>
        <v>0</v>
      </c>
      <c r="AN71" s="439"/>
      <c r="AO71" s="439">
        <f t="shared" ca="1" si="34"/>
        <v>1.195696585606691</v>
      </c>
      <c r="AP71" s="442">
        <f t="shared" ca="1" si="34"/>
        <v>10.612999709998789</v>
      </c>
      <c r="AQ71" s="443"/>
      <c r="AR71" s="435" t="str">
        <f t="shared" si="18"/>
        <v>CEE Tier 2 Clothes Washer - Gas DHW, Gas Dryer - 54% ENERGY STAR Baseline</v>
      </c>
      <c r="AS71" s="437">
        <f t="shared" ca="1" si="19"/>
        <v>175.84798335118546</v>
      </c>
      <c r="AT71" s="438">
        <f t="shared" ca="1" si="20"/>
        <v>5.6044466649556668</v>
      </c>
      <c r="AU71" s="439">
        <f t="shared" ca="1" si="21"/>
        <v>1.195696585606691</v>
      </c>
      <c r="AV71" s="439">
        <f t="shared" ca="1" si="22"/>
        <v>903.31758449879453</v>
      </c>
      <c r="AW71" s="439"/>
      <c r="AX71" s="438">
        <f t="shared" ca="1" si="11"/>
        <v>8.9323991210572</v>
      </c>
      <c r="AY71" s="438">
        <f t="shared" ca="1" si="23"/>
        <v>10.612999709998789</v>
      </c>
      <c r="AZ71" s="443"/>
      <c r="BA71" s="433" t="str">
        <f t="shared" si="32"/>
        <v>CEE Tier 2 Clothes Washer - Gas DHW, Gas Dryer - 54% ENERGY STAR Baseline</v>
      </c>
      <c r="BB71" s="433" t="s">
        <v>25</v>
      </c>
      <c r="BC71" s="438">
        <f t="shared" ca="1" si="25"/>
        <v>5.6044466649556668</v>
      </c>
      <c r="BD71" s="438">
        <f>SFAssumptions!$C$7</f>
        <v>14</v>
      </c>
      <c r="BE71" s="444">
        <f t="shared" ca="1" si="26"/>
        <v>175.84798335118546</v>
      </c>
      <c r="BF71" s="433"/>
      <c r="BG71" s="432" t="s">
        <v>157</v>
      </c>
      <c r="BH71" s="445">
        <f t="shared" ca="1" si="27"/>
        <v>10.612999709998789</v>
      </c>
      <c r="BI71" s="433"/>
      <c r="BJ71" s="433"/>
      <c r="BK71" s="433"/>
      <c r="BL71" s="433"/>
      <c r="BM71" s="433"/>
      <c r="BN71" s="433"/>
      <c r="BO71" s="446">
        <f t="shared" ca="1" si="28"/>
        <v>1.195696585606691</v>
      </c>
      <c r="BP71" s="433" t="s">
        <v>158</v>
      </c>
    </row>
    <row r="72" spans="1:68" s="414" customFormat="1">
      <c r="A72" s="433">
        <f t="shared" si="29"/>
        <v>55</v>
      </c>
      <c r="B72" s="433">
        <f t="shared" si="3"/>
        <v>2</v>
      </c>
      <c r="C72" s="433">
        <f t="shared" si="4"/>
        <v>25</v>
      </c>
      <c r="D72" s="433">
        <f t="shared" si="5"/>
        <v>5</v>
      </c>
      <c r="E72" s="433">
        <f t="shared" si="6"/>
        <v>5</v>
      </c>
      <c r="F72" s="433"/>
      <c r="G72" s="433" t="str">
        <f t="shared" si="12"/>
        <v>Current Practice Baseline Using 54% ENERGY STAR Penetration</v>
      </c>
      <c r="H72" s="433" t="str">
        <f t="shared" si="13"/>
        <v>CEE Tier 2</v>
      </c>
      <c r="I72" s="433" t="str">
        <f t="shared" si="7"/>
        <v>Any DHW, Any Dryer</v>
      </c>
      <c r="J72" s="433" t="str">
        <f t="shared" si="8"/>
        <v>Any DHW</v>
      </c>
      <c r="K72" s="433" t="str">
        <f t="shared" si="9"/>
        <v>Any Dryer</v>
      </c>
      <c r="L72" s="434">
        <f>VLOOKUP(J72,SFAssumptions!$A$14:$B$16,2,FALSE)</f>
        <v>0.55200000000000005</v>
      </c>
      <c r="M72" s="435">
        <f>VLOOKUP(K72,SFAssumptions!$A$18:$B$20,2,FALSE)</f>
        <v>0.95</v>
      </c>
      <c r="N72" s="436">
        <f ca="1">HLOOKUP($G72,'SFBaselines and Measures'!$C$3:$V$33,7,FALSE)</f>
        <v>3802.5240664273615</v>
      </c>
      <c r="O72" s="437">
        <f ca="1">HLOOKUP($G72,'SFBaselines and Measures'!$C$3:$V$33,8,FALSE)</f>
        <v>825.23457500176619</v>
      </c>
      <c r="P72" s="438">
        <f ca="1">HLOOKUP($G72,'SFBaselines and Measures'!$C$3:$V$33,25,FALSE)</f>
        <v>52.777549864992686</v>
      </c>
      <c r="Q72" s="438"/>
      <c r="R72" s="438">
        <f ca="1">HLOOKUP($G72,'SFBaselines and Measures'!$C$3:$V$33,27,FALSE)</f>
        <v>82.491219159202572</v>
      </c>
      <c r="S72" s="439">
        <f>HLOOKUP($G72,'SFBaselines and Measures'!$C$3:$V$33,29,FALSE)</f>
        <v>0</v>
      </c>
      <c r="T72" s="439"/>
      <c r="U72" s="439">
        <f ca="1">HLOOKUP($G72,'SFBaselines and Measures'!$C$3:$V$33,31,FALSE)</f>
        <v>3.7539004132047786</v>
      </c>
      <c r="V72" s="440">
        <f ca="1">HLOOKUP($G72,'SFBaselines and Measures'!$C$3:$V$33,9,FALSE)</f>
        <v>44.675524429925424</v>
      </c>
      <c r="W72" s="441"/>
      <c r="X72" s="436">
        <f ca="1">HLOOKUP($H72,'SFBaselines and Measures'!$C$2:$V$33,8,FALSE)</f>
        <v>2899.206481928567</v>
      </c>
      <c r="Y72" s="437">
        <f ca="1">HLOOKUP($H72,'SFBaselines and Measures'!$C$2:$V$33,9,FALSE)</f>
        <v>1001.0825583529517</v>
      </c>
      <c r="Z72" s="438">
        <f ca="1">HLOOKUP($H72,'SFBaselines and Measures'!$C$2:$V$33,26,FALSE)</f>
        <v>47.173103200037019</v>
      </c>
      <c r="AA72" s="438"/>
      <c r="AB72" s="438">
        <f ca="1">HLOOKUP($H72,'SFBaselines and Measures'!$C$2:$V$33,28,FALSE)</f>
        <v>56.216023167259465</v>
      </c>
      <c r="AC72" s="439">
        <f>HLOOKUP($H72,'SFBaselines and Measures'!$C$2:$V$33,30,FALSE)</f>
        <v>0</v>
      </c>
      <c r="AD72" s="439"/>
      <c r="AE72" s="439">
        <f ca="1">HLOOKUP($H72,'SFBaselines and Measures'!$C$2:$V$33,32,FALSE)</f>
        <v>2.5582038275980876</v>
      </c>
      <c r="AF72" s="440">
        <f ca="1">HLOOKUP($H72,'SFBaselines and Measures'!$C$2:$V$33,10,FALSE)</f>
        <v>34.062524719926635</v>
      </c>
      <c r="AG72" s="441"/>
      <c r="AH72" s="436">
        <f t="shared" ca="1" si="14"/>
        <v>903.31758449879453</v>
      </c>
      <c r="AI72" s="437">
        <f t="shared" ca="1" si="15"/>
        <v>175.84798335118546</v>
      </c>
      <c r="AJ72" s="438">
        <f t="shared" ca="1" si="16"/>
        <v>5.6044466649556668</v>
      </c>
      <c r="AK72" s="438"/>
      <c r="AL72" s="438">
        <f t="shared" ca="1" si="33"/>
        <v>26.275195991943107</v>
      </c>
      <c r="AM72" s="439">
        <f t="shared" si="33"/>
        <v>0</v>
      </c>
      <c r="AN72" s="439"/>
      <c r="AO72" s="439">
        <f t="shared" ca="1" si="34"/>
        <v>1.195696585606691</v>
      </c>
      <c r="AP72" s="442">
        <f t="shared" ca="1" si="34"/>
        <v>10.612999709998789</v>
      </c>
      <c r="AQ72" s="443"/>
      <c r="AR72" s="435" t="str">
        <f t="shared" si="18"/>
        <v>CEE Tier 2 Clothes Washer - Any DHW, Any Dryer - 54% ENERGY STAR Baseline</v>
      </c>
      <c r="AS72" s="437">
        <f t="shared" ca="1" si="19"/>
        <v>175.84798335118546</v>
      </c>
      <c r="AT72" s="438">
        <f t="shared" ca="1" si="20"/>
        <v>20.108354852508263</v>
      </c>
      <c r="AU72" s="439">
        <f t="shared" ca="1" si="21"/>
        <v>0.53567207035179754</v>
      </c>
      <c r="AV72" s="439">
        <f t="shared" ca="1" si="22"/>
        <v>903.31758449879453</v>
      </c>
      <c r="AW72" s="439"/>
      <c r="AX72" s="438">
        <f t="shared" ca="1" si="11"/>
        <v>23.436307308609798</v>
      </c>
      <c r="AY72" s="438">
        <f t="shared" ca="1" si="23"/>
        <v>10.612999709998789</v>
      </c>
      <c r="AZ72" s="443"/>
      <c r="BA72" s="433" t="str">
        <f t="shared" si="32"/>
        <v>CEE Tier 2 Clothes Washer - Any DHW, Any Dryer - 54% ENERGY STAR Baseline</v>
      </c>
      <c r="BB72" s="433" t="s">
        <v>25</v>
      </c>
      <c r="BC72" s="438">
        <f t="shared" ca="1" si="25"/>
        <v>20.108354852508263</v>
      </c>
      <c r="BD72" s="438">
        <f>SFAssumptions!$C$7</f>
        <v>14</v>
      </c>
      <c r="BE72" s="444">
        <f t="shared" ca="1" si="26"/>
        <v>175.84798335118546</v>
      </c>
      <c r="BF72" s="433"/>
      <c r="BG72" s="432" t="s">
        <v>157</v>
      </c>
      <c r="BH72" s="445">
        <f t="shared" ca="1" si="27"/>
        <v>10.612999709998789</v>
      </c>
      <c r="BI72" s="433"/>
      <c r="BJ72" s="433"/>
      <c r="BK72" s="433"/>
      <c r="BL72" s="433"/>
      <c r="BM72" s="433"/>
      <c r="BN72" s="433"/>
      <c r="BO72" s="446">
        <f t="shared" ca="1" si="28"/>
        <v>0.53567207035179754</v>
      </c>
      <c r="BP72" s="433" t="s">
        <v>158</v>
      </c>
    </row>
    <row r="73" spans="1:68" s="414" customFormat="1">
      <c r="A73" s="433">
        <f t="shared" si="29"/>
        <v>56</v>
      </c>
      <c r="B73" s="433">
        <f t="shared" si="3"/>
        <v>2</v>
      </c>
      <c r="C73" s="433">
        <f t="shared" si="4"/>
        <v>26</v>
      </c>
      <c r="D73" s="433">
        <f t="shared" si="5"/>
        <v>6</v>
      </c>
      <c r="E73" s="433">
        <f t="shared" si="6"/>
        <v>1</v>
      </c>
      <c r="F73" s="433"/>
      <c r="G73" s="433" t="str">
        <f t="shared" si="12"/>
        <v>Current Practice Baseline Using 54% ENERGY STAR Penetration</v>
      </c>
      <c r="H73" s="433" t="str">
        <f t="shared" si="13"/>
        <v>CEE Tier 3</v>
      </c>
      <c r="I73" s="433" t="str">
        <f t="shared" si="7"/>
        <v>Electric DHW, Electric Dryer</v>
      </c>
      <c r="J73" s="433" t="str">
        <f t="shared" si="8"/>
        <v>Electric DHW</v>
      </c>
      <c r="K73" s="433" t="str">
        <f t="shared" si="9"/>
        <v>Electric Dryer</v>
      </c>
      <c r="L73" s="434">
        <f>VLOOKUP(J73,SFAssumptions!$A$14:$B$16,2,FALSE)</f>
        <v>1</v>
      </c>
      <c r="M73" s="435">
        <f>VLOOKUP(K73,SFAssumptions!$A$18:$B$20,2,FALSE)</f>
        <v>1</v>
      </c>
      <c r="N73" s="436">
        <f ca="1">HLOOKUP($G73,'SFBaselines and Measures'!$C$3:$V$33,7,FALSE)</f>
        <v>3802.5240664273615</v>
      </c>
      <c r="O73" s="437">
        <f ca="1">HLOOKUP($G73,'SFBaselines and Measures'!$C$3:$V$33,8,FALSE)</f>
        <v>825.23457500176619</v>
      </c>
      <c r="P73" s="438">
        <f ca="1">HLOOKUP($G73,'SFBaselines and Measures'!$C$3:$V$33,25,FALSE)</f>
        <v>52.777549864992686</v>
      </c>
      <c r="Q73" s="438"/>
      <c r="R73" s="438">
        <f ca="1">HLOOKUP($G73,'SFBaselines and Measures'!$C$3:$V$33,27,FALSE)</f>
        <v>82.491219159202572</v>
      </c>
      <c r="S73" s="439">
        <f>HLOOKUP($G73,'SFBaselines and Measures'!$C$3:$V$33,29,FALSE)</f>
        <v>0</v>
      </c>
      <c r="T73" s="439"/>
      <c r="U73" s="439">
        <f ca="1">HLOOKUP($G73,'SFBaselines and Measures'!$C$3:$V$33,31,FALSE)</f>
        <v>3.7539004132047786</v>
      </c>
      <c r="V73" s="440">
        <f ca="1">HLOOKUP($G73,'SFBaselines and Measures'!$C$3:$V$33,9,FALSE)</f>
        <v>44.675524429925424</v>
      </c>
      <c r="W73" s="441"/>
      <c r="X73" s="436">
        <f ca="1">HLOOKUP($H73,'SFBaselines and Measures'!$C$2:$V$33,8,FALSE)</f>
        <v>2874.3796688857838</v>
      </c>
      <c r="Y73" s="437">
        <f ca="1">HLOOKUP($H73,'SFBaselines and Measures'!$C$2:$V$33,9,FALSE)</f>
        <v>996.04811179834417</v>
      </c>
      <c r="Z73" s="438">
        <f ca="1">HLOOKUP($H73,'SFBaselines and Measures'!$C$2:$V$33,26,FALSE)</f>
        <v>46.532567798860654</v>
      </c>
      <c r="AA73" s="438"/>
      <c r="AB73" s="438">
        <f ca="1">HLOOKUP($H73,'SFBaselines and Measures'!$C$2:$V$33,28,FALSE)</f>
        <v>54.977840524819655</v>
      </c>
      <c r="AC73" s="439">
        <f>HLOOKUP($H73,'SFBaselines and Measures'!$C$2:$V$33,30,FALSE)</f>
        <v>0</v>
      </c>
      <c r="AD73" s="439"/>
      <c r="AE73" s="439">
        <f ca="1">HLOOKUP($H73,'SFBaselines and Measures'!$C$2:$V$33,32,FALSE)</f>
        <v>2.5018582628161266</v>
      </c>
      <c r="AF73" s="440">
        <f ca="1">HLOOKUP($H73,'SFBaselines and Measures'!$C$2:$V$33,10,FALSE)</f>
        <v>33.77083665346499</v>
      </c>
      <c r="AG73" s="441"/>
      <c r="AH73" s="436">
        <f t="shared" ca="1" si="14"/>
        <v>928.14439754157775</v>
      </c>
      <c r="AI73" s="437">
        <f t="shared" ca="1" si="15"/>
        <v>170.81353679657798</v>
      </c>
      <c r="AJ73" s="438">
        <f t="shared" ca="1" si="16"/>
        <v>6.2449820661320317</v>
      </c>
      <c r="AK73" s="438"/>
      <c r="AL73" s="438">
        <f t="shared" ca="1" si="33"/>
        <v>27.513378634382917</v>
      </c>
      <c r="AM73" s="439">
        <f t="shared" si="33"/>
        <v>0</v>
      </c>
      <c r="AN73" s="439"/>
      <c r="AO73" s="439">
        <f t="shared" ca="1" si="34"/>
        <v>1.2520421503886521</v>
      </c>
      <c r="AP73" s="442">
        <f t="shared" ca="1" si="34"/>
        <v>10.904687776460435</v>
      </c>
      <c r="AQ73" s="443"/>
      <c r="AR73" s="435" t="str">
        <f t="shared" si="18"/>
        <v>CEE Tier 3 Clothes Washer - Electric DHW, Electric Dryer - 54% ENERGY STAR Baseline</v>
      </c>
      <c r="AS73" s="437">
        <f t="shared" ca="1" si="19"/>
        <v>170.81353679657798</v>
      </c>
      <c r="AT73" s="438">
        <f t="shared" ca="1" si="20"/>
        <v>33.758360700514949</v>
      </c>
      <c r="AU73" s="439">
        <f t="shared" ca="1" si="21"/>
        <v>0</v>
      </c>
      <c r="AV73" s="439">
        <f t="shared" ca="1" si="22"/>
        <v>928.14439754157775</v>
      </c>
      <c r="AW73" s="439"/>
      <c r="AX73" s="438">
        <f t="shared" ca="1" si="11"/>
        <v>37.177778721840419</v>
      </c>
      <c r="AY73" s="438">
        <f t="shared" ca="1" si="23"/>
        <v>10.904687776460435</v>
      </c>
      <c r="AZ73" s="443"/>
      <c r="BA73" s="433" t="str">
        <f t="shared" si="32"/>
        <v>CEE Tier 3 Clothes Washer - Electric DHW, Electric Dryer - 54% ENERGY STAR Baseline</v>
      </c>
      <c r="BB73" s="433" t="s">
        <v>25</v>
      </c>
      <c r="BC73" s="438">
        <f t="shared" ca="1" si="25"/>
        <v>33.758360700514949</v>
      </c>
      <c r="BD73" s="438">
        <f>SFAssumptions!$C$7</f>
        <v>14</v>
      </c>
      <c r="BE73" s="444">
        <f t="shared" ca="1" si="26"/>
        <v>170.81353679657798</v>
      </c>
      <c r="BF73" s="433"/>
      <c r="BG73" s="432" t="s">
        <v>157</v>
      </c>
      <c r="BH73" s="445">
        <f t="shared" ca="1" si="27"/>
        <v>10.904687776460435</v>
      </c>
      <c r="BI73" s="433"/>
      <c r="BJ73" s="433"/>
      <c r="BK73" s="433"/>
      <c r="BL73" s="433"/>
      <c r="BM73" s="433"/>
      <c r="BN73" s="433"/>
      <c r="BO73" s="446">
        <f t="shared" ca="1" si="28"/>
        <v>0</v>
      </c>
      <c r="BP73" s="433" t="s">
        <v>158</v>
      </c>
    </row>
    <row r="74" spans="1:68" s="414" customFormat="1">
      <c r="A74" s="433">
        <f t="shared" si="29"/>
        <v>57</v>
      </c>
      <c r="B74" s="433">
        <f t="shared" si="3"/>
        <v>2</v>
      </c>
      <c r="C74" s="433">
        <f t="shared" si="4"/>
        <v>27</v>
      </c>
      <c r="D74" s="433">
        <f t="shared" si="5"/>
        <v>6</v>
      </c>
      <c r="E74" s="433">
        <f t="shared" si="6"/>
        <v>2</v>
      </c>
      <c r="F74" s="433"/>
      <c r="G74" s="433" t="str">
        <f t="shared" si="12"/>
        <v>Current Practice Baseline Using 54% ENERGY STAR Penetration</v>
      </c>
      <c r="H74" s="433" t="str">
        <f t="shared" si="13"/>
        <v>CEE Tier 3</v>
      </c>
      <c r="I74" s="433" t="str">
        <f t="shared" si="7"/>
        <v>Electric DHW, Gas Dryer</v>
      </c>
      <c r="J74" s="433" t="str">
        <f t="shared" si="8"/>
        <v>Electric DHW</v>
      </c>
      <c r="K74" s="433" t="str">
        <f t="shared" si="9"/>
        <v>Gas Dryer</v>
      </c>
      <c r="L74" s="434">
        <f>VLOOKUP(J74,SFAssumptions!$A$14:$B$16,2,FALSE)</f>
        <v>1</v>
      </c>
      <c r="M74" s="435">
        <f>VLOOKUP(K74,SFAssumptions!$A$18:$B$20,2,FALSE)</f>
        <v>0</v>
      </c>
      <c r="N74" s="436">
        <f ca="1">HLOOKUP($G74,'SFBaselines and Measures'!$C$3:$V$33,7,FALSE)</f>
        <v>3802.5240664273615</v>
      </c>
      <c r="O74" s="437">
        <f ca="1">HLOOKUP($G74,'SFBaselines and Measures'!$C$3:$V$33,8,FALSE)</f>
        <v>825.23457500176619</v>
      </c>
      <c r="P74" s="438">
        <f ca="1">HLOOKUP($G74,'SFBaselines and Measures'!$C$3:$V$33,25,FALSE)</f>
        <v>52.777549864992686</v>
      </c>
      <c r="Q74" s="438"/>
      <c r="R74" s="438">
        <f ca="1">HLOOKUP($G74,'SFBaselines and Measures'!$C$3:$V$33,27,FALSE)</f>
        <v>82.491219159202572</v>
      </c>
      <c r="S74" s="439">
        <f>HLOOKUP($G74,'SFBaselines and Measures'!$C$3:$V$33,29,FALSE)</f>
        <v>0</v>
      </c>
      <c r="T74" s="439"/>
      <c r="U74" s="439">
        <f ca="1">HLOOKUP($G74,'SFBaselines and Measures'!$C$3:$V$33,31,FALSE)</f>
        <v>3.7539004132047786</v>
      </c>
      <c r="V74" s="440">
        <f ca="1">HLOOKUP($G74,'SFBaselines and Measures'!$C$3:$V$33,9,FALSE)</f>
        <v>44.675524429925424</v>
      </c>
      <c r="W74" s="441"/>
      <c r="X74" s="436">
        <f ca="1">HLOOKUP($H74,'SFBaselines and Measures'!$C$2:$V$33,8,FALSE)</f>
        <v>2874.3796688857838</v>
      </c>
      <c r="Y74" s="437">
        <f ca="1">HLOOKUP($H74,'SFBaselines and Measures'!$C$2:$V$33,9,FALSE)</f>
        <v>996.04811179834417</v>
      </c>
      <c r="Z74" s="438">
        <f ca="1">HLOOKUP($H74,'SFBaselines and Measures'!$C$2:$V$33,26,FALSE)</f>
        <v>46.532567798860654</v>
      </c>
      <c r="AA74" s="438"/>
      <c r="AB74" s="438">
        <f ca="1">HLOOKUP($H74,'SFBaselines and Measures'!$C$2:$V$33,28,FALSE)</f>
        <v>54.977840524819655</v>
      </c>
      <c r="AC74" s="439">
        <f>HLOOKUP($H74,'SFBaselines and Measures'!$C$2:$V$33,30,FALSE)</f>
        <v>0</v>
      </c>
      <c r="AD74" s="439"/>
      <c r="AE74" s="439">
        <f ca="1">HLOOKUP($H74,'SFBaselines and Measures'!$C$2:$V$33,32,FALSE)</f>
        <v>2.5018582628161266</v>
      </c>
      <c r="AF74" s="440">
        <f ca="1">HLOOKUP($H74,'SFBaselines and Measures'!$C$2:$V$33,10,FALSE)</f>
        <v>33.77083665346499</v>
      </c>
      <c r="AG74" s="441"/>
      <c r="AH74" s="436">
        <f t="shared" ca="1" si="14"/>
        <v>928.14439754157775</v>
      </c>
      <c r="AI74" s="437">
        <f t="shared" ca="1" si="15"/>
        <v>170.81353679657798</v>
      </c>
      <c r="AJ74" s="438">
        <f t="shared" ca="1" si="16"/>
        <v>6.2449820661320317</v>
      </c>
      <c r="AK74" s="438"/>
      <c r="AL74" s="438">
        <f t="shared" ca="1" si="33"/>
        <v>27.513378634382917</v>
      </c>
      <c r="AM74" s="439">
        <f t="shared" si="33"/>
        <v>0</v>
      </c>
      <c r="AN74" s="439"/>
      <c r="AO74" s="439">
        <f t="shared" ca="1" si="34"/>
        <v>1.2520421503886521</v>
      </c>
      <c r="AP74" s="442">
        <f t="shared" ca="1" si="34"/>
        <v>10.904687776460435</v>
      </c>
      <c r="AQ74" s="443"/>
      <c r="AR74" s="435" t="str">
        <f t="shared" si="18"/>
        <v>CEE Tier 3 Clothes Washer - Electric DHW, Gas Dryer - 54% ENERGY STAR Baseline</v>
      </c>
      <c r="AS74" s="437">
        <f t="shared" ca="1" si="19"/>
        <v>170.81353679657798</v>
      </c>
      <c r="AT74" s="438">
        <f t="shared" ca="1" si="20"/>
        <v>33.758360700514949</v>
      </c>
      <c r="AU74" s="439">
        <f t="shared" ca="1" si="21"/>
        <v>0</v>
      </c>
      <c r="AV74" s="439">
        <f t="shared" ca="1" si="22"/>
        <v>928.14439754157775</v>
      </c>
      <c r="AW74" s="439"/>
      <c r="AX74" s="438">
        <f t="shared" ca="1" si="11"/>
        <v>37.177778721840419</v>
      </c>
      <c r="AY74" s="438">
        <f t="shared" ca="1" si="23"/>
        <v>10.904687776460435</v>
      </c>
      <c r="AZ74" s="443"/>
      <c r="BA74" s="433" t="str">
        <f t="shared" si="32"/>
        <v>CEE Tier 3 Clothes Washer - Electric DHW, Gas Dryer - 54% ENERGY STAR Baseline</v>
      </c>
      <c r="BB74" s="433" t="s">
        <v>25</v>
      </c>
      <c r="BC74" s="438">
        <f t="shared" ca="1" si="25"/>
        <v>33.758360700514949</v>
      </c>
      <c r="BD74" s="438">
        <f>SFAssumptions!$C$7</f>
        <v>14</v>
      </c>
      <c r="BE74" s="444">
        <f t="shared" ca="1" si="26"/>
        <v>170.81353679657798</v>
      </c>
      <c r="BF74" s="433"/>
      <c r="BG74" s="432" t="s">
        <v>157</v>
      </c>
      <c r="BH74" s="445">
        <f t="shared" ca="1" si="27"/>
        <v>10.904687776460435</v>
      </c>
      <c r="BI74" s="433"/>
      <c r="BJ74" s="433"/>
      <c r="BK74" s="433"/>
      <c r="BL74" s="433"/>
      <c r="BM74" s="433"/>
      <c r="BN74" s="433"/>
      <c r="BO74" s="446">
        <f t="shared" ca="1" si="28"/>
        <v>0</v>
      </c>
      <c r="BP74" s="433" t="s">
        <v>158</v>
      </c>
    </row>
    <row r="75" spans="1:68" s="414" customFormat="1">
      <c r="A75" s="433">
        <f t="shared" si="29"/>
        <v>58</v>
      </c>
      <c r="B75" s="433">
        <f t="shared" si="3"/>
        <v>2</v>
      </c>
      <c r="C75" s="433">
        <f t="shared" si="4"/>
        <v>28</v>
      </c>
      <c r="D75" s="433">
        <f t="shared" si="5"/>
        <v>6</v>
      </c>
      <c r="E75" s="433">
        <f t="shared" si="6"/>
        <v>3</v>
      </c>
      <c r="F75" s="433"/>
      <c r="G75" s="433" t="str">
        <f t="shared" si="12"/>
        <v>Current Practice Baseline Using 54% ENERGY STAR Penetration</v>
      </c>
      <c r="H75" s="433" t="str">
        <f t="shared" si="13"/>
        <v>CEE Tier 3</v>
      </c>
      <c r="I75" s="433" t="str">
        <f t="shared" si="7"/>
        <v>Gas DHW, Electric Dryer</v>
      </c>
      <c r="J75" s="433" t="str">
        <f t="shared" si="8"/>
        <v>Gas DHW</v>
      </c>
      <c r="K75" s="433" t="str">
        <f t="shared" si="9"/>
        <v>Electric Dryer</v>
      </c>
      <c r="L75" s="434">
        <f>VLOOKUP(J75,SFAssumptions!$A$14:$B$16,2,FALSE)</f>
        <v>0</v>
      </c>
      <c r="M75" s="435">
        <f>VLOOKUP(K75,SFAssumptions!$A$18:$B$20,2,FALSE)</f>
        <v>1</v>
      </c>
      <c r="N75" s="436">
        <f ca="1">HLOOKUP($G75,'SFBaselines and Measures'!$C$3:$V$33,7,FALSE)</f>
        <v>3802.5240664273615</v>
      </c>
      <c r="O75" s="437">
        <f ca="1">HLOOKUP($G75,'SFBaselines and Measures'!$C$3:$V$33,8,FALSE)</f>
        <v>825.23457500176619</v>
      </c>
      <c r="P75" s="438">
        <f ca="1">HLOOKUP($G75,'SFBaselines and Measures'!$C$3:$V$33,25,FALSE)</f>
        <v>52.777549864992686</v>
      </c>
      <c r="Q75" s="438"/>
      <c r="R75" s="438">
        <f ca="1">HLOOKUP($G75,'SFBaselines and Measures'!$C$3:$V$33,27,FALSE)</f>
        <v>82.491219159202572</v>
      </c>
      <c r="S75" s="439">
        <f>HLOOKUP($G75,'SFBaselines and Measures'!$C$3:$V$33,29,FALSE)</f>
        <v>0</v>
      </c>
      <c r="T75" s="439"/>
      <c r="U75" s="439">
        <f ca="1">HLOOKUP($G75,'SFBaselines and Measures'!$C$3:$V$33,31,FALSE)</f>
        <v>3.7539004132047786</v>
      </c>
      <c r="V75" s="440">
        <f ca="1">HLOOKUP($G75,'SFBaselines and Measures'!$C$3:$V$33,9,FALSE)</f>
        <v>44.675524429925424</v>
      </c>
      <c r="W75" s="441"/>
      <c r="X75" s="436">
        <f ca="1">HLOOKUP($H75,'SFBaselines and Measures'!$C$2:$V$33,8,FALSE)</f>
        <v>2874.3796688857838</v>
      </c>
      <c r="Y75" s="437">
        <f ca="1">HLOOKUP($H75,'SFBaselines and Measures'!$C$2:$V$33,9,FALSE)</f>
        <v>996.04811179834417</v>
      </c>
      <c r="Z75" s="438">
        <f ca="1">HLOOKUP($H75,'SFBaselines and Measures'!$C$2:$V$33,26,FALSE)</f>
        <v>46.532567798860654</v>
      </c>
      <c r="AA75" s="438"/>
      <c r="AB75" s="438">
        <f ca="1">HLOOKUP($H75,'SFBaselines and Measures'!$C$2:$V$33,28,FALSE)</f>
        <v>54.977840524819655</v>
      </c>
      <c r="AC75" s="439">
        <f>HLOOKUP($H75,'SFBaselines and Measures'!$C$2:$V$33,30,FALSE)</f>
        <v>0</v>
      </c>
      <c r="AD75" s="439"/>
      <c r="AE75" s="439">
        <f ca="1">HLOOKUP($H75,'SFBaselines and Measures'!$C$2:$V$33,32,FALSE)</f>
        <v>2.5018582628161266</v>
      </c>
      <c r="AF75" s="440">
        <f ca="1">HLOOKUP($H75,'SFBaselines and Measures'!$C$2:$V$33,10,FALSE)</f>
        <v>33.77083665346499</v>
      </c>
      <c r="AG75" s="441"/>
      <c r="AH75" s="436">
        <f t="shared" ca="1" si="14"/>
        <v>928.14439754157775</v>
      </c>
      <c r="AI75" s="437">
        <f t="shared" ca="1" si="15"/>
        <v>170.81353679657798</v>
      </c>
      <c r="AJ75" s="438">
        <f t="shared" ca="1" si="16"/>
        <v>6.2449820661320317</v>
      </c>
      <c r="AK75" s="438"/>
      <c r="AL75" s="438">
        <f t="shared" ca="1" si="33"/>
        <v>27.513378634382917</v>
      </c>
      <c r="AM75" s="439">
        <f t="shared" si="33"/>
        <v>0</v>
      </c>
      <c r="AN75" s="439"/>
      <c r="AO75" s="439">
        <f t="shared" ca="1" si="34"/>
        <v>1.2520421503886521</v>
      </c>
      <c r="AP75" s="442">
        <f t="shared" ca="1" si="34"/>
        <v>10.904687776460435</v>
      </c>
      <c r="AQ75" s="443"/>
      <c r="AR75" s="435" t="str">
        <f t="shared" si="18"/>
        <v>CEE Tier 3 Clothes Washer - Gas DHW, Electric Dryer - 54% ENERGY STAR Baseline</v>
      </c>
      <c r="AS75" s="437">
        <f t="shared" ca="1" si="19"/>
        <v>170.81353679657798</v>
      </c>
      <c r="AT75" s="438">
        <f t="shared" ca="1" si="20"/>
        <v>6.2449820661320317</v>
      </c>
      <c r="AU75" s="439">
        <f t="shared" ca="1" si="21"/>
        <v>1.2520421503886521</v>
      </c>
      <c r="AV75" s="439">
        <f t="shared" ca="1" si="22"/>
        <v>928.14439754157775</v>
      </c>
      <c r="AW75" s="439"/>
      <c r="AX75" s="438">
        <f t="shared" ca="1" si="11"/>
        <v>9.6644000874575031</v>
      </c>
      <c r="AY75" s="438">
        <f t="shared" ca="1" si="23"/>
        <v>10.904687776460435</v>
      </c>
      <c r="AZ75" s="443"/>
      <c r="BA75" s="433" t="str">
        <f t="shared" si="32"/>
        <v>CEE Tier 3 Clothes Washer - Gas DHW, Electric Dryer - 54% ENERGY STAR Baseline</v>
      </c>
      <c r="BB75" s="433" t="s">
        <v>25</v>
      </c>
      <c r="BC75" s="438">
        <f t="shared" ca="1" si="25"/>
        <v>6.2449820661320317</v>
      </c>
      <c r="BD75" s="438">
        <f>SFAssumptions!$C$7</f>
        <v>14</v>
      </c>
      <c r="BE75" s="444">
        <f t="shared" ca="1" si="26"/>
        <v>170.81353679657798</v>
      </c>
      <c r="BF75" s="433"/>
      <c r="BG75" s="432" t="s">
        <v>157</v>
      </c>
      <c r="BH75" s="445">
        <f t="shared" ca="1" si="27"/>
        <v>10.904687776460435</v>
      </c>
      <c r="BI75" s="433"/>
      <c r="BJ75" s="433"/>
      <c r="BK75" s="433"/>
      <c r="BL75" s="433"/>
      <c r="BM75" s="433"/>
      <c r="BN75" s="433"/>
      <c r="BO75" s="446">
        <f t="shared" ca="1" si="28"/>
        <v>1.2520421503886521</v>
      </c>
      <c r="BP75" s="433" t="s">
        <v>158</v>
      </c>
    </row>
    <row r="76" spans="1:68" s="414" customFormat="1">
      <c r="A76" s="433">
        <f t="shared" si="29"/>
        <v>59</v>
      </c>
      <c r="B76" s="433">
        <f t="shared" si="3"/>
        <v>2</v>
      </c>
      <c r="C76" s="433">
        <f t="shared" si="4"/>
        <v>29</v>
      </c>
      <c r="D76" s="433">
        <f t="shared" si="5"/>
        <v>6</v>
      </c>
      <c r="E76" s="433">
        <f t="shared" si="6"/>
        <v>4</v>
      </c>
      <c r="F76" s="433"/>
      <c r="G76" s="433" t="str">
        <f t="shared" si="12"/>
        <v>Current Practice Baseline Using 54% ENERGY STAR Penetration</v>
      </c>
      <c r="H76" s="433" t="str">
        <f t="shared" si="13"/>
        <v>CEE Tier 3</v>
      </c>
      <c r="I76" s="433" t="str">
        <f t="shared" si="7"/>
        <v>Gas DHW, Gas Dryer</v>
      </c>
      <c r="J76" s="433" t="str">
        <f t="shared" si="8"/>
        <v>Gas DHW</v>
      </c>
      <c r="K76" s="433" t="str">
        <f t="shared" si="9"/>
        <v>Gas Dryer</v>
      </c>
      <c r="L76" s="434">
        <f>VLOOKUP(J76,SFAssumptions!$A$14:$B$16,2,FALSE)</f>
        <v>0</v>
      </c>
      <c r="M76" s="435">
        <f>VLOOKUP(K76,SFAssumptions!$A$18:$B$20,2,FALSE)</f>
        <v>0</v>
      </c>
      <c r="N76" s="436">
        <f ca="1">HLOOKUP($G76,'SFBaselines and Measures'!$C$3:$V$33,7,FALSE)</f>
        <v>3802.5240664273615</v>
      </c>
      <c r="O76" s="437">
        <f ca="1">HLOOKUP($G76,'SFBaselines and Measures'!$C$3:$V$33,8,FALSE)</f>
        <v>825.23457500176619</v>
      </c>
      <c r="P76" s="438">
        <f ca="1">HLOOKUP($G76,'SFBaselines and Measures'!$C$3:$V$33,25,FALSE)</f>
        <v>52.777549864992686</v>
      </c>
      <c r="Q76" s="438"/>
      <c r="R76" s="438">
        <f ca="1">HLOOKUP($G76,'SFBaselines and Measures'!$C$3:$V$33,27,FALSE)</f>
        <v>82.491219159202572</v>
      </c>
      <c r="S76" s="439">
        <f>HLOOKUP($G76,'SFBaselines and Measures'!$C$3:$V$33,29,FALSE)</f>
        <v>0</v>
      </c>
      <c r="T76" s="439"/>
      <c r="U76" s="439">
        <f ca="1">HLOOKUP($G76,'SFBaselines and Measures'!$C$3:$V$33,31,FALSE)</f>
        <v>3.7539004132047786</v>
      </c>
      <c r="V76" s="440">
        <f ca="1">HLOOKUP($G76,'SFBaselines and Measures'!$C$3:$V$33,9,FALSE)</f>
        <v>44.675524429925424</v>
      </c>
      <c r="W76" s="441"/>
      <c r="X76" s="436">
        <f ca="1">HLOOKUP($H76,'SFBaselines and Measures'!$C$2:$V$33,8,FALSE)</f>
        <v>2874.3796688857838</v>
      </c>
      <c r="Y76" s="437">
        <f ca="1">HLOOKUP($H76,'SFBaselines and Measures'!$C$2:$V$33,9,FALSE)</f>
        <v>996.04811179834417</v>
      </c>
      <c r="Z76" s="438">
        <f ca="1">HLOOKUP($H76,'SFBaselines and Measures'!$C$2:$V$33,26,FALSE)</f>
        <v>46.532567798860654</v>
      </c>
      <c r="AA76" s="438"/>
      <c r="AB76" s="438">
        <f ca="1">HLOOKUP($H76,'SFBaselines and Measures'!$C$2:$V$33,28,FALSE)</f>
        <v>54.977840524819655</v>
      </c>
      <c r="AC76" s="439">
        <f>HLOOKUP($H76,'SFBaselines and Measures'!$C$2:$V$33,30,FALSE)</f>
        <v>0</v>
      </c>
      <c r="AD76" s="439"/>
      <c r="AE76" s="439">
        <f ca="1">HLOOKUP($H76,'SFBaselines and Measures'!$C$2:$V$33,32,FALSE)</f>
        <v>2.5018582628161266</v>
      </c>
      <c r="AF76" s="440">
        <f ca="1">HLOOKUP($H76,'SFBaselines and Measures'!$C$2:$V$33,10,FALSE)</f>
        <v>33.77083665346499</v>
      </c>
      <c r="AG76" s="441"/>
      <c r="AH76" s="436">
        <f t="shared" ca="1" si="14"/>
        <v>928.14439754157775</v>
      </c>
      <c r="AI76" s="437">
        <f t="shared" ca="1" si="15"/>
        <v>170.81353679657798</v>
      </c>
      <c r="AJ76" s="438">
        <f t="shared" ca="1" si="16"/>
        <v>6.2449820661320317</v>
      </c>
      <c r="AK76" s="438"/>
      <c r="AL76" s="438">
        <f t="shared" ca="1" si="33"/>
        <v>27.513378634382917</v>
      </c>
      <c r="AM76" s="439">
        <f t="shared" si="33"/>
        <v>0</v>
      </c>
      <c r="AN76" s="439"/>
      <c r="AO76" s="439">
        <f t="shared" ca="1" si="34"/>
        <v>1.2520421503886521</v>
      </c>
      <c r="AP76" s="442">
        <f t="shared" ca="1" si="34"/>
        <v>10.904687776460435</v>
      </c>
      <c r="AQ76" s="443"/>
      <c r="AR76" s="435" t="str">
        <f t="shared" si="18"/>
        <v>CEE Tier 3 Clothes Washer - Gas DHW, Gas Dryer - 54% ENERGY STAR Baseline</v>
      </c>
      <c r="AS76" s="437">
        <f t="shared" ca="1" si="19"/>
        <v>170.81353679657798</v>
      </c>
      <c r="AT76" s="438">
        <f t="shared" ca="1" si="20"/>
        <v>6.2449820661320317</v>
      </c>
      <c r="AU76" s="439">
        <f t="shared" ca="1" si="21"/>
        <v>1.2520421503886521</v>
      </c>
      <c r="AV76" s="439">
        <f t="shared" ca="1" si="22"/>
        <v>928.14439754157775</v>
      </c>
      <c r="AW76" s="439"/>
      <c r="AX76" s="438">
        <f t="shared" ca="1" si="11"/>
        <v>9.6644000874575031</v>
      </c>
      <c r="AY76" s="438">
        <f t="shared" ca="1" si="23"/>
        <v>10.904687776460435</v>
      </c>
      <c r="AZ76" s="443"/>
      <c r="BA76" s="433" t="str">
        <f t="shared" si="32"/>
        <v>CEE Tier 3 Clothes Washer - Gas DHW, Gas Dryer - 54% ENERGY STAR Baseline</v>
      </c>
      <c r="BB76" s="433" t="s">
        <v>25</v>
      </c>
      <c r="BC76" s="438">
        <f t="shared" ca="1" si="25"/>
        <v>6.2449820661320317</v>
      </c>
      <c r="BD76" s="438">
        <f>SFAssumptions!$C$7</f>
        <v>14</v>
      </c>
      <c r="BE76" s="444">
        <f t="shared" ca="1" si="26"/>
        <v>170.81353679657798</v>
      </c>
      <c r="BF76" s="433"/>
      <c r="BG76" s="432" t="s">
        <v>157</v>
      </c>
      <c r="BH76" s="445">
        <f t="shared" ca="1" si="27"/>
        <v>10.904687776460435</v>
      </c>
      <c r="BI76" s="433"/>
      <c r="BJ76" s="433"/>
      <c r="BK76" s="433"/>
      <c r="BL76" s="433"/>
      <c r="BM76" s="433"/>
      <c r="BN76" s="433"/>
      <c r="BO76" s="446">
        <f t="shared" ca="1" si="28"/>
        <v>1.2520421503886521</v>
      </c>
      <c r="BP76" s="433" t="s">
        <v>158</v>
      </c>
    </row>
    <row r="77" spans="1:68" s="414" customFormat="1">
      <c r="A77" s="433">
        <f t="shared" si="29"/>
        <v>60</v>
      </c>
      <c r="B77" s="433">
        <f t="shared" si="3"/>
        <v>2</v>
      </c>
      <c r="C77" s="433">
        <f t="shared" si="4"/>
        <v>30</v>
      </c>
      <c r="D77" s="433">
        <f t="shared" si="5"/>
        <v>6</v>
      </c>
      <c r="E77" s="433">
        <f t="shared" si="6"/>
        <v>5</v>
      </c>
      <c r="F77" s="433"/>
      <c r="G77" s="433" t="str">
        <f t="shared" si="12"/>
        <v>Current Practice Baseline Using 54% ENERGY STAR Penetration</v>
      </c>
      <c r="H77" s="433" t="str">
        <f t="shared" si="13"/>
        <v>CEE Tier 3</v>
      </c>
      <c r="I77" s="433" t="str">
        <f t="shared" si="7"/>
        <v>Any DHW, Any Dryer</v>
      </c>
      <c r="J77" s="433" t="str">
        <f t="shared" si="8"/>
        <v>Any DHW</v>
      </c>
      <c r="K77" s="433" t="str">
        <f t="shared" si="9"/>
        <v>Any Dryer</v>
      </c>
      <c r="L77" s="434">
        <f>VLOOKUP(J77,SFAssumptions!$A$14:$B$16,2,FALSE)</f>
        <v>0.55200000000000005</v>
      </c>
      <c r="M77" s="435">
        <f>VLOOKUP(K77,SFAssumptions!$A$18:$B$20,2,FALSE)</f>
        <v>0.95</v>
      </c>
      <c r="N77" s="436">
        <f ca="1">HLOOKUP($G77,'SFBaselines and Measures'!$C$3:$V$33,7,FALSE)</f>
        <v>3802.5240664273615</v>
      </c>
      <c r="O77" s="437">
        <f ca="1">HLOOKUP($G77,'SFBaselines and Measures'!$C$3:$V$33,8,FALSE)</f>
        <v>825.23457500176619</v>
      </c>
      <c r="P77" s="438">
        <f ca="1">HLOOKUP($G77,'SFBaselines and Measures'!$C$3:$V$33,25,FALSE)</f>
        <v>52.777549864992686</v>
      </c>
      <c r="Q77" s="438"/>
      <c r="R77" s="438">
        <f ca="1">HLOOKUP($G77,'SFBaselines and Measures'!$C$3:$V$33,27,FALSE)</f>
        <v>82.491219159202572</v>
      </c>
      <c r="S77" s="439">
        <f>HLOOKUP($G77,'SFBaselines and Measures'!$C$3:$V$33,29,FALSE)</f>
        <v>0</v>
      </c>
      <c r="T77" s="439"/>
      <c r="U77" s="439">
        <f ca="1">HLOOKUP($G77,'SFBaselines and Measures'!$C$3:$V$33,31,FALSE)</f>
        <v>3.7539004132047786</v>
      </c>
      <c r="V77" s="440">
        <f ca="1">HLOOKUP($G77,'SFBaselines and Measures'!$C$3:$V$33,9,FALSE)</f>
        <v>44.675524429925424</v>
      </c>
      <c r="W77" s="441"/>
      <c r="X77" s="436">
        <f ca="1">HLOOKUP($H77,'SFBaselines and Measures'!$C$2:$V$33,8,FALSE)</f>
        <v>2874.3796688857838</v>
      </c>
      <c r="Y77" s="437">
        <f ca="1">HLOOKUP($H77,'SFBaselines and Measures'!$C$2:$V$33,9,FALSE)</f>
        <v>996.04811179834417</v>
      </c>
      <c r="Z77" s="438">
        <f ca="1">HLOOKUP($H77,'SFBaselines and Measures'!$C$2:$V$33,26,FALSE)</f>
        <v>46.532567798860654</v>
      </c>
      <c r="AA77" s="438"/>
      <c r="AB77" s="438">
        <f ca="1">HLOOKUP($H77,'SFBaselines and Measures'!$C$2:$V$33,28,FALSE)</f>
        <v>54.977840524819655</v>
      </c>
      <c r="AC77" s="439">
        <f>HLOOKUP($H77,'SFBaselines and Measures'!$C$2:$V$33,30,FALSE)</f>
        <v>0</v>
      </c>
      <c r="AD77" s="439"/>
      <c r="AE77" s="439">
        <f ca="1">HLOOKUP($H77,'SFBaselines and Measures'!$C$2:$V$33,32,FALSE)</f>
        <v>2.5018582628161266</v>
      </c>
      <c r="AF77" s="440">
        <f ca="1">HLOOKUP($H77,'SFBaselines and Measures'!$C$2:$V$33,10,FALSE)</f>
        <v>33.77083665346499</v>
      </c>
      <c r="AG77" s="441"/>
      <c r="AH77" s="436">
        <f t="shared" ca="1" si="14"/>
        <v>928.14439754157775</v>
      </c>
      <c r="AI77" s="437">
        <f t="shared" ca="1" si="15"/>
        <v>170.81353679657798</v>
      </c>
      <c r="AJ77" s="438">
        <f t="shared" ca="1" si="16"/>
        <v>6.2449820661320317</v>
      </c>
      <c r="AK77" s="438"/>
      <c r="AL77" s="438">
        <f t="shared" ca="1" si="33"/>
        <v>27.513378634382917</v>
      </c>
      <c r="AM77" s="439">
        <f t="shared" si="33"/>
        <v>0</v>
      </c>
      <c r="AN77" s="439"/>
      <c r="AO77" s="439">
        <f t="shared" ca="1" si="34"/>
        <v>1.2520421503886521</v>
      </c>
      <c r="AP77" s="442">
        <f t="shared" ca="1" si="34"/>
        <v>10.904687776460435</v>
      </c>
      <c r="AQ77" s="443"/>
      <c r="AR77" s="435" t="str">
        <f t="shared" si="18"/>
        <v>CEE Tier 3 Clothes Washer - Any DHW, Any Dryer - 54% ENERGY STAR Baseline</v>
      </c>
      <c r="AS77" s="437">
        <f t="shared" ca="1" si="19"/>
        <v>170.81353679657798</v>
      </c>
      <c r="AT77" s="438">
        <f t="shared" ca="1" si="20"/>
        <v>21.432367072311401</v>
      </c>
      <c r="AU77" s="439">
        <f t="shared" ca="1" si="21"/>
        <v>0.5609148833741161</v>
      </c>
      <c r="AV77" s="439">
        <f t="shared" ca="1" si="22"/>
        <v>928.14439754157775</v>
      </c>
      <c r="AW77" s="439"/>
      <c r="AX77" s="438">
        <f t="shared" ca="1" si="11"/>
        <v>24.85178509363687</v>
      </c>
      <c r="AY77" s="438">
        <f t="shared" ca="1" si="23"/>
        <v>10.904687776460435</v>
      </c>
      <c r="AZ77" s="443"/>
      <c r="BA77" s="433" t="str">
        <f t="shared" si="32"/>
        <v>CEE Tier 3 Clothes Washer - Any DHW, Any Dryer - 54% ENERGY STAR Baseline</v>
      </c>
      <c r="BB77" s="433" t="s">
        <v>25</v>
      </c>
      <c r="BC77" s="438">
        <f t="shared" ca="1" si="25"/>
        <v>21.432367072311401</v>
      </c>
      <c r="BD77" s="438">
        <f>SFAssumptions!$C$7</f>
        <v>14</v>
      </c>
      <c r="BE77" s="444">
        <f t="shared" ca="1" si="26"/>
        <v>170.81353679657798</v>
      </c>
      <c r="BF77" s="433"/>
      <c r="BG77" s="432" t="s">
        <v>157</v>
      </c>
      <c r="BH77" s="445">
        <f t="shared" ca="1" si="27"/>
        <v>10.904687776460435</v>
      </c>
      <c r="BI77" s="433"/>
      <c r="BJ77" s="433"/>
      <c r="BK77" s="433"/>
      <c r="BL77" s="433"/>
      <c r="BM77" s="433"/>
      <c r="BN77" s="433"/>
      <c r="BO77" s="446">
        <f t="shared" ca="1" si="28"/>
        <v>0.5609148833741161</v>
      </c>
      <c r="BP77" s="433" t="s">
        <v>158</v>
      </c>
    </row>
    <row r="78" spans="1:68" s="309" customFormat="1">
      <c r="A78" s="449">
        <v>1</v>
      </c>
      <c r="B78" s="450">
        <f t="shared" si="3"/>
        <v>1</v>
      </c>
      <c r="C78" s="450">
        <f t="shared" si="4"/>
        <v>1</v>
      </c>
      <c r="D78" s="450">
        <f t="shared" si="5"/>
        <v>1</v>
      </c>
      <c r="E78" s="450">
        <f t="shared" si="6"/>
        <v>1</v>
      </c>
      <c r="F78" s="450"/>
      <c r="G78" s="450" t="str">
        <f t="shared" si="12"/>
        <v>Current Practice Baseline Using 31% ENERGY STAR Penetration</v>
      </c>
      <c r="H78" s="450" t="str">
        <f t="shared" si="13"/>
        <v>ENERGY STAR - Top-Load</v>
      </c>
      <c r="I78" s="450" t="str">
        <f t="shared" si="7"/>
        <v>Electric DHW, Electric Dryer</v>
      </c>
      <c r="J78" s="450" t="str">
        <f t="shared" si="8"/>
        <v>Electric DHW</v>
      </c>
      <c r="K78" s="450" t="str">
        <f t="shared" si="9"/>
        <v>Electric Dryer</v>
      </c>
      <c r="L78" s="451">
        <f>VLOOKUP(J78,SFAssumptions!$A$14:$B$16,2,FALSE)</f>
        <v>1</v>
      </c>
      <c r="M78" s="452">
        <f>VLOOKUP(K78,SFAssumptions!$A$18:$B$20,2,FALSE)</f>
        <v>1</v>
      </c>
      <c r="N78" s="453">
        <f ca="1">HLOOKUP($G78,'SFBaselines and Measures'!$C$3:$V$33,7,FALSE)</f>
        <v>4047.8861059902265</v>
      </c>
      <c r="O78" s="454"/>
      <c r="P78" s="455"/>
      <c r="Q78" s="455">
        <f ca="1">HLOOKUP($G78,'SFBaselines and Measures'!$C$3:$V$33,26,FALSE)</f>
        <v>316.65660041708048</v>
      </c>
      <c r="R78" s="455"/>
      <c r="S78" s="456"/>
      <c r="T78" s="456">
        <f ca="1">HLOOKUP($G78,'SFBaselines and Measures'!$C$3:$V$33,30,FALSE)</f>
        <v>12.104388544903154</v>
      </c>
      <c r="U78" s="456"/>
      <c r="V78" s="456"/>
      <c r="W78" s="457"/>
      <c r="X78" s="453"/>
      <c r="Y78" s="454"/>
      <c r="Z78" s="455"/>
      <c r="AA78" s="455">
        <f ca="1">HLOOKUP($H78,'SFBaselines and Measures'!$C$2:$V$33,27,FALSE)</f>
        <v>286.54897691296929</v>
      </c>
      <c r="AB78" s="455"/>
      <c r="AC78" s="456"/>
      <c r="AD78" s="456">
        <f ca="1">HLOOKUP($H78,'SFBaselines and Measures'!$C$2:$V$33,31,FALSE)</f>
        <v>10.9535065718844</v>
      </c>
      <c r="AE78" s="456"/>
      <c r="AF78" s="456"/>
      <c r="AG78" s="457"/>
      <c r="AH78" s="453"/>
      <c r="AI78" s="454"/>
      <c r="AJ78" s="455"/>
      <c r="AK78" s="455">
        <f t="shared" ref="AK78:AK137" ca="1" si="35">Q78-AA78</f>
        <v>30.107623504111189</v>
      </c>
      <c r="AL78" s="455"/>
      <c r="AM78" s="456"/>
      <c r="AN78" s="456">
        <f t="shared" ref="AN78:AN137" ca="1" si="36">T78-AD78</f>
        <v>1.1508819730187536</v>
      </c>
      <c r="AO78" s="456"/>
      <c r="AP78" s="456"/>
      <c r="AQ78" s="458"/>
      <c r="AR78" s="452" t="str">
        <f t="shared" si="18"/>
        <v>ENERGY STAR - Top-Load Clothes Washer - Electric DHW, Electric Dryer - 31% ENERGY STAR Baseline</v>
      </c>
      <c r="AS78" s="454">
        <f t="shared" si="19"/>
        <v>0</v>
      </c>
      <c r="AT78" s="455">
        <f t="shared" ca="1" si="20"/>
        <v>30.107623504111189</v>
      </c>
      <c r="AU78" s="456">
        <f t="shared" ca="1" si="21"/>
        <v>0</v>
      </c>
      <c r="AV78" s="456">
        <f t="shared" si="22"/>
        <v>0</v>
      </c>
      <c r="AW78" s="456"/>
      <c r="AX78" s="455">
        <f t="shared" ref="AX78:AX122" ca="1" si="37">AT78+BC153</f>
        <v>33.280557165469396</v>
      </c>
      <c r="AY78" s="455"/>
      <c r="AZ78" s="458"/>
      <c r="BA78" s="450" t="str">
        <f>CONCATENATE(H78," Clothes Washer - ",I78," - 31% ENERGY STAR Baseline")</f>
        <v>ENERGY STAR - Top-Load Clothes Washer - Electric DHW, Electric Dryer - 31% ENERGY STAR Baseline</v>
      </c>
      <c r="BB78" s="450" t="s">
        <v>26</v>
      </c>
      <c r="BC78" s="455">
        <f t="shared" ca="1" si="25"/>
        <v>30.107623504111189</v>
      </c>
      <c r="BD78" s="455">
        <f>SFAssumptions!$C$7</f>
        <v>14</v>
      </c>
      <c r="BE78" s="459">
        <f t="shared" si="26"/>
        <v>0</v>
      </c>
      <c r="BF78" s="450"/>
      <c r="BG78" s="449" t="s">
        <v>159</v>
      </c>
      <c r="BH78" s="460"/>
      <c r="BI78" s="450"/>
      <c r="BJ78" s="450"/>
      <c r="BK78" s="450"/>
      <c r="BL78" s="450"/>
      <c r="BM78" s="450"/>
      <c r="BN78" s="450"/>
      <c r="BO78" s="461">
        <f t="shared" ca="1" si="28"/>
        <v>0</v>
      </c>
      <c r="BP78" s="450" t="s">
        <v>159</v>
      </c>
    </row>
    <row r="79" spans="1:68" s="309" customFormat="1">
      <c r="A79" s="450">
        <f>A78+1</f>
        <v>2</v>
      </c>
      <c r="B79" s="450">
        <f t="shared" si="3"/>
        <v>1</v>
      </c>
      <c r="C79" s="450">
        <f t="shared" si="4"/>
        <v>2</v>
      </c>
      <c r="D79" s="450">
        <f t="shared" si="5"/>
        <v>1</v>
      </c>
      <c r="E79" s="450">
        <f t="shared" si="6"/>
        <v>2</v>
      </c>
      <c r="F79" s="450"/>
      <c r="G79" s="450" t="str">
        <f t="shared" si="12"/>
        <v>Current Practice Baseline Using 31% ENERGY STAR Penetration</v>
      </c>
      <c r="H79" s="450" t="str">
        <f t="shared" si="13"/>
        <v>ENERGY STAR - Top-Load</v>
      </c>
      <c r="I79" s="450" t="str">
        <f t="shared" si="7"/>
        <v>Electric DHW, Gas Dryer</v>
      </c>
      <c r="J79" s="450" t="str">
        <f t="shared" si="8"/>
        <v>Electric DHW</v>
      </c>
      <c r="K79" s="450" t="str">
        <f t="shared" si="9"/>
        <v>Gas Dryer</v>
      </c>
      <c r="L79" s="451">
        <f>VLOOKUP(J79,SFAssumptions!$A$14:$B$16,2,FALSE)</f>
        <v>1</v>
      </c>
      <c r="M79" s="452">
        <f>VLOOKUP(K79,SFAssumptions!$A$18:$B$20,2,FALSE)</f>
        <v>0</v>
      </c>
      <c r="N79" s="453">
        <f ca="1">HLOOKUP($G79,'SFBaselines and Measures'!$C$3:$V$33,7,FALSE)</f>
        <v>4047.8861059902265</v>
      </c>
      <c r="O79" s="454"/>
      <c r="P79" s="455"/>
      <c r="Q79" s="455">
        <f ca="1">HLOOKUP($G79,'SFBaselines and Measures'!$C$3:$V$33,26,FALSE)</f>
        <v>316.65660041708048</v>
      </c>
      <c r="R79" s="455"/>
      <c r="S79" s="456"/>
      <c r="T79" s="456">
        <f ca="1">HLOOKUP($G79,'SFBaselines and Measures'!$C$3:$V$33,30,FALSE)</f>
        <v>12.104388544903154</v>
      </c>
      <c r="U79" s="456"/>
      <c r="V79" s="456"/>
      <c r="W79" s="457"/>
      <c r="X79" s="453"/>
      <c r="Y79" s="454"/>
      <c r="Z79" s="455"/>
      <c r="AA79" s="455">
        <f ca="1">HLOOKUP($H79,'SFBaselines and Measures'!$C$2:$V$33,27,FALSE)</f>
        <v>286.54897691296929</v>
      </c>
      <c r="AB79" s="455"/>
      <c r="AC79" s="456"/>
      <c r="AD79" s="456">
        <f ca="1">HLOOKUP($H79,'SFBaselines and Measures'!$C$2:$V$33,31,FALSE)</f>
        <v>10.9535065718844</v>
      </c>
      <c r="AE79" s="456"/>
      <c r="AF79" s="456"/>
      <c r="AG79" s="457"/>
      <c r="AH79" s="453"/>
      <c r="AI79" s="454"/>
      <c r="AJ79" s="455"/>
      <c r="AK79" s="455">
        <f t="shared" ca="1" si="35"/>
        <v>30.107623504111189</v>
      </c>
      <c r="AL79" s="455"/>
      <c r="AM79" s="456"/>
      <c r="AN79" s="456">
        <f t="shared" ca="1" si="36"/>
        <v>1.1508819730187536</v>
      </c>
      <c r="AO79" s="456"/>
      <c r="AP79" s="456"/>
      <c r="AQ79" s="458"/>
      <c r="AR79" s="452" t="str">
        <f t="shared" si="18"/>
        <v>ENERGY STAR - Top-Load Clothes Washer - Electric DHW, Gas Dryer - 31% ENERGY STAR Baseline</v>
      </c>
      <c r="AS79" s="454">
        <f t="shared" si="19"/>
        <v>0</v>
      </c>
      <c r="AT79" s="455">
        <f t="shared" ca="1" si="20"/>
        <v>0</v>
      </c>
      <c r="AU79" s="456">
        <f t="shared" ca="1" si="21"/>
        <v>1.1508819730187536</v>
      </c>
      <c r="AV79" s="456">
        <f t="shared" si="22"/>
        <v>0</v>
      </c>
      <c r="AW79" s="456"/>
      <c r="AX79" s="455">
        <f t="shared" ca="1" si="37"/>
        <v>3.17293366135821</v>
      </c>
      <c r="AY79" s="455"/>
      <c r="AZ79" s="458"/>
      <c r="BA79" s="450" t="str">
        <f t="shared" ref="BA79:BA107" si="38">CONCATENATE(H79," Clothes Washer - ",I79," - 31% ENERGY STAR Baseline")</f>
        <v>ENERGY STAR - Top-Load Clothes Washer - Electric DHW, Gas Dryer - 31% ENERGY STAR Baseline</v>
      </c>
      <c r="BB79" s="450" t="s">
        <v>26</v>
      </c>
      <c r="BC79" s="455">
        <f t="shared" ca="1" si="25"/>
        <v>0</v>
      </c>
      <c r="BD79" s="455">
        <f>SFAssumptions!$C$7</f>
        <v>14</v>
      </c>
      <c r="BE79" s="459">
        <f t="shared" si="26"/>
        <v>0</v>
      </c>
      <c r="BF79" s="450"/>
      <c r="BG79" s="449" t="s">
        <v>159</v>
      </c>
      <c r="BH79" s="460"/>
      <c r="BI79" s="450"/>
      <c r="BJ79" s="450"/>
      <c r="BK79" s="450"/>
      <c r="BL79" s="450"/>
      <c r="BM79" s="450"/>
      <c r="BN79" s="450"/>
      <c r="BO79" s="461">
        <f t="shared" ca="1" si="28"/>
        <v>1.1508819730187536</v>
      </c>
      <c r="BP79" s="450" t="s">
        <v>159</v>
      </c>
    </row>
    <row r="80" spans="1:68" s="309" customFormat="1">
      <c r="A80" s="450">
        <f t="shared" ref="A80:A137" si="39">A79+1</f>
        <v>3</v>
      </c>
      <c r="B80" s="450">
        <f t="shared" si="3"/>
        <v>1</v>
      </c>
      <c r="C80" s="450">
        <f t="shared" si="4"/>
        <v>3</v>
      </c>
      <c r="D80" s="450">
        <f t="shared" si="5"/>
        <v>1</v>
      </c>
      <c r="E80" s="450">
        <f t="shared" si="6"/>
        <v>3</v>
      </c>
      <c r="F80" s="450"/>
      <c r="G80" s="450" t="str">
        <f t="shared" si="12"/>
        <v>Current Practice Baseline Using 31% ENERGY STAR Penetration</v>
      </c>
      <c r="H80" s="450" t="str">
        <f t="shared" si="13"/>
        <v>ENERGY STAR - Top-Load</v>
      </c>
      <c r="I80" s="450" t="str">
        <f t="shared" si="7"/>
        <v>Gas DHW, Electric Dryer</v>
      </c>
      <c r="J80" s="450" t="str">
        <f t="shared" si="8"/>
        <v>Gas DHW</v>
      </c>
      <c r="K80" s="450" t="str">
        <f t="shared" si="9"/>
        <v>Electric Dryer</v>
      </c>
      <c r="L80" s="451">
        <f>VLOOKUP(J80,SFAssumptions!$A$14:$B$16,2,FALSE)</f>
        <v>0</v>
      </c>
      <c r="M80" s="452">
        <f>VLOOKUP(K80,SFAssumptions!$A$18:$B$20,2,FALSE)</f>
        <v>1</v>
      </c>
      <c r="N80" s="453">
        <f ca="1">HLOOKUP($G80,'SFBaselines and Measures'!$C$3:$V$33,7,FALSE)</f>
        <v>4047.8861059902265</v>
      </c>
      <c r="O80" s="454"/>
      <c r="P80" s="455"/>
      <c r="Q80" s="455">
        <f ca="1">HLOOKUP($G80,'SFBaselines and Measures'!$C$3:$V$33,26,FALSE)</f>
        <v>316.65660041708048</v>
      </c>
      <c r="R80" s="455"/>
      <c r="S80" s="456"/>
      <c r="T80" s="456">
        <f ca="1">HLOOKUP($G80,'SFBaselines and Measures'!$C$3:$V$33,30,FALSE)</f>
        <v>12.104388544903154</v>
      </c>
      <c r="U80" s="456"/>
      <c r="V80" s="456"/>
      <c r="W80" s="457"/>
      <c r="X80" s="453"/>
      <c r="Y80" s="454"/>
      <c r="Z80" s="455"/>
      <c r="AA80" s="455">
        <f ca="1">HLOOKUP($H80,'SFBaselines and Measures'!$C$2:$V$33,27,FALSE)</f>
        <v>286.54897691296929</v>
      </c>
      <c r="AB80" s="455"/>
      <c r="AC80" s="456"/>
      <c r="AD80" s="456">
        <f ca="1">HLOOKUP($H80,'SFBaselines and Measures'!$C$2:$V$33,31,FALSE)</f>
        <v>10.9535065718844</v>
      </c>
      <c r="AE80" s="456"/>
      <c r="AF80" s="456"/>
      <c r="AG80" s="457"/>
      <c r="AH80" s="453"/>
      <c r="AI80" s="454"/>
      <c r="AJ80" s="455"/>
      <c r="AK80" s="455">
        <f t="shared" ca="1" si="35"/>
        <v>30.107623504111189</v>
      </c>
      <c r="AL80" s="455"/>
      <c r="AM80" s="456"/>
      <c r="AN80" s="456">
        <f t="shared" ca="1" si="36"/>
        <v>1.1508819730187536</v>
      </c>
      <c r="AO80" s="456"/>
      <c r="AP80" s="456"/>
      <c r="AQ80" s="458"/>
      <c r="AR80" s="452" t="str">
        <f t="shared" si="18"/>
        <v>ENERGY STAR - Top-Load Clothes Washer - Gas DHW, Electric Dryer - 31% ENERGY STAR Baseline</v>
      </c>
      <c r="AS80" s="454">
        <f t="shared" si="19"/>
        <v>0</v>
      </c>
      <c r="AT80" s="455">
        <f t="shared" ca="1" si="20"/>
        <v>30.107623504111189</v>
      </c>
      <c r="AU80" s="456">
        <f t="shared" ca="1" si="21"/>
        <v>0</v>
      </c>
      <c r="AV80" s="456">
        <f t="shared" si="22"/>
        <v>0</v>
      </c>
      <c r="AW80" s="456"/>
      <c r="AX80" s="455">
        <f t="shared" ca="1" si="37"/>
        <v>33.280557165469396</v>
      </c>
      <c r="AY80" s="455"/>
      <c r="AZ80" s="458"/>
      <c r="BA80" s="450" t="str">
        <f t="shared" si="38"/>
        <v>ENERGY STAR - Top-Load Clothes Washer - Gas DHW, Electric Dryer - 31% ENERGY STAR Baseline</v>
      </c>
      <c r="BB80" s="450" t="s">
        <v>26</v>
      </c>
      <c r="BC80" s="455">
        <f t="shared" ca="1" si="25"/>
        <v>30.107623504111189</v>
      </c>
      <c r="BD80" s="455">
        <f>SFAssumptions!$C$7</f>
        <v>14</v>
      </c>
      <c r="BE80" s="459">
        <f t="shared" si="26"/>
        <v>0</v>
      </c>
      <c r="BF80" s="450"/>
      <c r="BG80" s="449" t="s">
        <v>159</v>
      </c>
      <c r="BH80" s="460"/>
      <c r="BI80" s="450"/>
      <c r="BJ80" s="450"/>
      <c r="BK80" s="450"/>
      <c r="BL80" s="450"/>
      <c r="BM80" s="450"/>
      <c r="BN80" s="450"/>
      <c r="BO80" s="461">
        <f t="shared" ca="1" si="28"/>
        <v>0</v>
      </c>
      <c r="BP80" s="450" t="s">
        <v>159</v>
      </c>
    </row>
    <row r="81" spans="1:68" s="309" customFormat="1">
      <c r="A81" s="450">
        <f t="shared" si="39"/>
        <v>4</v>
      </c>
      <c r="B81" s="450">
        <f t="shared" si="3"/>
        <v>1</v>
      </c>
      <c r="C81" s="450">
        <f t="shared" si="4"/>
        <v>4</v>
      </c>
      <c r="D81" s="450">
        <f t="shared" si="5"/>
        <v>1</v>
      </c>
      <c r="E81" s="450">
        <f t="shared" si="6"/>
        <v>4</v>
      </c>
      <c r="F81" s="450"/>
      <c r="G81" s="450" t="str">
        <f t="shared" si="12"/>
        <v>Current Practice Baseline Using 31% ENERGY STAR Penetration</v>
      </c>
      <c r="H81" s="450" t="str">
        <f t="shared" si="13"/>
        <v>ENERGY STAR - Top-Load</v>
      </c>
      <c r="I81" s="450" t="str">
        <f t="shared" si="7"/>
        <v>Gas DHW, Gas Dryer</v>
      </c>
      <c r="J81" s="450" t="str">
        <f t="shared" si="8"/>
        <v>Gas DHW</v>
      </c>
      <c r="K81" s="450" t="str">
        <f t="shared" si="9"/>
        <v>Gas Dryer</v>
      </c>
      <c r="L81" s="451">
        <f>VLOOKUP(J81,SFAssumptions!$A$14:$B$16,2,FALSE)</f>
        <v>0</v>
      </c>
      <c r="M81" s="452">
        <f>VLOOKUP(K81,SFAssumptions!$A$18:$B$20,2,FALSE)</f>
        <v>0</v>
      </c>
      <c r="N81" s="453">
        <f ca="1">HLOOKUP($G81,'SFBaselines and Measures'!$C$3:$V$33,7,FALSE)</f>
        <v>4047.8861059902265</v>
      </c>
      <c r="O81" s="454"/>
      <c r="P81" s="455"/>
      <c r="Q81" s="455">
        <f ca="1">HLOOKUP($G81,'SFBaselines and Measures'!$C$3:$V$33,26,FALSE)</f>
        <v>316.65660041708048</v>
      </c>
      <c r="R81" s="455"/>
      <c r="S81" s="456"/>
      <c r="T81" s="456">
        <f ca="1">HLOOKUP($G81,'SFBaselines and Measures'!$C$3:$V$33,30,FALSE)</f>
        <v>12.104388544903154</v>
      </c>
      <c r="U81" s="456"/>
      <c r="V81" s="456"/>
      <c r="W81" s="457"/>
      <c r="X81" s="453"/>
      <c r="Y81" s="454"/>
      <c r="Z81" s="455"/>
      <c r="AA81" s="455">
        <f ca="1">HLOOKUP($H81,'SFBaselines and Measures'!$C$2:$V$33,27,FALSE)</f>
        <v>286.54897691296929</v>
      </c>
      <c r="AB81" s="455"/>
      <c r="AC81" s="456"/>
      <c r="AD81" s="456">
        <f ca="1">HLOOKUP($H81,'SFBaselines and Measures'!$C$2:$V$33,31,FALSE)</f>
        <v>10.9535065718844</v>
      </c>
      <c r="AE81" s="456"/>
      <c r="AF81" s="456"/>
      <c r="AG81" s="457"/>
      <c r="AH81" s="453"/>
      <c r="AI81" s="454"/>
      <c r="AJ81" s="455"/>
      <c r="AK81" s="455">
        <f t="shared" ca="1" si="35"/>
        <v>30.107623504111189</v>
      </c>
      <c r="AL81" s="455"/>
      <c r="AM81" s="456"/>
      <c r="AN81" s="456">
        <f t="shared" ca="1" si="36"/>
        <v>1.1508819730187536</v>
      </c>
      <c r="AO81" s="456"/>
      <c r="AP81" s="456"/>
      <c r="AQ81" s="458"/>
      <c r="AR81" s="452" t="str">
        <f t="shared" si="18"/>
        <v>ENERGY STAR - Top-Load Clothes Washer - Gas DHW, Gas Dryer - 31% ENERGY STAR Baseline</v>
      </c>
      <c r="AS81" s="454">
        <f t="shared" si="19"/>
        <v>0</v>
      </c>
      <c r="AT81" s="455">
        <f t="shared" ca="1" si="20"/>
        <v>0</v>
      </c>
      <c r="AU81" s="456">
        <f t="shared" ca="1" si="21"/>
        <v>1.1508819730187536</v>
      </c>
      <c r="AV81" s="456">
        <f t="shared" si="22"/>
        <v>0</v>
      </c>
      <c r="AW81" s="456"/>
      <c r="AX81" s="455">
        <f t="shared" ca="1" si="37"/>
        <v>3.17293366135821</v>
      </c>
      <c r="AY81" s="455"/>
      <c r="AZ81" s="458"/>
      <c r="BA81" s="450" t="str">
        <f t="shared" si="38"/>
        <v>ENERGY STAR - Top-Load Clothes Washer - Gas DHW, Gas Dryer - 31% ENERGY STAR Baseline</v>
      </c>
      <c r="BB81" s="450" t="s">
        <v>26</v>
      </c>
      <c r="BC81" s="455">
        <f t="shared" ca="1" si="25"/>
        <v>0</v>
      </c>
      <c r="BD81" s="455">
        <f>SFAssumptions!$C$7</f>
        <v>14</v>
      </c>
      <c r="BE81" s="459">
        <f t="shared" si="26"/>
        <v>0</v>
      </c>
      <c r="BF81" s="450"/>
      <c r="BG81" s="449" t="s">
        <v>159</v>
      </c>
      <c r="BH81" s="460"/>
      <c r="BI81" s="450"/>
      <c r="BJ81" s="450"/>
      <c r="BK81" s="450"/>
      <c r="BL81" s="450"/>
      <c r="BM81" s="450"/>
      <c r="BN81" s="450"/>
      <c r="BO81" s="461">
        <f t="shared" ca="1" si="28"/>
        <v>1.1508819730187536</v>
      </c>
      <c r="BP81" s="450" t="s">
        <v>159</v>
      </c>
    </row>
    <row r="82" spans="1:68" s="309" customFormat="1">
      <c r="A82" s="450">
        <f t="shared" si="39"/>
        <v>5</v>
      </c>
      <c r="B82" s="450">
        <f t="shared" si="3"/>
        <v>1</v>
      </c>
      <c r="C82" s="450">
        <f t="shared" si="4"/>
        <v>5</v>
      </c>
      <c r="D82" s="450">
        <f t="shared" si="5"/>
        <v>1</v>
      </c>
      <c r="E82" s="450">
        <f t="shared" si="6"/>
        <v>5</v>
      </c>
      <c r="F82" s="450"/>
      <c r="G82" s="450" t="str">
        <f t="shared" si="12"/>
        <v>Current Practice Baseline Using 31% ENERGY STAR Penetration</v>
      </c>
      <c r="H82" s="450" t="str">
        <f t="shared" si="13"/>
        <v>ENERGY STAR - Top-Load</v>
      </c>
      <c r="I82" s="450" t="str">
        <f t="shared" si="7"/>
        <v>Any DHW, Any Dryer</v>
      </c>
      <c r="J82" s="450" t="str">
        <f t="shared" si="8"/>
        <v>Any DHW</v>
      </c>
      <c r="K82" s="450" t="str">
        <f t="shared" si="9"/>
        <v>Any Dryer</v>
      </c>
      <c r="L82" s="451">
        <f>VLOOKUP(J82,SFAssumptions!$A$14:$B$16,2,FALSE)</f>
        <v>0.55200000000000005</v>
      </c>
      <c r="M82" s="452">
        <f>VLOOKUP(K82,SFAssumptions!$A$18:$B$20,2,FALSE)</f>
        <v>0.95</v>
      </c>
      <c r="N82" s="453">
        <f ca="1">HLOOKUP($G82,'SFBaselines and Measures'!$C$3:$V$33,7,FALSE)</f>
        <v>4047.8861059902265</v>
      </c>
      <c r="O82" s="454"/>
      <c r="P82" s="455"/>
      <c r="Q82" s="455">
        <f ca="1">HLOOKUP($G82,'SFBaselines and Measures'!$C$3:$V$33,26,FALSE)</f>
        <v>316.65660041708048</v>
      </c>
      <c r="R82" s="455"/>
      <c r="S82" s="456"/>
      <c r="T82" s="456">
        <f ca="1">HLOOKUP($G82,'SFBaselines and Measures'!$C$3:$V$33,30,FALSE)</f>
        <v>12.104388544903154</v>
      </c>
      <c r="U82" s="456"/>
      <c r="V82" s="456"/>
      <c r="W82" s="457"/>
      <c r="X82" s="453"/>
      <c r="Y82" s="454"/>
      <c r="Z82" s="455"/>
      <c r="AA82" s="455">
        <f ca="1">HLOOKUP($H82,'SFBaselines and Measures'!$C$2:$V$33,27,FALSE)</f>
        <v>286.54897691296929</v>
      </c>
      <c r="AB82" s="455"/>
      <c r="AC82" s="456"/>
      <c r="AD82" s="456">
        <f ca="1">HLOOKUP($H82,'SFBaselines and Measures'!$C$2:$V$33,31,FALSE)</f>
        <v>10.9535065718844</v>
      </c>
      <c r="AE82" s="456"/>
      <c r="AF82" s="456"/>
      <c r="AG82" s="457"/>
      <c r="AH82" s="453"/>
      <c r="AI82" s="454"/>
      <c r="AJ82" s="455"/>
      <c r="AK82" s="455">
        <f t="shared" ca="1" si="35"/>
        <v>30.107623504111189</v>
      </c>
      <c r="AL82" s="455"/>
      <c r="AM82" s="456"/>
      <c r="AN82" s="456">
        <f t="shared" ca="1" si="36"/>
        <v>1.1508819730187536</v>
      </c>
      <c r="AO82" s="456"/>
      <c r="AP82" s="456"/>
      <c r="AQ82" s="458"/>
      <c r="AR82" s="452" t="str">
        <f t="shared" si="18"/>
        <v>ENERGY STAR - Top-Load Clothes Washer - Any DHW, Any Dryer - 31% ENERGY STAR Baseline</v>
      </c>
      <c r="AS82" s="454">
        <f t="shared" si="19"/>
        <v>0</v>
      </c>
      <c r="AT82" s="455">
        <f t="shared" ca="1" si="20"/>
        <v>28.602242328905628</v>
      </c>
      <c r="AU82" s="456">
        <f t="shared" ca="1" si="21"/>
        <v>5.7544098650937729E-2</v>
      </c>
      <c r="AV82" s="456">
        <f t="shared" si="22"/>
        <v>0</v>
      </c>
      <c r="AW82" s="456"/>
      <c r="AX82" s="455">
        <f t="shared" ca="1" si="37"/>
        <v>31.77517599026384</v>
      </c>
      <c r="AY82" s="455"/>
      <c r="AZ82" s="458"/>
      <c r="BA82" s="450" t="str">
        <f t="shared" si="38"/>
        <v>ENERGY STAR - Top-Load Clothes Washer - Any DHW, Any Dryer - 31% ENERGY STAR Baseline</v>
      </c>
      <c r="BB82" s="450" t="s">
        <v>26</v>
      </c>
      <c r="BC82" s="455">
        <f t="shared" ca="1" si="25"/>
        <v>28.602242328905628</v>
      </c>
      <c r="BD82" s="455">
        <f>SFAssumptions!$C$7</f>
        <v>14</v>
      </c>
      <c r="BE82" s="459">
        <f t="shared" si="26"/>
        <v>0</v>
      </c>
      <c r="BF82" s="450"/>
      <c r="BG82" s="449" t="s">
        <v>159</v>
      </c>
      <c r="BH82" s="460"/>
      <c r="BI82" s="450"/>
      <c r="BJ82" s="450"/>
      <c r="BK82" s="450"/>
      <c r="BL82" s="450"/>
      <c r="BM82" s="450"/>
      <c r="BN82" s="450"/>
      <c r="BO82" s="461">
        <f t="shared" ca="1" si="28"/>
        <v>5.7544098650937729E-2</v>
      </c>
      <c r="BP82" s="450" t="s">
        <v>159</v>
      </c>
    </row>
    <row r="83" spans="1:68" s="309" customFormat="1">
      <c r="A83" s="450">
        <f t="shared" si="39"/>
        <v>6</v>
      </c>
      <c r="B83" s="450">
        <f t="shared" si="3"/>
        <v>1</v>
      </c>
      <c r="C83" s="450">
        <f t="shared" si="4"/>
        <v>6</v>
      </c>
      <c r="D83" s="450">
        <f t="shared" si="5"/>
        <v>2</v>
      </c>
      <c r="E83" s="450">
        <f t="shared" si="6"/>
        <v>1</v>
      </c>
      <c r="F83" s="450"/>
      <c r="G83" s="450" t="str">
        <f t="shared" si="12"/>
        <v>Current Practice Baseline Using 31% ENERGY STAR Penetration</v>
      </c>
      <c r="H83" s="450" t="str">
        <f t="shared" ref="H83:H146" si="40">VLOOKUP(D83,$J$2:$O$12,6,FALSE)</f>
        <v>ENERGY STAR - Front-Load</v>
      </c>
      <c r="I83" s="450" t="str">
        <f t="shared" si="7"/>
        <v>Electric DHW, Electric Dryer</v>
      </c>
      <c r="J83" s="450" t="str">
        <f t="shared" si="8"/>
        <v>Electric DHW</v>
      </c>
      <c r="K83" s="450" t="str">
        <f t="shared" si="9"/>
        <v>Electric Dryer</v>
      </c>
      <c r="L83" s="451">
        <f>VLOOKUP(J83,SFAssumptions!$A$14:$B$16,2,FALSE)</f>
        <v>1</v>
      </c>
      <c r="M83" s="452">
        <f>VLOOKUP(K83,SFAssumptions!$A$18:$B$20,2,FALSE)</f>
        <v>1</v>
      </c>
      <c r="N83" s="453">
        <f ca="1">HLOOKUP($G83,'SFBaselines and Measures'!$C$3:$V$33,7,FALSE)</f>
        <v>4047.8861059902265</v>
      </c>
      <c r="O83" s="454"/>
      <c r="P83" s="455"/>
      <c r="Q83" s="455">
        <f ca="1">HLOOKUP($G83,'SFBaselines and Measures'!$C$3:$V$33,26,FALSE)</f>
        <v>316.65660041708048</v>
      </c>
      <c r="R83" s="455"/>
      <c r="S83" s="456"/>
      <c r="T83" s="456">
        <f ca="1">HLOOKUP($G83,'SFBaselines and Measures'!$C$3:$V$33,30,FALSE)</f>
        <v>12.104388544903154</v>
      </c>
      <c r="U83" s="456"/>
      <c r="V83" s="456"/>
      <c r="W83" s="457"/>
      <c r="X83" s="453"/>
      <c r="Y83" s="454"/>
      <c r="Z83" s="455"/>
      <c r="AA83" s="455">
        <f ca="1">HLOOKUP($H83,'SFBaselines and Measures'!$C$2:$V$33,27,FALSE)</f>
        <v>250.88836076746819</v>
      </c>
      <c r="AB83" s="455"/>
      <c r="AC83" s="456"/>
      <c r="AD83" s="456">
        <f ca="1">HLOOKUP($H83,'SFBaselines and Measures'!$C$2:$V$33,31,FALSE)</f>
        <v>9.5903581233529334</v>
      </c>
      <c r="AE83" s="456"/>
      <c r="AF83" s="456"/>
      <c r="AG83" s="457"/>
      <c r="AH83" s="453"/>
      <c r="AI83" s="454"/>
      <c r="AJ83" s="455"/>
      <c r="AK83" s="455">
        <f t="shared" ca="1" si="35"/>
        <v>65.768239649612298</v>
      </c>
      <c r="AL83" s="455"/>
      <c r="AM83" s="456"/>
      <c r="AN83" s="456">
        <f t="shared" ca="1" si="36"/>
        <v>2.5140304215502205</v>
      </c>
      <c r="AO83" s="456"/>
      <c r="AP83" s="456"/>
      <c r="AQ83" s="458"/>
      <c r="AR83" s="452" t="str">
        <f t="shared" ref="AR83:AR137" si="41">BA83</f>
        <v>ENERGY STAR - Front-Load Clothes Washer - Electric DHW, Electric Dryer - 31% ENERGY STAR Baseline</v>
      </c>
      <c r="AS83" s="454">
        <f t="shared" ref="AS83:AS137" si="42">BE83</f>
        <v>0</v>
      </c>
      <c r="AT83" s="455">
        <f t="shared" ref="AT83:AT137" ca="1" si="43">AJ83+AL83*L83+AK83*M83</f>
        <v>65.768239649612298</v>
      </c>
      <c r="AU83" s="456">
        <f t="shared" ref="AU83:AU137" ca="1" si="44">AO83*(1-L83)+AN83*(1-M83)</f>
        <v>0</v>
      </c>
      <c r="AV83" s="456">
        <f t="shared" ref="AV83:AV137" si="45">AH83</f>
        <v>0</v>
      </c>
      <c r="AW83" s="456"/>
      <c r="AX83" s="455">
        <f t="shared" ca="1" si="37"/>
        <v>70.000141299452139</v>
      </c>
      <c r="AY83" s="455"/>
      <c r="AZ83" s="458"/>
      <c r="BA83" s="450" t="str">
        <f t="shared" si="38"/>
        <v>ENERGY STAR - Front-Load Clothes Washer - Electric DHW, Electric Dryer - 31% ENERGY STAR Baseline</v>
      </c>
      <c r="BB83" s="450" t="s">
        <v>26</v>
      </c>
      <c r="BC83" s="455">
        <f t="shared" ref="BC83:BC137" ca="1" si="46">AT83</f>
        <v>65.768239649612298</v>
      </c>
      <c r="BD83" s="455">
        <f>SFAssumptions!$C$7</f>
        <v>14</v>
      </c>
      <c r="BE83" s="459">
        <f t="shared" ref="BE83:BE137" si="47">AI83</f>
        <v>0</v>
      </c>
      <c r="BF83" s="450"/>
      <c r="BG83" s="449" t="s">
        <v>159</v>
      </c>
      <c r="BH83" s="460"/>
      <c r="BI83" s="450"/>
      <c r="BJ83" s="450"/>
      <c r="BK83" s="450"/>
      <c r="BL83" s="450"/>
      <c r="BM83" s="450"/>
      <c r="BN83" s="450"/>
      <c r="BO83" s="461">
        <f t="shared" ref="BO83:BO137" ca="1" si="48">AU83</f>
        <v>0</v>
      </c>
      <c r="BP83" s="450" t="s">
        <v>159</v>
      </c>
    </row>
    <row r="84" spans="1:68" s="309" customFormat="1">
      <c r="A84" s="450">
        <f t="shared" si="39"/>
        <v>7</v>
      </c>
      <c r="B84" s="450">
        <f t="shared" si="3"/>
        <v>1</v>
      </c>
      <c r="C84" s="450">
        <f t="shared" si="4"/>
        <v>7</v>
      </c>
      <c r="D84" s="450">
        <f t="shared" si="5"/>
        <v>2</v>
      </c>
      <c r="E84" s="450">
        <f t="shared" si="6"/>
        <v>2</v>
      </c>
      <c r="F84" s="450"/>
      <c r="G84" s="450" t="str">
        <f t="shared" si="12"/>
        <v>Current Practice Baseline Using 31% ENERGY STAR Penetration</v>
      </c>
      <c r="H84" s="450" t="str">
        <f t="shared" si="40"/>
        <v>ENERGY STAR - Front-Load</v>
      </c>
      <c r="I84" s="450" t="str">
        <f t="shared" si="7"/>
        <v>Electric DHW, Gas Dryer</v>
      </c>
      <c r="J84" s="450" t="str">
        <f t="shared" si="8"/>
        <v>Electric DHW</v>
      </c>
      <c r="K84" s="450" t="str">
        <f t="shared" si="9"/>
        <v>Gas Dryer</v>
      </c>
      <c r="L84" s="451">
        <f>VLOOKUP(J84,SFAssumptions!$A$14:$B$16,2,FALSE)</f>
        <v>1</v>
      </c>
      <c r="M84" s="452">
        <f>VLOOKUP(K84,SFAssumptions!$A$18:$B$20,2,FALSE)</f>
        <v>0</v>
      </c>
      <c r="N84" s="453">
        <f ca="1">HLOOKUP($G84,'SFBaselines and Measures'!$C$3:$V$33,7,FALSE)</f>
        <v>4047.8861059902265</v>
      </c>
      <c r="O84" s="454"/>
      <c r="P84" s="455"/>
      <c r="Q84" s="455">
        <f ca="1">HLOOKUP($G84,'SFBaselines and Measures'!$C$3:$V$33,26,FALSE)</f>
        <v>316.65660041708048</v>
      </c>
      <c r="R84" s="455"/>
      <c r="S84" s="456"/>
      <c r="T84" s="456">
        <f ca="1">HLOOKUP($G84,'SFBaselines and Measures'!$C$3:$V$33,30,FALSE)</f>
        <v>12.104388544903154</v>
      </c>
      <c r="U84" s="456"/>
      <c r="V84" s="456"/>
      <c r="W84" s="457"/>
      <c r="X84" s="453"/>
      <c r="Y84" s="454"/>
      <c r="Z84" s="455"/>
      <c r="AA84" s="455">
        <f ca="1">HLOOKUP($H84,'SFBaselines and Measures'!$C$2:$V$33,27,FALSE)</f>
        <v>250.88836076746819</v>
      </c>
      <c r="AB84" s="455"/>
      <c r="AC84" s="456"/>
      <c r="AD84" s="456">
        <f ca="1">HLOOKUP($H84,'SFBaselines and Measures'!$C$2:$V$33,31,FALSE)</f>
        <v>9.5903581233529334</v>
      </c>
      <c r="AE84" s="456"/>
      <c r="AF84" s="456"/>
      <c r="AG84" s="457"/>
      <c r="AH84" s="453"/>
      <c r="AI84" s="454"/>
      <c r="AJ84" s="455"/>
      <c r="AK84" s="455">
        <f t="shared" ca="1" si="35"/>
        <v>65.768239649612298</v>
      </c>
      <c r="AL84" s="455"/>
      <c r="AM84" s="456"/>
      <c r="AN84" s="456">
        <f t="shared" ca="1" si="36"/>
        <v>2.5140304215502205</v>
      </c>
      <c r="AO84" s="456"/>
      <c r="AP84" s="456"/>
      <c r="AQ84" s="458"/>
      <c r="AR84" s="452" t="str">
        <f t="shared" si="41"/>
        <v>ENERGY STAR - Front-Load Clothes Washer - Electric DHW, Gas Dryer - 31% ENERGY STAR Baseline</v>
      </c>
      <c r="AS84" s="454">
        <f t="shared" si="42"/>
        <v>0</v>
      </c>
      <c r="AT84" s="455">
        <f t="shared" ca="1" si="43"/>
        <v>0</v>
      </c>
      <c r="AU84" s="456">
        <f t="shared" ca="1" si="44"/>
        <v>2.5140304215502205</v>
      </c>
      <c r="AV84" s="456">
        <f t="shared" si="45"/>
        <v>0</v>
      </c>
      <c r="AW84" s="456"/>
      <c r="AX84" s="455">
        <f t="shared" ca="1" si="37"/>
        <v>4.2319016498398385</v>
      </c>
      <c r="AY84" s="455"/>
      <c r="AZ84" s="458"/>
      <c r="BA84" s="450" t="str">
        <f t="shared" si="38"/>
        <v>ENERGY STAR - Front-Load Clothes Washer - Electric DHW, Gas Dryer - 31% ENERGY STAR Baseline</v>
      </c>
      <c r="BB84" s="450" t="s">
        <v>26</v>
      </c>
      <c r="BC84" s="455">
        <f t="shared" ca="1" si="46"/>
        <v>0</v>
      </c>
      <c r="BD84" s="455">
        <f>SFAssumptions!$C$7</f>
        <v>14</v>
      </c>
      <c r="BE84" s="459">
        <f t="shared" si="47"/>
        <v>0</v>
      </c>
      <c r="BF84" s="450"/>
      <c r="BG84" s="449" t="s">
        <v>159</v>
      </c>
      <c r="BH84" s="460"/>
      <c r="BI84" s="450"/>
      <c r="BJ84" s="450"/>
      <c r="BK84" s="450"/>
      <c r="BL84" s="450"/>
      <c r="BM84" s="450"/>
      <c r="BN84" s="450"/>
      <c r="BO84" s="461">
        <f t="shared" ca="1" si="48"/>
        <v>2.5140304215502205</v>
      </c>
      <c r="BP84" s="450" t="s">
        <v>159</v>
      </c>
    </row>
    <row r="85" spans="1:68" s="309" customFormat="1">
      <c r="A85" s="450">
        <f t="shared" si="39"/>
        <v>8</v>
      </c>
      <c r="B85" s="450">
        <f t="shared" si="3"/>
        <v>1</v>
      </c>
      <c r="C85" s="450">
        <f t="shared" si="4"/>
        <v>8</v>
      </c>
      <c r="D85" s="450">
        <f t="shared" si="5"/>
        <v>2</v>
      </c>
      <c r="E85" s="450">
        <f t="shared" si="6"/>
        <v>3</v>
      </c>
      <c r="F85" s="450"/>
      <c r="G85" s="450" t="str">
        <f t="shared" si="12"/>
        <v>Current Practice Baseline Using 31% ENERGY STAR Penetration</v>
      </c>
      <c r="H85" s="450" t="str">
        <f t="shared" si="40"/>
        <v>ENERGY STAR - Front-Load</v>
      </c>
      <c r="I85" s="450" t="str">
        <f t="shared" si="7"/>
        <v>Gas DHW, Electric Dryer</v>
      </c>
      <c r="J85" s="450" t="str">
        <f t="shared" si="8"/>
        <v>Gas DHW</v>
      </c>
      <c r="K85" s="450" t="str">
        <f t="shared" si="9"/>
        <v>Electric Dryer</v>
      </c>
      <c r="L85" s="451">
        <f>VLOOKUP(J85,SFAssumptions!$A$14:$B$16,2,FALSE)</f>
        <v>0</v>
      </c>
      <c r="M85" s="452">
        <f>VLOOKUP(K85,SFAssumptions!$A$18:$B$20,2,FALSE)</f>
        <v>1</v>
      </c>
      <c r="N85" s="453">
        <f ca="1">HLOOKUP($G85,'SFBaselines and Measures'!$C$3:$V$33,7,FALSE)</f>
        <v>4047.8861059902265</v>
      </c>
      <c r="O85" s="454"/>
      <c r="P85" s="455"/>
      <c r="Q85" s="455">
        <f ca="1">HLOOKUP($G85,'SFBaselines and Measures'!$C$3:$V$33,26,FALSE)</f>
        <v>316.65660041708048</v>
      </c>
      <c r="R85" s="455"/>
      <c r="S85" s="456"/>
      <c r="T85" s="456">
        <f ca="1">HLOOKUP($G85,'SFBaselines and Measures'!$C$3:$V$33,30,FALSE)</f>
        <v>12.104388544903154</v>
      </c>
      <c r="U85" s="456"/>
      <c r="V85" s="456"/>
      <c r="W85" s="457"/>
      <c r="X85" s="453"/>
      <c r="Y85" s="454"/>
      <c r="Z85" s="455"/>
      <c r="AA85" s="455">
        <f ca="1">HLOOKUP($H85,'SFBaselines and Measures'!$C$2:$V$33,27,FALSE)</f>
        <v>250.88836076746819</v>
      </c>
      <c r="AB85" s="455"/>
      <c r="AC85" s="456"/>
      <c r="AD85" s="456">
        <f ca="1">HLOOKUP($H85,'SFBaselines and Measures'!$C$2:$V$33,31,FALSE)</f>
        <v>9.5903581233529334</v>
      </c>
      <c r="AE85" s="456"/>
      <c r="AF85" s="456"/>
      <c r="AG85" s="457"/>
      <c r="AH85" s="453"/>
      <c r="AI85" s="454"/>
      <c r="AJ85" s="455"/>
      <c r="AK85" s="455">
        <f t="shared" ca="1" si="35"/>
        <v>65.768239649612298</v>
      </c>
      <c r="AL85" s="455"/>
      <c r="AM85" s="456"/>
      <c r="AN85" s="456">
        <f t="shared" ca="1" si="36"/>
        <v>2.5140304215502205</v>
      </c>
      <c r="AO85" s="456"/>
      <c r="AP85" s="456"/>
      <c r="AQ85" s="458"/>
      <c r="AR85" s="452" t="str">
        <f t="shared" si="41"/>
        <v>ENERGY STAR - Front-Load Clothes Washer - Gas DHW, Electric Dryer - 31% ENERGY STAR Baseline</v>
      </c>
      <c r="AS85" s="454">
        <f t="shared" si="42"/>
        <v>0</v>
      </c>
      <c r="AT85" s="455">
        <f t="shared" ca="1" si="43"/>
        <v>65.768239649612298</v>
      </c>
      <c r="AU85" s="456">
        <f t="shared" ca="1" si="44"/>
        <v>0</v>
      </c>
      <c r="AV85" s="456">
        <f t="shared" si="45"/>
        <v>0</v>
      </c>
      <c r="AW85" s="456"/>
      <c r="AX85" s="455">
        <f t="shared" ca="1" si="37"/>
        <v>70.000141299452139</v>
      </c>
      <c r="AY85" s="455"/>
      <c r="AZ85" s="458"/>
      <c r="BA85" s="450" t="str">
        <f t="shared" si="38"/>
        <v>ENERGY STAR - Front-Load Clothes Washer - Gas DHW, Electric Dryer - 31% ENERGY STAR Baseline</v>
      </c>
      <c r="BB85" s="450" t="s">
        <v>26</v>
      </c>
      <c r="BC85" s="455">
        <f t="shared" ca="1" si="46"/>
        <v>65.768239649612298</v>
      </c>
      <c r="BD85" s="455">
        <f>SFAssumptions!$C$7</f>
        <v>14</v>
      </c>
      <c r="BE85" s="459">
        <f t="shared" si="47"/>
        <v>0</v>
      </c>
      <c r="BF85" s="450"/>
      <c r="BG85" s="449" t="s">
        <v>159</v>
      </c>
      <c r="BH85" s="460"/>
      <c r="BI85" s="450"/>
      <c r="BJ85" s="450"/>
      <c r="BK85" s="450"/>
      <c r="BL85" s="450"/>
      <c r="BM85" s="450"/>
      <c r="BN85" s="450"/>
      <c r="BO85" s="461">
        <f t="shared" ca="1" si="48"/>
        <v>0</v>
      </c>
      <c r="BP85" s="450" t="s">
        <v>159</v>
      </c>
    </row>
    <row r="86" spans="1:68" s="309" customFormat="1">
      <c r="A86" s="450">
        <f t="shared" si="39"/>
        <v>9</v>
      </c>
      <c r="B86" s="450">
        <f t="shared" si="3"/>
        <v>1</v>
      </c>
      <c r="C86" s="450">
        <f t="shared" si="4"/>
        <v>9</v>
      </c>
      <c r="D86" s="450">
        <f t="shared" si="5"/>
        <v>2</v>
      </c>
      <c r="E86" s="450">
        <f t="shared" si="6"/>
        <v>4</v>
      </c>
      <c r="F86" s="450"/>
      <c r="G86" s="450" t="str">
        <f t="shared" si="12"/>
        <v>Current Practice Baseline Using 31% ENERGY STAR Penetration</v>
      </c>
      <c r="H86" s="450" t="str">
        <f t="shared" si="40"/>
        <v>ENERGY STAR - Front-Load</v>
      </c>
      <c r="I86" s="450" t="str">
        <f t="shared" si="7"/>
        <v>Gas DHW, Gas Dryer</v>
      </c>
      <c r="J86" s="450" t="str">
        <f t="shared" si="8"/>
        <v>Gas DHW</v>
      </c>
      <c r="K86" s="450" t="str">
        <f t="shared" si="9"/>
        <v>Gas Dryer</v>
      </c>
      <c r="L86" s="451">
        <f>VLOOKUP(J86,SFAssumptions!$A$14:$B$16,2,FALSE)</f>
        <v>0</v>
      </c>
      <c r="M86" s="452">
        <f>VLOOKUP(K86,SFAssumptions!$A$18:$B$20,2,FALSE)</f>
        <v>0</v>
      </c>
      <c r="N86" s="453">
        <f ca="1">HLOOKUP($G86,'SFBaselines and Measures'!$C$3:$V$33,7,FALSE)</f>
        <v>4047.8861059902265</v>
      </c>
      <c r="O86" s="454"/>
      <c r="P86" s="455"/>
      <c r="Q86" s="455">
        <f ca="1">HLOOKUP($G86,'SFBaselines and Measures'!$C$3:$V$33,26,FALSE)</f>
        <v>316.65660041708048</v>
      </c>
      <c r="R86" s="455"/>
      <c r="S86" s="456"/>
      <c r="T86" s="456">
        <f ca="1">HLOOKUP($G86,'SFBaselines and Measures'!$C$3:$V$33,30,FALSE)</f>
        <v>12.104388544903154</v>
      </c>
      <c r="U86" s="456"/>
      <c r="V86" s="456"/>
      <c r="W86" s="457"/>
      <c r="X86" s="453"/>
      <c r="Y86" s="454"/>
      <c r="Z86" s="455"/>
      <c r="AA86" s="455">
        <f ca="1">HLOOKUP($H86,'SFBaselines and Measures'!$C$2:$V$33,27,FALSE)</f>
        <v>250.88836076746819</v>
      </c>
      <c r="AB86" s="455"/>
      <c r="AC86" s="456"/>
      <c r="AD86" s="456">
        <f ca="1">HLOOKUP($H86,'SFBaselines and Measures'!$C$2:$V$33,31,FALSE)</f>
        <v>9.5903581233529334</v>
      </c>
      <c r="AE86" s="456"/>
      <c r="AF86" s="456"/>
      <c r="AG86" s="457"/>
      <c r="AH86" s="453"/>
      <c r="AI86" s="454"/>
      <c r="AJ86" s="455"/>
      <c r="AK86" s="455">
        <f t="shared" ca="1" si="35"/>
        <v>65.768239649612298</v>
      </c>
      <c r="AL86" s="455"/>
      <c r="AM86" s="456"/>
      <c r="AN86" s="456">
        <f t="shared" ca="1" si="36"/>
        <v>2.5140304215502205</v>
      </c>
      <c r="AO86" s="456"/>
      <c r="AP86" s="456"/>
      <c r="AQ86" s="458"/>
      <c r="AR86" s="452" t="str">
        <f t="shared" si="41"/>
        <v>ENERGY STAR - Front-Load Clothes Washer - Gas DHW, Gas Dryer - 31% ENERGY STAR Baseline</v>
      </c>
      <c r="AS86" s="454">
        <f t="shared" si="42"/>
        <v>0</v>
      </c>
      <c r="AT86" s="455">
        <f t="shared" ca="1" si="43"/>
        <v>0</v>
      </c>
      <c r="AU86" s="456">
        <f t="shared" ca="1" si="44"/>
        <v>2.5140304215502205</v>
      </c>
      <c r="AV86" s="456">
        <f t="shared" si="45"/>
        <v>0</v>
      </c>
      <c r="AW86" s="456"/>
      <c r="AX86" s="455">
        <f t="shared" ca="1" si="37"/>
        <v>4.2319016498398385</v>
      </c>
      <c r="AY86" s="455"/>
      <c r="AZ86" s="458"/>
      <c r="BA86" s="450" t="str">
        <f t="shared" si="38"/>
        <v>ENERGY STAR - Front-Load Clothes Washer - Gas DHW, Gas Dryer - 31% ENERGY STAR Baseline</v>
      </c>
      <c r="BB86" s="450" t="s">
        <v>26</v>
      </c>
      <c r="BC86" s="455">
        <f t="shared" ca="1" si="46"/>
        <v>0</v>
      </c>
      <c r="BD86" s="455">
        <f>SFAssumptions!$C$7</f>
        <v>14</v>
      </c>
      <c r="BE86" s="459">
        <f t="shared" si="47"/>
        <v>0</v>
      </c>
      <c r="BF86" s="450"/>
      <c r="BG86" s="449" t="s">
        <v>159</v>
      </c>
      <c r="BH86" s="460"/>
      <c r="BI86" s="450"/>
      <c r="BJ86" s="450"/>
      <c r="BK86" s="450"/>
      <c r="BL86" s="450"/>
      <c r="BM86" s="450"/>
      <c r="BN86" s="450"/>
      <c r="BO86" s="461">
        <f t="shared" ca="1" si="48"/>
        <v>2.5140304215502205</v>
      </c>
      <c r="BP86" s="450" t="s">
        <v>159</v>
      </c>
    </row>
    <row r="87" spans="1:68" s="309" customFormat="1">
      <c r="A87" s="450">
        <f t="shared" si="39"/>
        <v>10</v>
      </c>
      <c r="B87" s="450">
        <f t="shared" si="3"/>
        <v>1</v>
      </c>
      <c r="C87" s="450">
        <f t="shared" si="4"/>
        <v>10</v>
      </c>
      <c r="D87" s="450">
        <f t="shared" si="5"/>
        <v>2</v>
      </c>
      <c r="E87" s="450">
        <f t="shared" si="6"/>
        <v>5</v>
      </c>
      <c r="F87" s="450"/>
      <c r="G87" s="450" t="str">
        <f t="shared" si="12"/>
        <v>Current Practice Baseline Using 31% ENERGY STAR Penetration</v>
      </c>
      <c r="H87" s="450" t="str">
        <f t="shared" si="40"/>
        <v>ENERGY STAR - Front-Load</v>
      </c>
      <c r="I87" s="450" t="str">
        <f t="shared" si="7"/>
        <v>Any DHW, Any Dryer</v>
      </c>
      <c r="J87" s="450" t="str">
        <f t="shared" si="8"/>
        <v>Any DHW</v>
      </c>
      <c r="K87" s="450" t="str">
        <f t="shared" si="9"/>
        <v>Any Dryer</v>
      </c>
      <c r="L87" s="451">
        <f>VLOOKUP(J87,SFAssumptions!$A$14:$B$16,2,FALSE)</f>
        <v>0.55200000000000005</v>
      </c>
      <c r="M87" s="452">
        <f>VLOOKUP(K87,SFAssumptions!$A$18:$B$20,2,FALSE)</f>
        <v>0.95</v>
      </c>
      <c r="N87" s="453">
        <f ca="1">HLOOKUP($G87,'SFBaselines and Measures'!$C$3:$V$33,7,FALSE)</f>
        <v>4047.8861059902265</v>
      </c>
      <c r="O87" s="454"/>
      <c r="P87" s="455"/>
      <c r="Q87" s="455">
        <f ca="1">HLOOKUP($G87,'SFBaselines and Measures'!$C$3:$V$33,26,FALSE)</f>
        <v>316.65660041708048</v>
      </c>
      <c r="R87" s="455"/>
      <c r="S87" s="456"/>
      <c r="T87" s="456">
        <f ca="1">HLOOKUP($G87,'SFBaselines and Measures'!$C$3:$V$33,30,FALSE)</f>
        <v>12.104388544903154</v>
      </c>
      <c r="U87" s="456"/>
      <c r="V87" s="456"/>
      <c r="W87" s="457"/>
      <c r="X87" s="453"/>
      <c r="Y87" s="454"/>
      <c r="Z87" s="455"/>
      <c r="AA87" s="455">
        <f ca="1">HLOOKUP($H87,'SFBaselines and Measures'!$C$2:$V$33,27,FALSE)</f>
        <v>250.88836076746819</v>
      </c>
      <c r="AB87" s="455"/>
      <c r="AC87" s="456"/>
      <c r="AD87" s="456">
        <f ca="1">HLOOKUP($H87,'SFBaselines and Measures'!$C$2:$V$33,31,FALSE)</f>
        <v>9.5903581233529334</v>
      </c>
      <c r="AE87" s="456"/>
      <c r="AF87" s="456"/>
      <c r="AG87" s="457"/>
      <c r="AH87" s="453"/>
      <c r="AI87" s="454"/>
      <c r="AJ87" s="455"/>
      <c r="AK87" s="455">
        <f t="shared" ca="1" si="35"/>
        <v>65.768239649612298</v>
      </c>
      <c r="AL87" s="455"/>
      <c r="AM87" s="456"/>
      <c r="AN87" s="456">
        <f t="shared" ca="1" si="36"/>
        <v>2.5140304215502205</v>
      </c>
      <c r="AO87" s="456"/>
      <c r="AP87" s="456"/>
      <c r="AQ87" s="458"/>
      <c r="AR87" s="452" t="str">
        <f t="shared" si="41"/>
        <v>ENERGY STAR - Front-Load Clothes Washer - Any DHW, Any Dryer - 31% ENERGY STAR Baseline</v>
      </c>
      <c r="AS87" s="454">
        <f t="shared" si="42"/>
        <v>0</v>
      </c>
      <c r="AT87" s="455">
        <f t="shared" ca="1" si="43"/>
        <v>62.47982766713168</v>
      </c>
      <c r="AU87" s="456">
        <f t="shared" ca="1" si="44"/>
        <v>0.12570152107751115</v>
      </c>
      <c r="AV87" s="456">
        <f t="shared" si="45"/>
        <v>0</v>
      </c>
      <c r="AW87" s="456"/>
      <c r="AX87" s="455">
        <f t="shared" ca="1" si="37"/>
        <v>66.711729316971514</v>
      </c>
      <c r="AY87" s="455"/>
      <c r="AZ87" s="458"/>
      <c r="BA87" s="450" t="str">
        <f t="shared" si="38"/>
        <v>ENERGY STAR - Front-Load Clothes Washer - Any DHW, Any Dryer - 31% ENERGY STAR Baseline</v>
      </c>
      <c r="BB87" s="450" t="s">
        <v>26</v>
      </c>
      <c r="BC87" s="455">
        <f t="shared" ca="1" si="46"/>
        <v>62.47982766713168</v>
      </c>
      <c r="BD87" s="455">
        <f>SFAssumptions!$C$7</f>
        <v>14</v>
      </c>
      <c r="BE87" s="459">
        <f t="shared" si="47"/>
        <v>0</v>
      </c>
      <c r="BF87" s="450"/>
      <c r="BG87" s="449" t="s">
        <v>159</v>
      </c>
      <c r="BH87" s="460"/>
      <c r="BI87" s="450"/>
      <c r="BJ87" s="450"/>
      <c r="BK87" s="450"/>
      <c r="BL87" s="450"/>
      <c r="BM87" s="450"/>
      <c r="BN87" s="450"/>
      <c r="BO87" s="461">
        <f t="shared" ca="1" si="48"/>
        <v>0.12570152107751115</v>
      </c>
      <c r="BP87" s="450" t="s">
        <v>159</v>
      </c>
    </row>
    <row r="88" spans="1:68" s="309" customFormat="1">
      <c r="A88" s="450">
        <f t="shared" si="39"/>
        <v>11</v>
      </c>
      <c r="B88" s="450">
        <f t="shared" si="3"/>
        <v>1</v>
      </c>
      <c r="C88" s="450">
        <f t="shared" si="4"/>
        <v>11</v>
      </c>
      <c r="D88" s="450">
        <f t="shared" si="5"/>
        <v>3</v>
      </c>
      <c r="E88" s="450">
        <f t="shared" si="6"/>
        <v>1</v>
      </c>
      <c r="F88" s="450"/>
      <c r="G88" s="450" t="str">
        <f t="shared" si="12"/>
        <v>Current Practice Baseline Using 31% ENERGY STAR Penetration</v>
      </c>
      <c r="H88" s="450" t="str">
        <f t="shared" si="40"/>
        <v>Any ENERGY STAR (Top- or Front-Load)</v>
      </c>
      <c r="I88" s="450" t="str">
        <f t="shared" si="7"/>
        <v>Electric DHW, Electric Dryer</v>
      </c>
      <c r="J88" s="450" t="str">
        <f t="shared" si="8"/>
        <v>Electric DHW</v>
      </c>
      <c r="K88" s="450" t="str">
        <f t="shared" si="9"/>
        <v>Electric Dryer</v>
      </c>
      <c r="L88" s="451">
        <f>VLOOKUP(J88,SFAssumptions!$A$14:$B$16,2,FALSE)</f>
        <v>1</v>
      </c>
      <c r="M88" s="452">
        <f>VLOOKUP(K88,SFAssumptions!$A$18:$B$20,2,FALSE)</f>
        <v>1</v>
      </c>
      <c r="N88" s="453">
        <f ca="1">HLOOKUP($G88,'SFBaselines and Measures'!$C$3:$V$33,7,FALSE)</f>
        <v>4047.8861059902265</v>
      </c>
      <c r="O88" s="454"/>
      <c r="P88" s="455"/>
      <c r="Q88" s="455">
        <f ca="1">HLOOKUP($G88,'SFBaselines and Measures'!$C$3:$V$33,26,FALSE)</f>
        <v>316.65660041708048</v>
      </c>
      <c r="R88" s="455"/>
      <c r="S88" s="456"/>
      <c r="T88" s="456">
        <f ca="1">HLOOKUP($G88,'SFBaselines and Measures'!$C$3:$V$33,30,FALSE)</f>
        <v>12.104388544903154</v>
      </c>
      <c r="U88" s="456"/>
      <c r="V88" s="456"/>
      <c r="W88" s="457"/>
      <c r="X88" s="453"/>
      <c r="Y88" s="454"/>
      <c r="Z88" s="455"/>
      <c r="AA88" s="455">
        <f ca="1">HLOOKUP($H88,'SFBaselines and Measures'!$C$2:$V$33,27,FALSE)</f>
        <v>260.83959343385447</v>
      </c>
      <c r="AB88" s="455"/>
      <c r="AC88" s="456"/>
      <c r="AD88" s="456">
        <f ca="1">HLOOKUP($H88,'SFBaselines and Measures'!$C$2:$V$33,31,FALSE)</f>
        <v>9.970749962765149</v>
      </c>
      <c r="AE88" s="456"/>
      <c r="AF88" s="456"/>
      <c r="AG88" s="457"/>
      <c r="AH88" s="453"/>
      <c r="AI88" s="454"/>
      <c r="AJ88" s="455"/>
      <c r="AK88" s="455">
        <f t="shared" ca="1" si="35"/>
        <v>55.817006983226008</v>
      </c>
      <c r="AL88" s="455"/>
      <c r="AM88" s="456"/>
      <c r="AN88" s="456">
        <f t="shared" ca="1" si="36"/>
        <v>2.1336385821380048</v>
      </c>
      <c r="AO88" s="456"/>
      <c r="AP88" s="456"/>
      <c r="AQ88" s="458"/>
      <c r="AR88" s="452" t="str">
        <f t="shared" si="41"/>
        <v>Any ENERGY STAR (Top- or Front-Load) Clothes Washer - Electric DHW, Electric Dryer - 31% ENERGY STAR Baseline</v>
      </c>
      <c r="AS88" s="454">
        <f t="shared" si="42"/>
        <v>0</v>
      </c>
      <c r="AT88" s="455">
        <f t="shared" ca="1" si="43"/>
        <v>55.817006983226008</v>
      </c>
      <c r="AU88" s="456">
        <f t="shared" ca="1" si="44"/>
        <v>0</v>
      </c>
      <c r="AV88" s="456">
        <f t="shared" si="45"/>
        <v>0</v>
      </c>
      <c r="AW88" s="456"/>
      <c r="AX88" s="455">
        <f t="shared" ca="1" si="37"/>
        <v>60.140374198289784</v>
      </c>
      <c r="AY88" s="455"/>
      <c r="AZ88" s="458"/>
      <c r="BA88" s="450" t="str">
        <f t="shared" si="38"/>
        <v>Any ENERGY STAR (Top- or Front-Load) Clothes Washer - Electric DHW, Electric Dryer - 31% ENERGY STAR Baseline</v>
      </c>
      <c r="BB88" s="450" t="s">
        <v>26</v>
      </c>
      <c r="BC88" s="455">
        <f t="shared" ca="1" si="46"/>
        <v>55.817006983226008</v>
      </c>
      <c r="BD88" s="455">
        <f>SFAssumptions!$C$7</f>
        <v>14</v>
      </c>
      <c r="BE88" s="459">
        <f t="shared" si="47"/>
        <v>0</v>
      </c>
      <c r="BF88" s="450"/>
      <c r="BG88" s="449" t="s">
        <v>159</v>
      </c>
      <c r="BH88" s="460"/>
      <c r="BI88" s="450"/>
      <c r="BJ88" s="450"/>
      <c r="BK88" s="450"/>
      <c r="BL88" s="450"/>
      <c r="BM88" s="450"/>
      <c r="BN88" s="450"/>
      <c r="BO88" s="461">
        <f t="shared" ca="1" si="48"/>
        <v>0</v>
      </c>
      <c r="BP88" s="450" t="s">
        <v>159</v>
      </c>
    </row>
    <row r="89" spans="1:68" s="309" customFormat="1">
      <c r="A89" s="450">
        <f t="shared" si="39"/>
        <v>12</v>
      </c>
      <c r="B89" s="450">
        <f t="shared" si="3"/>
        <v>1</v>
      </c>
      <c r="C89" s="450">
        <f t="shared" si="4"/>
        <v>12</v>
      </c>
      <c r="D89" s="450">
        <f t="shared" si="5"/>
        <v>3</v>
      </c>
      <c r="E89" s="450">
        <f t="shared" si="6"/>
        <v>2</v>
      </c>
      <c r="F89" s="450"/>
      <c r="G89" s="450" t="str">
        <f t="shared" si="12"/>
        <v>Current Practice Baseline Using 31% ENERGY STAR Penetration</v>
      </c>
      <c r="H89" s="450" t="str">
        <f t="shared" si="40"/>
        <v>Any ENERGY STAR (Top- or Front-Load)</v>
      </c>
      <c r="I89" s="450" t="str">
        <f t="shared" si="7"/>
        <v>Electric DHW, Gas Dryer</v>
      </c>
      <c r="J89" s="450" t="str">
        <f t="shared" si="8"/>
        <v>Electric DHW</v>
      </c>
      <c r="K89" s="450" t="str">
        <f t="shared" si="9"/>
        <v>Gas Dryer</v>
      </c>
      <c r="L89" s="451">
        <f>VLOOKUP(J89,SFAssumptions!$A$14:$B$16,2,FALSE)</f>
        <v>1</v>
      </c>
      <c r="M89" s="452">
        <f>VLOOKUP(K89,SFAssumptions!$A$18:$B$20,2,FALSE)</f>
        <v>0</v>
      </c>
      <c r="N89" s="453">
        <f ca="1">HLOOKUP($G89,'SFBaselines and Measures'!$C$3:$V$33,7,FALSE)</f>
        <v>4047.8861059902265</v>
      </c>
      <c r="O89" s="454"/>
      <c r="P89" s="455"/>
      <c r="Q89" s="455">
        <f ca="1">HLOOKUP($G89,'SFBaselines and Measures'!$C$3:$V$33,26,FALSE)</f>
        <v>316.65660041708048</v>
      </c>
      <c r="R89" s="455"/>
      <c r="S89" s="456"/>
      <c r="T89" s="456">
        <f ca="1">HLOOKUP($G89,'SFBaselines and Measures'!$C$3:$V$33,30,FALSE)</f>
        <v>12.104388544903154</v>
      </c>
      <c r="U89" s="456"/>
      <c r="V89" s="456"/>
      <c r="W89" s="457"/>
      <c r="X89" s="453"/>
      <c r="Y89" s="454"/>
      <c r="Z89" s="455"/>
      <c r="AA89" s="455">
        <f ca="1">HLOOKUP($H89,'SFBaselines and Measures'!$C$2:$V$33,27,FALSE)</f>
        <v>260.83959343385447</v>
      </c>
      <c r="AB89" s="455"/>
      <c r="AC89" s="456"/>
      <c r="AD89" s="456">
        <f ca="1">HLOOKUP($H89,'SFBaselines and Measures'!$C$2:$V$33,31,FALSE)</f>
        <v>9.970749962765149</v>
      </c>
      <c r="AE89" s="456"/>
      <c r="AF89" s="456"/>
      <c r="AG89" s="457"/>
      <c r="AH89" s="453"/>
      <c r="AI89" s="454"/>
      <c r="AJ89" s="455"/>
      <c r="AK89" s="455">
        <f t="shared" ca="1" si="35"/>
        <v>55.817006983226008</v>
      </c>
      <c r="AL89" s="455"/>
      <c r="AM89" s="456"/>
      <c r="AN89" s="456">
        <f t="shared" ca="1" si="36"/>
        <v>2.1336385821380048</v>
      </c>
      <c r="AO89" s="456"/>
      <c r="AP89" s="456"/>
      <c r="AQ89" s="458"/>
      <c r="AR89" s="452" t="str">
        <f t="shared" si="41"/>
        <v>Any ENERGY STAR (Top- or Front-Load) Clothes Washer - Electric DHW, Gas Dryer - 31% ENERGY STAR Baseline</v>
      </c>
      <c r="AS89" s="454">
        <f t="shared" si="42"/>
        <v>0</v>
      </c>
      <c r="AT89" s="455">
        <f t="shared" ca="1" si="43"/>
        <v>0</v>
      </c>
      <c r="AU89" s="456">
        <f t="shared" ca="1" si="44"/>
        <v>2.1336385821380048</v>
      </c>
      <c r="AV89" s="456">
        <f t="shared" si="45"/>
        <v>0</v>
      </c>
      <c r="AW89" s="456"/>
      <c r="AX89" s="455">
        <f t="shared" ca="1" si="37"/>
        <v>4.3233672150637759</v>
      </c>
      <c r="AY89" s="455"/>
      <c r="AZ89" s="458"/>
      <c r="BA89" s="450" t="str">
        <f t="shared" si="38"/>
        <v>Any ENERGY STAR (Top- or Front-Load) Clothes Washer - Electric DHW, Gas Dryer - 31% ENERGY STAR Baseline</v>
      </c>
      <c r="BB89" s="450" t="s">
        <v>26</v>
      </c>
      <c r="BC89" s="455">
        <f t="shared" ca="1" si="46"/>
        <v>0</v>
      </c>
      <c r="BD89" s="455">
        <f>SFAssumptions!$C$7</f>
        <v>14</v>
      </c>
      <c r="BE89" s="459">
        <f t="shared" si="47"/>
        <v>0</v>
      </c>
      <c r="BF89" s="450"/>
      <c r="BG89" s="449" t="s">
        <v>159</v>
      </c>
      <c r="BH89" s="460"/>
      <c r="BI89" s="450"/>
      <c r="BJ89" s="450"/>
      <c r="BK89" s="450"/>
      <c r="BL89" s="450"/>
      <c r="BM89" s="450"/>
      <c r="BN89" s="450"/>
      <c r="BO89" s="461">
        <f t="shared" ca="1" si="48"/>
        <v>2.1336385821380048</v>
      </c>
      <c r="BP89" s="450" t="s">
        <v>159</v>
      </c>
    </row>
    <row r="90" spans="1:68" s="309" customFormat="1">
      <c r="A90" s="450">
        <f t="shared" si="39"/>
        <v>13</v>
      </c>
      <c r="B90" s="450">
        <f t="shared" si="3"/>
        <v>1</v>
      </c>
      <c r="C90" s="450">
        <f t="shared" si="4"/>
        <v>13</v>
      </c>
      <c r="D90" s="450">
        <f t="shared" si="5"/>
        <v>3</v>
      </c>
      <c r="E90" s="450">
        <f t="shared" si="6"/>
        <v>3</v>
      </c>
      <c r="F90" s="450"/>
      <c r="G90" s="450" t="str">
        <f t="shared" si="12"/>
        <v>Current Practice Baseline Using 31% ENERGY STAR Penetration</v>
      </c>
      <c r="H90" s="450" t="str">
        <f t="shared" si="40"/>
        <v>Any ENERGY STAR (Top- or Front-Load)</v>
      </c>
      <c r="I90" s="450" t="str">
        <f t="shared" si="7"/>
        <v>Gas DHW, Electric Dryer</v>
      </c>
      <c r="J90" s="450" t="str">
        <f t="shared" si="8"/>
        <v>Gas DHW</v>
      </c>
      <c r="K90" s="450" t="str">
        <f t="shared" si="9"/>
        <v>Electric Dryer</v>
      </c>
      <c r="L90" s="451">
        <f>VLOOKUP(J90,SFAssumptions!$A$14:$B$16,2,FALSE)</f>
        <v>0</v>
      </c>
      <c r="M90" s="452">
        <f>VLOOKUP(K90,SFAssumptions!$A$18:$B$20,2,FALSE)</f>
        <v>1</v>
      </c>
      <c r="N90" s="453">
        <f ca="1">HLOOKUP($G90,'SFBaselines and Measures'!$C$3:$V$33,7,FALSE)</f>
        <v>4047.8861059902265</v>
      </c>
      <c r="O90" s="454"/>
      <c r="P90" s="455"/>
      <c r="Q90" s="455">
        <f ca="1">HLOOKUP($G90,'SFBaselines and Measures'!$C$3:$V$33,26,FALSE)</f>
        <v>316.65660041708048</v>
      </c>
      <c r="R90" s="455"/>
      <c r="S90" s="456"/>
      <c r="T90" s="456">
        <f ca="1">HLOOKUP($G90,'SFBaselines and Measures'!$C$3:$V$33,30,FALSE)</f>
        <v>12.104388544903154</v>
      </c>
      <c r="U90" s="456"/>
      <c r="V90" s="456"/>
      <c r="W90" s="457"/>
      <c r="X90" s="453"/>
      <c r="Y90" s="454"/>
      <c r="Z90" s="455"/>
      <c r="AA90" s="455">
        <f ca="1">HLOOKUP($H90,'SFBaselines and Measures'!$C$2:$V$33,27,FALSE)</f>
        <v>260.83959343385447</v>
      </c>
      <c r="AB90" s="455"/>
      <c r="AC90" s="456"/>
      <c r="AD90" s="456">
        <f ca="1">HLOOKUP($H90,'SFBaselines and Measures'!$C$2:$V$33,31,FALSE)</f>
        <v>9.970749962765149</v>
      </c>
      <c r="AE90" s="456"/>
      <c r="AF90" s="456"/>
      <c r="AG90" s="457"/>
      <c r="AH90" s="453"/>
      <c r="AI90" s="454"/>
      <c r="AJ90" s="455"/>
      <c r="AK90" s="455">
        <f t="shared" ca="1" si="35"/>
        <v>55.817006983226008</v>
      </c>
      <c r="AL90" s="455"/>
      <c r="AM90" s="456"/>
      <c r="AN90" s="456">
        <f t="shared" ca="1" si="36"/>
        <v>2.1336385821380048</v>
      </c>
      <c r="AO90" s="456"/>
      <c r="AP90" s="456"/>
      <c r="AQ90" s="458"/>
      <c r="AR90" s="452" t="str">
        <f t="shared" si="41"/>
        <v>Any ENERGY STAR (Top- or Front-Load) Clothes Washer - Gas DHW, Electric Dryer - 31% ENERGY STAR Baseline</v>
      </c>
      <c r="AS90" s="454">
        <f t="shared" si="42"/>
        <v>0</v>
      </c>
      <c r="AT90" s="455">
        <f t="shared" ca="1" si="43"/>
        <v>55.817006983226008</v>
      </c>
      <c r="AU90" s="456">
        <f t="shared" ca="1" si="44"/>
        <v>0</v>
      </c>
      <c r="AV90" s="456">
        <f t="shared" si="45"/>
        <v>0</v>
      </c>
      <c r="AW90" s="456"/>
      <c r="AX90" s="455">
        <f t="shared" ca="1" si="37"/>
        <v>60.140374198289784</v>
      </c>
      <c r="AY90" s="455"/>
      <c r="AZ90" s="458"/>
      <c r="BA90" s="450" t="str">
        <f t="shared" si="38"/>
        <v>Any ENERGY STAR (Top- or Front-Load) Clothes Washer - Gas DHW, Electric Dryer - 31% ENERGY STAR Baseline</v>
      </c>
      <c r="BB90" s="450" t="s">
        <v>26</v>
      </c>
      <c r="BC90" s="455">
        <f t="shared" ca="1" si="46"/>
        <v>55.817006983226008</v>
      </c>
      <c r="BD90" s="455">
        <f>SFAssumptions!$C$7</f>
        <v>14</v>
      </c>
      <c r="BE90" s="459">
        <f t="shared" si="47"/>
        <v>0</v>
      </c>
      <c r="BF90" s="450"/>
      <c r="BG90" s="449" t="s">
        <v>159</v>
      </c>
      <c r="BH90" s="460"/>
      <c r="BI90" s="450"/>
      <c r="BJ90" s="450"/>
      <c r="BK90" s="450"/>
      <c r="BL90" s="450"/>
      <c r="BM90" s="450"/>
      <c r="BN90" s="450"/>
      <c r="BO90" s="461">
        <f t="shared" ca="1" si="48"/>
        <v>0</v>
      </c>
      <c r="BP90" s="450" t="s">
        <v>159</v>
      </c>
    </row>
    <row r="91" spans="1:68" s="309" customFormat="1">
      <c r="A91" s="450">
        <f t="shared" si="39"/>
        <v>14</v>
      </c>
      <c r="B91" s="450">
        <f t="shared" si="3"/>
        <v>1</v>
      </c>
      <c r="C91" s="450">
        <f t="shared" si="4"/>
        <v>14</v>
      </c>
      <c r="D91" s="450">
        <f t="shared" si="5"/>
        <v>3</v>
      </c>
      <c r="E91" s="450">
        <f t="shared" si="6"/>
        <v>4</v>
      </c>
      <c r="F91" s="450"/>
      <c r="G91" s="450" t="str">
        <f t="shared" si="12"/>
        <v>Current Practice Baseline Using 31% ENERGY STAR Penetration</v>
      </c>
      <c r="H91" s="450" t="str">
        <f t="shared" si="40"/>
        <v>Any ENERGY STAR (Top- or Front-Load)</v>
      </c>
      <c r="I91" s="450" t="str">
        <f t="shared" si="7"/>
        <v>Gas DHW, Gas Dryer</v>
      </c>
      <c r="J91" s="450" t="str">
        <f t="shared" si="8"/>
        <v>Gas DHW</v>
      </c>
      <c r="K91" s="450" t="str">
        <f t="shared" si="9"/>
        <v>Gas Dryer</v>
      </c>
      <c r="L91" s="451">
        <f>VLOOKUP(J91,SFAssumptions!$A$14:$B$16,2,FALSE)</f>
        <v>0</v>
      </c>
      <c r="M91" s="452">
        <f>VLOOKUP(K91,SFAssumptions!$A$18:$B$20,2,FALSE)</f>
        <v>0</v>
      </c>
      <c r="N91" s="453">
        <f ca="1">HLOOKUP($G91,'SFBaselines and Measures'!$C$3:$V$33,7,FALSE)</f>
        <v>4047.8861059902265</v>
      </c>
      <c r="O91" s="454"/>
      <c r="P91" s="455"/>
      <c r="Q91" s="455">
        <f ca="1">HLOOKUP($G91,'SFBaselines and Measures'!$C$3:$V$33,26,FALSE)</f>
        <v>316.65660041708048</v>
      </c>
      <c r="R91" s="455"/>
      <c r="S91" s="456"/>
      <c r="T91" s="456">
        <f ca="1">HLOOKUP($G91,'SFBaselines and Measures'!$C$3:$V$33,30,FALSE)</f>
        <v>12.104388544903154</v>
      </c>
      <c r="U91" s="456"/>
      <c r="V91" s="456"/>
      <c r="W91" s="457"/>
      <c r="X91" s="453"/>
      <c r="Y91" s="454"/>
      <c r="Z91" s="455"/>
      <c r="AA91" s="455">
        <f ca="1">HLOOKUP($H91,'SFBaselines and Measures'!$C$2:$V$33,27,FALSE)</f>
        <v>260.83959343385447</v>
      </c>
      <c r="AB91" s="455"/>
      <c r="AC91" s="456"/>
      <c r="AD91" s="456">
        <f ca="1">HLOOKUP($H91,'SFBaselines and Measures'!$C$2:$V$33,31,FALSE)</f>
        <v>9.970749962765149</v>
      </c>
      <c r="AE91" s="456"/>
      <c r="AF91" s="456"/>
      <c r="AG91" s="457"/>
      <c r="AH91" s="453"/>
      <c r="AI91" s="454"/>
      <c r="AJ91" s="455"/>
      <c r="AK91" s="455">
        <f t="shared" ca="1" si="35"/>
        <v>55.817006983226008</v>
      </c>
      <c r="AL91" s="455"/>
      <c r="AM91" s="456"/>
      <c r="AN91" s="456">
        <f t="shared" ca="1" si="36"/>
        <v>2.1336385821380048</v>
      </c>
      <c r="AO91" s="456"/>
      <c r="AP91" s="456"/>
      <c r="AQ91" s="458"/>
      <c r="AR91" s="452" t="str">
        <f t="shared" si="41"/>
        <v>Any ENERGY STAR (Top- or Front-Load) Clothes Washer - Gas DHW, Gas Dryer - 31% ENERGY STAR Baseline</v>
      </c>
      <c r="AS91" s="454">
        <f t="shared" si="42"/>
        <v>0</v>
      </c>
      <c r="AT91" s="455">
        <f t="shared" ca="1" si="43"/>
        <v>0</v>
      </c>
      <c r="AU91" s="456">
        <f t="shared" ca="1" si="44"/>
        <v>2.1336385821380048</v>
      </c>
      <c r="AV91" s="456">
        <f t="shared" si="45"/>
        <v>0</v>
      </c>
      <c r="AW91" s="456"/>
      <c r="AX91" s="455">
        <f t="shared" ca="1" si="37"/>
        <v>4.3233672150637759</v>
      </c>
      <c r="AY91" s="455"/>
      <c r="AZ91" s="458"/>
      <c r="BA91" s="450" t="str">
        <f t="shared" si="38"/>
        <v>Any ENERGY STAR (Top- or Front-Load) Clothes Washer - Gas DHW, Gas Dryer - 31% ENERGY STAR Baseline</v>
      </c>
      <c r="BB91" s="450" t="s">
        <v>26</v>
      </c>
      <c r="BC91" s="455">
        <f t="shared" ca="1" si="46"/>
        <v>0</v>
      </c>
      <c r="BD91" s="455">
        <f>SFAssumptions!$C$7</f>
        <v>14</v>
      </c>
      <c r="BE91" s="459">
        <f t="shared" si="47"/>
        <v>0</v>
      </c>
      <c r="BF91" s="450"/>
      <c r="BG91" s="449" t="s">
        <v>159</v>
      </c>
      <c r="BH91" s="460"/>
      <c r="BI91" s="450"/>
      <c r="BJ91" s="450"/>
      <c r="BK91" s="450"/>
      <c r="BL91" s="450"/>
      <c r="BM91" s="450"/>
      <c r="BN91" s="450"/>
      <c r="BO91" s="461">
        <f t="shared" ca="1" si="48"/>
        <v>2.1336385821380048</v>
      </c>
      <c r="BP91" s="450" t="s">
        <v>159</v>
      </c>
    </row>
    <row r="92" spans="1:68" s="309" customFormat="1">
      <c r="A92" s="450">
        <f t="shared" si="39"/>
        <v>15</v>
      </c>
      <c r="B92" s="450">
        <f t="shared" si="3"/>
        <v>1</v>
      </c>
      <c r="C92" s="450">
        <f t="shared" si="4"/>
        <v>15</v>
      </c>
      <c r="D92" s="450">
        <f t="shared" si="5"/>
        <v>3</v>
      </c>
      <c r="E92" s="450">
        <f t="shared" si="6"/>
        <v>5</v>
      </c>
      <c r="F92" s="450"/>
      <c r="G92" s="450" t="str">
        <f t="shared" si="12"/>
        <v>Current Practice Baseline Using 31% ENERGY STAR Penetration</v>
      </c>
      <c r="H92" s="450" t="str">
        <f t="shared" si="40"/>
        <v>Any ENERGY STAR (Top- or Front-Load)</v>
      </c>
      <c r="I92" s="450" t="str">
        <f t="shared" si="7"/>
        <v>Any DHW, Any Dryer</v>
      </c>
      <c r="J92" s="450" t="str">
        <f t="shared" si="8"/>
        <v>Any DHW</v>
      </c>
      <c r="K92" s="450" t="str">
        <f t="shared" si="9"/>
        <v>Any Dryer</v>
      </c>
      <c r="L92" s="451">
        <f>VLOOKUP(J92,SFAssumptions!$A$14:$B$16,2,FALSE)</f>
        <v>0.55200000000000005</v>
      </c>
      <c r="M92" s="452">
        <f>VLOOKUP(K92,SFAssumptions!$A$18:$B$20,2,FALSE)</f>
        <v>0.95</v>
      </c>
      <c r="N92" s="453">
        <f ca="1">HLOOKUP($G92,'SFBaselines and Measures'!$C$3:$V$33,7,FALSE)</f>
        <v>4047.8861059902265</v>
      </c>
      <c r="O92" s="454"/>
      <c r="P92" s="455"/>
      <c r="Q92" s="455">
        <f ca="1">HLOOKUP($G92,'SFBaselines and Measures'!$C$3:$V$33,26,FALSE)</f>
        <v>316.65660041708048</v>
      </c>
      <c r="R92" s="455"/>
      <c r="S92" s="456"/>
      <c r="T92" s="456">
        <f ca="1">HLOOKUP($G92,'SFBaselines and Measures'!$C$3:$V$33,30,FALSE)</f>
        <v>12.104388544903154</v>
      </c>
      <c r="U92" s="456"/>
      <c r="V92" s="456"/>
      <c r="W92" s="457"/>
      <c r="X92" s="453"/>
      <c r="Y92" s="454"/>
      <c r="Z92" s="455"/>
      <c r="AA92" s="455">
        <f ca="1">HLOOKUP($H92,'SFBaselines and Measures'!$C$2:$V$33,27,FALSE)</f>
        <v>260.83959343385447</v>
      </c>
      <c r="AB92" s="455"/>
      <c r="AC92" s="456"/>
      <c r="AD92" s="456">
        <f ca="1">HLOOKUP($H92,'SFBaselines and Measures'!$C$2:$V$33,31,FALSE)</f>
        <v>9.970749962765149</v>
      </c>
      <c r="AE92" s="456"/>
      <c r="AF92" s="456"/>
      <c r="AG92" s="457"/>
      <c r="AH92" s="453"/>
      <c r="AI92" s="454"/>
      <c r="AJ92" s="455"/>
      <c r="AK92" s="455">
        <f t="shared" ca="1" si="35"/>
        <v>55.817006983226008</v>
      </c>
      <c r="AL92" s="455"/>
      <c r="AM92" s="456"/>
      <c r="AN92" s="456">
        <f t="shared" ca="1" si="36"/>
        <v>2.1336385821380048</v>
      </c>
      <c r="AO92" s="456"/>
      <c r="AP92" s="456"/>
      <c r="AQ92" s="458"/>
      <c r="AR92" s="452" t="str">
        <f t="shared" si="41"/>
        <v>Any ENERGY STAR (Top- or Front-Load) Clothes Washer - Any DHW, Any Dryer - 31% ENERGY STAR Baseline</v>
      </c>
      <c r="AS92" s="454">
        <f t="shared" si="42"/>
        <v>0</v>
      </c>
      <c r="AT92" s="455">
        <f t="shared" ca="1" si="43"/>
        <v>53.026156634064705</v>
      </c>
      <c r="AU92" s="456">
        <f t="shared" ca="1" si="44"/>
        <v>0.10668192910690033</v>
      </c>
      <c r="AV92" s="456">
        <f t="shared" si="45"/>
        <v>0</v>
      </c>
      <c r="AW92" s="456"/>
      <c r="AX92" s="455">
        <f t="shared" ca="1" si="37"/>
        <v>57.349523849128481</v>
      </c>
      <c r="AY92" s="455"/>
      <c r="AZ92" s="458"/>
      <c r="BA92" s="450" t="str">
        <f t="shared" si="38"/>
        <v>Any ENERGY STAR (Top- or Front-Load) Clothes Washer - Any DHW, Any Dryer - 31% ENERGY STAR Baseline</v>
      </c>
      <c r="BB92" s="450" t="s">
        <v>26</v>
      </c>
      <c r="BC92" s="455">
        <f t="shared" ca="1" si="46"/>
        <v>53.026156634064705</v>
      </c>
      <c r="BD92" s="455">
        <f>SFAssumptions!$C$7</f>
        <v>14</v>
      </c>
      <c r="BE92" s="459">
        <f t="shared" si="47"/>
        <v>0</v>
      </c>
      <c r="BF92" s="450"/>
      <c r="BG92" s="449" t="s">
        <v>159</v>
      </c>
      <c r="BH92" s="460"/>
      <c r="BI92" s="450"/>
      <c r="BJ92" s="450"/>
      <c r="BK92" s="450"/>
      <c r="BL92" s="450"/>
      <c r="BM92" s="450"/>
      <c r="BN92" s="450"/>
      <c r="BO92" s="461">
        <f t="shared" ca="1" si="48"/>
        <v>0.10668192910690033</v>
      </c>
      <c r="BP92" s="450" t="s">
        <v>159</v>
      </c>
    </row>
    <row r="93" spans="1:68" s="309" customFormat="1">
      <c r="A93" s="450">
        <f t="shared" si="39"/>
        <v>16</v>
      </c>
      <c r="B93" s="450">
        <f t="shared" si="3"/>
        <v>1</v>
      </c>
      <c r="C93" s="450">
        <f t="shared" si="4"/>
        <v>16</v>
      </c>
      <c r="D93" s="450">
        <f t="shared" si="5"/>
        <v>4</v>
      </c>
      <c r="E93" s="450">
        <f t="shared" si="6"/>
        <v>1</v>
      </c>
      <c r="F93" s="450"/>
      <c r="G93" s="450" t="str">
        <f t="shared" si="12"/>
        <v>Current Practice Baseline Using 31% ENERGY STAR Penetration</v>
      </c>
      <c r="H93" s="450" t="str">
        <f t="shared" si="40"/>
        <v>CEE Tier 1</v>
      </c>
      <c r="I93" s="450" t="str">
        <f t="shared" si="7"/>
        <v>Electric DHW, Electric Dryer</v>
      </c>
      <c r="J93" s="450" t="str">
        <f t="shared" si="8"/>
        <v>Electric DHW</v>
      </c>
      <c r="K93" s="450" t="str">
        <f t="shared" si="9"/>
        <v>Electric Dryer</v>
      </c>
      <c r="L93" s="451">
        <f>VLOOKUP(J93,SFAssumptions!$A$14:$B$16,2,FALSE)</f>
        <v>1</v>
      </c>
      <c r="M93" s="452">
        <f>VLOOKUP(K93,SFAssumptions!$A$18:$B$20,2,FALSE)</f>
        <v>1</v>
      </c>
      <c r="N93" s="453">
        <f ca="1">HLOOKUP($G93,'SFBaselines and Measures'!$C$3:$V$33,7,FALSE)</f>
        <v>4047.8861059902265</v>
      </c>
      <c r="O93" s="454"/>
      <c r="P93" s="455"/>
      <c r="Q93" s="455">
        <f ca="1">HLOOKUP($G93,'SFBaselines and Measures'!$C$3:$V$33,26,FALSE)</f>
        <v>316.65660041708048</v>
      </c>
      <c r="R93" s="455"/>
      <c r="S93" s="456"/>
      <c r="T93" s="456">
        <f ca="1">HLOOKUP($G93,'SFBaselines and Measures'!$C$3:$V$33,30,FALSE)</f>
        <v>12.104388544903154</v>
      </c>
      <c r="U93" s="456"/>
      <c r="V93" s="456"/>
      <c r="W93" s="457"/>
      <c r="X93" s="453"/>
      <c r="Y93" s="454"/>
      <c r="Z93" s="455"/>
      <c r="AA93" s="455">
        <f ca="1">HLOOKUP($H93,'SFBaselines and Measures'!$C$2:$V$33,27,FALSE)</f>
        <v>261.20653199321106</v>
      </c>
      <c r="AB93" s="455"/>
      <c r="AC93" s="456"/>
      <c r="AD93" s="456">
        <f ca="1">HLOOKUP($H93,'SFBaselines and Measures'!$C$2:$V$33,31,FALSE)</f>
        <v>9.9847764093596894</v>
      </c>
      <c r="AE93" s="456"/>
      <c r="AF93" s="456"/>
      <c r="AG93" s="457"/>
      <c r="AH93" s="453"/>
      <c r="AI93" s="454"/>
      <c r="AJ93" s="455"/>
      <c r="AK93" s="455">
        <f t="shared" ca="1" si="35"/>
        <v>55.450068423869425</v>
      </c>
      <c r="AL93" s="455"/>
      <c r="AM93" s="456"/>
      <c r="AN93" s="456">
        <f t="shared" ca="1" si="36"/>
        <v>2.1196121355434645</v>
      </c>
      <c r="AO93" s="456"/>
      <c r="AP93" s="456"/>
      <c r="AQ93" s="458"/>
      <c r="AR93" s="452" t="str">
        <f t="shared" si="41"/>
        <v>CEE Tier 1 Clothes Washer - Electric DHW, Electric Dryer - 31% ENERGY STAR Baseline</v>
      </c>
      <c r="AS93" s="454">
        <f t="shared" si="42"/>
        <v>0</v>
      </c>
      <c r="AT93" s="455">
        <f t="shared" ca="1" si="43"/>
        <v>55.450068423869425</v>
      </c>
      <c r="AU93" s="456">
        <f t="shared" ca="1" si="44"/>
        <v>0</v>
      </c>
      <c r="AV93" s="456">
        <f t="shared" si="45"/>
        <v>0</v>
      </c>
      <c r="AW93" s="456"/>
      <c r="AX93" s="455">
        <f t="shared" ca="1" si="37"/>
        <v>54.840842074127963</v>
      </c>
      <c r="AY93" s="455"/>
      <c r="AZ93" s="458"/>
      <c r="BA93" s="450" t="str">
        <f t="shared" si="38"/>
        <v>CEE Tier 1 Clothes Washer - Electric DHW, Electric Dryer - 31% ENERGY STAR Baseline</v>
      </c>
      <c r="BB93" s="450" t="s">
        <v>26</v>
      </c>
      <c r="BC93" s="455">
        <f t="shared" ca="1" si="46"/>
        <v>55.450068423869425</v>
      </c>
      <c r="BD93" s="455">
        <f>SFAssumptions!$C$7</f>
        <v>14</v>
      </c>
      <c r="BE93" s="459">
        <f t="shared" si="47"/>
        <v>0</v>
      </c>
      <c r="BF93" s="450"/>
      <c r="BG93" s="449" t="s">
        <v>159</v>
      </c>
      <c r="BH93" s="460"/>
      <c r="BI93" s="450"/>
      <c r="BJ93" s="450"/>
      <c r="BK93" s="450"/>
      <c r="BL93" s="450"/>
      <c r="BM93" s="450"/>
      <c r="BN93" s="450"/>
      <c r="BO93" s="461">
        <f t="shared" ca="1" si="48"/>
        <v>0</v>
      </c>
      <c r="BP93" s="450" t="s">
        <v>159</v>
      </c>
    </row>
    <row r="94" spans="1:68" s="309" customFormat="1">
      <c r="A94" s="450">
        <f t="shared" si="39"/>
        <v>17</v>
      </c>
      <c r="B94" s="450">
        <f t="shared" si="3"/>
        <v>1</v>
      </c>
      <c r="C94" s="450">
        <f t="shared" si="4"/>
        <v>17</v>
      </c>
      <c r="D94" s="450">
        <f t="shared" si="5"/>
        <v>4</v>
      </c>
      <c r="E94" s="450">
        <f t="shared" si="6"/>
        <v>2</v>
      </c>
      <c r="F94" s="450"/>
      <c r="G94" s="450" t="str">
        <f t="shared" si="12"/>
        <v>Current Practice Baseline Using 31% ENERGY STAR Penetration</v>
      </c>
      <c r="H94" s="450" t="str">
        <f t="shared" si="40"/>
        <v>CEE Tier 1</v>
      </c>
      <c r="I94" s="450" t="str">
        <f t="shared" si="7"/>
        <v>Electric DHW, Gas Dryer</v>
      </c>
      <c r="J94" s="450" t="str">
        <f t="shared" si="8"/>
        <v>Electric DHW</v>
      </c>
      <c r="K94" s="450" t="str">
        <f t="shared" si="9"/>
        <v>Gas Dryer</v>
      </c>
      <c r="L94" s="451">
        <f>VLOOKUP(J94,SFAssumptions!$A$14:$B$16,2,FALSE)</f>
        <v>1</v>
      </c>
      <c r="M94" s="452">
        <f>VLOOKUP(K94,SFAssumptions!$A$18:$B$20,2,FALSE)</f>
        <v>0</v>
      </c>
      <c r="N94" s="453">
        <f ca="1">HLOOKUP($G94,'SFBaselines and Measures'!$C$3:$V$33,7,FALSE)</f>
        <v>4047.8861059902265</v>
      </c>
      <c r="O94" s="454"/>
      <c r="P94" s="455"/>
      <c r="Q94" s="455">
        <f ca="1">HLOOKUP($G94,'SFBaselines and Measures'!$C$3:$V$33,26,FALSE)</f>
        <v>316.65660041708048</v>
      </c>
      <c r="R94" s="455"/>
      <c r="S94" s="456"/>
      <c r="T94" s="456">
        <f ca="1">HLOOKUP($G94,'SFBaselines and Measures'!$C$3:$V$33,30,FALSE)</f>
        <v>12.104388544903154</v>
      </c>
      <c r="U94" s="456"/>
      <c r="V94" s="456"/>
      <c r="W94" s="457"/>
      <c r="X94" s="453"/>
      <c r="Y94" s="454"/>
      <c r="Z94" s="455"/>
      <c r="AA94" s="455">
        <f ca="1">HLOOKUP($H94,'SFBaselines and Measures'!$C$2:$V$33,27,FALSE)</f>
        <v>261.20653199321106</v>
      </c>
      <c r="AB94" s="455"/>
      <c r="AC94" s="456"/>
      <c r="AD94" s="456">
        <f ca="1">HLOOKUP($H94,'SFBaselines and Measures'!$C$2:$V$33,31,FALSE)</f>
        <v>9.9847764093596894</v>
      </c>
      <c r="AE94" s="456"/>
      <c r="AF94" s="456"/>
      <c r="AG94" s="457"/>
      <c r="AH94" s="453"/>
      <c r="AI94" s="454"/>
      <c r="AJ94" s="455"/>
      <c r="AK94" s="455">
        <f t="shared" ca="1" si="35"/>
        <v>55.450068423869425</v>
      </c>
      <c r="AL94" s="455"/>
      <c r="AM94" s="456"/>
      <c r="AN94" s="456">
        <f t="shared" ca="1" si="36"/>
        <v>2.1196121355434645</v>
      </c>
      <c r="AO94" s="456"/>
      <c r="AP94" s="456"/>
      <c r="AQ94" s="458"/>
      <c r="AR94" s="452" t="str">
        <f t="shared" si="41"/>
        <v>CEE Tier 1 Clothes Washer - Electric DHW, Gas Dryer - 31% ENERGY STAR Baseline</v>
      </c>
      <c r="AS94" s="454">
        <f t="shared" si="42"/>
        <v>0</v>
      </c>
      <c r="AT94" s="455">
        <f t="shared" ca="1" si="43"/>
        <v>0</v>
      </c>
      <c r="AU94" s="456">
        <f t="shared" ca="1" si="44"/>
        <v>2.1196121355434645</v>
      </c>
      <c r="AV94" s="456">
        <f t="shared" si="45"/>
        <v>0</v>
      </c>
      <c r="AW94" s="456"/>
      <c r="AX94" s="455">
        <f t="shared" ca="1" si="37"/>
        <v>-0.60922634974146261</v>
      </c>
      <c r="AY94" s="455"/>
      <c r="AZ94" s="458"/>
      <c r="BA94" s="450" t="str">
        <f t="shared" si="38"/>
        <v>CEE Tier 1 Clothes Washer - Electric DHW, Gas Dryer - 31% ENERGY STAR Baseline</v>
      </c>
      <c r="BB94" s="450" t="s">
        <v>26</v>
      </c>
      <c r="BC94" s="455">
        <f t="shared" ca="1" si="46"/>
        <v>0</v>
      </c>
      <c r="BD94" s="455">
        <f>SFAssumptions!$C$7</f>
        <v>14</v>
      </c>
      <c r="BE94" s="459">
        <f t="shared" si="47"/>
        <v>0</v>
      </c>
      <c r="BF94" s="450"/>
      <c r="BG94" s="449" t="s">
        <v>159</v>
      </c>
      <c r="BH94" s="460"/>
      <c r="BI94" s="450"/>
      <c r="BJ94" s="450"/>
      <c r="BK94" s="450"/>
      <c r="BL94" s="450"/>
      <c r="BM94" s="450"/>
      <c r="BN94" s="450"/>
      <c r="BO94" s="461">
        <f t="shared" ca="1" si="48"/>
        <v>2.1196121355434645</v>
      </c>
      <c r="BP94" s="450" t="s">
        <v>159</v>
      </c>
    </row>
    <row r="95" spans="1:68" s="309" customFormat="1">
      <c r="A95" s="450">
        <f t="shared" si="39"/>
        <v>18</v>
      </c>
      <c r="B95" s="450">
        <f t="shared" si="3"/>
        <v>1</v>
      </c>
      <c r="C95" s="450">
        <f t="shared" si="4"/>
        <v>18</v>
      </c>
      <c r="D95" s="450">
        <f t="shared" si="5"/>
        <v>4</v>
      </c>
      <c r="E95" s="450">
        <f t="shared" si="6"/>
        <v>3</v>
      </c>
      <c r="F95" s="450"/>
      <c r="G95" s="450" t="str">
        <f t="shared" si="12"/>
        <v>Current Practice Baseline Using 31% ENERGY STAR Penetration</v>
      </c>
      <c r="H95" s="450" t="str">
        <f t="shared" si="40"/>
        <v>CEE Tier 1</v>
      </c>
      <c r="I95" s="450" t="str">
        <f t="shared" si="7"/>
        <v>Gas DHW, Electric Dryer</v>
      </c>
      <c r="J95" s="450" t="str">
        <f t="shared" si="8"/>
        <v>Gas DHW</v>
      </c>
      <c r="K95" s="450" t="str">
        <f t="shared" si="9"/>
        <v>Electric Dryer</v>
      </c>
      <c r="L95" s="451">
        <f>VLOOKUP(J95,SFAssumptions!$A$14:$B$16,2,FALSE)</f>
        <v>0</v>
      </c>
      <c r="M95" s="452">
        <f>VLOOKUP(K95,SFAssumptions!$A$18:$B$20,2,FALSE)</f>
        <v>1</v>
      </c>
      <c r="N95" s="453">
        <f ca="1">HLOOKUP($G95,'SFBaselines and Measures'!$C$3:$V$33,7,FALSE)</f>
        <v>4047.8861059902265</v>
      </c>
      <c r="O95" s="454"/>
      <c r="P95" s="455"/>
      <c r="Q95" s="455">
        <f ca="1">HLOOKUP($G95,'SFBaselines and Measures'!$C$3:$V$33,26,FALSE)</f>
        <v>316.65660041708048</v>
      </c>
      <c r="R95" s="455"/>
      <c r="S95" s="456"/>
      <c r="T95" s="456">
        <f ca="1">HLOOKUP($G95,'SFBaselines and Measures'!$C$3:$V$33,30,FALSE)</f>
        <v>12.104388544903154</v>
      </c>
      <c r="U95" s="456"/>
      <c r="V95" s="456"/>
      <c r="W95" s="457"/>
      <c r="X95" s="453"/>
      <c r="Y95" s="454"/>
      <c r="Z95" s="455"/>
      <c r="AA95" s="455">
        <f ca="1">HLOOKUP($H95,'SFBaselines and Measures'!$C$2:$V$33,27,FALSE)</f>
        <v>261.20653199321106</v>
      </c>
      <c r="AB95" s="455"/>
      <c r="AC95" s="456"/>
      <c r="AD95" s="456">
        <f ca="1">HLOOKUP($H95,'SFBaselines and Measures'!$C$2:$V$33,31,FALSE)</f>
        <v>9.9847764093596894</v>
      </c>
      <c r="AE95" s="456"/>
      <c r="AF95" s="456"/>
      <c r="AG95" s="457"/>
      <c r="AH95" s="453"/>
      <c r="AI95" s="454"/>
      <c r="AJ95" s="455"/>
      <c r="AK95" s="455">
        <f t="shared" ca="1" si="35"/>
        <v>55.450068423869425</v>
      </c>
      <c r="AL95" s="455"/>
      <c r="AM95" s="456"/>
      <c r="AN95" s="456">
        <f t="shared" ca="1" si="36"/>
        <v>2.1196121355434645</v>
      </c>
      <c r="AO95" s="456"/>
      <c r="AP95" s="456"/>
      <c r="AQ95" s="458"/>
      <c r="AR95" s="452" t="str">
        <f t="shared" si="41"/>
        <v>CEE Tier 1 Clothes Washer - Gas DHW, Electric Dryer - 31% ENERGY STAR Baseline</v>
      </c>
      <c r="AS95" s="454">
        <f t="shared" si="42"/>
        <v>0</v>
      </c>
      <c r="AT95" s="455">
        <f t="shared" ca="1" si="43"/>
        <v>55.450068423869425</v>
      </c>
      <c r="AU95" s="456">
        <f t="shared" ca="1" si="44"/>
        <v>0</v>
      </c>
      <c r="AV95" s="456">
        <f t="shared" si="45"/>
        <v>0</v>
      </c>
      <c r="AW95" s="456"/>
      <c r="AX95" s="455">
        <f t="shared" ca="1" si="37"/>
        <v>54.840842074127963</v>
      </c>
      <c r="AY95" s="455"/>
      <c r="AZ95" s="458"/>
      <c r="BA95" s="450" t="str">
        <f t="shared" si="38"/>
        <v>CEE Tier 1 Clothes Washer - Gas DHW, Electric Dryer - 31% ENERGY STAR Baseline</v>
      </c>
      <c r="BB95" s="450" t="s">
        <v>26</v>
      </c>
      <c r="BC95" s="455">
        <f t="shared" ca="1" si="46"/>
        <v>55.450068423869425</v>
      </c>
      <c r="BD95" s="455">
        <f>SFAssumptions!$C$7</f>
        <v>14</v>
      </c>
      <c r="BE95" s="459">
        <f t="shared" si="47"/>
        <v>0</v>
      </c>
      <c r="BF95" s="450"/>
      <c r="BG95" s="449" t="s">
        <v>159</v>
      </c>
      <c r="BH95" s="460"/>
      <c r="BI95" s="450"/>
      <c r="BJ95" s="450"/>
      <c r="BK95" s="450"/>
      <c r="BL95" s="450"/>
      <c r="BM95" s="450"/>
      <c r="BN95" s="450"/>
      <c r="BO95" s="461">
        <f t="shared" ca="1" si="48"/>
        <v>0</v>
      </c>
      <c r="BP95" s="450" t="s">
        <v>159</v>
      </c>
    </row>
    <row r="96" spans="1:68" s="309" customFormat="1">
      <c r="A96" s="450">
        <f t="shared" si="39"/>
        <v>19</v>
      </c>
      <c r="B96" s="450">
        <f t="shared" si="3"/>
        <v>1</v>
      </c>
      <c r="C96" s="450">
        <f t="shared" si="4"/>
        <v>19</v>
      </c>
      <c r="D96" s="450">
        <f t="shared" si="5"/>
        <v>4</v>
      </c>
      <c r="E96" s="450">
        <f t="shared" si="6"/>
        <v>4</v>
      </c>
      <c r="F96" s="450"/>
      <c r="G96" s="450" t="str">
        <f t="shared" si="12"/>
        <v>Current Practice Baseline Using 31% ENERGY STAR Penetration</v>
      </c>
      <c r="H96" s="450" t="str">
        <f t="shared" si="40"/>
        <v>CEE Tier 1</v>
      </c>
      <c r="I96" s="450" t="str">
        <f t="shared" si="7"/>
        <v>Gas DHW, Gas Dryer</v>
      </c>
      <c r="J96" s="450" t="str">
        <f t="shared" si="8"/>
        <v>Gas DHW</v>
      </c>
      <c r="K96" s="450" t="str">
        <f t="shared" si="9"/>
        <v>Gas Dryer</v>
      </c>
      <c r="L96" s="451">
        <f>VLOOKUP(J96,SFAssumptions!$A$14:$B$16,2,FALSE)</f>
        <v>0</v>
      </c>
      <c r="M96" s="452">
        <f>VLOOKUP(K96,SFAssumptions!$A$18:$B$20,2,FALSE)</f>
        <v>0</v>
      </c>
      <c r="N96" s="453">
        <f ca="1">HLOOKUP($G96,'SFBaselines and Measures'!$C$3:$V$33,7,FALSE)</f>
        <v>4047.8861059902265</v>
      </c>
      <c r="O96" s="454"/>
      <c r="P96" s="455"/>
      <c r="Q96" s="455">
        <f ca="1">HLOOKUP($G96,'SFBaselines and Measures'!$C$3:$V$33,26,FALSE)</f>
        <v>316.65660041708048</v>
      </c>
      <c r="R96" s="455"/>
      <c r="S96" s="456"/>
      <c r="T96" s="456">
        <f ca="1">HLOOKUP($G96,'SFBaselines and Measures'!$C$3:$V$33,30,FALSE)</f>
        <v>12.104388544903154</v>
      </c>
      <c r="U96" s="456"/>
      <c r="V96" s="456"/>
      <c r="W96" s="457"/>
      <c r="X96" s="453"/>
      <c r="Y96" s="454"/>
      <c r="Z96" s="455"/>
      <c r="AA96" s="455">
        <f ca="1">HLOOKUP($H96,'SFBaselines and Measures'!$C$2:$V$33,27,FALSE)</f>
        <v>261.20653199321106</v>
      </c>
      <c r="AB96" s="455"/>
      <c r="AC96" s="456"/>
      <c r="AD96" s="456">
        <f ca="1">HLOOKUP($H96,'SFBaselines and Measures'!$C$2:$V$33,31,FALSE)</f>
        <v>9.9847764093596894</v>
      </c>
      <c r="AE96" s="456"/>
      <c r="AF96" s="456"/>
      <c r="AG96" s="457"/>
      <c r="AH96" s="453"/>
      <c r="AI96" s="454"/>
      <c r="AJ96" s="455"/>
      <c r="AK96" s="455">
        <f t="shared" ca="1" si="35"/>
        <v>55.450068423869425</v>
      </c>
      <c r="AL96" s="455"/>
      <c r="AM96" s="456"/>
      <c r="AN96" s="456">
        <f t="shared" ca="1" si="36"/>
        <v>2.1196121355434645</v>
      </c>
      <c r="AO96" s="456"/>
      <c r="AP96" s="456"/>
      <c r="AQ96" s="458"/>
      <c r="AR96" s="452" t="str">
        <f t="shared" si="41"/>
        <v>CEE Tier 1 Clothes Washer - Gas DHW, Gas Dryer - 31% ENERGY STAR Baseline</v>
      </c>
      <c r="AS96" s="454">
        <f t="shared" si="42"/>
        <v>0</v>
      </c>
      <c r="AT96" s="455">
        <f t="shared" ca="1" si="43"/>
        <v>0</v>
      </c>
      <c r="AU96" s="456">
        <f t="shared" ca="1" si="44"/>
        <v>2.1196121355434645</v>
      </c>
      <c r="AV96" s="456">
        <f t="shared" si="45"/>
        <v>0</v>
      </c>
      <c r="AW96" s="456"/>
      <c r="AX96" s="455">
        <f t="shared" ca="1" si="37"/>
        <v>-0.60922634974146261</v>
      </c>
      <c r="AY96" s="455"/>
      <c r="AZ96" s="458"/>
      <c r="BA96" s="450" t="str">
        <f t="shared" si="38"/>
        <v>CEE Tier 1 Clothes Washer - Gas DHW, Gas Dryer - 31% ENERGY STAR Baseline</v>
      </c>
      <c r="BB96" s="450" t="s">
        <v>26</v>
      </c>
      <c r="BC96" s="455">
        <f t="shared" ca="1" si="46"/>
        <v>0</v>
      </c>
      <c r="BD96" s="455">
        <f>SFAssumptions!$C$7</f>
        <v>14</v>
      </c>
      <c r="BE96" s="459">
        <f t="shared" si="47"/>
        <v>0</v>
      </c>
      <c r="BF96" s="450"/>
      <c r="BG96" s="449" t="s">
        <v>159</v>
      </c>
      <c r="BH96" s="460"/>
      <c r="BI96" s="450"/>
      <c r="BJ96" s="450"/>
      <c r="BK96" s="450"/>
      <c r="BL96" s="450"/>
      <c r="BM96" s="450"/>
      <c r="BN96" s="450"/>
      <c r="BO96" s="461">
        <f t="shared" ca="1" si="48"/>
        <v>2.1196121355434645</v>
      </c>
      <c r="BP96" s="450" t="s">
        <v>159</v>
      </c>
    </row>
    <row r="97" spans="1:68" s="309" customFormat="1">
      <c r="A97" s="450">
        <f t="shared" si="39"/>
        <v>20</v>
      </c>
      <c r="B97" s="450">
        <f t="shared" si="3"/>
        <v>1</v>
      </c>
      <c r="C97" s="450">
        <f t="shared" si="4"/>
        <v>20</v>
      </c>
      <c r="D97" s="450">
        <f t="shared" si="5"/>
        <v>4</v>
      </c>
      <c r="E97" s="450">
        <f t="shared" si="6"/>
        <v>5</v>
      </c>
      <c r="F97" s="450"/>
      <c r="G97" s="450" t="str">
        <f t="shared" si="12"/>
        <v>Current Practice Baseline Using 31% ENERGY STAR Penetration</v>
      </c>
      <c r="H97" s="450" t="str">
        <f t="shared" si="40"/>
        <v>CEE Tier 1</v>
      </c>
      <c r="I97" s="450" t="str">
        <f t="shared" si="7"/>
        <v>Any DHW, Any Dryer</v>
      </c>
      <c r="J97" s="450" t="str">
        <f t="shared" si="8"/>
        <v>Any DHW</v>
      </c>
      <c r="K97" s="450" t="str">
        <f t="shared" si="9"/>
        <v>Any Dryer</v>
      </c>
      <c r="L97" s="451">
        <f>VLOOKUP(J97,SFAssumptions!$A$14:$B$16,2,FALSE)</f>
        <v>0.55200000000000005</v>
      </c>
      <c r="M97" s="452">
        <f>VLOOKUP(K97,SFAssumptions!$A$18:$B$20,2,FALSE)</f>
        <v>0.95</v>
      </c>
      <c r="N97" s="453">
        <f ca="1">HLOOKUP($G97,'SFBaselines and Measures'!$C$3:$V$33,7,FALSE)</f>
        <v>4047.8861059902265</v>
      </c>
      <c r="O97" s="454"/>
      <c r="P97" s="455"/>
      <c r="Q97" s="455">
        <f ca="1">HLOOKUP($G97,'SFBaselines and Measures'!$C$3:$V$33,26,FALSE)</f>
        <v>316.65660041708048</v>
      </c>
      <c r="R97" s="455"/>
      <c r="S97" s="456"/>
      <c r="T97" s="456">
        <f ca="1">HLOOKUP($G97,'SFBaselines and Measures'!$C$3:$V$33,30,FALSE)</f>
        <v>12.104388544903154</v>
      </c>
      <c r="U97" s="456"/>
      <c r="V97" s="456"/>
      <c r="W97" s="457"/>
      <c r="X97" s="453"/>
      <c r="Y97" s="454"/>
      <c r="Z97" s="455"/>
      <c r="AA97" s="455">
        <f ca="1">HLOOKUP($H97,'SFBaselines and Measures'!$C$2:$V$33,27,FALSE)</f>
        <v>261.20653199321106</v>
      </c>
      <c r="AB97" s="455"/>
      <c r="AC97" s="456"/>
      <c r="AD97" s="456">
        <f ca="1">HLOOKUP($H97,'SFBaselines and Measures'!$C$2:$V$33,31,FALSE)</f>
        <v>9.9847764093596894</v>
      </c>
      <c r="AE97" s="456"/>
      <c r="AF97" s="456"/>
      <c r="AG97" s="457"/>
      <c r="AH97" s="453"/>
      <c r="AI97" s="454"/>
      <c r="AJ97" s="455"/>
      <c r="AK97" s="455">
        <f t="shared" ca="1" si="35"/>
        <v>55.450068423869425</v>
      </c>
      <c r="AL97" s="455"/>
      <c r="AM97" s="456"/>
      <c r="AN97" s="456">
        <f t="shared" ca="1" si="36"/>
        <v>2.1196121355434645</v>
      </c>
      <c r="AO97" s="456"/>
      <c r="AP97" s="456"/>
      <c r="AQ97" s="458"/>
      <c r="AR97" s="452" t="str">
        <f t="shared" si="41"/>
        <v>CEE Tier 1 Clothes Washer - Any DHW, Any Dryer - 31% ENERGY STAR Baseline</v>
      </c>
      <c r="AS97" s="454">
        <f t="shared" si="42"/>
        <v>0</v>
      </c>
      <c r="AT97" s="455">
        <f t="shared" ca="1" si="43"/>
        <v>52.677565002675948</v>
      </c>
      <c r="AU97" s="456">
        <f t="shared" ca="1" si="44"/>
        <v>0.10598060677717332</v>
      </c>
      <c r="AV97" s="456">
        <f t="shared" si="45"/>
        <v>0</v>
      </c>
      <c r="AW97" s="456"/>
      <c r="AX97" s="455">
        <f t="shared" ca="1" si="37"/>
        <v>52.068338652934486</v>
      </c>
      <c r="AY97" s="455"/>
      <c r="AZ97" s="458"/>
      <c r="BA97" s="450" t="str">
        <f t="shared" si="38"/>
        <v>CEE Tier 1 Clothes Washer - Any DHW, Any Dryer - 31% ENERGY STAR Baseline</v>
      </c>
      <c r="BB97" s="450" t="s">
        <v>26</v>
      </c>
      <c r="BC97" s="455">
        <f t="shared" ca="1" si="46"/>
        <v>52.677565002675948</v>
      </c>
      <c r="BD97" s="455">
        <f>SFAssumptions!$C$7</f>
        <v>14</v>
      </c>
      <c r="BE97" s="459">
        <f t="shared" si="47"/>
        <v>0</v>
      </c>
      <c r="BF97" s="450"/>
      <c r="BG97" s="449" t="s">
        <v>159</v>
      </c>
      <c r="BH97" s="460"/>
      <c r="BI97" s="450"/>
      <c r="BJ97" s="450"/>
      <c r="BK97" s="450"/>
      <c r="BL97" s="450"/>
      <c r="BM97" s="450"/>
      <c r="BN97" s="450"/>
      <c r="BO97" s="461">
        <f t="shared" ca="1" si="48"/>
        <v>0.10598060677717332</v>
      </c>
      <c r="BP97" s="450" t="s">
        <v>159</v>
      </c>
    </row>
    <row r="98" spans="1:68" s="309" customFormat="1">
      <c r="A98" s="450">
        <f t="shared" si="39"/>
        <v>21</v>
      </c>
      <c r="B98" s="450">
        <f t="shared" si="3"/>
        <v>1</v>
      </c>
      <c r="C98" s="450">
        <f t="shared" si="4"/>
        <v>21</v>
      </c>
      <c r="D98" s="450">
        <f t="shared" si="5"/>
        <v>5</v>
      </c>
      <c r="E98" s="450">
        <f t="shared" si="6"/>
        <v>1</v>
      </c>
      <c r="F98" s="450"/>
      <c r="G98" s="450" t="str">
        <f t="shared" si="12"/>
        <v>Current Practice Baseline Using 31% ENERGY STAR Penetration</v>
      </c>
      <c r="H98" s="450" t="str">
        <f t="shared" si="40"/>
        <v>CEE Tier 2</v>
      </c>
      <c r="I98" s="450" t="str">
        <f t="shared" si="7"/>
        <v>Electric DHW, Electric Dryer</v>
      </c>
      <c r="J98" s="450" t="str">
        <f t="shared" si="8"/>
        <v>Electric DHW</v>
      </c>
      <c r="K98" s="450" t="str">
        <f t="shared" si="9"/>
        <v>Electric Dryer</v>
      </c>
      <c r="L98" s="451">
        <f>VLOOKUP(J98,SFAssumptions!$A$14:$B$16,2,FALSE)</f>
        <v>1</v>
      </c>
      <c r="M98" s="452">
        <f>VLOOKUP(K98,SFAssumptions!$A$18:$B$20,2,FALSE)</f>
        <v>1</v>
      </c>
      <c r="N98" s="453">
        <f ca="1">HLOOKUP($G98,'SFBaselines and Measures'!$C$3:$V$33,7,FALSE)</f>
        <v>4047.8861059902265</v>
      </c>
      <c r="O98" s="454"/>
      <c r="P98" s="455"/>
      <c r="Q98" s="455">
        <f ca="1">HLOOKUP($G98,'SFBaselines and Measures'!$C$3:$V$33,26,FALSE)</f>
        <v>316.65660041708048</v>
      </c>
      <c r="R98" s="455"/>
      <c r="S98" s="456"/>
      <c r="T98" s="456">
        <f ca="1">HLOOKUP($G98,'SFBaselines and Measures'!$C$3:$V$33,30,FALSE)</f>
        <v>12.104388544903154</v>
      </c>
      <c r="U98" s="456"/>
      <c r="V98" s="456"/>
      <c r="W98" s="457"/>
      <c r="X98" s="453"/>
      <c r="Y98" s="454"/>
      <c r="Z98" s="455"/>
      <c r="AA98" s="455">
        <f ca="1">HLOOKUP($H98,'SFBaselines and Measures'!$C$2:$V$33,27,FALSE)</f>
        <v>238.93854319892429</v>
      </c>
      <c r="AB98" s="455"/>
      <c r="AC98" s="456"/>
      <c r="AD98" s="456">
        <f ca="1">HLOOKUP($H98,'SFBaselines and Measures'!$C$2:$V$33,31,FALSE)</f>
        <v>9.1335691769048033</v>
      </c>
      <c r="AE98" s="456"/>
      <c r="AF98" s="456"/>
      <c r="AG98" s="457"/>
      <c r="AH98" s="453"/>
      <c r="AI98" s="454"/>
      <c r="AJ98" s="455"/>
      <c r="AK98" s="455">
        <f t="shared" ca="1" si="35"/>
        <v>77.71805721815619</v>
      </c>
      <c r="AL98" s="455"/>
      <c r="AM98" s="456"/>
      <c r="AN98" s="456">
        <f t="shared" ca="1" si="36"/>
        <v>2.9708193679983506</v>
      </c>
      <c r="AO98" s="456"/>
      <c r="AP98" s="456"/>
      <c r="AQ98" s="458"/>
      <c r="AR98" s="452" t="str">
        <f t="shared" si="41"/>
        <v>CEE Tier 2 Clothes Washer - Electric DHW, Electric Dryer - 31% ENERGY STAR Baseline</v>
      </c>
      <c r="AS98" s="454">
        <f t="shared" si="42"/>
        <v>0</v>
      </c>
      <c r="AT98" s="455">
        <f t="shared" ca="1" si="43"/>
        <v>77.71805721815619</v>
      </c>
      <c r="AU98" s="456">
        <f t="shared" ca="1" si="44"/>
        <v>0</v>
      </c>
      <c r="AV98" s="456">
        <f t="shared" si="45"/>
        <v>0</v>
      </c>
      <c r="AW98" s="456"/>
      <c r="AX98" s="455">
        <f t="shared" ca="1" si="37"/>
        <v>80.428542137221342</v>
      </c>
      <c r="AY98" s="455"/>
      <c r="AZ98" s="458"/>
      <c r="BA98" s="450" t="str">
        <f t="shared" si="38"/>
        <v>CEE Tier 2 Clothes Washer - Electric DHW, Electric Dryer - 31% ENERGY STAR Baseline</v>
      </c>
      <c r="BB98" s="450" t="s">
        <v>26</v>
      </c>
      <c r="BC98" s="455">
        <f t="shared" ca="1" si="46"/>
        <v>77.71805721815619</v>
      </c>
      <c r="BD98" s="455">
        <f>SFAssumptions!$C$7</f>
        <v>14</v>
      </c>
      <c r="BE98" s="459">
        <f t="shared" si="47"/>
        <v>0</v>
      </c>
      <c r="BF98" s="450"/>
      <c r="BG98" s="449" t="s">
        <v>159</v>
      </c>
      <c r="BH98" s="460"/>
      <c r="BI98" s="450"/>
      <c r="BJ98" s="450"/>
      <c r="BK98" s="450"/>
      <c r="BL98" s="450"/>
      <c r="BM98" s="450"/>
      <c r="BN98" s="450"/>
      <c r="BO98" s="461">
        <f t="shared" ca="1" si="48"/>
        <v>0</v>
      </c>
      <c r="BP98" s="450" t="s">
        <v>159</v>
      </c>
    </row>
    <row r="99" spans="1:68" s="309" customFormat="1">
      <c r="A99" s="450">
        <f t="shared" si="39"/>
        <v>22</v>
      </c>
      <c r="B99" s="450">
        <f t="shared" si="3"/>
        <v>1</v>
      </c>
      <c r="C99" s="450">
        <f t="shared" si="4"/>
        <v>22</v>
      </c>
      <c r="D99" s="450">
        <f t="shared" si="5"/>
        <v>5</v>
      </c>
      <c r="E99" s="450">
        <f t="shared" si="6"/>
        <v>2</v>
      </c>
      <c r="F99" s="450"/>
      <c r="G99" s="450" t="str">
        <f t="shared" si="12"/>
        <v>Current Practice Baseline Using 31% ENERGY STAR Penetration</v>
      </c>
      <c r="H99" s="450" t="str">
        <f t="shared" si="40"/>
        <v>CEE Tier 2</v>
      </c>
      <c r="I99" s="450" t="str">
        <f t="shared" si="7"/>
        <v>Electric DHW, Gas Dryer</v>
      </c>
      <c r="J99" s="450" t="str">
        <f t="shared" si="8"/>
        <v>Electric DHW</v>
      </c>
      <c r="K99" s="450" t="str">
        <f t="shared" si="9"/>
        <v>Gas Dryer</v>
      </c>
      <c r="L99" s="451">
        <f>VLOOKUP(J99,SFAssumptions!$A$14:$B$16,2,FALSE)</f>
        <v>1</v>
      </c>
      <c r="M99" s="452">
        <f>VLOOKUP(K99,SFAssumptions!$A$18:$B$20,2,FALSE)</f>
        <v>0</v>
      </c>
      <c r="N99" s="453">
        <f ca="1">HLOOKUP($G99,'SFBaselines and Measures'!$C$3:$V$33,7,FALSE)</f>
        <v>4047.8861059902265</v>
      </c>
      <c r="O99" s="454"/>
      <c r="P99" s="455"/>
      <c r="Q99" s="455">
        <f ca="1">HLOOKUP($G99,'SFBaselines and Measures'!$C$3:$V$33,26,FALSE)</f>
        <v>316.65660041708048</v>
      </c>
      <c r="R99" s="455"/>
      <c r="S99" s="456"/>
      <c r="T99" s="456">
        <f ca="1">HLOOKUP($G99,'SFBaselines and Measures'!$C$3:$V$33,30,FALSE)</f>
        <v>12.104388544903154</v>
      </c>
      <c r="U99" s="456"/>
      <c r="V99" s="456"/>
      <c r="W99" s="457"/>
      <c r="X99" s="453"/>
      <c r="Y99" s="454"/>
      <c r="Z99" s="455"/>
      <c r="AA99" s="455">
        <f ca="1">HLOOKUP($H99,'SFBaselines and Measures'!$C$2:$V$33,27,FALSE)</f>
        <v>238.93854319892429</v>
      </c>
      <c r="AB99" s="455"/>
      <c r="AC99" s="456"/>
      <c r="AD99" s="456">
        <f ca="1">HLOOKUP($H99,'SFBaselines and Measures'!$C$2:$V$33,31,FALSE)</f>
        <v>9.1335691769048033</v>
      </c>
      <c r="AE99" s="456"/>
      <c r="AF99" s="456"/>
      <c r="AG99" s="457"/>
      <c r="AH99" s="453"/>
      <c r="AI99" s="454"/>
      <c r="AJ99" s="455"/>
      <c r="AK99" s="455">
        <f t="shared" ca="1" si="35"/>
        <v>77.71805721815619</v>
      </c>
      <c r="AL99" s="455"/>
      <c r="AM99" s="456"/>
      <c r="AN99" s="456">
        <f t="shared" ca="1" si="36"/>
        <v>2.9708193679983506</v>
      </c>
      <c r="AO99" s="456"/>
      <c r="AP99" s="456"/>
      <c r="AQ99" s="458"/>
      <c r="AR99" s="452" t="str">
        <f t="shared" si="41"/>
        <v>CEE Tier 2 Clothes Washer - Electric DHW, Gas Dryer - 31% ENERGY STAR Baseline</v>
      </c>
      <c r="AS99" s="454">
        <f t="shared" si="42"/>
        <v>0</v>
      </c>
      <c r="AT99" s="455">
        <f t="shared" ca="1" si="43"/>
        <v>0</v>
      </c>
      <c r="AU99" s="456">
        <f t="shared" ca="1" si="44"/>
        <v>2.9708193679983506</v>
      </c>
      <c r="AV99" s="456">
        <f t="shared" si="45"/>
        <v>0</v>
      </c>
      <c r="AW99" s="456"/>
      <c r="AX99" s="455">
        <f t="shared" ca="1" si="37"/>
        <v>2.7104849190651508</v>
      </c>
      <c r="AY99" s="455"/>
      <c r="AZ99" s="458"/>
      <c r="BA99" s="450" t="str">
        <f t="shared" si="38"/>
        <v>CEE Tier 2 Clothes Washer - Electric DHW, Gas Dryer - 31% ENERGY STAR Baseline</v>
      </c>
      <c r="BB99" s="450" t="s">
        <v>26</v>
      </c>
      <c r="BC99" s="455">
        <f t="shared" ca="1" si="46"/>
        <v>0</v>
      </c>
      <c r="BD99" s="455">
        <f>SFAssumptions!$C$7</f>
        <v>14</v>
      </c>
      <c r="BE99" s="459">
        <f t="shared" si="47"/>
        <v>0</v>
      </c>
      <c r="BF99" s="450"/>
      <c r="BG99" s="449" t="s">
        <v>159</v>
      </c>
      <c r="BH99" s="460"/>
      <c r="BI99" s="450"/>
      <c r="BJ99" s="450"/>
      <c r="BK99" s="450"/>
      <c r="BL99" s="450"/>
      <c r="BM99" s="450"/>
      <c r="BN99" s="450"/>
      <c r="BO99" s="461">
        <f t="shared" ca="1" si="48"/>
        <v>2.9708193679983506</v>
      </c>
      <c r="BP99" s="450" t="s">
        <v>159</v>
      </c>
    </row>
    <row r="100" spans="1:68" s="309" customFormat="1">
      <c r="A100" s="450">
        <f t="shared" si="39"/>
        <v>23</v>
      </c>
      <c r="B100" s="450">
        <f t="shared" si="3"/>
        <v>1</v>
      </c>
      <c r="C100" s="450">
        <f t="shared" si="4"/>
        <v>23</v>
      </c>
      <c r="D100" s="450">
        <f t="shared" si="5"/>
        <v>5</v>
      </c>
      <c r="E100" s="450">
        <f t="shared" si="6"/>
        <v>3</v>
      </c>
      <c r="F100" s="450"/>
      <c r="G100" s="450" t="str">
        <f t="shared" si="12"/>
        <v>Current Practice Baseline Using 31% ENERGY STAR Penetration</v>
      </c>
      <c r="H100" s="450" t="str">
        <f t="shared" si="40"/>
        <v>CEE Tier 2</v>
      </c>
      <c r="I100" s="450" t="str">
        <f t="shared" si="7"/>
        <v>Gas DHW, Electric Dryer</v>
      </c>
      <c r="J100" s="450" t="str">
        <f t="shared" si="8"/>
        <v>Gas DHW</v>
      </c>
      <c r="K100" s="450" t="str">
        <f t="shared" si="9"/>
        <v>Electric Dryer</v>
      </c>
      <c r="L100" s="451">
        <f>VLOOKUP(J100,SFAssumptions!$A$14:$B$16,2,FALSE)</f>
        <v>0</v>
      </c>
      <c r="M100" s="452">
        <f>VLOOKUP(K100,SFAssumptions!$A$18:$B$20,2,FALSE)</f>
        <v>1</v>
      </c>
      <c r="N100" s="453">
        <f ca="1">HLOOKUP($G100,'SFBaselines and Measures'!$C$3:$V$33,7,FALSE)</f>
        <v>4047.8861059902265</v>
      </c>
      <c r="O100" s="454"/>
      <c r="P100" s="455"/>
      <c r="Q100" s="455">
        <f ca="1">HLOOKUP($G100,'SFBaselines and Measures'!$C$3:$V$33,26,FALSE)</f>
        <v>316.65660041708048</v>
      </c>
      <c r="R100" s="455"/>
      <c r="S100" s="456"/>
      <c r="T100" s="456">
        <f ca="1">HLOOKUP($G100,'SFBaselines and Measures'!$C$3:$V$33,30,FALSE)</f>
        <v>12.104388544903154</v>
      </c>
      <c r="U100" s="456"/>
      <c r="V100" s="456"/>
      <c r="W100" s="457"/>
      <c r="X100" s="453"/>
      <c r="Y100" s="454"/>
      <c r="Z100" s="455"/>
      <c r="AA100" s="455">
        <f ca="1">HLOOKUP($H100,'SFBaselines and Measures'!$C$2:$V$33,27,FALSE)</f>
        <v>238.93854319892429</v>
      </c>
      <c r="AB100" s="455"/>
      <c r="AC100" s="456"/>
      <c r="AD100" s="456">
        <f ca="1">HLOOKUP($H100,'SFBaselines and Measures'!$C$2:$V$33,31,FALSE)</f>
        <v>9.1335691769048033</v>
      </c>
      <c r="AE100" s="456"/>
      <c r="AF100" s="456"/>
      <c r="AG100" s="457"/>
      <c r="AH100" s="453"/>
      <c r="AI100" s="454"/>
      <c r="AJ100" s="455"/>
      <c r="AK100" s="455">
        <f t="shared" ca="1" si="35"/>
        <v>77.71805721815619</v>
      </c>
      <c r="AL100" s="455"/>
      <c r="AM100" s="456"/>
      <c r="AN100" s="456">
        <f t="shared" ca="1" si="36"/>
        <v>2.9708193679983506</v>
      </c>
      <c r="AO100" s="456"/>
      <c r="AP100" s="456"/>
      <c r="AQ100" s="458"/>
      <c r="AR100" s="452" t="str">
        <f t="shared" si="41"/>
        <v>CEE Tier 2 Clothes Washer - Gas DHW, Electric Dryer - 31% ENERGY STAR Baseline</v>
      </c>
      <c r="AS100" s="454">
        <f t="shared" si="42"/>
        <v>0</v>
      </c>
      <c r="AT100" s="455">
        <f t="shared" ca="1" si="43"/>
        <v>77.71805721815619</v>
      </c>
      <c r="AU100" s="456">
        <f t="shared" ca="1" si="44"/>
        <v>0</v>
      </c>
      <c r="AV100" s="456">
        <f t="shared" si="45"/>
        <v>0</v>
      </c>
      <c r="AW100" s="456"/>
      <c r="AX100" s="455">
        <f t="shared" ca="1" si="37"/>
        <v>80.428542137221342</v>
      </c>
      <c r="AY100" s="455"/>
      <c r="AZ100" s="458"/>
      <c r="BA100" s="450" t="str">
        <f t="shared" si="38"/>
        <v>CEE Tier 2 Clothes Washer - Gas DHW, Electric Dryer - 31% ENERGY STAR Baseline</v>
      </c>
      <c r="BB100" s="450" t="s">
        <v>26</v>
      </c>
      <c r="BC100" s="455">
        <f t="shared" ca="1" si="46"/>
        <v>77.71805721815619</v>
      </c>
      <c r="BD100" s="455">
        <f>SFAssumptions!$C$7</f>
        <v>14</v>
      </c>
      <c r="BE100" s="459">
        <f t="shared" si="47"/>
        <v>0</v>
      </c>
      <c r="BF100" s="450"/>
      <c r="BG100" s="449" t="s">
        <v>159</v>
      </c>
      <c r="BH100" s="460"/>
      <c r="BI100" s="450"/>
      <c r="BJ100" s="450"/>
      <c r="BK100" s="450"/>
      <c r="BL100" s="450"/>
      <c r="BM100" s="450"/>
      <c r="BN100" s="450"/>
      <c r="BO100" s="461">
        <f t="shared" ca="1" si="48"/>
        <v>0</v>
      </c>
      <c r="BP100" s="450" t="s">
        <v>159</v>
      </c>
    </row>
    <row r="101" spans="1:68" s="309" customFormat="1">
      <c r="A101" s="450">
        <f t="shared" si="39"/>
        <v>24</v>
      </c>
      <c r="B101" s="450">
        <f t="shared" si="3"/>
        <v>1</v>
      </c>
      <c r="C101" s="450">
        <f t="shared" si="4"/>
        <v>24</v>
      </c>
      <c r="D101" s="450">
        <f t="shared" si="5"/>
        <v>5</v>
      </c>
      <c r="E101" s="450">
        <f t="shared" si="6"/>
        <v>4</v>
      </c>
      <c r="F101" s="450"/>
      <c r="G101" s="450" t="str">
        <f t="shared" si="12"/>
        <v>Current Practice Baseline Using 31% ENERGY STAR Penetration</v>
      </c>
      <c r="H101" s="450" t="str">
        <f t="shared" si="40"/>
        <v>CEE Tier 2</v>
      </c>
      <c r="I101" s="450" t="str">
        <f t="shared" si="7"/>
        <v>Gas DHW, Gas Dryer</v>
      </c>
      <c r="J101" s="450" t="str">
        <f t="shared" si="8"/>
        <v>Gas DHW</v>
      </c>
      <c r="K101" s="450" t="str">
        <f t="shared" si="9"/>
        <v>Gas Dryer</v>
      </c>
      <c r="L101" s="451">
        <f>VLOOKUP(J101,SFAssumptions!$A$14:$B$16,2,FALSE)</f>
        <v>0</v>
      </c>
      <c r="M101" s="452">
        <f>VLOOKUP(K101,SFAssumptions!$A$18:$B$20,2,FALSE)</f>
        <v>0</v>
      </c>
      <c r="N101" s="453">
        <f ca="1">HLOOKUP($G101,'SFBaselines and Measures'!$C$3:$V$33,7,FALSE)</f>
        <v>4047.8861059902265</v>
      </c>
      <c r="O101" s="454"/>
      <c r="P101" s="455"/>
      <c r="Q101" s="455">
        <f ca="1">HLOOKUP($G101,'SFBaselines and Measures'!$C$3:$V$33,26,FALSE)</f>
        <v>316.65660041708048</v>
      </c>
      <c r="R101" s="455"/>
      <c r="S101" s="456"/>
      <c r="T101" s="456">
        <f ca="1">HLOOKUP($G101,'SFBaselines and Measures'!$C$3:$V$33,30,FALSE)</f>
        <v>12.104388544903154</v>
      </c>
      <c r="U101" s="456"/>
      <c r="V101" s="456"/>
      <c r="W101" s="457"/>
      <c r="X101" s="453"/>
      <c r="Y101" s="454"/>
      <c r="Z101" s="455"/>
      <c r="AA101" s="455">
        <f ca="1">HLOOKUP($H101,'SFBaselines and Measures'!$C$2:$V$33,27,FALSE)</f>
        <v>238.93854319892429</v>
      </c>
      <c r="AB101" s="455"/>
      <c r="AC101" s="456"/>
      <c r="AD101" s="456">
        <f ca="1">HLOOKUP($H101,'SFBaselines and Measures'!$C$2:$V$33,31,FALSE)</f>
        <v>9.1335691769048033</v>
      </c>
      <c r="AE101" s="456"/>
      <c r="AF101" s="456"/>
      <c r="AG101" s="457"/>
      <c r="AH101" s="453"/>
      <c r="AI101" s="454"/>
      <c r="AJ101" s="455"/>
      <c r="AK101" s="455">
        <f t="shared" ca="1" si="35"/>
        <v>77.71805721815619</v>
      </c>
      <c r="AL101" s="455"/>
      <c r="AM101" s="456"/>
      <c r="AN101" s="456">
        <f t="shared" ca="1" si="36"/>
        <v>2.9708193679983506</v>
      </c>
      <c r="AO101" s="456"/>
      <c r="AP101" s="456"/>
      <c r="AQ101" s="458"/>
      <c r="AR101" s="452" t="str">
        <f t="shared" si="41"/>
        <v>CEE Tier 2 Clothes Washer - Gas DHW, Gas Dryer - 31% ENERGY STAR Baseline</v>
      </c>
      <c r="AS101" s="454">
        <f t="shared" si="42"/>
        <v>0</v>
      </c>
      <c r="AT101" s="455">
        <f t="shared" ca="1" si="43"/>
        <v>0</v>
      </c>
      <c r="AU101" s="456">
        <f t="shared" ca="1" si="44"/>
        <v>2.9708193679983506</v>
      </c>
      <c r="AV101" s="456">
        <f t="shared" si="45"/>
        <v>0</v>
      </c>
      <c r="AW101" s="456"/>
      <c r="AX101" s="455">
        <f t="shared" ca="1" si="37"/>
        <v>2.7104849190651508</v>
      </c>
      <c r="AY101" s="455"/>
      <c r="AZ101" s="458"/>
      <c r="BA101" s="450" t="str">
        <f t="shared" si="38"/>
        <v>CEE Tier 2 Clothes Washer - Gas DHW, Gas Dryer - 31% ENERGY STAR Baseline</v>
      </c>
      <c r="BB101" s="450" t="s">
        <v>26</v>
      </c>
      <c r="BC101" s="455">
        <f t="shared" ca="1" si="46"/>
        <v>0</v>
      </c>
      <c r="BD101" s="455">
        <f>SFAssumptions!$C$7</f>
        <v>14</v>
      </c>
      <c r="BE101" s="459">
        <f t="shared" si="47"/>
        <v>0</v>
      </c>
      <c r="BF101" s="450"/>
      <c r="BG101" s="449" t="s">
        <v>159</v>
      </c>
      <c r="BH101" s="460"/>
      <c r="BI101" s="450"/>
      <c r="BJ101" s="450"/>
      <c r="BK101" s="450"/>
      <c r="BL101" s="450"/>
      <c r="BM101" s="450"/>
      <c r="BN101" s="450"/>
      <c r="BO101" s="461">
        <f t="shared" ca="1" si="48"/>
        <v>2.9708193679983506</v>
      </c>
      <c r="BP101" s="450" t="s">
        <v>159</v>
      </c>
    </row>
    <row r="102" spans="1:68" s="309" customFormat="1">
      <c r="A102" s="450">
        <f t="shared" si="39"/>
        <v>25</v>
      </c>
      <c r="B102" s="450">
        <f t="shared" si="3"/>
        <v>1</v>
      </c>
      <c r="C102" s="450">
        <f t="shared" si="4"/>
        <v>25</v>
      </c>
      <c r="D102" s="450">
        <f t="shared" si="5"/>
        <v>5</v>
      </c>
      <c r="E102" s="450">
        <f t="shared" si="6"/>
        <v>5</v>
      </c>
      <c r="F102" s="450"/>
      <c r="G102" s="450" t="str">
        <f t="shared" si="12"/>
        <v>Current Practice Baseline Using 31% ENERGY STAR Penetration</v>
      </c>
      <c r="H102" s="450" t="str">
        <f t="shared" si="40"/>
        <v>CEE Tier 2</v>
      </c>
      <c r="I102" s="450" t="str">
        <f t="shared" si="7"/>
        <v>Any DHW, Any Dryer</v>
      </c>
      <c r="J102" s="450" t="str">
        <f t="shared" si="8"/>
        <v>Any DHW</v>
      </c>
      <c r="K102" s="450" t="str">
        <f t="shared" si="9"/>
        <v>Any Dryer</v>
      </c>
      <c r="L102" s="451">
        <f>VLOOKUP(J102,SFAssumptions!$A$14:$B$16,2,FALSE)</f>
        <v>0.55200000000000005</v>
      </c>
      <c r="M102" s="452">
        <f>VLOOKUP(K102,SFAssumptions!$A$18:$B$20,2,FALSE)</f>
        <v>0.95</v>
      </c>
      <c r="N102" s="453">
        <f ca="1">HLOOKUP($G102,'SFBaselines and Measures'!$C$3:$V$33,7,FALSE)</f>
        <v>4047.8861059902265</v>
      </c>
      <c r="O102" s="454"/>
      <c r="P102" s="455"/>
      <c r="Q102" s="455">
        <f ca="1">HLOOKUP($G102,'SFBaselines and Measures'!$C$3:$V$33,26,FALSE)</f>
        <v>316.65660041708048</v>
      </c>
      <c r="R102" s="455"/>
      <c r="S102" s="456"/>
      <c r="T102" s="456">
        <f ca="1">HLOOKUP($G102,'SFBaselines and Measures'!$C$3:$V$33,30,FALSE)</f>
        <v>12.104388544903154</v>
      </c>
      <c r="U102" s="456"/>
      <c r="V102" s="456"/>
      <c r="W102" s="457"/>
      <c r="X102" s="453"/>
      <c r="Y102" s="454"/>
      <c r="Z102" s="455"/>
      <c r="AA102" s="455">
        <f ca="1">HLOOKUP($H102,'SFBaselines and Measures'!$C$2:$V$33,27,FALSE)</f>
        <v>238.93854319892429</v>
      </c>
      <c r="AB102" s="455"/>
      <c r="AC102" s="456"/>
      <c r="AD102" s="456">
        <f ca="1">HLOOKUP($H102,'SFBaselines and Measures'!$C$2:$V$33,31,FALSE)</f>
        <v>9.1335691769048033</v>
      </c>
      <c r="AE102" s="456"/>
      <c r="AF102" s="456"/>
      <c r="AG102" s="457"/>
      <c r="AH102" s="453"/>
      <c r="AI102" s="454"/>
      <c r="AJ102" s="455"/>
      <c r="AK102" s="455">
        <f t="shared" ca="1" si="35"/>
        <v>77.71805721815619</v>
      </c>
      <c r="AL102" s="455"/>
      <c r="AM102" s="456"/>
      <c r="AN102" s="456">
        <f t="shared" ca="1" si="36"/>
        <v>2.9708193679983506</v>
      </c>
      <c r="AO102" s="456"/>
      <c r="AP102" s="456"/>
      <c r="AQ102" s="458"/>
      <c r="AR102" s="452" t="str">
        <f t="shared" si="41"/>
        <v>CEE Tier 2 Clothes Washer - Any DHW, Any Dryer - 31% ENERGY STAR Baseline</v>
      </c>
      <c r="AS102" s="454">
        <f t="shared" si="42"/>
        <v>0</v>
      </c>
      <c r="AT102" s="455">
        <f t="shared" ca="1" si="43"/>
        <v>73.832154357248371</v>
      </c>
      <c r="AU102" s="456">
        <f t="shared" ca="1" si="44"/>
        <v>0.14854096839991765</v>
      </c>
      <c r="AV102" s="456">
        <f t="shared" si="45"/>
        <v>0</v>
      </c>
      <c r="AW102" s="456"/>
      <c r="AX102" s="455">
        <f t="shared" ca="1" si="37"/>
        <v>76.542639276313523</v>
      </c>
      <c r="AY102" s="455"/>
      <c r="AZ102" s="458"/>
      <c r="BA102" s="450" t="str">
        <f t="shared" si="38"/>
        <v>CEE Tier 2 Clothes Washer - Any DHW, Any Dryer - 31% ENERGY STAR Baseline</v>
      </c>
      <c r="BB102" s="450" t="s">
        <v>26</v>
      </c>
      <c r="BC102" s="455">
        <f t="shared" ca="1" si="46"/>
        <v>73.832154357248371</v>
      </c>
      <c r="BD102" s="455">
        <f>SFAssumptions!$C$7</f>
        <v>14</v>
      </c>
      <c r="BE102" s="459">
        <f t="shared" si="47"/>
        <v>0</v>
      </c>
      <c r="BF102" s="450"/>
      <c r="BG102" s="449" t="s">
        <v>159</v>
      </c>
      <c r="BH102" s="460"/>
      <c r="BI102" s="450"/>
      <c r="BJ102" s="450"/>
      <c r="BK102" s="450"/>
      <c r="BL102" s="450"/>
      <c r="BM102" s="450"/>
      <c r="BN102" s="450"/>
      <c r="BO102" s="461">
        <f t="shared" ca="1" si="48"/>
        <v>0.14854096839991765</v>
      </c>
      <c r="BP102" s="450" t="s">
        <v>159</v>
      </c>
    </row>
    <row r="103" spans="1:68" s="309" customFormat="1">
      <c r="A103" s="450">
        <f t="shared" si="39"/>
        <v>26</v>
      </c>
      <c r="B103" s="450">
        <f t="shared" si="3"/>
        <v>1</v>
      </c>
      <c r="C103" s="450">
        <f t="shared" si="4"/>
        <v>26</v>
      </c>
      <c r="D103" s="450">
        <f t="shared" si="5"/>
        <v>6</v>
      </c>
      <c r="E103" s="450">
        <f t="shared" si="6"/>
        <v>1</v>
      </c>
      <c r="F103" s="450"/>
      <c r="G103" s="450" t="str">
        <f t="shared" si="12"/>
        <v>Current Practice Baseline Using 31% ENERGY STAR Penetration</v>
      </c>
      <c r="H103" s="450" t="str">
        <f t="shared" si="40"/>
        <v>CEE Tier 3</v>
      </c>
      <c r="I103" s="450" t="str">
        <f t="shared" si="7"/>
        <v>Electric DHW, Electric Dryer</v>
      </c>
      <c r="J103" s="450" t="str">
        <f t="shared" si="8"/>
        <v>Electric DHW</v>
      </c>
      <c r="K103" s="450" t="str">
        <f t="shared" si="9"/>
        <v>Electric Dryer</v>
      </c>
      <c r="L103" s="451">
        <f>VLOOKUP(J103,SFAssumptions!$A$14:$B$16,2,FALSE)</f>
        <v>1</v>
      </c>
      <c r="M103" s="452">
        <f>VLOOKUP(K103,SFAssumptions!$A$18:$B$20,2,FALSE)</f>
        <v>1</v>
      </c>
      <c r="N103" s="453">
        <f ca="1">HLOOKUP($G103,'SFBaselines and Measures'!$C$3:$V$33,7,FALSE)</f>
        <v>4047.8861059902265</v>
      </c>
      <c r="O103" s="454"/>
      <c r="P103" s="455"/>
      <c r="Q103" s="455">
        <f ca="1">HLOOKUP($G103,'SFBaselines and Measures'!$C$3:$V$33,26,FALSE)</f>
        <v>316.65660041708048</v>
      </c>
      <c r="R103" s="455"/>
      <c r="S103" s="456"/>
      <c r="T103" s="456">
        <f ca="1">HLOOKUP($G103,'SFBaselines and Measures'!$C$3:$V$33,30,FALSE)</f>
        <v>12.104388544903154</v>
      </c>
      <c r="U103" s="456"/>
      <c r="V103" s="456"/>
      <c r="W103" s="457"/>
      <c r="X103" s="453"/>
      <c r="Y103" s="454"/>
      <c r="Z103" s="455"/>
      <c r="AA103" s="455">
        <f ca="1">HLOOKUP($H103,'SFBaselines and Measures'!$C$2:$V$33,27,FALSE)</f>
        <v>224.36755606959434</v>
      </c>
      <c r="AB103" s="455"/>
      <c r="AC103" s="456"/>
      <c r="AD103" s="456">
        <f ca="1">HLOOKUP($H103,'SFBaselines and Measures'!$C$2:$V$33,31,FALSE)</f>
        <v>8.5765844512938862</v>
      </c>
      <c r="AE103" s="456"/>
      <c r="AF103" s="456"/>
      <c r="AG103" s="457"/>
      <c r="AH103" s="453"/>
      <c r="AI103" s="454"/>
      <c r="AJ103" s="455"/>
      <c r="AK103" s="455">
        <f t="shared" ca="1" si="35"/>
        <v>92.28904434748614</v>
      </c>
      <c r="AL103" s="455"/>
      <c r="AM103" s="456"/>
      <c r="AN103" s="456">
        <f t="shared" ca="1" si="36"/>
        <v>3.5278040936092676</v>
      </c>
      <c r="AO103" s="456"/>
      <c r="AP103" s="456"/>
      <c r="AQ103" s="458"/>
      <c r="AR103" s="452" t="str">
        <f t="shared" si="41"/>
        <v>CEE Tier 3 Clothes Washer - Electric DHW, Electric Dryer - 31% ENERGY STAR Baseline</v>
      </c>
      <c r="AS103" s="454">
        <f t="shared" si="42"/>
        <v>0</v>
      </c>
      <c r="AT103" s="455">
        <f t="shared" ca="1" si="43"/>
        <v>92.28904434748614</v>
      </c>
      <c r="AU103" s="456">
        <f t="shared" ca="1" si="44"/>
        <v>0</v>
      </c>
      <c r="AV103" s="456">
        <f t="shared" si="45"/>
        <v>0</v>
      </c>
      <c r="AW103" s="456"/>
      <c r="AX103" s="455">
        <f t="shared" ca="1" si="37"/>
        <v>94.062199025947066</v>
      </c>
      <c r="AY103" s="455"/>
      <c r="AZ103" s="458"/>
      <c r="BA103" s="450" t="str">
        <f t="shared" si="38"/>
        <v>CEE Tier 3 Clothes Washer - Electric DHW, Electric Dryer - 31% ENERGY STAR Baseline</v>
      </c>
      <c r="BB103" s="450" t="s">
        <v>26</v>
      </c>
      <c r="BC103" s="455">
        <f t="shared" ca="1" si="46"/>
        <v>92.28904434748614</v>
      </c>
      <c r="BD103" s="455">
        <f>SFAssumptions!$C$7</f>
        <v>14</v>
      </c>
      <c r="BE103" s="459">
        <f t="shared" si="47"/>
        <v>0</v>
      </c>
      <c r="BF103" s="450"/>
      <c r="BG103" s="449" t="s">
        <v>159</v>
      </c>
      <c r="BH103" s="460"/>
      <c r="BI103" s="450"/>
      <c r="BJ103" s="450"/>
      <c r="BK103" s="450"/>
      <c r="BL103" s="450"/>
      <c r="BM103" s="450"/>
      <c r="BN103" s="450"/>
      <c r="BO103" s="461">
        <f t="shared" ca="1" si="48"/>
        <v>0</v>
      </c>
      <c r="BP103" s="450" t="s">
        <v>159</v>
      </c>
    </row>
    <row r="104" spans="1:68" s="309" customFormat="1">
      <c r="A104" s="450">
        <f t="shared" si="39"/>
        <v>27</v>
      </c>
      <c r="B104" s="450">
        <f t="shared" si="3"/>
        <v>1</v>
      </c>
      <c r="C104" s="450">
        <f t="shared" si="4"/>
        <v>27</v>
      </c>
      <c r="D104" s="450">
        <f t="shared" si="5"/>
        <v>6</v>
      </c>
      <c r="E104" s="450">
        <f t="shared" si="6"/>
        <v>2</v>
      </c>
      <c r="F104" s="450"/>
      <c r="G104" s="450" t="str">
        <f t="shared" si="12"/>
        <v>Current Practice Baseline Using 31% ENERGY STAR Penetration</v>
      </c>
      <c r="H104" s="450" t="str">
        <f t="shared" si="40"/>
        <v>CEE Tier 3</v>
      </c>
      <c r="I104" s="450" t="str">
        <f t="shared" si="7"/>
        <v>Electric DHW, Gas Dryer</v>
      </c>
      <c r="J104" s="450" t="str">
        <f t="shared" si="8"/>
        <v>Electric DHW</v>
      </c>
      <c r="K104" s="450" t="str">
        <f t="shared" si="9"/>
        <v>Gas Dryer</v>
      </c>
      <c r="L104" s="451">
        <f>VLOOKUP(J104,SFAssumptions!$A$14:$B$16,2,FALSE)</f>
        <v>1</v>
      </c>
      <c r="M104" s="452">
        <f>VLOOKUP(K104,SFAssumptions!$A$18:$B$20,2,FALSE)</f>
        <v>0</v>
      </c>
      <c r="N104" s="453">
        <f ca="1">HLOOKUP($G104,'SFBaselines and Measures'!$C$3:$V$33,7,FALSE)</f>
        <v>4047.8861059902265</v>
      </c>
      <c r="O104" s="454"/>
      <c r="P104" s="455"/>
      <c r="Q104" s="455">
        <f ca="1">HLOOKUP($G104,'SFBaselines and Measures'!$C$3:$V$33,26,FALSE)</f>
        <v>316.65660041708048</v>
      </c>
      <c r="R104" s="455"/>
      <c r="S104" s="456"/>
      <c r="T104" s="456">
        <f ca="1">HLOOKUP($G104,'SFBaselines and Measures'!$C$3:$V$33,30,FALSE)</f>
        <v>12.104388544903154</v>
      </c>
      <c r="U104" s="456"/>
      <c r="V104" s="456"/>
      <c r="W104" s="457"/>
      <c r="X104" s="453"/>
      <c r="Y104" s="454"/>
      <c r="Z104" s="455"/>
      <c r="AA104" s="455">
        <f ca="1">HLOOKUP($H104,'SFBaselines and Measures'!$C$2:$V$33,27,FALSE)</f>
        <v>224.36755606959434</v>
      </c>
      <c r="AB104" s="455"/>
      <c r="AC104" s="456"/>
      <c r="AD104" s="456">
        <f ca="1">HLOOKUP($H104,'SFBaselines and Measures'!$C$2:$V$33,31,FALSE)</f>
        <v>8.5765844512938862</v>
      </c>
      <c r="AE104" s="456"/>
      <c r="AF104" s="456"/>
      <c r="AG104" s="457"/>
      <c r="AH104" s="453"/>
      <c r="AI104" s="454"/>
      <c r="AJ104" s="455"/>
      <c r="AK104" s="455">
        <f t="shared" ca="1" si="35"/>
        <v>92.28904434748614</v>
      </c>
      <c r="AL104" s="455"/>
      <c r="AM104" s="456"/>
      <c r="AN104" s="456">
        <f t="shared" ca="1" si="36"/>
        <v>3.5278040936092676</v>
      </c>
      <c r="AO104" s="456"/>
      <c r="AP104" s="456"/>
      <c r="AQ104" s="458"/>
      <c r="AR104" s="452" t="str">
        <f t="shared" si="41"/>
        <v>CEE Tier 3 Clothes Washer - Electric DHW, Gas Dryer - 31% ENERGY STAR Baseline</v>
      </c>
      <c r="AS104" s="454">
        <f t="shared" si="42"/>
        <v>0</v>
      </c>
      <c r="AT104" s="455">
        <f t="shared" ca="1" si="43"/>
        <v>0</v>
      </c>
      <c r="AU104" s="456">
        <f t="shared" ca="1" si="44"/>
        <v>3.5278040936092676</v>
      </c>
      <c r="AV104" s="456">
        <f t="shared" si="45"/>
        <v>0</v>
      </c>
      <c r="AW104" s="456"/>
      <c r="AX104" s="455">
        <f t="shared" ca="1" si="37"/>
        <v>1.7731546784609331</v>
      </c>
      <c r="AY104" s="455"/>
      <c r="AZ104" s="458"/>
      <c r="BA104" s="450" t="str">
        <f t="shared" si="38"/>
        <v>CEE Tier 3 Clothes Washer - Electric DHW, Gas Dryer - 31% ENERGY STAR Baseline</v>
      </c>
      <c r="BB104" s="450" t="s">
        <v>26</v>
      </c>
      <c r="BC104" s="455">
        <f t="shared" ca="1" si="46"/>
        <v>0</v>
      </c>
      <c r="BD104" s="455">
        <f>SFAssumptions!$C$7</f>
        <v>14</v>
      </c>
      <c r="BE104" s="459">
        <f t="shared" si="47"/>
        <v>0</v>
      </c>
      <c r="BF104" s="450"/>
      <c r="BG104" s="449" t="s">
        <v>159</v>
      </c>
      <c r="BH104" s="460"/>
      <c r="BI104" s="450"/>
      <c r="BJ104" s="450"/>
      <c r="BK104" s="450"/>
      <c r="BL104" s="450"/>
      <c r="BM104" s="450"/>
      <c r="BN104" s="450"/>
      <c r="BO104" s="461">
        <f t="shared" ca="1" si="48"/>
        <v>3.5278040936092676</v>
      </c>
      <c r="BP104" s="450" t="s">
        <v>159</v>
      </c>
    </row>
    <row r="105" spans="1:68" s="309" customFormat="1">
      <c r="A105" s="450">
        <f t="shared" si="39"/>
        <v>28</v>
      </c>
      <c r="B105" s="450">
        <f t="shared" si="3"/>
        <v>1</v>
      </c>
      <c r="C105" s="450">
        <f t="shared" si="4"/>
        <v>28</v>
      </c>
      <c r="D105" s="450">
        <f t="shared" si="5"/>
        <v>6</v>
      </c>
      <c r="E105" s="450">
        <f t="shared" si="6"/>
        <v>3</v>
      </c>
      <c r="F105" s="450"/>
      <c r="G105" s="450" t="str">
        <f t="shared" si="12"/>
        <v>Current Practice Baseline Using 31% ENERGY STAR Penetration</v>
      </c>
      <c r="H105" s="450" t="str">
        <f t="shared" si="40"/>
        <v>CEE Tier 3</v>
      </c>
      <c r="I105" s="450" t="str">
        <f t="shared" si="7"/>
        <v>Gas DHW, Electric Dryer</v>
      </c>
      <c r="J105" s="450" t="str">
        <f t="shared" si="8"/>
        <v>Gas DHW</v>
      </c>
      <c r="K105" s="450" t="str">
        <f t="shared" si="9"/>
        <v>Electric Dryer</v>
      </c>
      <c r="L105" s="451">
        <f>VLOOKUP(J105,SFAssumptions!$A$14:$B$16,2,FALSE)</f>
        <v>0</v>
      </c>
      <c r="M105" s="452">
        <f>VLOOKUP(K105,SFAssumptions!$A$18:$B$20,2,FALSE)</f>
        <v>1</v>
      </c>
      <c r="N105" s="453">
        <f ca="1">HLOOKUP($G105,'SFBaselines and Measures'!$C$3:$V$33,7,FALSE)</f>
        <v>4047.8861059902265</v>
      </c>
      <c r="O105" s="454"/>
      <c r="P105" s="455"/>
      <c r="Q105" s="455">
        <f ca="1">HLOOKUP($G105,'SFBaselines and Measures'!$C$3:$V$33,26,FALSE)</f>
        <v>316.65660041708048</v>
      </c>
      <c r="R105" s="455"/>
      <c r="S105" s="456"/>
      <c r="T105" s="456">
        <f ca="1">HLOOKUP($G105,'SFBaselines and Measures'!$C$3:$V$33,30,FALSE)</f>
        <v>12.104388544903154</v>
      </c>
      <c r="U105" s="456"/>
      <c r="V105" s="456"/>
      <c r="W105" s="457"/>
      <c r="X105" s="453"/>
      <c r="Y105" s="454"/>
      <c r="Z105" s="455"/>
      <c r="AA105" s="455">
        <f ca="1">HLOOKUP($H105,'SFBaselines and Measures'!$C$2:$V$33,27,FALSE)</f>
        <v>224.36755606959434</v>
      </c>
      <c r="AB105" s="455"/>
      <c r="AC105" s="456"/>
      <c r="AD105" s="456">
        <f ca="1">HLOOKUP($H105,'SFBaselines and Measures'!$C$2:$V$33,31,FALSE)</f>
        <v>8.5765844512938862</v>
      </c>
      <c r="AE105" s="456"/>
      <c r="AF105" s="456"/>
      <c r="AG105" s="457"/>
      <c r="AH105" s="453"/>
      <c r="AI105" s="454"/>
      <c r="AJ105" s="455"/>
      <c r="AK105" s="455">
        <f t="shared" ca="1" si="35"/>
        <v>92.28904434748614</v>
      </c>
      <c r="AL105" s="455"/>
      <c r="AM105" s="456"/>
      <c r="AN105" s="456">
        <f t="shared" ca="1" si="36"/>
        <v>3.5278040936092676</v>
      </c>
      <c r="AO105" s="456"/>
      <c r="AP105" s="456"/>
      <c r="AQ105" s="458"/>
      <c r="AR105" s="452" t="str">
        <f t="shared" si="41"/>
        <v>CEE Tier 3 Clothes Washer - Gas DHW, Electric Dryer - 31% ENERGY STAR Baseline</v>
      </c>
      <c r="AS105" s="454">
        <f t="shared" si="42"/>
        <v>0</v>
      </c>
      <c r="AT105" s="455">
        <f t="shared" ca="1" si="43"/>
        <v>92.28904434748614</v>
      </c>
      <c r="AU105" s="456">
        <f t="shared" ca="1" si="44"/>
        <v>0</v>
      </c>
      <c r="AV105" s="456">
        <f t="shared" si="45"/>
        <v>0</v>
      </c>
      <c r="AW105" s="456"/>
      <c r="AX105" s="455">
        <f t="shared" ca="1" si="37"/>
        <v>94.062199025947066</v>
      </c>
      <c r="AY105" s="455"/>
      <c r="AZ105" s="458"/>
      <c r="BA105" s="450" t="str">
        <f t="shared" si="38"/>
        <v>CEE Tier 3 Clothes Washer - Gas DHW, Electric Dryer - 31% ENERGY STAR Baseline</v>
      </c>
      <c r="BB105" s="450" t="s">
        <v>26</v>
      </c>
      <c r="BC105" s="455">
        <f t="shared" ca="1" si="46"/>
        <v>92.28904434748614</v>
      </c>
      <c r="BD105" s="455">
        <f>SFAssumptions!$C$7</f>
        <v>14</v>
      </c>
      <c r="BE105" s="459">
        <f t="shared" si="47"/>
        <v>0</v>
      </c>
      <c r="BF105" s="450"/>
      <c r="BG105" s="449" t="s">
        <v>159</v>
      </c>
      <c r="BH105" s="460"/>
      <c r="BI105" s="450"/>
      <c r="BJ105" s="450"/>
      <c r="BK105" s="450"/>
      <c r="BL105" s="450"/>
      <c r="BM105" s="450"/>
      <c r="BN105" s="450"/>
      <c r="BO105" s="461">
        <f t="shared" ca="1" si="48"/>
        <v>0</v>
      </c>
      <c r="BP105" s="450" t="s">
        <v>159</v>
      </c>
    </row>
    <row r="106" spans="1:68" s="309" customFormat="1">
      <c r="A106" s="450">
        <f t="shared" si="39"/>
        <v>29</v>
      </c>
      <c r="B106" s="450">
        <f t="shared" si="3"/>
        <v>1</v>
      </c>
      <c r="C106" s="450">
        <f t="shared" si="4"/>
        <v>29</v>
      </c>
      <c r="D106" s="450">
        <f t="shared" si="5"/>
        <v>6</v>
      </c>
      <c r="E106" s="450">
        <f t="shared" si="6"/>
        <v>4</v>
      </c>
      <c r="F106" s="450"/>
      <c r="G106" s="450" t="str">
        <f t="shared" si="12"/>
        <v>Current Practice Baseline Using 31% ENERGY STAR Penetration</v>
      </c>
      <c r="H106" s="450" t="str">
        <f t="shared" si="40"/>
        <v>CEE Tier 3</v>
      </c>
      <c r="I106" s="450" t="str">
        <f t="shared" si="7"/>
        <v>Gas DHW, Gas Dryer</v>
      </c>
      <c r="J106" s="450" t="str">
        <f t="shared" si="8"/>
        <v>Gas DHW</v>
      </c>
      <c r="K106" s="450" t="str">
        <f t="shared" si="9"/>
        <v>Gas Dryer</v>
      </c>
      <c r="L106" s="451">
        <f>VLOOKUP(J106,SFAssumptions!$A$14:$B$16,2,FALSE)</f>
        <v>0</v>
      </c>
      <c r="M106" s="452">
        <f>VLOOKUP(K106,SFAssumptions!$A$18:$B$20,2,FALSE)</f>
        <v>0</v>
      </c>
      <c r="N106" s="453">
        <f ca="1">HLOOKUP($G106,'SFBaselines and Measures'!$C$3:$V$33,7,FALSE)</f>
        <v>4047.8861059902265</v>
      </c>
      <c r="O106" s="454"/>
      <c r="P106" s="455"/>
      <c r="Q106" s="455">
        <f ca="1">HLOOKUP($G106,'SFBaselines and Measures'!$C$3:$V$33,26,FALSE)</f>
        <v>316.65660041708048</v>
      </c>
      <c r="R106" s="455"/>
      <c r="S106" s="456"/>
      <c r="T106" s="456">
        <f ca="1">HLOOKUP($G106,'SFBaselines and Measures'!$C$3:$V$33,30,FALSE)</f>
        <v>12.104388544903154</v>
      </c>
      <c r="U106" s="456"/>
      <c r="V106" s="456"/>
      <c r="W106" s="457"/>
      <c r="X106" s="453"/>
      <c r="Y106" s="454"/>
      <c r="Z106" s="455"/>
      <c r="AA106" s="455">
        <f ca="1">HLOOKUP($H106,'SFBaselines and Measures'!$C$2:$V$33,27,FALSE)</f>
        <v>224.36755606959434</v>
      </c>
      <c r="AB106" s="455"/>
      <c r="AC106" s="456"/>
      <c r="AD106" s="456">
        <f ca="1">HLOOKUP($H106,'SFBaselines and Measures'!$C$2:$V$33,31,FALSE)</f>
        <v>8.5765844512938862</v>
      </c>
      <c r="AE106" s="456"/>
      <c r="AF106" s="456"/>
      <c r="AG106" s="457"/>
      <c r="AH106" s="453"/>
      <c r="AI106" s="454"/>
      <c r="AJ106" s="455"/>
      <c r="AK106" s="455">
        <f t="shared" ca="1" si="35"/>
        <v>92.28904434748614</v>
      </c>
      <c r="AL106" s="455"/>
      <c r="AM106" s="456"/>
      <c r="AN106" s="456">
        <f t="shared" ca="1" si="36"/>
        <v>3.5278040936092676</v>
      </c>
      <c r="AO106" s="456"/>
      <c r="AP106" s="456"/>
      <c r="AQ106" s="458"/>
      <c r="AR106" s="452" t="str">
        <f t="shared" si="41"/>
        <v>CEE Tier 3 Clothes Washer - Gas DHW, Gas Dryer - 31% ENERGY STAR Baseline</v>
      </c>
      <c r="AS106" s="454">
        <f t="shared" si="42"/>
        <v>0</v>
      </c>
      <c r="AT106" s="455">
        <f t="shared" ca="1" si="43"/>
        <v>0</v>
      </c>
      <c r="AU106" s="456">
        <f t="shared" ca="1" si="44"/>
        <v>3.5278040936092676</v>
      </c>
      <c r="AV106" s="456">
        <f t="shared" si="45"/>
        <v>0</v>
      </c>
      <c r="AW106" s="456"/>
      <c r="AX106" s="455">
        <f t="shared" ca="1" si="37"/>
        <v>1.7731546784609331</v>
      </c>
      <c r="AY106" s="455"/>
      <c r="AZ106" s="458"/>
      <c r="BA106" s="450" t="str">
        <f t="shared" si="38"/>
        <v>CEE Tier 3 Clothes Washer - Gas DHW, Gas Dryer - 31% ENERGY STAR Baseline</v>
      </c>
      <c r="BB106" s="450" t="s">
        <v>26</v>
      </c>
      <c r="BC106" s="455">
        <f t="shared" ca="1" si="46"/>
        <v>0</v>
      </c>
      <c r="BD106" s="455">
        <f>SFAssumptions!$C$7</f>
        <v>14</v>
      </c>
      <c r="BE106" s="459">
        <f t="shared" si="47"/>
        <v>0</v>
      </c>
      <c r="BF106" s="450"/>
      <c r="BG106" s="449" t="s">
        <v>159</v>
      </c>
      <c r="BH106" s="460"/>
      <c r="BI106" s="450"/>
      <c r="BJ106" s="450"/>
      <c r="BK106" s="450"/>
      <c r="BL106" s="450"/>
      <c r="BM106" s="450"/>
      <c r="BN106" s="450"/>
      <c r="BO106" s="461">
        <f t="shared" ca="1" si="48"/>
        <v>3.5278040936092676</v>
      </c>
      <c r="BP106" s="450" t="s">
        <v>159</v>
      </c>
    </row>
    <row r="107" spans="1:68" s="309" customFormat="1">
      <c r="A107" s="450">
        <f t="shared" si="39"/>
        <v>30</v>
      </c>
      <c r="B107" s="450">
        <f t="shared" si="3"/>
        <v>1</v>
      </c>
      <c r="C107" s="450">
        <f t="shared" si="4"/>
        <v>30</v>
      </c>
      <c r="D107" s="450">
        <f t="shared" si="5"/>
        <v>6</v>
      </c>
      <c r="E107" s="450">
        <f t="shared" si="6"/>
        <v>5</v>
      </c>
      <c r="F107" s="450"/>
      <c r="G107" s="450" t="str">
        <f t="shared" si="12"/>
        <v>Current Practice Baseline Using 31% ENERGY STAR Penetration</v>
      </c>
      <c r="H107" s="450" t="str">
        <f t="shared" si="40"/>
        <v>CEE Tier 3</v>
      </c>
      <c r="I107" s="450" t="str">
        <f t="shared" si="7"/>
        <v>Any DHW, Any Dryer</v>
      </c>
      <c r="J107" s="450" t="str">
        <f t="shared" si="8"/>
        <v>Any DHW</v>
      </c>
      <c r="K107" s="450" t="str">
        <f t="shared" si="9"/>
        <v>Any Dryer</v>
      </c>
      <c r="L107" s="451">
        <f>VLOOKUP(J107,SFAssumptions!$A$14:$B$16,2,FALSE)</f>
        <v>0.55200000000000005</v>
      </c>
      <c r="M107" s="452">
        <f>VLOOKUP(K107,SFAssumptions!$A$18:$B$20,2,FALSE)</f>
        <v>0.95</v>
      </c>
      <c r="N107" s="453">
        <f ca="1">HLOOKUP($G107,'SFBaselines and Measures'!$C$3:$V$33,7,FALSE)</f>
        <v>4047.8861059902265</v>
      </c>
      <c r="O107" s="454"/>
      <c r="P107" s="455"/>
      <c r="Q107" s="455">
        <f ca="1">HLOOKUP($G107,'SFBaselines and Measures'!$C$3:$V$33,26,FALSE)</f>
        <v>316.65660041708048</v>
      </c>
      <c r="R107" s="455"/>
      <c r="S107" s="456"/>
      <c r="T107" s="456">
        <f ca="1">HLOOKUP($G107,'SFBaselines and Measures'!$C$3:$V$33,30,FALSE)</f>
        <v>12.104388544903154</v>
      </c>
      <c r="U107" s="456"/>
      <c r="V107" s="456"/>
      <c r="W107" s="457"/>
      <c r="X107" s="453"/>
      <c r="Y107" s="454"/>
      <c r="Z107" s="455"/>
      <c r="AA107" s="455">
        <f ca="1">HLOOKUP($H107,'SFBaselines and Measures'!$C$2:$V$33,27,FALSE)</f>
        <v>224.36755606959434</v>
      </c>
      <c r="AB107" s="455"/>
      <c r="AC107" s="456"/>
      <c r="AD107" s="456">
        <f ca="1">HLOOKUP($H107,'SFBaselines and Measures'!$C$2:$V$33,31,FALSE)</f>
        <v>8.5765844512938862</v>
      </c>
      <c r="AE107" s="456"/>
      <c r="AF107" s="456"/>
      <c r="AG107" s="457"/>
      <c r="AH107" s="453"/>
      <c r="AI107" s="454"/>
      <c r="AJ107" s="455"/>
      <c r="AK107" s="455">
        <f t="shared" ca="1" si="35"/>
        <v>92.28904434748614</v>
      </c>
      <c r="AL107" s="455"/>
      <c r="AM107" s="456"/>
      <c r="AN107" s="456">
        <f t="shared" ca="1" si="36"/>
        <v>3.5278040936092676</v>
      </c>
      <c r="AO107" s="456"/>
      <c r="AP107" s="456"/>
      <c r="AQ107" s="458"/>
      <c r="AR107" s="452" t="str">
        <f t="shared" si="41"/>
        <v>CEE Tier 3 Clothes Washer - Any DHW, Any Dryer - 31% ENERGY STAR Baseline</v>
      </c>
      <c r="AS107" s="454">
        <f t="shared" si="42"/>
        <v>0</v>
      </c>
      <c r="AT107" s="455">
        <f t="shared" ca="1" si="43"/>
        <v>87.674592130111833</v>
      </c>
      <c r="AU107" s="456">
        <f t="shared" ca="1" si="44"/>
        <v>0.17639020468046354</v>
      </c>
      <c r="AV107" s="456">
        <f t="shared" si="45"/>
        <v>0</v>
      </c>
      <c r="AW107" s="456"/>
      <c r="AX107" s="455">
        <f t="shared" ca="1" si="37"/>
        <v>89.447746808572759</v>
      </c>
      <c r="AY107" s="455"/>
      <c r="AZ107" s="458"/>
      <c r="BA107" s="450" t="str">
        <f t="shared" si="38"/>
        <v>CEE Tier 3 Clothes Washer - Any DHW, Any Dryer - 31% ENERGY STAR Baseline</v>
      </c>
      <c r="BB107" s="450" t="s">
        <v>26</v>
      </c>
      <c r="BC107" s="455">
        <f t="shared" ca="1" si="46"/>
        <v>87.674592130111833</v>
      </c>
      <c r="BD107" s="455">
        <f>SFAssumptions!$C$7</f>
        <v>14</v>
      </c>
      <c r="BE107" s="459">
        <f t="shared" si="47"/>
        <v>0</v>
      </c>
      <c r="BF107" s="450"/>
      <c r="BG107" s="449" t="s">
        <v>159</v>
      </c>
      <c r="BH107" s="460"/>
      <c r="BI107" s="450"/>
      <c r="BJ107" s="450"/>
      <c r="BK107" s="450"/>
      <c r="BL107" s="450"/>
      <c r="BM107" s="450"/>
      <c r="BN107" s="450"/>
      <c r="BO107" s="461">
        <f t="shared" ca="1" si="48"/>
        <v>0.17639020468046354</v>
      </c>
      <c r="BP107" s="450" t="s">
        <v>159</v>
      </c>
    </row>
    <row r="108" spans="1:68" s="309" customFormat="1">
      <c r="A108" s="450">
        <f t="shared" si="39"/>
        <v>31</v>
      </c>
      <c r="B108" s="450">
        <f t="shared" si="3"/>
        <v>2</v>
      </c>
      <c r="C108" s="450">
        <f t="shared" si="4"/>
        <v>1</v>
      </c>
      <c r="D108" s="450">
        <f t="shared" si="5"/>
        <v>1</v>
      </c>
      <c r="E108" s="450">
        <f t="shared" si="6"/>
        <v>1</v>
      </c>
      <c r="F108" s="450"/>
      <c r="G108" s="450" t="str">
        <f t="shared" si="12"/>
        <v>Current Practice Baseline Using 54% ENERGY STAR Penetration</v>
      </c>
      <c r="H108" s="450" t="str">
        <f t="shared" si="40"/>
        <v>ENERGY STAR - Top-Load</v>
      </c>
      <c r="I108" s="450" t="str">
        <f t="shared" si="7"/>
        <v>Electric DHW, Electric Dryer</v>
      </c>
      <c r="J108" s="450" t="str">
        <f t="shared" si="8"/>
        <v>Electric DHW</v>
      </c>
      <c r="K108" s="450" t="str">
        <f t="shared" si="9"/>
        <v>Electric Dryer</v>
      </c>
      <c r="L108" s="451">
        <f>VLOOKUP(J108,SFAssumptions!$A$14:$B$16,2,FALSE)</f>
        <v>1</v>
      </c>
      <c r="M108" s="452">
        <f>VLOOKUP(K108,SFAssumptions!$A$18:$B$20,2,FALSE)</f>
        <v>1</v>
      </c>
      <c r="N108" s="453">
        <f ca="1">HLOOKUP($G108,'SFBaselines and Measures'!$C$3:$V$33,7,FALSE)</f>
        <v>3802.5240664273615</v>
      </c>
      <c r="O108" s="454"/>
      <c r="P108" s="455"/>
      <c r="Q108" s="455">
        <f ca="1">HLOOKUP($G108,'SFBaselines and Measures'!$C$3:$V$33,26,FALSE)</f>
        <v>297.83257188187963</v>
      </c>
      <c r="R108" s="455"/>
      <c r="S108" s="456"/>
      <c r="T108" s="456">
        <f ca="1">HLOOKUP($G108,'SFBaselines and Measures'!$C$3:$V$33,30,FALSE)</f>
        <v>11.384828759727979</v>
      </c>
      <c r="U108" s="456"/>
      <c r="V108" s="456"/>
      <c r="W108" s="457"/>
      <c r="X108" s="453"/>
      <c r="Y108" s="454"/>
      <c r="Z108" s="455"/>
      <c r="AA108" s="455">
        <f ca="1">HLOOKUP($H108,'SFBaselines and Measures'!$C$2:$V$33,27,FALSE)</f>
        <v>286.54897691296929</v>
      </c>
      <c r="AB108" s="455"/>
      <c r="AC108" s="456"/>
      <c r="AD108" s="456">
        <f ca="1">HLOOKUP($H108,'SFBaselines and Measures'!$C$2:$V$33,31,FALSE)</f>
        <v>10.9535065718844</v>
      </c>
      <c r="AE108" s="456"/>
      <c r="AF108" s="456"/>
      <c r="AG108" s="457"/>
      <c r="AH108" s="453"/>
      <c r="AI108" s="454"/>
      <c r="AJ108" s="455"/>
      <c r="AK108" s="455">
        <f t="shared" ca="1" si="35"/>
        <v>11.283594968910336</v>
      </c>
      <c r="AL108" s="455"/>
      <c r="AM108" s="456"/>
      <c r="AN108" s="456">
        <f t="shared" ca="1" si="36"/>
        <v>0.43132218784357867</v>
      </c>
      <c r="AO108" s="456"/>
      <c r="AP108" s="456"/>
      <c r="AQ108" s="458"/>
      <c r="AR108" s="452" t="str">
        <f t="shared" si="41"/>
        <v>ENERGY STAR - Top-Load Clothes Washer - Electric DHW, Electric Dryer - 54% ENERGY STAR Baseline</v>
      </c>
      <c r="AS108" s="454">
        <f t="shared" si="42"/>
        <v>0</v>
      </c>
      <c r="AT108" s="455">
        <f t="shared" ca="1" si="43"/>
        <v>11.283594968910336</v>
      </c>
      <c r="AU108" s="456">
        <f t="shared" ca="1" si="44"/>
        <v>0</v>
      </c>
      <c r="AV108" s="456">
        <f t="shared" si="45"/>
        <v>0</v>
      </c>
      <c r="AW108" s="456"/>
      <c r="AX108" s="455">
        <f t="shared" ca="1" si="37"/>
        <v>13.552579436530241</v>
      </c>
      <c r="AY108" s="455"/>
      <c r="AZ108" s="458"/>
      <c r="BA108" s="450" t="str">
        <f>CONCATENATE(H108," Clothes Washer - ",I108," - 54% ENERGY STAR Baseline")</f>
        <v>ENERGY STAR - Top-Load Clothes Washer - Electric DHW, Electric Dryer - 54% ENERGY STAR Baseline</v>
      </c>
      <c r="BB108" s="450" t="s">
        <v>26</v>
      </c>
      <c r="BC108" s="455">
        <f t="shared" ca="1" si="46"/>
        <v>11.283594968910336</v>
      </c>
      <c r="BD108" s="455">
        <f>SFAssumptions!$C$7</f>
        <v>14</v>
      </c>
      <c r="BE108" s="459">
        <f t="shared" si="47"/>
        <v>0</v>
      </c>
      <c r="BF108" s="450"/>
      <c r="BG108" s="449" t="s">
        <v>159</v>
      </c>
      <c r="BH108" s="460"/>
      <c r="BI108" s="450"/>
      <c r="BJ108" s="450"/>
      <c r="BK108" s="450"/>
      <c r="BL108" s="450"/>
      <c r="BM108" s="450"/>
      <c r="BN108" s="450"/>
      <c r="BO108" s="461">
        <f t="shared" ca="1" si="48"/>
        <v>0</v>
      </c>
      <c r="BP108" s="450" t="s">
        <v>159</v>
      </c>
    </row>
    <row r="109" spans="1:68" s="309" customFormat="1">
      <c r="A109" s="450">
        <f t="shared" si="39"/>
        <v>32</v>
      </c>
      <c r="B109" s="450">
        <f t="shared" si="3"/>
        <v>2</v>
      </c>
      <c r="C109" s="450">
        <f t="shared" si="4"/>
        <v>2</v>
      </c>
      <c r="D109" s="450">
        <f t="shared" si="5"/>
        <v>1</v>
      </c>
      <c r="E109" s="450">
        <f t="shared" si="6"/>
        <v>2</v>
      </c>
      <c r="F109" s="450"/>
      <c r="G109" s="450" t="str">
        <f t="shared" si="12"/>
        <v>Current Practice Baseline Using 54% ENERGY STAR Penetration</v>
      </c>
      <c r="H109" s="450" t="str">
        <f t="shared" si="40"/>
        <v>ENERGY STAR - Top-Load</v>
      </c>
      <c r="I109" s="450" t="str">
        <f t="shared" si="7"/>
        <v>Electric DHW, Gas Dryer</v>
      </c>
      <c r="J109" s="450" t="str">
        <f t="shared" si="8"/>
        <v>Electric DHW</v>
      </c>
      <c r="K109" s="450" t="str">
        <f t="shared" si="9"/>
        <v>Gas Dryer</v>
      </c>
      <c r="L109" s="451">
        <f>VLOOKUP(J109,SFAssumptions!$A$14:$B$16,2,FALSE)</f>
        <v>1</v>
      </c>
      <c r="M109" s="452">
        <f>VLOOKUP(K109,SFAssumptions!$A$18:$B$20,2,FALSE)</f>
        <v>0</v>
      </c>
      <c r="N109" s="453">
        <f ca="1">HLOOKUP($G109,'SFBaselines and Measures'!$C$3:$V$33,7,FALSE)</f>
        <v>3802.5240664273615</v>
      </c>
      <c r="O109" s="454"/>
      <c r="P109" s="455"/>
      <c r="Q109" s="455">
        <f ca="1">HLOOKUP($G109,'SFBaselines and Measures'!$C$3:$V$33,26,FALSE)</f>
        <v>297.83257188187963</v>
      </c>
      <c r="R109" s="455"/>
      <c r="S109" s="456"/>
      <c r="T109" s="456">
        <f ca="1">HLOOKUP($G109,'SFBaselines and Measures'!$C$3:$V$33,30,FALSE)</f>
        <v>11.384828759727979</v>
      </c>
      <c r="U109" s="456"/>
      <c r="V109" s="456"/>
      <c r="W109" s="457"/>
      <c r="X109" s="453"/>
      <c r="Y109" s="454"/>
      <c r="Z109" s="455"/>
      <c r="AA109" s="455">
        <f ca="1">HLOOKUP($H109,'SFBaselines and Measures'!$C$2:$V$33,27,FALSE)</f>
        <v>286.54897691296929</v>
      </c>
      <c r="AB109" s="455"/>
      <c r="AC109" s="456"/>
      <c r="AD109" s="456">
        <f ca="1">HLOOKUP($H109,'SFBaselines and Measures'!$C$2:$V$33,31,FALSE)</f>
        <v>10.9535065718844</v>
      </c>
      <c r="AE109" s="456"/>
      <c r="AF109" s="456"/>
      <c r="AG109" s="457"/>
      <c r="AH109" s="453"/>
      <c r="AI109" s="454"/>
      <c r="AJ109" s="455"/>
      <c r="AK109" s="455">
        <f t="shared" ca="1" si="35"/>
        <v>11.283594968910336</v>
      </c>
      <c r="AL109" s="455"/>
      <c r="AM109" s="456"/>
      <c r="AN109" s="456">
        <f t="shared" ca="1" si="36"/>
        <v>0.43132218784357867</v>
      </c>
      <c r="AO109" s="456"/>
      <c r="AP109" s="456"/>
      <c r="AQ109" s="458"/>
      <c r="AR109" s="452" t="str">
        <f t="shared" si="41"/>
        <v>ENERGY STAR - Top-Load Clothes Washer - Electric DHW, Gas Dryer - 54% ENERGY STAR Baseline</v>
      </c>
      <c r="AS109" s="454">
        <f t="shared" si="42"/>
        <v>0</v>
      </c>
      <c r="AT109" s="455">
        <f t="shared" ca="1" si="43"/>
        <v>0</v>
      </c>
      <c r="AU109" s="456">
        <f t="shared" ca="1" si="44"/>
        <v>0.43132218784357867</v>
      </c>
      <c r="AV109" s="456">
        <f t="shared" si="45"/>
        <v>0</v>
      </c>
      <c r="AW109" s="456"/>
      <c r="AX109" s="455">
        <f t="shared" ca="1" si="37"/>
        <v>2.2689844676199051</v>
      </c>
      <c r="AY109" s="455"/>
      <c r="AZ109" s="458"/>
      <c r="BA109" s="450" t="str">
        <f t="shared" ref="BA109:BA137" si="49">CONCATENATE(H109," Clothes Washer - ",I109," - 54% ENERGY STAR Baseline")</f>
        <v>ENERGY STAR - Top-Load Clothes Washer - Electric DHW, Gas Dryer - 54% ENERGY STAR Baseline</v>
      </c>
      <c r="BB109" s="450" t="s">
        <v>26</v>
      </c>
      <c r="BC109" s="455">
        <f t="shared" ca="1" si="46"/>
        <v>0</v>
      </c>
      <c r="BD109" s="455">
        <f>SFAssumptions!$C$7</f>
        <v>14</v>
      </c>
      <c r="BE109" s="459">
        <f t="shared" si="47"/>
        <v>0</v>
      </c>
      <c r="BF109" s="450"/>
      <c r="BG109" s="449" t="s">
        <v>159</v>
      </c>
      <c r="BH109" s="460"/>
      <c r="BI109" s="450"/>
      <c r="BJ109" s="450"/>
      <c r="BK109" s="450"/>
      <c r="BL109" s="450"/>
      <c r="BM109" s="450"/>
      <c r="BN109" s="450"/>
      <c r="BO109" s="461">
        <f t="shared" ca="1" si="48"/>
        <v>0.43132218784357867</v>
      </c>
      <c r="BP109" s="450" t="s">
        <v>159</v>
      </c>
    </row>
    <row r="110" spans="1:68" s="309" customFormat="1">
      <c r="A110" s="450">
        <f t="shared" si="39"/>
        <v>33</v>
      </c>
      <c r="B110" s="450">
        <f t="shared" si="3"/>
        <v>2</v>
      </c>
      <c r="C110" s="450">
        <f t="shared" si="4"/>
        <v>3</v>
      </c>
      <c r="D110" s="450">
        <f t="shared" si="5"/>
        <v>1</v>
      </c>
      <c r="E110" s="450">
        <f t="shared" si="6"/>
        <v>3</v>
      </c>
      <c r="F110" s="450"/>
      <c r="G110" s="450" t="str">
        <f t="shared" si="12"/>
        <v>Current Practice Baseline Using 54% ENERGY STAR Penetration</v>
      </c>
      <c r="H110" s="450" t="str">
        <f t="shared" si="40"/>
        <v>ENERGY STAR - Top-Load</v>
      </c>
      <c r="I110" s="450" t="str">
        <f t="shared" si="7"/>
        <v>Gas DHW, Electric Dryer</v>
      </c>
      <c r="J110" s="450" t="str">
        <f t="shared" si="8"/>
        <v>Gas DHW</v>
      </c>
      <c r="K110" s="450" t="str">
        <f t="shared" si="9"/>
        <v>Electric Dryer</v>
      </c>
      <c r="L110" s="451">
        <f>VLOOKUP(J110,SFAssumptions!$A$14:$B$16,2,FALSE)</f>
        <v>0</v>
      </c>
      <c r="M110" s="452">
        <f>VLOOKUP(K110,SFAssumptions!$A$18:$B$20,2,FALSE)</f>
        <v>1</v>
      </c>
      <c r="N110" s="453">
        <f ca="1">HLOOKUP($G110,'SFBaselines and Measures'!$C$3:$V$33,7,FALSE)</f>
        <v>3802.5240664273615</v>
      </c>
      <c r="O110" s="454"/>
      <c r="P110" s="455"/>
      <c r="Q110" s="455">
        <f ca="1">HLOOKUP($G110,'SFBaselines and Measures'!$C$3:$V$33,26,FALSE)</f>
        <v>297.83257188187963</v>
      </c>
      <c r="R110" s="455"/>
      <c r="S110" s="456"/>
      <c r="T110" s="456">
        <f ca="1">HLOOKUP($G110,'SFBaselines and Measures'!$C$3:$V$33,30,FALSE)</f>
        <v>11.384828759727979</v>
      </c>
      <c r="U110" s="456"/>
      <c r="V110" s="456"/>
      <c r="W110" s="457"/>
      <c r="X110" s="453"/>
      <c r="Y110" s="454"/>
      <c r="Z110" s="455"/>
      <c r="AA110" s="455">
        <f ca="1">HLOOKUP($H110,'SFBaselines and Measures'!$C$2:$V$33,27,FALSE)</f>
        <v>286.54897691296929</v>
      </c>
      <c r="AB110" s="455"/>
      <c r="AC110" s="456"/>
      <c r="AD110" s="456">
        <f ca="1">HLOOKUP($H110,'SFBaselines and Measures'!$C$2:$V$33,31,FALSE)</f>
        <v>10.9535065718844</v>
      </c>
      <c r="AE110" s="456"/>
      <c r="AF110" s="456"/>
      <c r="AG110" s="457"/>
      <c r="AH110" s="453"/>
      <c r="AI110" s="454"/>
      <c r="AJ110" s="455"/>
      <c r="AK110" s="455">
        <f t="shared" ca="1" si="35"/>
        <v>11.283594968910336</v>
      </c>
      <c r="AL110" s="455"/>
      <c r="AM110" s="456"/>
      <c r="AN110" s="456">
        <f t="shared" ca="1" si="36"/>
        <v>0.43132218784357867</v>
      </c>
      <c r="AO110" s="456"/>
      <c r="AP110" s="456"/>
      <c r="AQ110" s="458"/>
      <c r="AR110" s="452" t="str">
        <f t="shared" si="41"/>
        <v>ENERGY STAR - Top-Load Clothes Washer - Gas DHW, Electric Dryer - 54% ENERGY STAR Baseline</v>
      </c>
      <c r="AS110" s="454">
        <f t="shared" si="42"/>
        <v>0</v>
      </c>
      <c r="AT110" s="455">
        <f t="shared" ca="1" si="43"/>
        <v>11.283594968910336</v>
      </c>
      <c r="AU110" s="456">
        <f t="shared" ca="1" si="44"/>
        <v>0</v>
      </c>
      <c r="AV110" s="456">
        <f t="shared" si="45"/>
        <v>0</v>
      </c>
      <c r="AW110" s="456"/>
      <c r="AX110" s="455">
        <f t="shared" ca="1" si="37"/>
        <v>13.552579436530241</v>
      </c>
      <c r="AY110" s="455"/>
      <c r="AZ110" s="458"/>
      <c r="BA110" s="450" t="str">
        <f t="shared" si="49"/>
        <v>ENERGY STAR - Top-Load Clothes Washer - Gas DHW, Electric Dryer - 54% ENERGY STAR Baseline</v>
      </c>
      <c r="BB110" s="450" t="s">
        <v>26</v>
      </c>
      <c r="BC110" s="455">
        <f t="shared" ca="1" si="46"/>
        <v>11.283594968910336</v>
      </c>
      <c r="BD110" s="455">
        <f>SFAssumptions!$C$7</f>
        <v>14</v>
      </c>
      <c r="BE110" s="459">
        <f t="shared" si="47"/>
        <v>0</v>
      </c>
      <c r="BF110" s="450"/>
      <c r="BG110" s="449" t="s">
        <v>159</v>
      </c>
      <c r="BH110" s="460"/>
      <c r="BI110" s="450"/>
      <c r="BJ110" s="450"/>
      <c r="BK110" s="450"/>
      <c r="BL110" s="450"/>
      <c r="BM110" s="450"/>
      <c r="BN110" s="450"/>
      <c r="BO110" s="461">
        <f t="shared" ca="1" si="48"/>
        <v>0</v>
      </c>
      <c r="BP110" s="450" t="s">
        <v>159</v>
      </c>
    </row>
    <row r="111" spans="1:68" s="309" customFormat="1">
      <c r="A111" s="450">
        <f t="shared" si="39"/>
        <v>34</v>
      </c>
      <c r="B111" s="450">
        <f t="shared" si="3"/>
        <v>2</v>
      </c>
      <c r="C111" s="450">
        <f t="shared" si="4"/>
        <v>4</v>
      </c>
      <c r="D111" s="450">
        <f t="shared" si="5"/>
        <v>1</v>
      </c>
      <c r="E111" s="450">
        <f t="shared" si="6"/>
        <v>4</v>
      </c>
      <c r="F111" s="450"/>
      <c r="G111" s="450" t="str">
        <f t="shared" si="12"/>
        <v>Current Practice Baseline Using 54% ENERGY STAR Penetration</v>
      </c>
      <c r="H111" s="450" t="str">
        <f t="shared" si="40"/>
        <v>ENERGY STAR - Top-Load</v>
      </c>
      <c r="I111" s="450" t="str">
        <f t="shared" si="7"/>
        <v>Gas DHW, Gas Dryer</v>
      </c>
      <c r="J111" s="450" t="str">
        <f t="shared" si="8"/>
        <v>Gas DHW</v>
      </c>
      <c r="K111" s="450" t="str">
        <f t="shared" si="9"/>
        <v>Gas Dryer</v>
      </c>
      <c r="L111" s="451">
        <f>VLOOKUP(J111,SFAssumptions!$A$14:$B$16,2,FALSE)</f>
        <v>0</v>
      </c>
      <c r="M111" s="452">
        <f>VLOOKUP(K111,SFAssumptions!$A$18:$B$20,2,FALSE)</f>
        <v>0</v>
      </c>
      <c r="N111" s="453">
        <f ca="1">HLOOKUP($G111,'SFBaselines and Measures'!$C$3:$V$33,7,FALSE)</f>
        <v>3802.5240664273615</v>
      </c>
      <c r="O111" s="454"/>
      <c r="P111" s="455"/>
      <c r="Q111" s="455">
        <f ca="1">HLOOKUP($G111,'SFBaselines and Measures'!$C$3:$V$33,26,FALSE)</f>
        <v>297.83257188187963</v>
      </c>
      <c r="R111" s="455"/>
      <c r="S111" s="456"/>
      <c r="T111" s="456">
        <f ca="1">HLOOKUP($G111,'SFBaselines and Measures'!$C$3:$V$33,30,FALSE)</f>
        <v>11.384828759727979</v>
      </c>
      <c r="U111" s="456"/>
      <c r="V111" s="456"/>
      <c r="W111" s="457"/>
      <c r="X111" s="453"/>
      <c r="Y111" s="454"/>
      <c r="Z111" s="455"/>
      <c r="AA111" s="455">
        <f ca="1">HLOOKUP($H111,'SFBaselines and Measures'!$C$2:$V$33,27,FALSE)</f>
        <v>286.54897691296929</v>
      </c>
      <c r="AB111" s="455"/>
      <c r="AC111" s="456"/>
      <c r="AD111" s="456">
        <f ca="1">HLOOKUP($H111,'SFBaselines and Measures'!$C$2:$V$33,31,FALSE)</f>
        <v>10.9535065718844</v>
      </c>
      <c r="AE111" s="456"/>
      <c r="AF111" s="456"/>
      <c r="AG111" s="457"/>
      <c r="AH111" s="453"/>
      <c r="AI111" s="454"/>
      <c r="AJ111" s="455"/>
      <c r="AK111" s="455">
        <f t="shared" ca="1" si="35"/>
        <v>11.283594968910336</v>
      </c>
      <c r="AL111" s="455"/>
      <c r="AM111" s="456"/>
      <c r="AN111" s="456">
        <f t="shared" ca="1" si="36"/>
        <v>0.43132218784357867</v>
      </c>
      <c r="AO111" s="456"/>
      <c r="AP111" s="456"/>
      <c r="AQ111" s="458"/>
      <c r="AR111" s="452" t="str">
        <f t="shared" si="41"/>
        <v>ENERGY STAR - Top-Load Clothes Washer - Gas DHW, Gas Dryer - 54% ENERGY STAR Baseline</v>
      </c>
      <c r="AS111" s="454">
        <f t="shared" si="42"/>
        <v>0</v>
      </c>
      <c r="AT111" s="455">
        <f t="shared" ca="1" si="43"/>
        <v>0</v>
      </c>
      <c r="AU111" s="456">
        <f t="shared" ca="1" si="44"/>
        <v>0.43132218784357867</v>
      </c>
      <c r="AV111" s="456">
        <f t="shared" si="45"/>
        <v>0</v>
      </c>
      <c r="AW111" s="456"/>
      <c r="AX111" s="455">
        <f t="shared" ca="1" si="37"/>
        <v>2.2689844676199051</v>
      </c>
      <c r="AY111" s="455"/>
      <c r="AZ111" s="458"/>
      <c r="BA111" s="450" t="str">
        <f t="shared" si="49"/>
        <v>ENERGY STAR - Top-Load Clothes Washer - Gas DHW, Gas Dryer - 54% ENERGY STAR Baseline</v>
      </c>
      <c r="BB111" s="450" t="s">
        <v>26</v>
      </c>
      <c r="BC111" s="455">
        <f t="shared" ca="1" si="46"/>
        <v>0</v>
      </c>
      <c r="BD111" s="455">
        <f>SFAssumptions!$C$7</f>
        <v>14</v>
      </c>
      <c r="BE111" s="459">
        <f t="shared" si="47"/>
        <v>0</v>
      </c>
      <c r="BF111" s="450"/>
      <c r="BG111" s="449" t="s">
        <v>159</v>
      </c>
      <c r="BH111" s="460"/>
      <c r="BI111" s="450"/>
      <c r="BJ111" s="450"/>
      <c r="BK111" s="450"/>
      <c r="BL111" s="450"/>
      <c r="BM111" s="450"/>
      <c r="BN111" s="450"/>
      <c r="BO111" s="461">
        <f t="shared" ca="1" si="48"/>
        <v>0.43132218784357867</v>
      </c>
      <c r="BP111" s="450" t="s">
        <v>159</v>
      </c>
    </row>
    <row r="112" spans="1:68" s="309" customFormat="1">
      <c r="A112" s="450">
        <f t="shared" si="39"/>
        <v>35</v>
      </c>
      <c r="B112" s="450">
        <f t="shared" si="3"/>
        <v>2</v>
      </c>
      <c r="C112" s="450">
        <f t="shared" si="4"/>
        <v>5</v>
      </c>
      <c r="D112" s="450">
        <f t="shared" si="5"/>
        <v>1</v>
      </c>
      <c r="E112" s="450">
        <f t="shared" si="6"/>
        <v>5</v>
      </c>
      <c r="F112" s="450"/>
      <c r="G112" s="450" t="str">
        <f t="shared" si="12"/>
        <v>Current Practice Baseline Using 54% ENERGY STAR Penetration</v>
      </c>
      <c r="H112" s="450" t="str">
        <f t="shared" si="40"/>
        <v>ENERGY STAR - Top-Load</v>
      </c>
      <c r="I112" s="450" t="str">
        <f t="shared" si="7"/>
        <v>Any DHW, Any Dryer</v>
      </c>
      <c r="J112" s="450" t="str">
        <f t="shared" si="8"/>
        <v>Any DHW</v>
      </c>
      <c r="K112" s="450" t="str">
        <f t="shared" si="9"/>
        <v>Any Dryer</v>
      </c>
      <c r="L112" s="451">
        <f>VLOOKUP(J112,SFAssumptions!$A$14:$B$16,2,FALSE)</f>
        <v>0.55200000000000005</v>
      </c>
      <c r="M112" s="452">
        <f>VLOOKUP(K112,SFAssumptions!$A$18:$B$20,2,FALSE)</f>
        <v>0.95</v>
      </c>
      <c r="N112" s="453">
        <f ca="1">HLOOKUP($G112,'SFBaselines and Measures'!$C$3:$V$33,7,FALSE)</f>
        <v>3802.5240664273615</v>
      </c>
      <c r="O112" s="454"/>
      <c r="P112" s="455"/>
      <c r="Q112" s="455">
        <f ca="1">HLOOKUP($G112,'SFBaselines and Measures'!$C$3:$V$33,26,FALSE)</f>
        <v>297.83257188187963</v>
      </c>
      <c r="R112" s="455"/>
      <c r="S112" s="456"/>
      <c r="T112" s="456">
        <f ca="1">HLOOKUP($G112,'SFBaselines and Measures'!$C$3:$V$33,30,FALSE)</f>
        <v>11.384828759727979</v>
      </c>
      <c r="U112" s="456"/>
      <c r="V112" s="456"/>
      <c r="W112" s="457"/>
      <c r="X112" s="453"/>
      <c r="Y112" s="454"/>
      <c r="Z112" s="455"/>
      <c r="AA112" s="455">
        <f ca="1">HLOOKUP($H112,'SFBaselines and Measures'!$C$2:$V$33,27,FALSE)</f>
        <v>286.54897691296929</v>
      </c>
      <c r="AB112" s="455"/>
      <c r="AC112" s="456"/>
      <c r="AD112" s="456">
        <f ca="1">HLOOKUP($H112,'SFBaselines and Measures'!$C$2:$V$33,31,FALSE)</f>
        <v>10.9535065718844</v>
      </c>
      <c r="AE112" s="456"/>
      <c r="AF112" s="456"/>
      <c r="AG112" s="457"/>
      <c r="AH112" s="453"/>
      <c r="AI112" s="454"/>
      <c r="AJ112" s="455"/>
      <c r="AK112" s="455">
        <f t="shared" ca="1" si="35"/>
        <v>11.283594968910336</v>
      </c>
      <c r="AL112" s="455"/>
      <c r="AM112" s="456"/>
      <c r="AN112" s="456">
        <f t="shared" ca="1" si="36"/>
        <v>0.43132218784357867</v>
      </c>
      <c r="AO112" s="456"/>
      <c r="AP112" s="456"/>
      <c r="AQ112" s="458"/>
      <c r="AR112" s="452" t="str">
        <f t="shared" si="41"/>
        <v>ENERGY STAR - Top-Load Clothes Washer - Any DHW, Any Dryer - 54% ENERGY STAR Baseline</v>
      </c>
      <c r="AS112" s="454">
        <f t="shared" si="42"/>
        <v>0</v>
      </c>
      <c r="AT112" s="455">
        <f t="shared" ca="1" si="43"/>
        <v>10.719415220464819</v>
      </c>
      <c r="AU112" s="456">
        <f t="shared" ca="1" si="44"/>
        <v>2.1566109392178952E-2</v>
      </c>
      <c r="AV112" s="456">
        <f t="shared" si="45"/>
        <v>0</v>
      </c>
      <c r="AW112" s="456"/>
      <c r="AX112" s="455">
        <f t="shared" ca="1" si="37"/>
        <v>12.988399688084725</v>
      </c>
      <c r="AY112" s="455"/>
      <c r="AZ112" s="458"/>
      <c r="BA112" s="450" t="str">
        <f t="shared" si="49"/>
        <v>ENERGY STAR - Top-Load Clothes Washer - Any DHW, Any Dryer - 54% ENERGY STAR Baseline</v>
      </c>
      <c r="BB112" s="450" t="s">
        <v>26</v>
      </c>
      <c r="BC112" s="455">
        <f t="shared" ca="1" si="46"/>
        <v>10.719415220464819</v>
      </c>
      <c r="BD112" s="455">
        <f>SFAssumptions!$C$7</f>
        <v>14</v>
      </c>
      <c r="BE112" s="459">
        <f t="shared" si="47"/>
        <v>0</v>
      </c>
      <c r="BF112" s="450"/>
      <c r="BG112" s="449" t="s">
        <v>159</v>
      </c>
      <c r="BH112" s="460"/>
      <c r="BI112" s="450"/>
      <c r="BJ112" s="450"/>
      <c r="BK112" s="450"/>
      <c r="BL112" s="450"/>
      <c r="BM112" s="450"/>
      <c r="BN112" s="450"/>
      <c r="BO112" s="461">
        <f t="shared" ca="1" si="48"/>
        <v>2.1566109392178952E-2</v>
      </c>
      <c r="BP112" s="450" t="s">
        <v>159</v>
      </c>
    </row>
    <row r="113" spans="1:68" s="309" customFormat="1">
      <c r="A113" s="450">
        <f t="shared" si="39"/>
        <v>36</v>
      </c>
      <c r="B113" s="450">
        <f t="shared" si="3"/>
        <v>2</v>
      </c>
      <c r="C113" s="450">
        <f t="shared" si="4"/>
        <v>6</v>
      </c>
      <c r="D113" s="450">
        <f t="shared" si="5"/>
        <v>2</v>
      </c>
      <c r="E113" s="450">
        <f t="shared" si="6"/>
        <v>1</v>
      </c>
      <c r="F113" s="450"/>
      <c r="G113" s="450" t="str">
        <f t="shared" si="12"/>
        <v>Current Practice Baseline Using 54% ENERGY STAR Penetration</v>
      </c>
      <c r="H113" s="450" t="str">
        <f t="shared" si="40"/>
        <v>ENERGY STAR - Front-Load</v>
      </c>
      <c r="I113" s="450" t="str">
        <f t="shared" si="7"/>
        <v>Electric DHW, Electric Dryer</v>
      </c>
      <c r="J113" s="450" t="str">
        <f t="shared" si="8"/>
        <v>Electric DHW</v>
      </c>
      <c r="K113" s="450" t="str">
        <f t="shared" si="9"/>
        <v>Electric Dryer</v>
      </c>
      <c r="L113" s="451">
        <f>VLOOKUP(J113,SFAssumptions!$A$14:$B$16,2,FALSE)</f>
        <v>1</v>
      </c>
      <c r="M113" s="452">
        <f>VLOOKUP(K113,SFAssumptions!$A$18:$B$20,2,FALSE)</f>
        <v>1</v>
      </c>
      <c r="N113" s="453">
        <f ca="1">HLOOKUP($G113,'SFBaselines and Measures'!$C$3:$V$33,7,FALSE)</f>
        <v>3802.5240664273615</v>
      </c>
      <c r="O113" s="454"/>
      <c r="P113" s="455"/>
      <c r="Q113" s="455">
        <f ca="1">HLOOKUP($G113,'SFBaselines and Measures'!$C$3:$V$33,26,FALSE)</f>
        <v>297.83257188187963</v>
      </c>
      <c r="R113" s="455"/>
      <c r="S113" s="456"/>
      <c r="T113" s="456">
        <f ca="1">HLOOKUP($G113,'SFBaselines and Measures'!$C$3:$V$33,30,FALSE)</f>
        <v>11.384828759727979</v>
      </c>
      <c r="U113" s="456"/>
      <c r="V113" s="456"/>
      <c r="W113" s="457"/>
      <c r="X113" s="453"/>
      <c r="Y113" s="454"/>
      <c r="Z113" s="455"/>
      <c r="AA113" s="455">
        <f ca="1">HLOOKUP($H113,'SFBaselines and Measures'!$C$2:$V$33,27,FALSE)</f>
        <v>250.88836076746819</v>
      </c>
      <c r="AB113" s="455"/>
      <c r="AC113" s="456"/>
      <c r="AD113" s="456">
        <f ca="1">HLOOKUP($H113,'SFBaselines and Measures'!$C$2:$V$33,31,FALSE)</f>
        <v>9.5903581233529334</v>
      </c>
      <c r="AE113" s="456"/>
      <c r="AF113" s="456"/>
      <c r="AG113" s="457"/>
      <c r="AH113" s="453"/>
      <c r="AI113" s="454"/>
      <c r="AJ113" s="455"/>
      <c r="AK113" s="455">
        <f t="shared" ca="1" si="35"/>
        <v>46.944211114411445</v>
      </c>
      <c r="AL113" s="455"/>
      <c r="AM113" s="456"/>
      <c r="AN113" s="456">
        <f t="shared" ca="1" si="36"/>
        <v>1.7944706363750456</v>
      </c>
      <c r="AO113" s="456"/>
      <c r="AP113" s="456"/>
      <c r="AQ113" s="458"/>
      <c r="AR113" s="452" t="str">
        <f t="shared" si="41"/>
        <v>ENERGY STAR - Front-Load Clothes Washer - Electric DHW, Electric Dryer - 54% ENERGY STAR Baseline</v>
      </c>
      <c r="AS113" s="454">
        <f t="shared" si="42"/>
        <v>0</v>
      </c>
      <c r="AT113" s="455">
        <f t="shared" ca="1" si="43"/>
        <v>46.944211114411445</v>
      </c>
      <c r="AU113" s="456">
        <f t="shared" ca="1" si="44"/>
        <v>0</v>
      </c>
      <c r="AV113" s="456">
        <f t="shared" si="45"/>
        <v>0</v>
      </c>
      <c r="AW113" s="456"/>
      <c r="AX113" s="455">
        <f t="shared" ca="1" si="37"/>
        <v>50.27216357051298</v>
      </c>
      <c r="AY113" s="455"/>
      <c r="AZ113" s="458"/>
      <c r="BA113" s="450" t="str">
        <f t="shared" si="49"/>
        <v>ENERGY STAR - Front-Load Clothes Washer - Electric DHW, Electric Dryer - 54% ENERGY STAR Baseline</v>
      </c>
      <c r="BB113" s="450" t="s">
        <v>26</v>
      </c>
      <c r="BC113" s="455">
        <f t="shared" ca="1" si="46"/>
        <v>46.944211114411445</v>
      </c>
      <c r="BD113" s="455">
        <f>SFAssumptions!$C$7</f>
        <v>14</v>
      </c>
      <c r="BE113" s="459">
        <f t="shared" si="47"/>
        <v>0</v>
      </c>
      <c r="BF113" s="450"/>
      <c r="BG113" s="449" t="s">
        <v>159</v>
      </c>
      <c r="BH113" s="460"/>
      <c r="BI113" s="450"/>
      <c r="BJ113" s="450"/>
      <c r="BK113" s="450"/>
      <c r="BL113" s="450"/>
      <c r="BM113" s="450"/>
      <c r="BN113" s="450"/>
      <c r="BO113" s="461">
        <f t="shared" ca="1" si="48"/>
        <v>0</v>
      </c>
      <c r="BP113" s="450" t="s">
        <v>159</v>
      </c>
    </row>
    <row r="114" spans="1:68" s="309" customFormat="1">
      <c r="A114" s="450">
        <f t="shared" si="39"/>
        <v>37</v>
      </c>
      <c r="B114" s="450">
        <f t="shared" si="3"/>
        <v>2</v>
      </c>
      <c r="C114" s="450">
        <f t="shared" si="4"/>
        <v>7</v>
      </c>
      <c r="D114" s="450">
        <f t="shared" si="5"/>
        <v>2</v>
      </c>
      <c r="E114" s="450">
        <f t="shared" si="6"/>
        <v>2</v>
      </c>
      <c r="F114" s="450"/>
      <c r="G114" s="450" t="str">
        <f t="shared" si="12"/>
        <v>Current Practice Baseline Using 54% ENERGY STAR Penetration</v>
      </c>
      <c r="H114" s="450" t="str">
        <f t="shared" si="40"/>
        <v>ENERGY STAR - Front-Load</v>
      </c>
      <c r="I114" s="450" t="str">
        <f t="shared" si="7"/>
        <v>Electric DHW, Gas Dryer</v>
      </c>
      <c r="J114" s="450" t="str">
        <f t="shared" si="8"/>
        <v>Electric DHW</v>
      </c>
      <c r="K114" s="450" t="str">
        <f t="shared" si="9"/>
        <v>Gas Dryer</v>
      </c>
      <c r="L114" s="451">
        <f>VLOOKUP(J114,SFAssumptions!$A$14:$B$16,2,FALSE)</f>
        <v>1</v>
      </c>
      <c r="M114" s="452">
        <f>VLOOKUP(K114,SFAssumptions!$A$18:$B$20,2,FALSE)</f>
        <v>0</v>
      </c>
      <c r="N114" s="453">
        <f ca="1">HLOOKUP($G114,'SFBaselines and Measures'!$C$3:$V$33,7,FALSE)</f>
        <v>3802.5240664273615</v>
      </c>
      <c r="O114" s="454"/>
      <c r="P114" s="455"/>
      <c r="Q114" s="455">
        <f ca="1">HLOOKUP($G114,'SFBaselines and Measures'!$C$3:$V$33,26,FALSE)</f>
        <v>297.83257188187963</v>
      </c>
      <c r="R114" s="455"/>
      <c r="S114" s="456"/>
      <c r="T114" s="456">
        <f ca="1">HLOOKUP($G114,'SFBaselines and Measures'!$C$3:$V$33,30,FALSE)</f>
        <v>11.384828759727979</v>
      </c>
      <c r="U114" s="456"/>
      <c r="V114" s="456"/>
      <c r="W114" s="457"/>
      <c r="X114" s="453"/>
      <c r="Y114" s="454"/>
      <c r="Z114" s="455"/>
      <c r="AA114" s="455">
        <f ca="1">HLOOKUP($H114,'SFBaselines and Measures'!$C$2:$V$33,27,FALSE)</f>
        <v>250.88836076746819</v>
      </c>
      <c r="AB114" s="455"/>
      <c r="AC114" s="456"/>
      <c r="AD114" s="456">
        <f ca="1">HLOOKUP($H114,'SFBaselines and Measures'!$C$2:$V$33,31,FALSE)</f>
        <v>9.5903581233529334</v>
      </c>
      <c r="AE114" s="456"/>
      <c r="AF114" s="456"/>
      <c r="AG114" s="457"/>
      <c r="AH114" s="453"/>
      <c r="AI114" s="454"/>
      <c r="AJ114" s="455"/>
      <c r="AK114" s="455">
        <f t="shared" ca="1" si="35"/>
        <v>46.944211114411445</v>
      </c>
      <c r="AL114" s="455"/>
      <c r="AM114" s="456"/>
      <c r="AN114" s="456">
        <f t="shared" ca="1" si="36"/>
        <v>1.7944706363750456</v>
      </c>
      <c r="AO114" s="456"/>
      <c r="AP114" s="456"/>
      <c r="AQ114" s="458"/>
      <c r="AR114" s="452" t="str">
        <f t="shared" si="41"/>
        <v>ENERGY STAR - Front-Load Clothes Washer - Electric DHW, Gas Dryer - 54% ENERGY STAR Baseline</v>
      </c>
      <c r="AS114" s="454">
        <f t="shared" si="42"/>
        <v>0</v>
      </c>
      <c r="AT114" s="455">
        <f t="shared" ca="1" si="43"/>
        <v>0</v>
      </c>
      <c r="AU114" s="456">
        <f t="shared" ca="1" si="44"/>
        <v>1.7944706363750456</v>
      </c>
      <c r="AV114" s="456">
        <f t="shared" si="45"/>
        <v>0</v>
      </c>
      <c r="AW114" s="456"/>
      <c r="AX114" s="455">
        <f t="shared" ca="1" si="37"/>
        <v>3.3279524561015337</v>
      </c>
      <c r="AY114" s="455"/>
      <c r="AZ114" s="458"/>
      <c r="BA114" s="450" t="str">
        <f t="shared" si="49"/>
        <v>ENERGY STAR - Front-Load Clothes Washer - Electric DHW, Gas Dryer - 54% ENERGY STAR Baseline</v>
      </c>
      <c r="BB114" s="450" t="s">
        <v>26</v>
      </c>
      <c r="BC114" s="455">
        <f t="shared" ca="1" si="46"/>
        <v>0</v>
      </c>
      <c r="BD114" s="455">
        <f>SFAssumptions!$C$7</f>
        <v>14</v>
      </c>
      <c r="BE114" s="459">
        <f t="shared" si="47"/>
        <v>0</v>
      </c>
      <c r="BF114" s="450"/>
      <c r="BG114" s="449" t="s">
        <v>159</v>
      </c>
      <c r="BH114" s="460"/>
      <c r="BI114" s="450"/>
      <c r="BJ114" s="450"/>
      <c r="BK114" s="450"/>
      <c r="BL114" s="450"/>
      <c r="BM114" s="450"/>
      <c r="BN114" s="450"/>
      <c r="BO114" s="461">
        <f t="shared" ca="1" si="48"/>
        <v>1.7944706363750456</v>
      </c>
      <c r="BP114" s="450" t="s">
        <v>159</v>
      </c>
    </row>
    <row r="115" spans="1:68" s="309" customFormat="1">
      <c r="A115" s="450">
        <f t="shared" si="39"/>
        <v>38</v>
      </c>
      <c r="B115" s="450">
        <f t="shared" si="3"/>
        <v>2</v>
      </c>
      <c r="C115" s="450">
        <f t="shared" si="4"/>
        <v>8</v>
      </c>
      <c r="D115" s="450">
        <f t="shared" si="5"/>
        <v>2</v>
      </c>
      <c r="E115" s="450">
        <f t="shared" si="6"/>
        <v>3</v>
      </c>
      <c r="F115" s="450"/>
      <c r="G115" s="450" t="str">
        <f t="shared" si="12"/>
        <v>Current Practice Baseline Using 54% ENERGY STAR Penetration</v>
      </c>
      <c r="H115" s="450" t="str">
        <f t="shared" si="40"/>
        <v>ENERGY STAR - Front-Load</v>
      </c>
      <c r="I115" s="450" t="str">
        <f t="shared" si="7"/>
        <v>Gas DHW, Electric Dryer</v>
      </c>
      <c r="J115" s="450" t="str">
        <f t="shared" si="8"/>
        <v>Gas DHW</v>
      </c>
      <c r="K115" s="450" t="str">
        <f t="shared" si="9"/>
        <v>Electric Dryer</v>
      </c>
      <c r="L115" s="451">
        <f>VLOOKUP(J115,SFAssumptions!$A$14:$B$16,2,FALSE)</f>
        <v>0</v>
      </c>
      <c r="M115" s="452">
        <f>VLOOKUP(K115,SFAssumptions!$A$18:$B$20,2,FALSE)</f>
        <v>1</v>
      </c>
      <c r="N115" s="453">
        <f ca="1">HLOOKUP($G115,'SFBaselines and Measures'!$C$3:$V$33,7,FALSE)</f>
        <v>3802.5240664273615</v>
      </c>
      <c r="O115" s="454"/>
      <c r="P115" s="455"/>
      <c r="Q115" s="455">
        <f ca="1">HLOOKUP($G115,'SFBaselines and Measures'!$C$3:$V$33,26,FALSE)</f>
        <v>297.83257188187963</v>
      </c>
      <c r="R115" s="455"/>
      <c r="S115" s="456"/>
      <c r="T115" s="456">
        <f ca="1">HLOOKUP($G115,'SFBaselines and Measures'!$C$3:$V$33,30,FALSE)</f>
        <v>11.384828759727979</v>
      </c>
      <c r="U115" s="456"/>
      <c r="V115" s="456"/>
      <c r="W115" s="457"/>
      <c r="X115" s="453"/>
      <c r="Y115" s="454"/>
      <c r="Z115" s="455"/>
      <c r="AA115" s="455">
        <f ca="1">HLOOKUP($H115,'SFBaselines and Measures'!$C$2:$V$33,27,FALSE)</f>
        <v>250.88836076746819</v>
      </c>
      <c r="AB115" s="455"/>
      <c r="AC115" s="456"/>
      <c r="AD115" s="456">
        <f ca="1">HLOOKUP($H115,'SFBaselines and Measures'!$C$2:$V$33,31,FALSE)</f>
        <v>9.5903581233529334</v>
      </c>
      <c r="AE115" s="456"/>
      <c r="AF115" s="456"/>
      <c r="AG115" s="457"/>
      <c r="AH115" s="453"/>
      <c r="AI115" s="454"/>
      <c r="AJ115" s="455"/>
      <c r="AK115" s="455">
        <f t="shared" ca="1" si="35"/>
        <v>46.944211114411445</v>
      </c>
      <c r="AL115" s="455"/>
      <c r="AM115" s="456"/>
      <c r="AN115" s="456">
        <f t="shared" ca="1" si="36"/>
        <v>1.7944706363750456</v>
      </c>
      <c r="AO115" s="456"/>
      <c r="AP115" s="456"/>
      <c r="AQ115" s="458"/>
      <c r="AR115" s="452" t="str">
        <f t="shared" si="41"/>
        <v>ENERGY STAR - Front-Load Clothes Washer - Gas DHW, Electric Dryer - 54% ENERGY STAR Baseline</v>
      </c>
      <c r="AS115" s="454">
        <f t="shared" si="42"/>
        <v>0</v>
      </c>
      <c r="AT115" s="455">
        <f t="shared" ca="1" si="43"/>
        <v>46.944211114411445</v>
      </c>
      <c r="AU115" s="456">
        <f t="shared" ca="1" si="44"/>
        <v>0</v>
      </c>
      <c r="AV115" s="456">
        <f t="shared" si="45"/>
        <v>0</v>
      </c>
      <c r="AW115" s="456"/>
      <c r="AX115" s="455">
        <f t="shared" ca="1" si="37"/>
        <v>50.27216357051298</v>
      </c>
      <c r="AY115" s="455"/>
      <c r="AZ115" s="458"/>
      <c r="BA115" s="450" t="str">
        <f t="shared" si="49"/>
        <v>ENERGY STAR - Front-Load Clothes Washer - Gas DHW, Electric Dryer - 54% ENERGY STAR Baseline</v>
      </c>
      <c r="BB115" s="450" t="s">
        <v>26</v>
      </c>
      <c r="BC115" s="455">
        <f t="shared" ca="1" si="46"/>
        <v>46.944211114411445</v>
      </c>
      <c r="BD115" s="455">
        <f>SFAssumptions!$C$7</f>
        <v>14</v>
      </c>
      <c r="BE115" s="459">
        <f t="shared" si="47"/>
        <v>0</v>
      </c>
      <c r="BF115" s="450"/>
      <c r="BG115" s="449" t="s">
        <v>159</v>
      </c>
      <c r="BH115" s="460"/>
      <c r="BI115" s="450"/>
      <c r="BJ115" s="450"/>
      <c r="BK115" s="450"/>
      <c r="BL115" s="450"/>
      <c r="BM115" s="450"/>
      <c r="BN115" s="450"/>
      <c r="BO115" s="461">
        <f t="shared" ca="1" si="48"/>
        <v>0</v>
      </c>
      <c r="BP115" s="450" t="s">
        <v>159</v>
      </c>
    </row>
    <row r="116" spans="1:68" s="309" customFormat="1">
      <c r="A116" s="450">
        <f t="shared" si="39"/>
        <v>39</v>
      </c>
      <c r="B116" s="450">
        <f t="shared" si="3"/>
        <v>2</v>
      </c>
      <c r="C116" s="450">
        <f t="shared" si="4"/>
        <v>9</v>
      </c>
      <c r="D116" s="450">
        <f t="shared" si="5"/>
        <v>2</v>
      </c>
      <c r="E116" s="450">
        <f t="shared" si="6"/>
        <v>4</v>
      </c>
      <c r="F116" s="450"/>
      <c r="G116" s="450" t="str">
        <f t="shared" si="12"/>
        <v>Current Practice Baseline Using 54% ENERGY STAR Penetration</v>
      </c>
      <c r="H116" s="450" t="str">
        <f t="shared" si="40"/>
        <v>ENERGY STAR - Front-Load</v>
      </c>
      <c r="I116" s="450" t="str">
        <f t="shared" si="7"/>
        <v>Gas DHW, Gas Dryer</v>
      </c>
      <c r="J116" s="450" t="str">
        <f t="shared" si="8"/>
        <v>Gas DHW</v>
      </c>
      <c r="K116" s="450" t="str">
        <f t="shared" si="9"/>
        <v>Gas Dryer</v>
      </c>
      <c r="L116" s="451">
        <f>VLOOKUP(J116,SFAssumptions!$A$14:$B$16,2,FALSE)</f>
        <v>0</v>
      </c>
      <c r="M116" s="452">
        <f>VLOOKUP(K116,SFAssumptions!$A$18:$B$20,2,FALSE)</f>
        <v>0</v>
      </c>
      <c r="N116" s="453">
        <f ca="1">HLOOKUP($G116,'SFBaselines and Measures'!$C$3:$V$33,7,FALSE)</f>
        <v>3802.5240664273615</v>
      </c>
      <c r="O116" s="454"/>
      <c r="P116" s="455"/>
      <c r="Q116" s="455">
        <f ca="1">HLOOKUP($G116,'SFBaselines and Measures'!$C$3:$V$33,26,FALSE)</f>
        <v>297.83257188187963</v>
      </c>
      <c r="R116" s="455"/>
      <c r="S116" s="456"/>
      <c r="T116" s="456">
        <f ca="1">HLOOKUP($G116,'SFBaselines and Measures'!$C$3:$V$33,30,FALSE)</f>
        <v>11.384828759727979</v>
      </c>
      <c r="U116" s="456"/>
      <c r="V116" s="456"/>
      <c r="W116" s="457"/>
      <c r="X116" s="453"/>
      <c r="Y116" s="454"/>
      <c r="Z116" s="455"/>
      <c r="AA116" s="455">
        <f ca="1">HLOOKUP($H116,'SFBaselines and Measures'!$C$2:$V$33,27,FALSE)</f>
        <v>250.88836076746819</v>
      </c>
      <c r="AB116" s="455"/>
      <c r="AC116" s="456"/>
      <c r="AD116" s="456">
        <f ca="1">HLOOKUP($H116,'SFBaselines and Measures'!$C$2:$V$33,31,FALSE)</f>
        <v>9.5903581233529334</v>
      </c>
      <c r="AE116" s="456"/>
      <c r="AF116" s="456"/>
      <c r="AG116" s="457"/>
      <c r="AH116" s="453"/>
      <c r="AI116" s="454"/>
      <c r="AJ116" s="455"/>
      <c r="AK116" s="455">
        <f t="shared" ca="1" si="35"/>
        <v>46.944211114411445</v>
      </c>
      <c r="AL116" s="455"/>
      <c r="AM116" s="456"/>
      <c r="AN116" s="456">
        <f t="shared" ca="1" si="36"/>
        <v>1.7944706363750456</v>
      </c>
      <c r="AO116" s="456"/>
      <c r="AP116" s="456"/>
      <c r="AQ116" s="458"/>
      <c r="AR116" s="452" t="str">
        <f t="shared" si="41"/>
        <v>ENERGY STAR - Front-Load Clothes Washer - Gas DHW, Gas Dryer - 54% ENERGY STAR Baseline</v>
      </c>
      <c r="AS116" s="454">
        <f t="shared" si="42"/>
        <v>0</v>
      </c>
      <c r="AT116" s="455">
        <f t="shared" ca="1" si="43"/>
        <v>0</v>
      </c>
      <c r="AU116" s="456">
        <f t="shared" ca="1" si="44"/>
        <v>1.7944706363750456</v>
      </c>
      <c r="AV116" s="456">
        <f t="shared" si="45"/>
        <v>0</v>
      </c>
      <c r="AW116" s="456"/>
      <c r="AX116" s="455">
        <f t="shared" ca="1" si="37"/>
        <v>3.3279524561015337</v>
      </c>
      <c r="AY116" s="455"/>
      <c r="AZ116" s="458"/>
      <c r="BA116" s="450" t="str">
        <f t="shared" si="49"/>
        <v>ENERGY STAR - Front-Load Clothes Washer - Gas DHW, Gas Dryer - 54% ENERGY STAR Baseline</v>
      </c>
      <c r="BB116" s="450" t="s">
        <v>26</v>
      </c>
      <c r="BC116" s="455">
        <f t="shared" ca="1" si="46"/>
        <v>0</v>
      </c>
      <c r="BD116" s="455">
        <f>SFAssumptions!$C$7</f>
        <v>14</v>
      </c>
      <c r="BE116" s="459">
        <f t="shared" si="47"/>
        <v>0</v>
      </c>
      <c r="BF116" s="450"/>
      <c r="BG116" s="449" t="s">
        <v>159</v>
      </c>
      <c r="BH116" s="460"/>
      <c r="BI116" s="450"/>
      <c r="BJ116" s="450"/>
      <c r="BK116" s="450"/>
      <c r="BL116" s="450"/>
      <c r="BM116" s="450"/>
      <c r="BN116" s="450"/>
      <c r="BO116" s="461">
        <f t="shared" ca="1" si="48"/>
        <v>1.7944706363750456</v>
      </c>
      <c r="BP116" s="450" t="s">
        <v>159</v>
      </c>
    </row>
    <row r="117" spans="1:68" s="309" customFormat="1">
      <c r="A117" s="450">
        <f t="shared" si="39"/>
        <v>40</v>
      </c>
      <c r="B117" s="450">
        <f t="shared" si="3"/>
        <v>2</v>
      </c>
      <c r="C117" s="450">
        <f t="shared" si="4"/>
        <v>10</v>
      </c>
      <c r="D117" s="450">
        <f t="shared" si="5"/>
        <v>2</v>
      </c>
      <c r="E117" s="450">
        <f t="shared" si="6"/>
        <v>5</v>
      </c>
      <c r="F117" s="450"/>
      <c r="G117" s="450" t="str">
        <f t="shared" si="12"/>
        <v>Current Practice Baseline Using 54% ENERGY STAR Penetration</v>
      </c>
      <c r="H117" s="450" t="str">
        <f t="shared" si="40"/>
        <v>ENERGY STAR - Front-Load</v>
      </c>
      <c r="I117" s="450" t="str">
        <f t="shared" si="7"/>
        <v>Any DHW, Any Dryer</v>
      </c>
      <c r="J117" s="450" t="str">
        <f t="shared" si="8"/>
        <v>Any DHW</v>
      </c>
      <c r="K117" s="450" t="str">
        <f t="shared" si="9"/>
        <v>Any Dryer</v>
      </c>
      <c r="L117" s="451">
        <f>VLOOKUP(J117,SFAssumptions!$A$14:$B$16,2,FALSE)</f>
        <v>0.55200000000000005</v>
      </c>
      <c r="M117" s="452">
        <f>VLOOKUP(K117,SFAssumptions!$A$18:$B$20,2,FALSE)</f>
        <v>0.95</v>
      </c>
      <c r="N117" s="453">
        <f ca="1">HLOOKUP($G117,'SFBaselines and Measures'!$C$3:$V$33,7,FALSE)</f>
        <v>3802.5240664273615</v>
      </c>
      <c r="O117" s="454"/>
      <c r="P117" s="455"/>
      <c r="Q117" s="455">
        <f ca="1">HLOOKUP($G117,'SFBaselines and Measures'!$C$3:$V$33,26,FALSE)</f>
        <v>297.83257188187963</v>
      </c>
      <c r="R117" s="455"/>
      <c r="S117" s="456"/>
      <c r="T117" s="456">
        <f ca="1">HLOOKUP($G117,'SFBaselines and Measures'!$C$3:$V$33,30,FALSE)</f>
        <v>11.384828759727979</v>
      </c>
      <c r="U117" s="456"/>
      <c r="V117" s="456"/>
      <c r="W117" s="457"/>
      <c r="X117" s="453"/>
      <c r="Y117" s="454"/>
      <c r="Z117" s="455"/>
      <c r="AA117" s="455">
        <f ca="1">HLOOKUP($H117,'SFBaselines and Measures'!$C$2:$V$33,27,FALSE)</f>
        <v>250.88836076746819</v>
      </c>
      <c r="AB117" s="455"/>
      <c r="AC117" s="456"/>
      <c r="AD117" s="456">
        <f ca="1">HLOOKUP($H117,'SFBaselines and Measures'!$C$2:$V$33,31,FALSE)</f>
        <v>9.5903581233529334</v>
      </c>
      <c r="AE117" s="456"/>
      <c r="AF117" s="456"/>
      <c r="AG117" s="457"/>
      <c r="AH117" s="453"/>
      <c r="AI117" s="454"/>
      <c r="AJ117" s="455"/>
      <c r="AK117" s="455">
        <f t="shared" ca="1" si="35"/>
        <v>46.944211114411445</v>
      </c>
      <c r="AL117" s="455"/>
      <c r="AM117" s="456"/>
      <c r="AN117" s="456">
        <f t="shared" ca="1" si="36"/>
        <v>1.7944706363750456</v>
      </c>
      <c r="AO117" s="456"/>
      <c r="AP117" s="456"/>
      <c r="AQ117" s="458"/>
      <c r="AR117" s="452" t="str">
        <f t="shared" si="41"/>
        <v>ENERGY STAR - Front-Load Clothes Washer - Any DHW, Any Dryer - 54% ENERGY STAR Baseline</v>
      </c>
      <c r="AS117" s="454">
        <f t="shared" si="42"/>
        <v>0</v>
      </c>
      <c r="AT117" s="455">
        <f t="shared" ca="1" si="43"/>
        <v>44.597000558690873</v>
      </c>
      <c r="AU117" s="456">
        <f t="shared" ca="1" si="44"/>
        <v>8.9723531818752353E-2</v>
      </c>
      <c r="AV117" s="456">
        <f t="shared" si="45"/>
        <v>0</v>
      </c>
      <c r="AW117" s="456"/>
      <c r="AX117" s="455">
        <f t="shared" ca="1" si="37"/>
        <v>47.924953014792408</v>
      </c>
      <c r="AY117" s="455"/>
      <c r="AZ117" s="458"/>
      <c r="BA117" s="450" t="str">
        <f t="shared" si="49"/>
        <v>ENERGY STAR - Front-Load Clothes Washer - Any DHW, Any Dryer - 54% ENERGY STAR Baseline</v>
      </c>
      <c r="BB117" s="450" t="s">
        <v>26</v>
      </c>
      <c r="BC117" s="455">
        <f t="shared" ca="1" si="46"/>
        <v>44.597000558690873</v>
      </c>
      <c r="BD117" s="455">
        <f>SFAssumptions!$C$7</f>
        <v>14</v>
      </c>
      <c r="BE117" s="459">
        <f t="shared" si="47"/>
        <v>0</v>
      </c>
      <c r="BF117" s="450"/>
      <c r="BG117" s="449" t="s">
        <v>159</v>
      </c>
      <c r="BH117" s="460"/>
      <c r="BI117" s="450"/>
      <c r="BJ117" s="450"/>
      <c r="BK117" s="450"/>
      <c r="BL117" s="450"/>
      <c r="BM117" s="450"/>
      <c r="BN117" s="450"/>
      <c r="BO117" s="461">
        <f t="shared" ca="1" si="48"/>
        <v>8.9723531818752353E-2</v>
      </c>
      <c r="BP117" s="450" t="s">
        <v>159</v>
      </c>
    </row>
    <row r="118" spans="1:68" s="309" customFormat="1">
      <c r="A118" s="450">
        <f t="shared" si="39"/>
        <v>41</v>
      </c>
      <c r="B118" s="450">
        <f t="shared" si="3"/>
        <v>2</v>
      </c>
      <c r="C118" s="450">
        <f t="shared" si="4"/>
        <v>11</v>
      </c>
      <c r="D118" s="450">
        <f t="shared" si="5"/>
        <v>3</v>
      </c>
      <c r="E118" s="450">
        <f t="shared" si="6"/>
        <v>1</v>
      </c>
      <c r="F118" s="450"/>
      <c r="G118" s="450" t="str">
        <f t="shared" si="12"/>
        <v>Current Practice Baseline Using 54% ENERGY STAR Penetration</v>
      </c>
      <c r="H118" s="450" t="str">
        <f t="shared" si="40"/>
        <v>Any ENERGY STAR (Top- or Front-Load)</v>
      </c>
      <c r="I118" s="450" t="str">
        <f t="shared" si="7"/>
        <v>Electric DHW, Electric Dryer</v>
      </c>
      <c r="J118" s="450" t="str">
        <f t="shared" si="8"/>
        <v>Electric DHW</v>
      </c>
      <c r="K118" s="450" t="str">
        <f t="shared" si="9"/>
        <v>Electric Dryer</v>
      </c>
      <c r="L118" s="451">
        <f>VLOOKUP(J118,SFAssumptions!$A$14:$B$16,2,FALSE)</f>
        <v>1</v>
      </c>
      <c r="M118" s="452">
        <f>VLOOKUP(K118,SFAssumptions!$A$18:$B$20,2,FALSE)</f>
        <v>1</v>
      </c>
      <c r="N118" s="453">
        <f ca="1">HLOOKUP($G118,'SFBaselines and Measures'!$C$3:$V$33,7,FALSE)</f>
        <v>3802.5240664273615</v>
      </c>
      <c r="O118" s="454"/>
      <c r="P118" s="455"/>
      <c r="Q118" s="455">
        <f ca="1">HLOOKUP($G118,'SFBaselines and Measures'!$C$3:$V$33,26,FALSE)</f>
        <v>297.83257188187963</v>
      </c>
      <c r="R118" s="455"/>
      <c r="S118" s="456"/>
      <c r="T118" s="456">
        <f ca="1">HLOOKUP($G118,'SFBaselines and Measures'!$C$3:$V$33,30,FALSE)</f>
        <v>11.384828759727979</v>
      </c>
      <c r="U118" s="456"/>
      <c r="V118" s="456"/>
      <c r="W118" s="457"/>
      <c r="X118" s="453"/>
      <c r="Y118" s="454"/>
      <c r="Z118" s="455"/>
      <c r="AA118" s="455">
        <f ca="1">HLOOKUP($H118,'SFBaselines and Measures'!$C$2:$V$33,27,FALSE)</f>
        <v>260.83959343385447</v>
      </c>
      <c r="AB118" s="455"/>
      <c r="AC118" s="456"/>
      <c r="AD118" s="456">
        <f ca="1">HLOOKUP($H118,'SFBaselines and Measures'!$C$2:$V$33,31,FALSE)</f>
        <v>9.970749962765149</v>
      </c>
      <c r="AE118" s="456"/>
      <c r="AF118" s="456"/>
      <c r="AG118" s="457"/>
      <c r="AH118" s="453"/>
      <c r="AI118" s="454"/>
      <c r="AJ118" s="455"/>
      <c r="AK118" s="455">
        <f t="shared" ca="1" si="35"/>
        <v>36.992978448025156</v>
      </c>
      <c r="AL118" s="455"/>
      <c r="AM118" s="456"/>
      <c r="AN118" s="456">
        <f t="shared" ca="1" si="36"/>
        <v>1.4140787969628299</v>
      </c>
      <c r="AO118" s="456"/>
      <c r="AP118" s="456"/>
      <c r="AQ118" s="458"/>
      <c r="AR118" s="452" t="str">
        <f t="shared" si="41"/>
        <v>Any ENERGY STAR (Top- or Front-Load) Clothes Washer - Electric DHW, Electric Dryer - 54% ENERGY STAR Baseline</v>
      </c>
      <c r="AS118" s="454">
        <f t="shared" si="42"/>
        <v>0</v>
      </c>
      <c r="AT118" s="455">
        <f t="shared" ca="1" si="43"/>
        <v>36.992978448025156</v>
      </c>
      <c r="AU118" s="456">
        <f t="shared" ca="1" si="44"/>
        <v>0</v>
      </c>
      <c r="AV118" s="456">
        <f t="shared" si="45"/>
        <v>0</v>
      </c>
      <c r="AW118" s="456"/>
      <c r="AX118" s="455">
        <f t="shared" ca="1" si="37"/>
        <v>40.412396469350625</v>
      </c>
      <c r="AY118" s="455"/>
      <c r="AZ118" s="458"/>
      <c r="BA118" s="450" t="str">
        <f t="shared" si="49"/>
        <v>Any ENERGY STAR (Top- or Front-Load) Clothes Washer - Electric DHW, Electric Dryer - 54% ENERGY STAR Baseline</v>
      </c>
      <c r="BB118" s="450" t="s">
        <v>26</v>
      </c>
      <c r="BC118" s="455">
        <f t="shared" ca="1" si="46"/>
        <v>36.992978448025156</v>
      </c>
      <c r="BD118" s="455">
        <f>SFAssumptions!$C$7</f>
        <v>14</v>
      </c>
      <c r="BE118" s="459">
        <f t="shared" si="47"/>
        <v>0</v>
      </c>
      <c r="BF118" s="450"/>
      <c r="BG118" s="449" t="s">
        <v>159</v>
      </c>
      <c r="BH118" s="460"/>
      <c r="BI118" s="450"/>
      <c r="BJ118" s="450"/>
      <c r="BK118" s="450"/>
      <c r="BL118" s="450"/>
      <c r="BM118" s="450"/>
      <c r="BN118" s="450"/>
      <c r="BO118" s="461">
        <f t="shared" ca="1" si="48"/>
        <v>0</v>
      </c>
      <c r="BP118" s="450" t="s">
        <v>159</v>
      </c>
    </row>
    <row r="119" spans="1:68" s="309" customFormat="1">
      <c r="A119" s="450">
        <f t="shared" si="39"/>
        <v>42</v>
      </c>
      <c r="B119" s="450">
        <f t="shared" si="3"/>
        <v>2</v>
      </c>
      <c r="C119" s="450">
        <f t="shared" si="4"/>
        <v>12</v>
      </c>
      <c r="D119" s="450">
        <f t="shared" si="5"/>
        <v>3</v>
      </c>
      <c r="E119" s="450">
        <f t="shared" si="6"/>
        <v>2</v>
      </c>
      <c r="F119" s="450"/>
      <c r="G119" s="450" t="str">
        <f t="shared" si="12"/>
        <v>Current Practice Baseline Using 54% ENERGY STAR Penetration</v>
      </c>
      <c r="H119" s="450" t="str">
        <f t="shared" si="40"/>
        <v>Any ENERGY STAR (Top- or Front-Load)</v>
      </c>
      <c r="I119" s="450" t="str">
        <f t="shared" si="7"/>
        <v>Electric DHW, Gas Dryer</v>
      </c>
      <c r="J119" s="450" t="str">
        <f t="shared" si="8"/>
        <v>Electric DHW</v>
      </c>
      <c r="K119" s="450" t="str">
        <f t="shared" si="9"/>
        <v>Gas Dryer</v>
      </c>
      <c r="L119" s="451">
        <f>VLOOKUP(J119,SFAssumptions!$A$14:$B$16,2,FALSE)</f>
        <v>1</v>
      </c>
      <c r="M119" s="452">
        <f>VLOOKUP(K119,SFAssumptions!$A$18:$B$20,2,FALSE)</f>
        <v>0</v>
      </c>
      <c r="N119" s="453">
        <f ca="1">HLOOKUP($G119,'SFBaselines and Measures'!$C$3:$V$33,7,FALSE)</f>
        <v>3802.5240664273615</v>
      </c>
      <c r="O119" s="454"/>
      <c r="P119" s="455"/>
      <c r="Q119" s="455">
        <f ca="1">HLOOKUP($G119,'SFBaselines and Measures'!$C$3:$V$33,26,FALSE)</f>
        <v>297.83257188187963</v>
      </c>
      <c r="R119" s="455"/>
      <c r="S119" s="456"/>
      <c r="T119" s="456">
        <f ca="1">HLOOKUP($G119,'SFBaselines and Measures'!$C$3:$V$33,30,FALSE)</f>
        <v>11.384828759727979</v>
      </c>
      <c r="U119" s="456"/>
      <c r="V119" s="456"/>
      <c r="W119" s="457"/>
      <c r="X119" s="453"/>
      <c r="Y119" s="454"/>
      <c r="Z119" s="455"/>
      <c r="AA119" s="455">
        <f ca="1">HLOOKUP($H119,'SFBaselines and Measures'!$C$2:$V$33,27,FALSE)</f>
        <v>260.83959343385447</v>
      </c>
      <c r="AB119" s="455"/>
      <c r="AC119" s="456"/>
      <c r="AD119" s="456">
        <f ca="1">HLOOKUP($H119,'SFBaselines and Measures'!$C$2:$V$33,31,FALSE)</f>
        <v>9.970749962765149</v>
      </c>
      <c r="AE119" s="456"/>
      <c r="AF119" s="456"/>
      <c r="AG119" s="457"/>
      <c r="AH119" s="453"/>
      <c r="AI119" s="454"/>
      <c r="AJ119" s="455"/>
      <c r="AK119" s="455">
        <f t="shared" ca="1" si="35"/>
        <v>36.992978448025156</v>
      </c>
      <c r="AL119" s="455"/>
      <c r="AM119" s="456"/>
      <c r="AN119" s="456">
        <f t="shared" ca="1" si="36"/>
        <v>1.4140787969628299</v>
      </c>
      <c r="AO119" s="456"/>
      <c r="AP119" s="456"/>
      <c r="AQ119" s="458"/>
      <c r="AR119" s="452" t="str">
        <f t="shared" si="41"/>
        <v>Any ENERGY STAR (Top- or Front-Load) Clothes Washer - Electric DHW, Gas Dryer - 54% ENERGY STAR Baseline</v>
      </c>
      <c r="AS119" s="454">
        <f t="shared" si="42"/>
        <v>0</v>
      </c>
      <c r="AT119" s="455">
        <f t="shared" ca="1" si="43"/>
        <v>0</v>
      </c>
      <c r="AU119" s="456">
        <f t="shared" ca="1" si="44"/>
        <v>1.4140787969628299</v>
      </c>
      <c r="AV119" s="456">
        <f t="shared" si="45"/>
        <v>0</v>
      </c>
      <c r="AW119" s="456"/>
      <c r="AX119" s="455">
        <f t="shared" ca="1" si="37"/>
        <v>3.4194180213254715</v>
      </c>
      <c r="AY119" s="455"/>
      <c r="AZ119" s="458"/>
      <c r="BA119" s="450" t="str">
        <f t="shared" si="49"/>
        <v>Any ENERGY STAR (Top- or Front-Load) Clothes Washer - Electric DHW, Gas Dryer - 54% ENERGY STAR Baseline</v>
      </c>
      <c r="BB119" s="450" t="s">
        <v>26</v>
      </c>
      <c r="BC119" s="455">
        <f t="shared" ca="1" si="46"/>
        <v>0</v>
      </c>
      <c r="BD119" s="455">
        <f>SFAssumptions!$C$7</f>
        <v>14</v>
      </c>
      <c r="BE119" s="459">
        <f t="shared" si="47"/>
        <v>0</v>
      </c>
      <c r="BF119" s="450"/>
      <c r="BG119" s="449" t="s">
        <v>159</v>
      </c>
      <c r="BH119" s="460"/>
      <c r="BI119" s="450"/>
      <c r="BJ119" s="450"/>
      <c r="BK119" s="450"/>
      <c r="BL119" s="450"/>
      <c r="BM119" s="450"/>
      <c r="BN119" s="450"/>
      <c r="BO119" s="461">
        <f t="shared" ca="1" si="48"/>
        <v>1.4140787969628299</v>
      </c>
      <c r="BP119" s="450" t="s">
        <v>159</v>
      </c>
    </row>
    <row r="120" spans="1:68" s="309" customFormat="1">
      <c r="A120" s="450">
        <f t="shared" si="39"/>
        <v>43</v>
      </c>
      <c r="B120" s="450">
        <f t="shared" si="3"/>
        <v>2</v>
      </c>
      <c r="C120" s="450">
        <f t="shared" si="4"/>
        <v>13</v>
      </c>
      <c r="D120" s="450">
        <f t="shared" si="5"/>
        <v>3</v>
      </c>
      <c r="E120" s="450">
        <f t="shared" si="6"/>
        <v>3</v>
      </c>
      <c r="F120" s="450"/>
      <c r="G120" s="450" t="str">
        <f t="shared" si="12"/>
        <v>Current Practice Baseline Using 54% ENERGY STAR Penetration</v>
      </c>
      <c r="H120" s="450" t="str">
        <f t="shared" si="40"/>
        <v>Any ENERGY STAR (Top- or Front-Load)</v>
      </c>
      <c r="I120" s="450" t="str">
        <f t="shared" si="7"/>
        <v>Gas DHW, Electric Dryer</v>
      </c>
      <c r="J120" s="450" t="str">
        <f t="shared" si="8"/>
        <v>Gas DHW</v>
      </c>
      <c r="K120" s="450" t="str">
        <f t="shared" si="9"/>
        <v>Electric Dryer</v>
      </c>
      <c r="L120" s="451">
        <f>VLOOKUP(J120,SFAssumptions!$A$14:$B$16,2,FALSE)</f>
        <v>0</v>
      </c>
      <c r="M120" s="452">
        <f>VLOOKUP(K120,SFAssumptions!$A$18:$B$20,2,FALSE)</f>
        <v>1</v>
      </c>
      <c r="N120" s="453">
        <f ca="1">HLOOKUP($G120,'SFBaselines and Measures'!$C$3:$V$33,7,FALSE)</f>
        <v>3802.5240664273615</v>
      </c>
      <c r="O120" s="454"/>
      <c r="P120" s="455"/>
      <c r="Q120" s="455">
        <f ca="1">HLOOKUP($G120,'SFBaselines and Measures'!$C$3:$V$33,26,FALSE)</f>
        <v>297.83257188187963</v>
      </c>
      <c r="R120" s="455"/>
      <c r="S120" s="456"/>
      <c r="T120" s="456">
        <f ca="1">HLOOKUP($G120,'SFBaselines and Measures'!$C$3:$V$33,30,FALSE)</f>
        <v>11.384828759727979</v>
      </c>
      <c r="U120" s="456"/>
      <c r="V120" s="456"/>
      <c r="W120" s="457"/>
      <c r="X120" s="453"/>
      <c r="Y120" s="454"/>
      <c r="Z120" s="455"/>
      <c r="AA120" s="455">
        <f ca="1">HLOOKUP($H120,'SFBaselines and Measures'!$C$2:$V$33,27,FALSE)</f>
        <v>260.83959343385447</v>
      </c>
      <c r="AB120" s="455"/>
      <c r="AC120" s="456"/>
      <c r="AD120" s="456">
        <f ca="1">HLOOKUP($H120,'SFBaselines and Measures'!$C$2:$V$33,31,FALSE)</f>
        <v>9.970749962765149</v>
      </c>
      <c r="AE120" s="456"/>
      <c r="AF120" s="456"/>
      <c r="AG120" s="457"/>
      <c r="AH120" s="453"/>
      <c r="AI120" s="454"/>
      <c r="AJ120" s="455"/>
      <c r="AK120" s="455">
        <f t="shared" ca="1" si="35"/>
        <v>36.992978448025156</v>
      </c>
      <c r="AL120" s="455"/>
      <c r="AM120" s="456"/>
      <c r="AN120" s="456">
        <f t="shared" ca="1" si="36"/>
        <v>1.4140787969628299</v>
      </c>
      <c r="AO120" s="456"/>
      <c r="AP120" s="456"/>
      <c r="AQ120" s="458"/>
      <c r="AR120" s="452" t="str">
        <f t="shared" si="41"/>
        <v>Any ENERGY STAR (Top- or Front-Load) Clothes Washer - Gas DHW, Electric Dryer - 54% ENERGY STAR Baseline</v>
      </c>
      <c r="AS120" s="454">
        <f t="shared" si="42"/>
        <v>0</v>
      </c>
      <c r="AT120" s="455">
        <f t="shared" ca="1" si="43"/>
        <v>36.992978448025156</v>
      </c>
      <c r="AU120" s="456">
        <f t="shared" ca="1" si="44"/>
        <v>0</v>
      </c>
      <c r="AV120" s="456">
        <f t="shared" si="45"/>
        <v>0</v>
      </c>
      <c r="AW120" s="456"/>
      <c r="AX120" s="455">
        <f t="shared" ca="1" si="37"/>
        <v>40.412396469350625</v>
      </c>
      <c r="AY120" s="455"/>
      <c r="AZ120" s="458"/>
      <c r="BA120" s="450" t="str">
        <f t="shared" si="49"/>
        <v>Any ENERGY STAR (Top- or Front-Load) Clothes Washer - Gas DHW, Electric Dryer - 54% ENERGY STAR Baseline</v>
      </c>
      <c r="BB120" s="450" t="s">
        <v>26</v>
      </c>
      <c r="BC120" s="455">
        <f t="shared" ca="1" si="46"/>
        <v>36.992978448025156</v>
      </c>
      <c r="BD120" s="455">
        <f>SFAssumptions!$C$7</f>
        <v>14</v>
      </c>
      <c r="BE120" s="459">
        <f t="shared" si="47"/>
        <v>0</v>
      </c>
      <c r="BF120" s="450"/>
      <c r="BG120" s="449" t="s">
        <v>159</v>
      </c>
      <c r="BH120" s="460"/>
      <c r="BI120" s="450"/>
      <c r="BJ120" s="450"/>
      <c r="BK120" s="450"/>
      <c r="BL120" s="450"/>
      <c r="BM120" s="450"/>
      <c r="BN120" s="450"/>
      <c r="BO120" s="461">
        <f t="shared" ca="1" si="48"/>
        <v>0</v>
      </c>
      <c r="BP120" s="450" t="s">
        <v>159</v>
      </c>
    </row>
    <row r="121" spans="1:68" s="309" customFormat="1">
      <c r="A121" s="450">
        <f t="shared" si="39"/>
        <v>44</v>
      </c>
      <c r="B121" s="450">
        <f t="shared" si="3"/>
        <v>2</v>
      </c>
      <c r="C121" s="450">
        <f t="shared" si="4"/>
        <v>14</v>
      </c>
      <c r="D121" s="450">
        <f t="shared" si="5"/>
        <v>3</v>
      </c>
      <c r="E121" s="450">
        <f t="shared" si="6"/>
        <v>4</v>
      </c>
      <c r="F121" s="450"/>
      <c r="G121" s="450" t="str">
        <f t="shared" si="12"/>
        <v>Current Practice Baseline Using 54% ENERGY STAR Penetration</v>
      </c>
      <c r="H121" s="450" t="str">
        <f t="shared" si="40"/>
        <v>Any ENERGY STAR (Top- or Front-Load)</v>
      </c>
      <c r="I121" s="450" t="str">
        <f t="shared" si="7"/>
        <v>Gas DHW, Gas Dryer</v>
      </c>
      <c r="J121" s="450" t="str">
        <f t="shared" si="8"/>
        <v>Gas DHW</v>
      </c>
      <c r="K121" s="450" t="str">
        <f t="shared" si="9"/>
        <v>Gas Dryer</v>
      </c>
      <c r="L121" s="451">
        <f>VLOOKUP(J121,SFAssumptions!$A$14:$B$16,2,FALSE)</f>
        <v>0</v>
      </c>
      <c r="M121" s="452">
        <f>VLOOKUP(K121,SFAssumptions!$A$18:$B$20,2,FALSE)</f>
        <v>0</v>
      </c>
      <c r="N121" s="453">
        <f ca="1">HLOOKUP($G121,'SFBaselines and Measures'!$C$3:$V$33,7,FALSE)</f>
        <v>3802.5240664273615</v>
      </c>
      <c r="O121" s="454"/>
      <c r="P121" s="455"/>
      <c r="Q121" s="455">
        <f ca="1">HLOOKUP($G121,'SFBaselines and Measures'!$C$3:$V$33,26,FALSE)</f>
        <v>297.83257188187963</v>
      </c>
      <c r="R121" s="455"/>
      <c r="S121" s="456"/>
      <c r="T121" s="456">
        <f ca="1">HLOOKUP($G121,'SFBaselines and Measures'!$C$3:$V$33,30,FALSE)</f>
        <v>11.384828759727979</v>
      </c>
      <c r="U121" s="456"/>
      <c r="V121" s="456"/>
      <c r="W121" s="457"/>
      <c r="X121" s="453"/>
      <c r="Y121" s="454"/>
      <c r="Z121" s="455"/>
      <c r="AA121" s="455">
        <f ca="1">HLOOKUP($H121,'SFBaselines and Measures'!$C$2:$V$33,27,FALSE)</f>
        <v>260.83959343385447</v>
      </c>
      <c r="AB121" s="455"/>
      <c r="AC121" s="456"/>
      <c r="AD121" s="456">
        <f ca="1">HLOOKUP($H121,'SFBaselines and Measures'!$C$2:$V$33,31,FALSE)</f>
        <v>9.970749962765149</v>
      </c>
      <c r="AE121" s="456"/>
      <c r="AF121" s="456"/>
      <c r="AG121" s="457"/>
      <c r="AH121" s="453"/>
      <c r="AI121" s="454"/>
      <c r="AJ121" s="455"/>
      <c r="AK121" s="455">
        <f t="shared" ca="1" si="35"/>
        <v>36.992978448025156</v>
      </c>
      <c r="AL121" s="455"/>
      <c r="AM121" s="456"/>
      <c r="AN121" s="456">
        <f t="shared" ca="1" si="36"/>
        <v>1.4140787969628299</v>
      </c>
      <c r="AO121" s="456"/>
      <c r="AP121" s="456"/>
      <c r="AQ121" s="458"/>
      <c r="AR121" s="452" t="str">
        <f t="shared" si="41"/>
        <v>Any ENERGY STAR (Top- or Front-Load) Clothes Washer - Gas DHW, Gas Dryer - 54% ENERGY STAR Baseline</v>
      </c>
      <c r="AS121" s="454">
        <f t="shared" si="42"/>
        <v>0</v>
      </c>
      <c r="AT121" s="455">
        <f t="shared" ca="1" si="43"/>
        <v>0</v>
      </c>
      <c r="AU121" s="456">
        <f t="shared" ca="1" si="44"/>
        <v>1.4140787969628299</v>
      </c>
      <c r="AV121" s="456">
        <f t="shared" si="45"/>
        <v>0</v>
      </c>
      <c r="AW121" s="456"/>
      <c r="AX121" s="455">
        <f t="shared" ca="1" si="37"/>
        <v>3.4194180213254715</v>
      </c>
      <c r="AY121" s="455"/>
      <c r="AZ121" s="458"/>
      <c r="BA121" s="450" t="str">
        <f t="shared" si="49"/>
        <v>Any ENERGY STAR (Top- or Front-Load) Clothes Washer - Gas DHW, Gas Dryer - 54% ENERGY STAR Baseline</v>
      </c>
      <c r="BB121" s="450" t="s">
        <v>26</v>
      </c>
      <c r="BC121" s="455">
        <f t="shared" ca="1" si="46"/>
        <v>0</v>
      </c>
      <c r="BD121" s="455">
        <f>SFAssumptions!$C$7</f>
        <v>14</v>
      </c>
      <c r="BE121" s="459">
        <f t="shared" si="47"/>
        <v>0</v>
      </c>
      <c r="BF121" s="450"/>
      <c r="BG121" s="449" t="s">
        <v>159</v>
      </c>
      <c r="BH121" s="460"/>
      <c r="BI121" s="450"/>
      <c r="BJ121" s="450"/>
      <c r="BK121" s="450"/>
      <c r="BL121" s="450"/>
      <c r="BM121" s="450"/>
      <c r="BN121" s="450"/>
      <c r="BO121" s="461">
        <f t="shared" ca="1" si="48"/>
        <v>1.4140787969628299</v>
      </c>
      <c r="BP121" s="450" t="s">
        <v>159</v>
      </c>
    </row>
    <row r="122" spans="1:68" s="309" customFormat="1">
      <c r="A122" s="450">
        <f t="shared" si="39"/>
        <v>45</v>
      </c>
      <c r="B122" s="450">
        <f t="shared" si="3"/>
        <v>2</v>
      </c>
      <c r="C122" s="450">
        <f t="shared" si="4"/>
        <v>15</v>
      </c>
      <c r="D122" s="450">
        <f t="shared" si="5"/>
        <v>3</v>
      </c>
      <c r="E122" s="450">
        <f t="shared" si="6"/>
        <v>5</v>
      </c>
      <c r="F122" s="450"/>
      <c r="G122" s="450" t="str">
        <f t="shared" si="12"/>
        <v>Current Practice Baseline Using 54% ENERGY STAR Penetration</v>
      </c>
      <c r="H122" s="450" t="str">
        <f t="shared" si="40"/>
        <v>Any ENERGY STAR (Top- or Front-Load)</v>
      </c>
      <c r="I122" s="450" t="str">
        <f t="shared" si="7"/>
        <v>Any DHW, Any Dryer</v>
      </c>
      <c r="J122" s="450" t="str">
        <f t="shared" si="8"/>
        <v>Any DHW</v>
      </c>
      <c r="K122" s="450" t="str">
        <f t="shared" si="9"/>
        <v>Any Dryer</v>
      </c>
      <c r="L122" s="451">
        <f>VLOOKUP(J122,SFAssumptions!$A$14:$B$16,2,FALSE)</f>
        <v>0.55200000000000005</v>
      </c>
      <c r="M122" s="452">
        <f>VLOOKUP(K122,SFAssumptions!$A$18:$B$20,2,FALSE)</f>
        <v>0.95</v>
      </c>
      <c r="N122" s="453">
        <f ca="1">HLOOKUP($G122,'SFBaselines and Measures'!$C$3:$V$33,7,FALSE)</f>
        <v>3802.5240664273615</v>
      </c>
      <c r="O122" s="454"/>
      <c r="P122" s="455"/>
      <c r="Q122" s="455">
        <f ca="1">HLOOKUP($G122,'SFBaselines and Measures'!$C$3:$V$33,26,FALSE)</f>
        <v>297.83257188187963</v>
      </c>
      <c r="R122" s="455"/>
      <c r="S122" s="456"/>
      <c r="T122" s="456">
        <f ca="1">HLOOKUP($G122,'SFBaselines and Measures'!$C$3:$V$33,30,FALSE)</f>
        <v>11.384828759727979</v>
      </c>
      <c r="U122" s="456"/>
      <c r="V122" s="456"/>
      <c r="W122" s="457"/>
      <c r="X122" s="453"/>
      <c r="Y122" s="454"/>
      <c r="Z122" s="455"/>
      <c r="AA122" s="455">
        <f ca="1">HLOOKUP($H122,'SFBaselines and Measures'!$C$2:$V$33,27,FALSE)</f>
        <v>260.83959343385447</v>
      </c>
      <c r="AB122" s="455"/>
      <c r="AC122" s="456"/>
      <c r="AD122" s="456">
        <f ca="1">HLOOKUP($H122,'SFBaselines and Measures'!$C$2:$V$33,31,FALSE)</f>
        <v>9.970749962765149</v>
      </c>
      <c r="AE122" s="456"/>
      <c r="AF122" s="456"/>
      <c r="AG122" s="457"/>
      <c r="AH122" s="453"/>
      <c r="AI122" s="454"/>
      <c r="AJ122" s="455"/>
      <c r="AK122" s="455">
        <f t="shared" ca="1" si="35"/>
        <v>36.992978448025156</v>
      </c>
      <c r="AL122" s="455"/>
      <c r="AM122" s="456"/>
      <c r="AN122" s="456">
        <f t="shared" ca="1" si="36"/>
        <v>1.4140787969628299</v>
      </c>
      <c r="AO122" s="456"/>
      <c r="AP122" s="456"/>
      <c r="AQ122" s="458"/>
      <c r="AR122" s="452" t="str">
        <f t="shared" si="41"/>
        <v>Any ENERGY STAR (Top- or Front-Load) Clothes Washer - Any DHW, Any Dryer - 54% ENERGY STAR Baseline</v>
      </c>
      <c r="AS122" s="454">
        <f t="shared" si="42"/>
        <v>0</v>
      </c>
      <c r="AT122" s="455">
        <f t="shared" ca="1" si="43"/>
        <v>35.143329525623898</v>
      </c>
      <c r="AU122" s="456">
        <f t="shared" ca="1" si="44"/>
        <v>7.0703939848141564E-2</v>
      </c>
      <c r="AV122" s="456">
        <f t="shared" si="45"/>
        <v>0</v>
      </c>
      <c r="AW122" s="456"/>
      <c r="AX122" s="455">
        <f t="shared" ca="1" si="37"/>
        <v>38.562747546949367</v>
      </c>
      <c r="AY122" s="455"/>
      <c r="AZ122" s="458"/>
      <c r="BA122" s="450" t="str">
        <f t="shared" si="49"/>
        <v>Any ENERGY STAR (Top- or Front-Load) Clothes Washer - Any DHW, Any Dryer - 54% ENERGY STAR Baseline</v>
      </c>
      <c r="BB122" s="450" t="s">
        <v>26</v>
      </c>
      <c r="BC122" s="455">
        <f t="shared" ca="1" si="46"/>
        <v>35.143329525623898</v>
      </c>
      <c r="BD122" s="455">
        <f>SFAssumptions!$C$7</f>
        <v>14</v>
      </c>
      <c r="BE122" s="459">
        <f t="shared" si="47"/>
        <v>0</v>
      </c>
      <c r="BF122" s="450"/>
      <c r="BG122" s="449" t="s">
        <v>159</v>
      </c>
      <c r="BH122" s="460"/>
      <c r="BI122" s="450"/>
      <c r="BJ122" s="450"/>
      <c r="BK122" s="450"/>
      <c r="BL122" s="450"/>
      <c r="BM122" s="450"/>
      <c r="BN122" s="450"/>
      <c r="BO122" s="461">
        <f t="shared" ca="1" si="48"/>
        <v>7.0703939848141564E-2</v>
      </c>
      <c r="BP122" s="450" t="s">
        <v>159</v>
      </c>
    </row>
    <row r="123" spans="1:68" s="309" customFormat="1">
      <c r="A123" s="450">
        <f t="shared" si="39"/>
        <v>46</v>
      </c>
      <c r="B123" s="450">
        <f t="shared" si="3"/>
        <v>2</v>
      </c>
      <c r="C123" s="450">
        <f t="shared" si="4"/>
        <v>16</v>
      </c>
      <c r="D123" s="450">
        <f t="shared" si="5"/>
        <v>4</v>
      </c>
      <c r="E123" s="450">
        <f t="shared" si="6"/>
        <v>1</v>
      </c>
      <c r="F123" s="450"/>
      <c r="G123" s="450" t="str">
        <f t="shared" si="12"/>
        <v>Current Practice Baseline Using 54% ENERGY STAR Penetration</v>
      </c>
      <c r="H123" s="450" t="str">
        <f t="shared" si="40"/>
        <v>CEE Tier 1</v>
      </c>
      <c r="I123" s="450" t="str">
        <f t="shared" si="7"/>
        <v>Electric DHW, Electric Dryer</v>
      </c>
      <c r="J123" s="450" t="str">
        <f t="shared" si="8"/>
        <v>Electric DHW</v>
      </c>
      <c r="K123" s="450" t="str">
        <f t="shared" si="9"/>
        <v>Electric Dryer</v>
      </c>
      <c r="L123" s="451">
        <f>VLOOKUP(J123,SFAssumptions!$A$14:$B$16,2,FALSE)</f>
        <v>1</v>
      </c>
      <c r="M123" s="452">
        <f>VLOOKUP(K123,SFAssumptions!$A$18:$B$20,2,FALSE)</f>
        <v>1</v>
      </c>
      <c r="N123" s="453">
        <f ca="1">HLOOKUP($G123,'SFBaselines and Measures'!$C$3:$V$33,7,FALSE)</f>
        <v>3802.5240664273615</v>
      </c>
      <c r="O123" s="454"/>
      <c r="P123" s="455"/>
      <c r="Q123" s="455">
        <f ca="1">HLOOKUP($G123,'SFBaselines and Measures'!$C$3:$V$33,26,FALSE)</f>
        <v>297.83257188187963</v>
      </c>
      <c r="R123" s="455"/>
      <c r="S123" s="456"/>
      <c r="T123" s="456">
        <f ca="1">HLOOKUP($G123,'SFBaselines and Measures'!$C$3:$V$33,30,FALSE)</f>
        <v>11.384828759727979</v>
      </c>
      <c r="U123" s="456"/>
      <c r="V123" s="456"/>
      <c r="W123" s="457"/>
      <c r="X123" s="453"/>
      <c r="Y123" s="454"/>
      <c r="Z123" s="455"/>
      <c r="AA123" s="455">
        <f ca="1">HLOOKUP($H123,'SFBaselines and Measures'!$C$2:$V$33,27,FALSE)</f>
        <v>261.20653199321106</v>
      </c>
      <c r="AB123" s="455"/>
      <c r="AC123" s="456"/>
      <c r="AD123" s="456">
        <f ca="1">HLOOKUP($H123,'SFBaselines and Measures'!$C$2:$V$33,31,FALSE)</f>
        <v>9.9847764093596894</v>
      </c>
      <c r="AE123" s="456"/>
      <c r="AF123" s="456"/>
      <c r="AG123" s="457"/>
      <c r="AH123" s="453"/>
      <c r="AI123" s="454"/>
      <c r="AJ123" s="455"/>
      <c r="AK123" s="455">
        <f t="shared" ca="1" si="35"/>
        <v>36.626039888668572</v>
      </c>
      <c r="AL123" s="455"/>
      <c r="AM123" s="456"/>
      <c r="AN123" s="456">
        <f t="shared" ca="1" si="36"/>
        <v>1.4000523503682896</v>
      </c>
      <c r="AO123" s="456"/>
      <c r="AP123" s="456"/>
      <c r="AQ123" s="458"/>
      <c r="AR123" s="452" t="str">
        <f t="shared" si="41"/>
        <v>CEE Tier 1 Clothes Washer - Electric DHW, Electric Dryer - 54% ENERGY STAR Baseline</v>
      </c>
      <c r="AS123" s="454">
        <f t="shared" si="42"/>
        <v>0</v>
      </c>
      <c r="AT123" s="455">
        <f t="shared" ca="1" si="43"/>
        <v>36.626039888668572</v>
      </c>
      <c r="AU123" s="456">
        <f t="shared" ca="1" si="44"/>
        <v>0</v>
      </c>
      <c r="AV123" s="456">
        <f t="shared" si="45"/>
        <v>0</v>
      </c>
      <c r="AW123" s="456"/>
      <c r="AX123" s="455" t="e">
        <f ca="1">AT123+#REF!</f>
        <v>#REF!</v>
      </c>
      <c r="AY123" s="455"/>
      <c r="AZ123" s="458"/>
      <c r="BA123" s="450" t="str">
        <f t="shared" si="49"/>
        <v>CEE Tier 1 Clothes Washer - Electric DHW, Electric Dryer - 54% ENERGY STAR Baseline</v>
      </c>
      <c r="BB123" s="450" t="s">
        <v>26</v>
      </c>
      <c r="BC123" s="455">
        <f t="shared" ca="1" si="46"/>
        <v>36.626039888668572</v>
      </c>
      <c r="BD123" s="455">
        <f>SFAssumptions!$C$7</f>
        <v>14</v>
      </c>
      <c r="BE123" s="459">
        <f t="shared" si="47"/>
        <v>0</v>
      </c>
      <c r="BF123" s="450"/>
      <c r="BG123" s="449" t="s">
        <v>159</v>
      </c>
      <c r="BH123" s="460"/>
      <c r="BI123" s="450"/>
      <c r="BJ123" s="450"/>
      <c r="BK123" s="450"/>
      <c r="BL123" s="450"/>
      <c r="BM123" s="450"/>
      <c r="BN123" s="450"/>
      <c r="BO123" s="461">
        <f t="shared" ca="1" si="48"/>
        <v>0</v>
      </c>
      <c r="BP123" s="450" t="s">
        <v>159</v>
      </c>
    </row>
    <row r="124" spans="1:68" s="309" customFormat="1">
      <c r="A124" s="450">
        <f t="shared" si="39"/>
        <v>47</v>
      </c>
      <c r="B124" s="450">
        <f t="shared" si="3"/>
        <v>2</v>
      </c>
      <c r="C124" s="450">
        <f t="shared" si="4"/>
        <v>17</v>
      </c>
      <c r="D124" s="450">
        <f t="shared" si="5"/>
        <v>4</v>
      </c>
      <c r="E124" s="450">
        <f t="shared" si="6"/>
        <v>2</v>
      </c>
      <c r="F124" s="450"/>
      <c r="G124" s="450" t="str">
        <f t="shared" si="12"/>
        <v>Current Practice Baseline Using 54% ENERGY STAR Penetration</v>
      </c>
      <c r="H124" s="450" t="str">
        <f t="shared" si="40"/>
        <v>CEE Tier 1</v>
      </c>
      <c r="I124" s="450" t="str">
        <f t="shared" si="7"/>
        <v>Electric DHW, Gas Dryer</v>
      </c>
      <c r="J124" s="450" t="str">
        <f t="shared" si="8"/>
        <v>Electric DHW</v>
      </c>
      <c r="K124" s="450" t="str">
        <f t="shared" si="9"/>
        <v>Gas Dryer</v>
      </c>
      <c r="L124" s="451">
        <f>VLOOKUP(J124,SFAssumptions!$A$14:$B$16,2,FALSE)</f>
        <v>1</v>
      </c>
      <c r="M124" s="452">
        <f>VLOOKUP(K124,SFAssumptions!$A$18:$B$20,2,FALSE)</f>
        <v>0</v>
      </c>
      <c r="N124" s="453">
        <f ca="1">HLOOKUP($G124,'SFBaselines and Measures'!$C$3:$V$33,7,FALSE)</f>
        <v>3802.5240664273615</v>
      </c>
      <c r="O124" s="454"/>
      <c r="P124" s="455"/>
      <c r="Q124" s="455">
        <f ca="1">HLOOKUP($G124,'SFBaselines and Measures'!$C$3:$V$33,26,FALSE)</f>
        <v>297.83257188187963</v>
      </c>
      <c r="R124" s="455"/>
      <c r="S124" s="456"/>
      <c r="T124" s="456">
        <f ca="1">HLOOKUP($G124,'SFBaselines and Measures'!$C$3:$V$33,30,FALSE)</f>
        <v>11.384828759727979</v>
      </c>
      <c r="U124" s="456"/>
      <c r="V124" s="456"/>
      <c r="W124" s="457"/>
      <c r="X124" s="453"/>
      <c r="Y124" s="454"/>
      <c r="Z124" s="455"/>
      <c r="AA124" s="455">
        <f ca="1">HLOOKUP($H124,'SFBaselines and Measures'!$C$2:$V$33,27,FALSE)</f>
        <v>261.20653199321106</v>
      </c>
      <c r="AB124" s="455"/>
      <c r="AC124" s="456"/>
      <c r="AD124" s="456">
        <f ca="1">HLOOKUP($H124,'SFBaselines and Measures'!$C$2:$V$33,31,FALSE)</f>
        <v>9.9847764093596894</v>
      </c>
      <c r="AE124" s="456"/>
      <c r="AF124" s="456"/>
      <c r="AG124" s="457"/>
      <c r="AH124" s="453"/>
      <c r="AI124" s="454"/>
      <c r="AJ124" s="455"/>
      <c r="AK124" s="455">
        <f t="shared" ca="1" si="35"/>
        <v>36.626039888668572</v>
      </c>
      <c r="AL124" s="455"/>
      <c r="AM124" s="456"/>
      <c r="AN124" s="456">
        <f t="shared" ca="1" si="36"/>
        <v>1.4000523503682896</v>
      </c>
      <c r="AO124" s="456"/>
      <c r="AP124" s="456"/>
      <c r="AQ124" s="458"/>
      <c r="AR124" s="452" t="str">
        <f t="shared" si="41"/>
        <v>CEE Tier 1 Clothes Washer - Electric DHW, Gas Dryer - 54% ENERGY STAR Baseline</v>
      </c>
      <c r="AS124" s="454">
        <f t="shared" si="42"/>
        <v>0</v>
      </c>
      <c r="AT124" s="455">
        <f t="shared" ca="1" si="43"/>
        <v>0</v>
      </c>
      <c r="AU124" s="456">
        <f t="shared" ca="1" si="44"/>
        <v>1.4000523503682896</v>
      </c>
      <c r="AV124" s="456">
        <f t="shared" si="45"/>
        <v>0</v>
      </c>
      <c r="AW124" s="456"/>
      <c r="AX124" s="455" t="e">
        <f ca="1">AT124+#REF!</f>
        <v>#REF!</v>
      </c>
      <c r="AY124" s="455"/>
      <c r="AZ124" s="458"/>
      <c r="BA124" s="450" t="str">
        <f t="shared" si="49"/>
        <v>CEE Tier 1 Clothes Washer - Electric DHW, Gas Dryer - 54% ENERGY STAR Baseline</v>
      </c>
      <c r="BB124" s="450" t="s">
        <v>26</v>
      </c>
      <c r="BC124" s="455">
        <f t="shared" ca="1" si="46"/>
        <v>0</v>
      </c>
      <c r="BD124" s="455">
        <f>SFAssumptions!$C$7</f>
        <v>14</v>
      </c>
      <c r="BE124" s="459">
        <f t="shared" si="47"/>
        <v>0</v>
      </c>
      <c r="BF124" s="450"/>
      <c r="BG124" s="449" t="s">
        <v>159</v>
      </c>
      <c r="BH124" s="460"/>
      <c r="BI124" s="450"/>
      <c r="BJ124" s="450"/>
      <c r="BK124" s="450"/>
      <c r="BL124" s="450"/>
      <c r="BM124" s="450"/>
      <c r="BN124" s="450"/>
      <c r="BO124" s="461">
        <f t="shared" ca="1" si="48"/>
        <v>1.4000523503682896</v>
      </c>
      <c r="BP124" s="450" t="s">
        <v>159</v>
      </c>
    </row>
    <row r="125" spans="1:68" s="309" customFormat="1">
      <c r="A125" s="450">
        <f t="shared" si="39"/>
        <v>48</v>
      </c>
      <c r="B125" s="450">
        <f t="shared" si="3"/>
        <v>2</v>
      </c>
      <c r="C125" s="450">
        <f t="shared" si="4"/>
        <v>18</v>
      </c>
      <c r="D125" s="450">
        <f t="shared" si="5"/>
        <v>4</v>
      </c>
      <c r="E125" s="450">
        <f t="shared" si="6"/>
        <v>3</v>
      </c>
      <c r="F125" s="450"/>
      <c r="G125" s="450" t="str">
        <f t="shared" si="12"/>
        <v>Current Practice Baseline Using 54% ENERGY STAR Penetration</v>
      </c>
      <c r="H125" s="450" t="str">
        <f t="shared" si="40"/>
        <v>CEE Tier 1</v>
      </c>
      <c r="I125" s="450" t="str">
        <f t="shared" si="7"/>
        <v>Gas DHW, Electric Dryer</v>
      </c>
      <c r="J125" s="450" t="str">
        <f t="shared" si="8"/>
        <v>Gas DHW</v>
      </c>
      <c r="K125" s="450" t="str">
        <f t="shared" si="9"/>
        <v>Electric Dryer</v>
      </c>
      <c r="L125" s="451">
        <f>VLOOKUP(J125,SFAssumptions!$A$14:$B$16,2,FALSE)</f>
        <v>0</v>
      </c>
      <c r="M125" s="452">
        <f>VLOOKUP(K125,SFAssumptions!$A$18:$B$20,2,FALSE)</f>
        <v>1</v>
      </c>
      <c r="N125" s="453">
        <f ca="1">HLOOKUP($G125,'SFBaselines and Measures'!$C$3:$V$33,7,FALSE)</f>
        <v>3802.5240664273615</v>
      </c>
      <c r="O125" s="454"/>
      <c r="P125" s="455"/>
      <c r="Q125" s="455">
        <f ca="1">HLOOKUP($G125,'SFBaselines and Measures'!$C$3:$V$33,26,FALSE)</f>
        <v>297.83257188187963</v>
      </c>
      <c r="R125" s="455"/>
      <c r="S125" s="456"/>
      <c r="T125" s="456">
        <f ca="1">HLOOKUP($G125,'SFBaselines and Measures'!$C$3:$V$33,30,FALSE)</f>
        <v>11.384828759727979</v>
      </c>
      <c r="U125" s="456"/>
      <c r="V125" s="456"/>
      <c r="W125" s="457"/>
      <c r="X125" s="453"/>
      <c r="Y125" s="454"/>
      <c r="Z125" s="455"/>
      <c r="AA125" s="455">
        <f ca="1">HLOOKUP($H125,'SFBaselines and Measures'!$C$2:$V$33,27,FALSE)</f>
        <v>261.20653199321106</v>
      </c>
      <c r="AB125" s="455"/>
      <c r="AC125" s="456"/>
      <c r="AD125" s="456">
        <f ca="1">HLOOKUP($H125,'SFBaselines and Measures'!$C$2:$V$33,31,FALSE)</f>
        <v>9.9847764093596894</v>
      </c>
      <c r="AE125" s="456"/>
      <c r="AF125" s="456"/>
      <c r="AG125" s="457"/>
      <c r="AH125" s="453"/>
      <c r="AI125" s="454"/>
      <c r="AJ125" s="455"/>
      <c r="AK125" s="455">
        <f t="shared" ca="1" si="35"/>
        <v>36.626039888668572</v>
      </c>
      <c r="AL125" s="455"/>
      <c r="AM125" s="456"/>
      <c r="AN125" s="456">
        <f t="shared" ca="1" si="36"/>
        <v>1.4000523503682896</v>
      </c>
      <c r="AO125" s="456"/>
      <c r="AP125" s="456"/>
      <c r="AQ125" s="458"/>
      <c r="AR125" s="452" t="str">
        <f t="shared" si="41"/>
        <v>CEE Tier 1 Clothes Washer - Gas DHW, Electric Dryer - 54% ENERGY STAR Baseline</v>
      </c>
      <c r="AS125" s="454">
        <f t="shared" si="42"/>
        <v>0</v>
      </c>
      <c r="AT125" s="455">
        <f t="shared" ca="1" si="43"/>
        <v>36.626039888668572</v>
      </c>
      <c r="AU125" s="456">
        <f t="shared" ca="1" si="44"/>
        <v>0</v>
      </c>
      <c r="AV125" s="456">
        <f t="shared" si="45"/>
        <v>0</v>
      </c>
      <c r="AW125" s="456"/>
      <c r="AX125" s="455" t="e">
        <f ca="1">AT125+#REF!</f>
        <v>#REF!</v>
      </c>
      <c r="AY125" s="455"/>
      <c r="AZ125" s="458"/>
      <c r="BA125" s="450" t="str">
        <f t="shared" si="49"/>
        <v>CEE Tier 1 Clothes Washer - Gas DHW, Electric Dryer - 54% ENERGY STAR Baseline</v>
      </c>
      <c r="BB125" s="450" t="s">
        <v>26</v>
      </c>
      <c r="BC125" s="455">
        <f t="shared" ca="1" si="46"/>
        <v>36.626039888668572</v>
      </c>
      <c r="BD125" s="455">
        <f>SFAssumptions!$C$7</f>
        <v>14</v>
      </c>
      <c r="BE125" s="459">
        <f t="shared" si="47"/>
        <v>0</v>
      </c>
      <c r="BF125" s="450"/>
      <c r="BG125" s="449" t="s">
        <v>159</v>
      </c>
      <c r="BH125" s="460"/>
      <c r="BI125" s="450"/>
      <c r="BJ125" s="450"/>
      <c r="BK125" s="450"/>
      <c r="BL125" s="450"/>
      <c r="BM125" s="450"/>
      <c r="BN125" s="450"/>
      <c r="BO125" s="461">
        <f t="shared" ca="1" si="48"/>
        <v>0</v>
      </c>
      <c r="BP125" s="450" t="s">
        <v>159</v>
      </c>
    </row>
    <row r="126" spans="1:68" s="309" customFormat="1">
      <c r="A126" s="450">
        <f t="shared" si="39"/>
        <v>49</v>
      </c>
      <c r="B126" s="450">
        <f t="shared" si="3"/>
        <v>2</v>
      </c>
      <c r="C126" s="450">
        <f t="shared" si="4"/>
        <v>19</v>
      </c>
      <c r="D126" s="450">
        <f t="shared" si="5"/>
        <v>4</v>
      </c>
      <c r="E126" s="450">
        <f t="shared" si="6"/>
        <v>4</v>
      </c>
      <c r="F126" s="450"/>
      <c r="G126" s="450" t="str">
        <f t="shared" si="12"/>
        <v>Current Practice Baseline Using 54% ENERGY STAR Penetration</v>
      </c>
      <c r="H126" s="450" t="str">
        <f t="shared" si="40"/>
        <v>CEE Tier 1</v>
      </c>
      <c r="I126" s="450" t="str">
        <f t="shared" si="7"/>
        <v>Gas DHW, Gas Dryer</v>
      </c>
      <c r="J126" s="450" t="str">
        <f t="shared" si="8"/>
        <v>Gas DHW</v>
      </c>
      <c r="K126" s="450" t="str">
        <f t="shared" si="9"/>
        <v>Gas Dryer</v>
      </c>
      <c r="L126" s="451">
        <f>VLOOKUP(J126,SFAssumptions!$A$14:$B$16,2,FALSE)</f>
        <v>0</v>
      </c>
      <c r="M126" s="452">
        <f>VLOOKUP(K126,SFAssumptions!$A$18:$B$20,2,FALSE)</f>
        <v>0</v>
      </c>
      <c r="N126" s="453">
        <f ca="1">HLOOKUP($G126,'SFBaselines and Measures'!$C$3:$V$33,7,FALSE)</f>
        <v>3802.5240664273615</v>
      </c>
      <c r="O126" s="454"/>
      <c r="P126" s="455"/>
      <c r="Q126" s="455">
        <f ca="1">HLOOKUP($G126,'SFBaselines and Measures'!$C$3:$V$33,26,FALSE)</f>
        <v>297.83257188187963</v>
      </c>
      <c r="R126" s="455"/>
      <c r="S126" s="456"/>
      <c r="T126" s="456">
        <f ca="1">HLOOKUP($G126,'SFBaselines and Measures'!$C$3:$V$33,30,FALSE)</f>
        <v>11.384828759727979</v>
      </c>
      <c r="U126" s="456"/>
      <c r="V126" s="456"/>
      <c r="W126" s="457"/>
      <c r="X126" s="453"/>
      <c r="Y126" s="454"/>
      <c r="Z126" s="455"/>
      <c r="AA126" s="455">
        <f ca="1">HLOOKUP($H126,'SFBaselines and Measures'!$C$2:$V$33,27,FALSE)</f>
        <v>261.20653199321106</v>
      </c>
      <c r="AB126" s="455"/>
      <c r="AC126" s="456"/>
      <c r="AD126" s="456">
        <f ca="1">HLOOKUP($H126,'SFBaselines and Measures'!$C$2:$V$33,31,FALSE)</f>
        <v>9.9847764093596894</v>
      </c>
      <c r="AE126" s="456"/>
      <c r="AF126" s="456"/>
      <c r="AG126" s="457"/>
      <c r="AH126" s="453"/>
      <c r="AI126" s="454"/>
      <c r="AJ126" s="455"/>
      <c r="AK126" s="455">
        <f t="shared" ca="1" si="35"/>
        <v>36.626039888668572</v>
      </c>
      <c r="AL126" s="455"/>
      <c r="AM126" s="456"/>
      <c r="AN126" s="456">
        <f t="shared" ca="1" si="36"/>
        <v>1.4000523503682896</v>
      </c>
      <c r="AO126" s="456"/>
      <c r="AP126" s="456"/>
      <c r="AQ126" s="458"/>
      <c r="AR126" s="452" t="str">
        <f t="shared" si="41"/>
        <v>CEE Tier 1 Clothes Washer - Gas DHW, Gas Dryer - 54% ENERGY STAR Baseline</v>
      </c>
      <c r="AS126" s="454">
        <f t="shared" si="42"/>
        <v>0</v>
      </c>
      <c r="AT126" s="455">
        <f t="shared" ca="1" si="43"/>
        <v>0</v>
      </c>
      <c r="AU126" s="456">
        <f t="shared" ca="1" si="44"/>
        <v>1.4000523503682896</v>
      </c>
      <c r="AV126" s="456">
        <f t="shared" si="45"/>
        <v>0</v>
      </c>
      <c r="AW126" s="456"/>
      <c r="AX126" s="455">
        <f t="shared" ref="AX126:AX137" ca="1" si="50">AT126+BC198</f>
        <v>0</v>
      </c>
      <c r="AY126" s="455"/>
      <c r="AZ126" s="458"/>
      <c r="BA126" s="450" t="str">
        <f t="shared" si="49"/>
        <v>CEE Tier 1 Clothes Washer - Gas DHW, Gas Dryer - 54% ENERGY STAR Baseline</v>
      </c>
      <c r="BB126" s="450" t="s">
        <v>26</v>
      </c>
      <c r="BC126" s="455">
        <f t="shared" ca="1" si="46"/>
        <v>0</v>
      </c>
      <c r="BD126" s="455">
        <f>SFAssumptions!$C$7</f>
        <v>14</v>
      </c>
      <c r="BE126" s="459">
        <f t="shared" si="47"/>
        <v>0</v>
      </c>
      <c r="BF126" s="450"/>
      <c r="BG126" s="449" t="s">
        <v>159</v>
      </c>
      <c r="BH126" s="460"/>
      <c r="BI126" s="450"/>
      <c r="BJ126" s="450"/>
      <c r="BK126" s="450"/>
      <c r="BL126" s="450"/>
      <c r="BM126" s="450"/>
      <c r="BN126" s="450"/>
      <c r="BO126" s="461">
        <f t="shared" ca="1" si="48"/>
        <v>1.4000523503682896</v>
      </c>
      <c r="BP126" s="450" t="s">
        <v>159</v>
      </c>
    </row>
    <row r="127" spans="1:68" s="309" customFormat="1">
      <c r="A127" s="450">
        <f t="shared" si="39"/>
        <v>50</v>
      </c>
      <c r="B127" s="450">
        <f t="shared" si="3"/>
        <v>2</v>
      </c>
      <c r="C127" s="450">
        <f t="shared" si="4"/>
        <v>20</v>
      </c>
      <c r="D127" s="450">
        <f t="shared" si="5"/>
        <v>4</v>
      </c>
      <c r="E127" s="450">
        <f t="shared" si="6"/>
        <v>5</v>
      </c>
      <c r="F127" s="450"/>
      <c r="G127" s="450" t="str">
        <f t="shared" si="12"/>
        <v>Current Practice Baseline Using 54% ENERGY STAR Penetration</v>
      </c>
      <c r="H127" s="450" t="str">
        <f t="shared" si="40"/>
        <v>CEE Tier 1</v>
      </c>
      <c r="I127" s="450" t="str">
        <f t="shared" si="7"/>
        <v>Any DHW, Any Dryer</v>
      </c>
      <c r="J127" s="450" t="str">
        <f t="shared" si="8"/>
        <v>Any DHW</v>
      </c>
      <c r="K127" s="450" t="str">
        <f t="shared" si="9"/>
        <v>Any Dryer</v>
      </c>
      <c r="L127" s="451">
        <f>VLOOKUP(J127,SFAssumptions!$A$14:$B$16,2,FALSE)</f>
        <v>0.55200000000000005</v>
      </c>
      <c r="M127" s="452">
        <f>VLOOKUP(K127,SFAssumptions!$A$18:$B$20,2,FALSE)</f>
        <v>0.95</v>
      </c>
      <c r="N127" s="453">
        <f ca="1">HLOOKUP($G127,'SFBaselines and Measures'!$C$3:$V$33,7,FALSE)</f>
        <v>3802.5240664273615</v>
      </c>
      <c r="O127" s="454"/>
      <c r="P127" s="455"/>
      <c r="Q127" s="455">
        <f ca="1">HLOOKUP($G127,'SFBaselines and Measures'!$C$3:$V$33,26,FALSE)</f>
        <v>297.83257188187963</v>
      </c>
      <c r="R127" s="455"/>
      <c r="S127" s="456"/>
      <c r="T127" s="456">
        <f ca="1">HLOOKUP($G127,'SFBaselines and Measures'!$C$3:$V$33,30,FALSE)</f>
        <v>11.384828759727979</v>
      </c>
      <c r="U127" s="456"/>
      <c r="V127" s="456"/>
      <c r="W127" s="457"/>
      <c r="X127" s="453"/>
      <c r="Y127" s="454"/>
      <c r="Z127" s="455"/>
      <c r="AA127" s="455">
        <f ca="1">HLOOKUP($H127,'SFBaselines and Measures'!$C$2:$V$33,27,FALSE)</f>
        <v>261.20653199321106</v>
      </c>
      <c r="AB127" s="455"/>
      <c r="AC127" s="456"/>
      <c r="AD127" s="456">
        <f ca="1">HLOOKUP($H127,'SFBaselines and Measures'!$C$2:$V$33,31,FALSE)</f>
        <v>9.9847764093596894</v>
      </c>
      <c r="AE127" s="456"/>
      <c r="AF127" s="456"/>
      <c r="AG127" s="457"/>
      <c r="AH127" s="453"/>
      <c r="AI127" s="454"/>
      <c r="AJ127" s="455"/>
      <c r="AK127" s="455">
        <f t="shared" ca="1" si="35"/>
        <v>36.626039888668572</v>
      </c>
      <c r="AL127" s="455"/>
      <c r="AM127" s="456"/>
      <c r="AN127" s="456">
        <f t="shared" ca="1" si="36"/>
        <v>1.4000523503682896</v>
      </c>
      <c r="AO127" s="456"/>
      <c r="AP127" s="456"/>
      <c r="AQ127" s="458"/>
      <c r="AR127" s="452" t="str">
        <f t="shared" si="41"/>
        <v>CEE Tier 1 Clothes Washer - Any DHW, Any Dryer - 54% ENERGY STAR Baseline</v>
      </c>
      <c r="AS127" s="454">
        <f t="shared" si="42"/>
        <v>0</v>
      </c>
      <c r="AT127" s="455">
        <f t="shared" ca="1" si="43"/>
        <v>34.794737894235141</v>
      </c>
      <c r="AU127" s="456">
        <f t="shared" ca="1" si="44"/>
        <v>7.0002617518414537E-2</v>
      </c>
      <c r="AV127" s="456">
        <f t="shared" si="45"/>
        <v>0</v>
      </c>
      <c r="AW127" s="456"/>
      <c r="AX127" s="455">
        <f t="shared" ca="1" si="50"/>
        <v>34.794737894235141</v>
      </c>
      <c r="AY127" s="455"/>
      <c r="AZ127" s="458"/>
      <c r="BA127" s="450" t="str">
        <f t="shared" si="49"/>
        <v>CEE Tier 1 Clothes Washer - Any DHW, Any Dryer - 54% ENERGY STAR Baseline</v>
      </c>
      <c r="BB127" s="450" t="s">
        <v>26</v>
      </c>
      <c r="BC127" s="455">
        <f t="shared" ca="1" si="46"/>
        <v>34.794737894235141</v>
      </c>
      <c r="BD127" s="455">
        <f>SFAssumptions!$C$7</f>
        <v>14</v>
      </c>
      <c r="BE127" s="459">
        <f t="shared" si="47"/>
        <v>0</v>
      </c>
      <c r="BF127" s="450"/>
      <c r="BG127" s="449" t="s">
        <v>159</v>
      </c>
      <c r="BH127" s="460"/>
      <c r="BI127" s="450"/>
      <c r="BJ127" s="450"/>
      <c r="BK127" s="450"/>
      <c r="BL127" s="450"/>
      <c r="BM127" s="450"/>
      <c r="BN127" s="450"/>
      <c r="BO127" s="461">
        <f t="shared" ca="1" si="48"/>
        <v>7.0002617518414537E-2</v>
      </c>
      <c r="BP127" s="450" t="s">
        <v>159</v>
      </c>
    </row>
    <row r="128" spans="1:68" s="309" customFormat="1">
      <c r="A128" s="450">
        <f t="shared" si="39"/>
        <v>51</v>
      </c>
      <c r="B128" s="450">
        <f t="shared" si="3"/>
        <v>2</v>
      </c>
      <c r="C128" s="450">
        <f t="shared" si="4"/>
        <v>21</v>
      </c>
      <c r="D128" s="450">
        <f t="shared" si="5"/>
        <v>5</v>
      </c>
      <c r="E128" s="450">
        <f t="shared" si="6"/>
        <v>1</v>
      </c>
      <c r="F128" s="450"/>
      <c r="G128" s="450" t="str">
        <f t="shared" si="12"/>
        <v>Current Practice Baseline Using 54% ENERGY STAR Penetration</v>
      </c>
      <c r="H128" s="450" t="str">
        <f t="shared" si="40"/>
        <v>CEE Tier 2</v>
      </c>
      <c r="I128" s="450" t="str">
        <f t="shared" si="7"/>
        <v>Electric DHW, Electric Dryer</v>
      </c>
      <c r="J128" s="450" t="str">
        <f t="shared" si="8"/>
        <v>Electric DHW</v>
      </c>
      <c r="K128" s="450" t="str">
        <f t="shared" si="9"/>
        <v>Electric Dryer</v>
      </c>
      <c r="L128" s="451">
        <f>VLOOKUP(J128,SFAssumptions!$A$14:$B$16,2,FALSE)</f>
        <v>1</v>
      </c>
      <c r="M128" s="452">
        <f>VLOOKUP(K128,SFAssumptions!$A$18:$B$20,2,FALSE)</f>
        <v>1</v>
      </c>
      <c r="N128" s="453">
        <f ca="1">HLOOKUP($G128,'SFBaselines and Measures'!$C$3:$V$33,7,FALSE)</f>
        <v>3802.5240664273615</v>
      </c>
      <c r="O128" s="454"/>
      <c r="P128" s="455"/>
      <c r="Q128" s="455">
        <f ca="1">HLOOKUP($G128,'SFBaselines and Measures'!$C$3:$V$33,26,FALSE)</f>
        <v>297.83257188187963</v>
      </c>
      <c r="R128" s="455"/>
      <c r="S128" s="456"/>
      <c r="T128" s="456">
        <f ca="1">HLOOKUP($G128,'SFBaselines and Measures'!$C$3:$V$33,30,FALSE)</f>
        <v>11.384828759727979</v>
      </c>
      <c r="U128" s="456"/>
      <c r="V128" s="456"/>
      <c r="W128" s="457"/>
      <c r="X128" s="453"/>
      <c r="Y128" s="454"/>
      <c r="Z128" s="455"/>
      <c r="AA128" s="455">
        <f ca="1">HLOOKUP($H128,'SFBaselines and Measures'!$C$2:$V$33,27,FALSE)</f>
        <v>238.93854319892429</v>
      </c>
      <c r="AB128" s="455"/>
      <c r="AC128" s="456"/>
      <c r="AD128" s="456">
        <f ca="1">HLOOKUP($H128,'SFBaselines and Measures'!$C$2:$V$33,31,FALSE)</f>
        <v>9.1335691769048033</v>
      </c>
      <c r="AE128" s="456"/>
      <c r="AF128" s="456"/>
      <c r="AG128" s="457"/>
      <c r="AH128" s="453"/>
      <c r="AI128" s="454"/>
      <c r="AJ128" s="455"/>
      <c r="AK128" s="455">
        <f t="shared" ca="1" si="35"/>
        <v>58.894028682955337</v>
      </c>
      <c r="AL128" s="455"/>
      <c r="AM128" s="456"/>
      <c r="AN128" s="456">
        <f t="shared" ca="1" si="36"/>
        <v>2.2512595828231756</v>
      </c>
      <c r="AO128" s="456"/>
      <c r="AP128" s="456"/>
      <c r="AQ128" s="458"/>
      <c r="AR128" s="452" t="str">
        <f t="shared" si="41"/>
        <v>CEE Tier 2 Clothes Washer - Electric DHW, Electric Dryer - 54% ENERGY STAR Baseline</v>
      </c>
      <c r="AS128" s="454">
        <f t="shared" si="42"/>
        <v>0</v>
      </c>
      <c r="AT128" s="455">
        <f t="shared" ca="1" si="43"/>
        <v>58.894028682955337</v>
      </c>
      <c r="AU128" s="456">
        <f t="shared" ca="1" si="44"/>
        <v>0</v>
      </c>
      <c r="AV128" s="456">
        <f t="shared" si="45"/>
        <v>0</v>
      </c>
      <c r="AW128" s="456"/>
      <c r="AX128" s="455">
        <f t="shared" ca="1" si="50"/>
        <v>58.894028682955337</v>
      </c>
      <c r="AY128" s="455"/>
      <c r="AZ128" s="458"/>
      <c r="BA128" s="450" t="str">
        <f t="shared" si="49"/>
        <v>CEE Tier 2 Clothes Washer - Electric DHW, Electric Dryer - 54% ENERGY STAR Baseline</v>
      </c>
      <c r="BB128" s="450" t="s">
        <v>26</v>
      </c>
      <c r="BC128" s="455">
        <f t="shared" ca="1" si="46"/>
        <v>58.894028682955337</v>
      </c>
      <c r="BD128" s="455">
        <f>SFAssumptions!$C$7</f>
        <v>14</v>
      </c>
      <c r="BE128" s="459">
        <f t="shared" si="47"/>
        <v>0</v>
      </c>
      <c r="BF128" s="450"/>
      <c r="BG128" s="449" t="s">
        <v>159</v>
      </c>
      <c r="BH128" s="460"/>
      <c r="BI128" s="450"/>
      <c r="BJ128" s="450"/>
      <c r="BK128" s="450"/>
      <c r="BL128" s="450"/>
      <c r="BM128" s="450"/>
      <c r="BN128" s="450"/>
      <c r="BO128" s="461">
        <f t="shared" ca="1" si="48"/>
        <v>0</v>
      </c>
      <c r="BP128" s="450" t="s">
        <v>159</v>
      </c>
    </row>
    <row r="129" spans="1:69" s="309" customFormat="1">
      <c r="A129" s="450">
        <f t="shared" si="39"/>
        <v>52</v>
      </c>
      <c r="B129" s="450">
        <f t="shared" si="3"/>
        <v>2</v>
      </c>
      <c r="C129" s="450">
        <f t="shared" si="4"/>
        <v>22</v>
      </c>
      <c r="D129" s="450">
        <f t="shared" si="5"/>
        <v>5</v>
      </c>
      <c r="E129" s="450">
        <f t="shared" si="6"/>
        <v>2</v>
      </c>
      <c r="F129" s="450"/>
      <c r="G129" s="450" t="str">
        <f t="shared" si="12"/>
        <v>Current Practice Baseline Using 54% ENERGY STAR Penetration</v>
      </c>
      <c r="H129" s="450" t="str">
        <f t="shared" si="40"/>
        <v>CEE Tier 2</v>
      </c>
      <c r="I129" s="450" t="str">
        <f t="shared" si="7"/>
        <v>Electric DHW, Gas Dryer</v>
      </c>
      <c r="J129" s="450" t="str">
        <f t="shared" si="8"/>
        <v>Electric DHW</v>
      </c>
      <c r="K129" s="450" t="str">
        <f t="shared" si="9"/>
        <v>Gas Dryer</v>
      </c>
      <c r="L129" s="451">
        <f>VLOOKUP(J129,SFAssumptions!$A$14:$B$16,2,FALSE)</f>
        <v>1</v>
      </c>
      <c r="M129" s="452">
        <f>VLOOKUP(K129,SFAssumptions!$A$18:$B$20,2,FALSE)</f>
        <v>0</v>
      </c>
      <c r="N129" s="453">
        <f ca="1">HLOOKUP($G129,'SFBaselines and Measures'!$C$3:$V$33,7,FALSE)</f>
        <v>3802.5240664273615</v>
      </c>
      <c r="O129" s="454"/>
      <c r="P129" s="455"/>
      <c r="Q129" s="455">
        <f ca="1">HLOOKUP($G129,'SFBaselines and Measures'!$C$3:$V$33,26,FALSE)</f>
        <v>297.83257188187963</v>
      </c>
      <c r="R129" s="455"/>
      <c r="S129" s="456"/>
      <c r="T129" s="456">
        <f ca="1">HLOOKUP($G129,'SFBaselines and Measures'!$C$3:$V$33,30,FALSE)</f>
        <v>11.384828759727979</v>
      </c>
      <c r="U129" s="456"/>
      <c r="V129" s="456"/>
      <c r="W129" s="457"/>
      <c r="X129" s="453"/>
      <c r="Y129" s="454"/>
      <c r="Z129" s="455"/>
      <c r="AA129" s="455">
        <f ca="1">HLOOKUP($H129,'SFBaselines and Measures'!$C$2:$V$33,27,FALSE)</f>
        <v>238.93854319892429</v>
      </c>
      <c r="AB129" s="455"/>
      <c r="AC129" s="456"/>
      <c r="AD129" s="456">
        <f ca="1">HLOOKUP($H129,'SFBaselines and Measures'!$C$2:$V$33,31,FALSE)</f>
        <v>9.1335691769048033</v>
      </c>
      <c r="AE129" s="456"/>
      <c r="AF129" s="456"/>
      <c r="AG129" s="457"/>
      <c r="AH129" s="453"/>
      <c r="AI129" s="454"/>
      <c r="AJ129" s="455"/>
      <c r="AK129" s="455">
        <f t="shared" ca="1" si="35"/>
        <v>58.894028682955337</v>
      </c>
      <c r="AL129" s="455"/>
      <c r="AM129" s="456"/>
      <c r="AN129" s="456">
        <f t="shared" ca="1" si="36"/>
        <v>2.2512595828231756</v>
      </c>
      <c r="AO129" s="456"/>
      <c r="AP129" s="456"/>
      <c r="AQ129" s="458"/>
      <c r="AR129" s="452" t="str">
        <f t="shared" si="41"/>
        <v>CEE Tier 2 Clothes Washer - Electric DHW, Gas Dryer - 54% ENERGY STAR Baseline</v>
      </c>
      <c r="AS129" s="454">
        <f t="shared" si="42"/>
        <v>0</v>
      </c>
      <c r="AT129" s="455">
        <f t="shared" ca="1" si="43"/>
        <v>0</v>
      </c>
      <c r="AU129" s="456">
        <f t="shared" ca="1" si="44"/>
        <v>2.2512595828231756</v>
      </c>
      <c r="AV129" s="456">
        <f t="shared" si="45"/>
        <v>0</v>
      </c>
      <c r="AW129" s="456"/>
      <c r="AX129" s="455">
        <f t="shared" ca="1" si="50"/>
        <v>0</v>
      </c>
      <c r="AY129" s="455"/>
      <c r="AZ129" s="458"/>
      <c r="BA129" s="450" t="str">
        <f t="shared" si="49"/>
        <v>CEE Tier 2 Clothes Washer - Electric DHW, Gas Dryer - 54% ENERGY STAR Baseline</v>
      </c>
      <c r="BB129" s="450" t="s">
        <v>26</v>
      </c>
      <c r="BC129" s="455">
        <f t="shared" ca="1" si="46"/>
        <v>0</v>
      </c>
      <c r="BD129" s="455">
        <f>SFAssumptions!$C$7</f>
        <v>14</v>
      </c>
      <c r="BE129" s="459">
        <f t="shared" si="47"/>
        <v>0</v>
      </c>
      <c r="BF129" s="450"/>
      <c r="BG129" s="449" t="s">
        <v>159</v>
      </c>
      <c r="BH129" s="460"/>
      <c r="BI129" s="450"/>
      <c r="BJ129" s="450"/>
      <c r="BK129" s="450"/>
      <c r="BL129" s="450"/>
      <c r="BM129" s="450"/>
      <c r="BN129" s="450"/>
      <c r="BO129" s="461">
        <f t="shared" ca="1" si="48"/>
        <v>2.2512595828231756</v>
      </c>
      <c r="BP129" s="450" t="s">
        <v>159</v>
      </c>
    </row>
    <row r="130" spans="1:69" s="309" customFormat="1">
      <c r="A130" s="450">
        <f t="shared" si="39"/>
        <v>53</v>
      </c>
      <c r="B130" s="450">
        <f t="shared" si="3"/>
        <v>2</v>
      </c>
      <c r="C130" s="450">
        <f t="shared" si="4"/>
        <v>23</v>
      </c>
      <c r="D130" s="450">
        <f t="shared" si="5"/>
        <v>5</v>
      </c>
      <c r="E130" s="450">
        <f t="shared" si="6"/>
        <v>3</v>
      </c>
      <c r="F130" s="450"/>
      <c r="G130" s="450" t="str">
        <f t="shared" si="12"/>
        <v>Current Practice Baseline Using 54% ENERGY STAR Penetration</v>
      </c>
      <c r="H130" s="450" t="str">
        <f t="shared" si="40"/>
        <v>CEE Tier 2</v>
      </c>
      <c r="I130" s="450" t="str">
        <f t="shared" si="7"/>
        <v>Gas DHW, Electric Dryer</v>
      </c>
      <c r="J130" s="450" t="str">
        <f t="shared" si="8"/>
        <v>Gas DHW</v>
      </c>
      <c r="K130" s="450" t="str">
        <f t="shared" si="9"/>
        <v>Electric Dryer</v>
      </c>
      <c r="L130" s="451">
        <f>VLOOKUP(J130,SFAssumptions!$A$14:$B$16,2,FALSE)</f>
        <v>0</v>
      </c>
      <c r="M130" s="452">
        <f>VLOOKUP(K130,SFAssumptions!$A$18:$B$20,2,FALSE)</f>
        <v>1</v>
      </c>
      <c r="N130" s="453">
        <f ca="1">HLOOKUP($G130,'SFBaselines and Measures'!$C$3:$V$33,7,FALSE)</f>
        <v>3802.5240664273615</v>
      </c>
      <c r="O130" s="454"/>
      <c r="P130" s="455"/>
      <c r="Q130" s="455">
        <f ca="1">HLOOKUP($G130,'SFBaselines and Measures'!$C$3:$V$33,26,FALSE)</f>
        <v>297.83257188187963</v>
      </c>
      <c r="R130" s="455"/>
      <c r="S130" s="456"/>
      <c r="T130" s="456">
        <f ca="1">HLOOKUP($G130,'SFBaselines and Measures'!$C$3:$V$33,30,FALSE)</f>
        <v>11.384828759727979</v>
      </c>
      <c r="U130" s="456"/>
      <c r="V130" s="456"/>
      <c r="W130" s="457"/>
      <c r="X130" s="453"/>
      <c r="Y130" s="454"/>
      <c r="Z130" s="455"/>
      <c r="AA130" s="455">
        <f ca="1">HLOOKUP($H130,'SFBaselines and Measures'!$C$2:$V$33,27,FALSE)</f>
        <v>238.93854319892429</v>
      </c>
      <c r="AB130" s="455"/>
      <c r="AC130" s="456"/>
      <c r="AD130" s="456">
        <f ca="1">HLOOKUP($H130,'SFBaselines and Measures'!$C$2:$V$33,31,FALSE)</f>
        <v>9.1335691769048033</v>
      </c>
      <c r="AE130" s="456"/>
      <c r="AF130" s="456"/>
      <c r="AG130" s="457"/>
      <c r="AH130" s="453"/>
      <c r="AI130" s="454"/>
      <c r="AJ130" s="455"/>
      <c r="AK130" s="455">
        <f t="shared" ca="1" si="35"/>
        <v>58.894028682955337</v>
      </c>
      <c r="AL130" s="455"/>
      <c r="AM130" s="456"/>
      <c r="AN130" s="456">
        <f t="shared" ca="1" si="36"/>
        <v>2.2512595828231756</v>
      </c>
      <c r="AO130" s="456"/>
      <c r="AP130" s="456"/>
      <c r="AQ130" s="458"/>
      <c r="AR130" s="452" t="str">
        <f t="shared" si="41"/>
        <v>CEE Tier 2 Clothes Washer - Gas DHW, Electric Dryer - 54% ENERGY STAR Baseline</v>
      </c>
      <c r="AS130" s="454">
        <f t="shared" si="42"/>
        <v>0</v>
      </c>
      <c r="AT130" s="455">
        <f t="shared" ca="1" si="43"/>
        <v>58.894028682955337</v>
      </c>
      <c r="AU130" s="456">
        <f t="shared" ca="1" si="44"/>
        <v>0</v>
      </c>
      <c r="AV130" s="456">
        <f t="shared" si="45"/>
        <v>0</v>
      </c>
      <c r="AW130" s="456"/>
      <c r="AX130" s="455">
        <f t="shared" ca="1" si="50"/>
        <v>58.894028682955337</v>
      </c>
      <c r="AY130" s="455"/>
      <c r="AZ130" s="458"/>
      <c r="BA130" s="450" t="str">
        <f t="shared" si="49"/>
        <v>CEE Tier 2 Clothes Washer - Gas DHW, Electric Dryer - 54% ENERGY STAR Baseline</v>
      </c>
      <c r="BB130" s="450" t="s">
        <v>26</v>
      </c>
      <c r="BC130" s="455">
        <f t="shared" ca="1" si="46"/>
        <v>58.894028682955337</v>
      </c>
      <c r="BD130" s="455">
        <f>SFAssumptions!$C$7</f>
        <v>14</v>
      </c>
      <c r="BE130" s="459">
        <f t="shared" si="47"/>
        <v>0</v>
      </c>
      <c r="BF130" s="450"/>
      <c r="BG130" s="449" t="s">
        <v>159</v>
      </c>
      <c r="BH130" s="460"/>
      <c r="BI130" s="450"/>
      <c r="BJ130" s="450"/>
      <c r="BK130" s="450"/>
      <c r="BL130" s="450"/>
      <c r="BM130" s="450"/>
      <c r="BN130" s="450"/>
      <c r="BO130" s="461">
        <f t="shared" ca="1" si="48"/>
        <v>0</v>
      </c>
      <c r="BP130" s="450" t="s">
        <v>159</v>
      </c>
    </row>
    <row r="131" spans="1:69" s="309" customFormat="1">
      <c r="A131" s="450">
        <f t="shared" si="39"/>
        <v>54</v>
      </c>
      <c r="B131" s="450">
        <f t="shared" si="3"/>
        <v>2</v>
      </c>
      <c r="C131" s="450">
        <f t="shared" si="4"/>
        <v>24</v>
      </c>
      <c r="D131" s="450">
        <f t="shared" si="5"/>
        <v>5</v>
      </c>
      <c r="E131" s="450">
        <f t="shared" si="6"/>
        <v>4</v>
      </c>
      <c r="F131" s="450"/>
      <c r="G131" s="450" t="str">
        <f t="shared" si="12"/>
        <v>Current Practice Baseline Using 54% ENERGY STAR Penetration</v>
      </c>
      <c r="H131" s="450" t="str">
        <f t="shared" si="40"/>
        <v>CEE Tier 2</v>
      </c>
      <c r="I131" s="450" t="str">
        <f t="shared" si="7"/>
        <v>Gas DHW, Gas Dryer</v>
      </c>
      <c r="J131" s="450" t="str">
        <f t="shared" si="8"/>
        <v>Gas DHW</v>
      </c>
      <c r="K131" s="450" t="str">
        <f t="shared" si="9"/>
        <v>Gas Dryer</v>
      </c>
      <c r="L131" s="451">
        <f>VLOOKUP(J131,SFAssumptions!$A$14:$B$16,2,FALSE)</f>
        <v>0</v>
      </c>
      <c r="M131" s="452">
        <f>VLOOKUP(K131,SFAssumptions!$A$18:$B$20,2,FALSE)</f>
        <v>0</v>
      </c>
      <c r="N131" s="453">
        <f ca="1">HLOOKUP($G131,'SFBaselines and Measures'!$C$3:$V$33,7,FALSE)</f>
        <v>3802.5240664273615</v>
      </c>
      <c r="O131" s="454"/>
      <c r="P131" s="455"/>
      <c r="Q131" s="455">
        <f ca="1">HLOOKUP($G131,'SFBaselines and Measures'!$C$3:$V$33,26,FALSE)</f>
        <v>297.83257188187963</v>
      </c>
      <c r="R131" s="455"/>
      <c r="S131" s="456"/>
      <c r="T131" s="456">
        <f ca="1">HLOOKUP($G131,'SFBaselines and Measures'!$C$3:$V$33,30,FALSE)</f>
        <v>11.384828759727979</v>
      </c>
      <c r="U131" s="456"/>
      <c r="V131" s="456"/>
      <c r="W131" s="457"/>
      <c r="X131" s="453"/>
      <c r="Y131" s="454"/>
      <c r="Z131" s="455"/>
      <c r="AA131" s="455">
        <f ca="1">HLOOKUP($H131,'SFBaselines and Measures'!$C$2:$V$33,27,FALSE)</f>
        <v>238.93854319892429</v>
      </c>
      <c r="AB131" s="455"/>
      <c r="AC131" s="456"/>
      <c r="AD131" s="456">
        <f ca="1">HLOOKUP($H131,'SFBaselines and Measures'!$C$2:$V$33,31,FALSE)</f>
        <v>9.1335691769048033</v>
      </c>
      <c r="AE131" s="456"/>
      <c r="AF131" s="456"/>
      <c r="AG131" s="457"/>
      <c r="AH131" s="453"/>
      <c r="AI131" s="454"/>
      <c r="AJ131" s="455"/>
      <c r="AK131" s="455">
        <f t="shared" ca="1" si="35"/>
        <v>58.894028682955337</v>
      </c>
      <c r="AL131" s="455"/>
      <c r="AM131" s="456"/>
      <c r="AN131" s="456">
        <f t="shared" ca="1" si="36"/>
        <v>2.2512595828231756</v>
      </c>
      <c r="AO131" s="456"/>
      <c r="AP131" s="456"/>
      <c r="AQ131" s="458"/>
      <c r="AR131" s="452" t="str">
        <f t="shared" si="41"/>
        <v>CEE Tier 2 Clothes Washer - Gas DHW, Gas Dryer - 54% ENERGY STAR Baseline</v>
      </c>
      <c r="AS131" s="454">
        <f t="shared" si="42"/>
        <v>0</v>
      </c>
      <c r="AT131" s="455">
        <f t="shared" ca="1" si="43"/>
        <v>0</v>
      </c>
      <c r="AU131" s="456">
        <f t="shared" ca="1" si="44"/>
        <v>2.2512595828231756</v>
      </c>
      <c r="AV131" s="456">
        <f t="shared" si="45"/>
        <v>0</v>
      </c>
      <c r="AW131" s="456"/>
      <c r="AX131" s="455">
        <f t="shared" ca="1" si="50"/>
        <v>0</v>
      </c>
      <c r="AY131" s="455"/>
      <c r="AZ131" s="458"/>
      <c r="BA131" s="450" t="str">
        <f t="shared" si="49"/>
        <v>CEE Tier 2 Clothes Washer - Gas DHW, Gas Dryer - 54% ENERGY STAR Baseline</v>
      </c>
      <c r="BB131" s="450" t="s">
        <v>26</v>
      </c>
      <c r="BC131" s="455">
        <f t="shared" ca="1" si="46"/>
        <v>0</v>
      </c>
      <c r="BD131" s="455">
        <f>SFAssumptions!$C$7</f>
        <v>14</v>
      </c>
      <c r="BE131" s="459">
        <f t="shared" si="47"/>
        <v>0</v>
      </c>
      <c r="BF131" s="450"/>
      <c r="BG131" s="449" t="s">
        <v>159</v>
      </c>
      <c r="BH131" s="460"/>
      <c r="BI131" s="450"/>
      <c r="BJ131" s="450"/>
      <c r="BK131" s="450"/>
      <c r="BL131" s="450"/>
      <c r="BM131" s="450"/>
      <c r="BN131" s="450"/>
      <c r="BO131" s="461">
        <f t="shared" ca="1" si="48"/>
        <v>2.2512595828231756</v>
      </c>
      <c r="BP131" s="450" t="s">
        <v>159</v>
      </c>
    </row>
    <row r="132" spans="1:69" s="309" customFormat="1">
      <c r="A132" s="450">
        <f t="shared" si="39"/>
        <v>55</v>
      </c>
      <c r="B132" s="450">
        <f t="shared" si="3"/>
        <v>2</v>
      </c>
      <c r="C132" s="450">
        <f t="shared" si="4"/>
        <v>25</v>
      </c>
      <c r="D132" s="450">
        <f t="shared" si="5"/>
        <v>5</v>
      </c>
      <c r="E132" s="450">
        <f t="shared" si="6"/>
        <v>5</v>
      </c>
      <c r="F132" s="450"/>
      <c r="G132" s="450" t="str">
        <f t="shared" si="12"/>
        <v>Current Practice Baseline Using 54% ENERGY STAR Penetration</v>
      </c>
      <c r="H132" s="450" t="str">
        <f t="shared" si="40"/>
        <v>CEE Tier 2</v>
      </c>
      <c r="I132" s="450" t="str">
        <f t="shared" si="7"/>
        <v>Any DHW, Any Dryer</v>
      </c>
      <c r="J132" s="450" t="str">
        <f t="shared" si="8"/>
        <v>Any DHW</v>
      </c>
      <c r="K132" s="450" t="str">
        <f t="shared" si="9"/>
        <v>Any Dryer</v>
      </c>
      <c r="L132" s="451">
        <f>VLOOKUP(J132,SFAssumptions!$A$14:$B$16,2,FALSE)</f>
        <v>0.55200000000000005</v>
      </c>
      <c r="M132" s="452">
        <f>VLOOKUP(K132,SFAssumptions!$A$18:$B$20,2,FALSE)</f>
        <v>0.95</v>
      </c>
      <c r="N132" s="453">
        <f ca="1">HLOOKUP($G132,'SFBaselines and Measures'!$C$3:$V$33,7,FALSE)</f>
        <v>3802.5240664273615</v>
      </c>
      <c r="O132" s="454"/>
      <c r="P132" s="455"/>
      <c r="Q132" s="455">
        <f ca="1">HLOOKUP($G132,'SFBaselines and Measures'!$C$3:$V$33,26,FALSE)</f>
        <v>297.83257188187963</v>
      </c>
      <c r="R132" s="455"/>
      <c r="S132" s="456"/>
      <c r="T132" s="456">
        <f ca="1">HLOOKUP($G132,'SFBaselines and Measures'!$C$3:$V$33,30,FALSE)</f>
        <v>11.384828759727979</v>
      </c>
      <c r="U132" s="456"/>
      <c r="V132" s="456"/>
      <c r="W132" s="457"/>
      <c r="X132" s="453"/>
      <c r="Y132" s="454"/>
      <c r="Z132" s="455"/>
      <c r="AA132" s="455">
        <f ca="1">HLOOKUP($H132,'SFBaselines and Measures'!$C$2:$V$33,27,FALSE)</f>
        <v>238.93854319892429</v>
      </c>
      <c r="AB132" s="455"/>
      <c r="AC132" s="456"/>
      <c r="AD132" s="456">
        <f ca="1">HLOOKUP($H132,'SFBaselines and Measures'!$C$2:$V$33,31,FALSE)</f>
        <v>9.1335691769048033</v>
      </c>
      <c r="AE132" s="456"/>
      <c r="AF132" s="456"/>
      <c r="AG132" s="457"/>
      <c r="AH132" s="453"/>
      <c r="AI132" s="454"/>
      <c r="AJ132" s="455"/>
      <c r="AK132" s="455">
        <f t="shared" ca="1" si="35"/>
        <v>58.894028682955337</v>
      </c>
      <c r="AL132" s="455"/>
      <c r="AM132" s="456"/>
      <c r="AN132" s="456">
        <f t="shared" ca="1" si="36"/>
        <v>2.2512595828231756</v>
      </c>
      <c r="AO132" s="456"/>
      <c r="AP132" s="456"/>
      <c r="AQ132" s="458"/>
      <c r="AR132" s="452" t="str">
        <f t="shared" si="41"/>
        <v>CEE Tier 2 Clothes Washer - Any DHW, Any Dryer - 54% ENERGY STAR Baseline</v>
      </c>
      <c r="AS132" s="454">
        <f t="shared" si="42"/>
        <v>0</v>
      </c>
      <c r="AT132" s="455">
        <f t="shared" ca="1" si="43"/>
        <v>55.94932724880757</v>
      </c>
      <c r="AU132" s="456">
        <f t="shared" ca="1" si="44"/>
        <v>0.11256297914115888</v>
      </c>
      <c r="AV132" s="456">
        <f t="shared" si="45"/>
        <v>0</v>
      </c>
      <c r="AW132" s="456"/>
      <c r="AX132" s="455">
        <f t="shared" ca="1" si="50"/>
        <v>55.94932724880757</v>
      </c>
      <c r="AY132" s="455"/>
      <c r="AZ132" s="458"/>
      <c r="BA132" s="450" t="str">
        <f t="shared" si="49"/>
        <v>CEE Tier 2 Clothes Washer - Any DHW, Any Dryer - 54% ENERGY STAR Baseline</v>
      </c>
      <c r="BB132" s="450" t="s">
        <v>26</v>
      </c>
      <c r="BC132" s="455">
        <f t="shared" ca="1" si="46"/>
        <v>55.94932724880757</v>
      </c>
      <c r="BD132" s="455">
        <f>SFAssumptions!$C$7</f>
        <v>14</v>
      </c>
      <c r="BE132" s="459">
        <f t="shared" si="47"/>
        <v>0</v>
      </c>
      <c r="BF132" s="450"/>
      <c r="BG132" s="449" t="s">
        <v>159</v>
      </c>
      <c r="BH132" s="460"/>
      <c r="BI132" s="450"/>
      <c r="BJ132" s="450"/>
      <c r="BK132" s="450"/>
      <c r="BL132" s="450"/>
      <c r="BM132" s="450"/>
      <c r="BN132" s="450"/>
      <c r="BO132" s="461">
        <f t="shared" ca="1" si="48"/>
        <v>0.11256297914115888</v>
      </c>
      <c r="BP132" s="450" t="s">
        <v>159</v>
      </c>
    </row>
    <row r="133" spans="1:69" s="309" customFormat="1">
      <c r="A133" s="450">
        <f t="shared" si="39"/>
        <v>56</v>
      </c>
      <c r="B133" s="450">
        <f t="shared" si="3"/>
        <v>2</v>
      </c>
      <c r="C133" s="450">
        <f t="shared" si="4"/>
        <v>26</v>
      </c>
      <c r="D133" s="450">
        <f t="shared" si="5"/>
        <v>6</v>
      </c>
      <c r="E133" s="450">
        <f t="shared" si="6"/>
        <v>1</v>
      </c>
      <c r="F133" s="450"/>
      <c r="G133" s="450" t="str">
        <f t="shared" si="12"/>
        <v>Current Practice Baseline Using 54% ENERGY STAR Penetration</v>
      </c>
      <c r="H133" s="450" t="str">
        <f t="shared" si="40"/>
        <v>CEE Tier 3</v>
      </c>
      <c r="I133" s="450" t="str">
        <f t="shared" si="7"/>
        <v>Electric DHW, Electric Dryer</v>
      </c>
      <c r="J133" s="450" t="str">
        <f t="shared" si="8"/>
        <v>Electric DHW</v>
      </c>
      <c r="K133" s="450" t="str">
        <f t="shared" si="9"/>
        <v>Electric Dryer</v>
      </c>
      <c r="L133" s="451">
        <f>VLOOKUP(J133,SFAssumptions!$A$14:$B$16,2,FALSE)</f>
        <v>1</v>
      </c>
      <c r="M133" s="452">
        <f>VLOOKUP(K133,SFAssumptions!$A$18:$B$20,2,FALSE)</f>
        <v>1</v>
      </c>
      <c r="N133" s="453">
        <f ca="1">HLOOKUP($G133,'SFBaselines and Measures'!$C$3:$V$33,7,FALSE)</f>
        <v>3802.5240664273615</v>
      </c>
      <c r="O133" s="454"/>
      <c r="P133" s="455"/>
      <c r="Q133" s="455">
        <f ca="1">HLOOKUP($G133,'SFBaselines and Measures'!$C$3:$V$33,26,FALSE)</f>
        <v>297.83257188187963</v>
      </c>
      <c r="R133" s="455"/>
      <c r="S133" s="456"/>
      <c r="T133" s="456">
        <f ca="1">HLOOKUP($G133,'SFBaselines and Measures'!$C$3:$V$33,30,FALSE)</f>
        <v>11.384828759727979</v>
      </c>
      <c r="U133" s="456"/>
      <c r="V133" s="456"/>
      <c r="W133" s="457"/>
      <c r="X133" s="453"/>
      <c r="Y133" s="454"/>
      <c r="Z133" s="455"/>
      <c r="AA133" s="455">
        <f ca="1">HLOOKUP($H133,'SFBaselines and Measures'!$C$2:$V$33,27,FALSE)</f>
        <v>224.36755606959434</v>
      </c>
      <c r="AB133" s="455"/>
      <c r="AC133" s="456"/>
      <c r="AD133" s="456">
        <f ca="1">HLOOKUP($H133,'SFBaselines and Measures'!$C$2:$V$33,31,FALSE)</f>
        <v>8.5765844512938862</v>
      </c>
      <c r="AE133" s="456"/>
      <c r="AF133" s="456"/>
      <c r="AG133" s="457"/>
      <c r="AH133" s="453"/>
      <c r="AI133" s="454"/>
      <c r="AJ133" s="455"/>
      <c r="AK133" s="455">
        <f t="shared" ca="1" si="35"/>
        <v>73.465015812285287</v>
      </c>
      <c r="AL133" s="455"/>
      <c r="AM133" s="456"/>
      <c r="AN133" s="456">
        <f t="shared" ca="1" si="36"/>
        <v>2.8082443084340927</v>
      </c>
      <c r="AO133" s="456"/>
      <c r="AP133" s="456"/>
      <c r="AQ133" s="458"/>
      <c r="AR133" s="452" t="str">
        <f t="shared" si="41"/>
        <v>CEE Tier 3 Clothes Washer - Electric DHW, Electric Dryer - 54% ENERGY STAR Baseline</v>
      </c>
      <c r="AS133" s="454">
        <f t="shared" si="42"/>
        <v>0</v>
      </c>
      <c r="AT133" s="455">
        <f t="shared" ca="1" si="43"/>
        <v>73.465015812285287</v>
      </c>
      <c r="AU133" s="456">
        <f t="shared" ca="1" si="44"/>
        <v>0</v>
      </c>
      <c r="AV133" s="456">
        <f t="shared" si="45"/>
        <v>0</v>
      </c>
      <c r="AW133" s="456"/>
      <c r="AX133" s="455">
        <f t="shared" ca="1" si="50"/>
        <v>73.465015812285287</v>
      </c>
      <c r="AY133" s="455"/>
      <c r="AZ133" s="458"/>
      <c r="BA133" s="450" t="str">
        <f t="shared" si="49"/>
        <v>CEE Tier 3 Clothes Washer - Electric DHW, Electric Dryer - 54% ENERGY STAR Baseline</v>
      </c>
      <c r="BB133" s="450" t="s">
        <v>26</v>
      </c>
      <c r="BC133" s="455">
        <f t="shared" ca="1" si="46"/>
        <v>73.465015812285287</v>
      </c>
      <c r="BD133" s="455">
        <f>SFAssumptions!$C$7</f>
        <v>14</v>
      </c>
      <c r="BE133" s="459">
        <f t="shared" si="47"/>
        <v>0</v>
      </c>
      <c r="BF133" s="450"/>
      <c r="BG133" s="449" t="s">
        <v>159</v>
      </c>
      <c r="BH133" s="460"/>
      <c r="BI133" s="450"/>
      <c r="BJ133" s="450"/>
      <c r="BK133" s="450"/>
      <c r="BL133" s="450"/>
      <c r="BM133" s="450"/>
      <c r="BN133" s="450"/>
      <c r="BO133" s="461">
        <f t="shared" ca="1" si="48"/>
        <v>0</v>
      </c>
      <c r="BP133" s="450" t="s">
        <v>159</v>
      </c>
    </row>
    <row r="134" spans="1:69" s="309" customFormat="1">
      <c r="A134" s="450">
        <f t="shared" si="39"/>
        <v>57</v>
      </c>
      <c r="B134" s="450">
        <f t="shared" si="3"/>
        <v>2</v>
      </c>
      <c r="C134" s="450">
        <f t="shared" si="4"/>
        <v>27</v>
      </c>
      <c r="D134" s="450">
        <f t="shared" si="5"/>
        <v>6</v>
      </c>
      <c r="E134" s="450">
        <f t="shared" si="6"/>
        <v>2</v>
      </c>
      <c r="F134" s="450"/>
      <c r="G134" s="450" t="str">
        <f t="shared" si="12"/>
        <v>Current Practice Baseline Using 54% ENERGY STAR Penetration</v>
      </c>
      <c r="H134" s="450" t="str">
        <f t="shared" si="40"/>
        <v>CEE Tier 3</v>
      </c>
      <c r="I134" s="450" t="str">
        <f t="shared" si="7"/>
        <v>Electric DHW, Gas Dryer</v>
      </c>
      <c r="J134" s="450" t="str">
        <f t="shared" si="8"/>
        <v>Electric DHW</v>
      </c>
      <c r="K134" s="450" t="str">
        <f t="shared" si="9"/>
        <v>Gas Dryer</v>
      </c>
      <c r="L134" s="451">
        <f>VLOOKUP(J134,SFAssumptions!$A$14:$B$16,2,FALSE)</f>
        <v>1</v>
      </c>
      <c r="M134" s="452">
        <f>VLOOKUP(K134,SFAssumptions!$A$18:$B$20,2,FALSE)</f>
        <v>0</v>
      </c>
      <c r="N134" s="453">
        <f ca="1">HLOOKUP($G134,'SFBaselines and Measures'!$C$3:$V$33,7,FALSE)</f>
        <v>3802.5240664273615</v>
      </c>
      <c r="O134" s="454"/>
      <c r="P134" s="455"/>
      <c r="Q134" s="455">
        <f ca="1">HLOOKUP($G134,'SFBaselines and Measures'!$C$3:$V$33,26,FALSE)</f>
        <v>297.83257188187963</v>
      </c>
      <c r="R134" s="455"/>
      <c r="S134" s="456"/>
      <c r="T134" s="456">
        <f ca="1">HLOOKUP($G134,'SFBaselines and Measures'!$C$3:$V$33,30,FALSE)</f>
        <v>11.384828759727979</v>
      </c>
      <c r="U134" s="456"/>
      <c r="V134" s="456"/>
      <c r="W134" s="457"/>
      <c r="X134" s="453"/>
      <c r="Y134" s="454"/>
      <c r="Z134" s="455"/>
      <c r="AA134" s="455">
        <f ca="1">HLOOKUP($H134,'SFBaselines and Measures'!$C$2:$V$33,27,FALSE)</f>
        <v>224.36755606959434</v>
      </c>
      <c r="AB134" s="455"/>
      <c r="AC134" s="456"/>
      <c r="AD134" s="456">
        <f ca="1">HLOOKUP($H134,'SFBaselines and Measures'!$C$2:$V$33,31,FALSE)</f>
        <v>8.5765844512938862</v>
      </c>
      <c r="AE134" s="456"/>
      <c r="AF134" s="456"/>
      <c r="AG134" s="457"/>
      <c r="AH134" s="453"/>
      <c r="AI134" s="454"/>
      <c r="AJ134" s="455"/>
      <c r="AK134" s="455">
        <f t="shared" ca="1" si="35"/>
        <v>73.465015812285287</v>
      </c>
      <c r="AL134" s="455"/>
      <c r="AM134" s="456"/>
      <c r="AN134" s="456">
        <f t="shared" ca="1" si="36"/>
        <v>2.8082443084340927</v>
      </c>
      <c r="AO134" s="456"/>
      <c r="AP134" s="456"/>
      <c r="AQ134" s="458"/>
      <c r="AR134" s="452" t="str">
        <f t="shared" si="41"/>
        <v>CEE Tier 3 Clothes Washer - Electric DHW, Gas Dryer - 54% ENERGY STAR Baseline</v>
      </c>
      <c r="AS134" s="454">
        <f t="shared" si="42"/>
        <v>0</v>
      </c>
      <c r="AT134" s="455">
        <f t="shared" ca="1" si="43"/>
        <v>0</v>
      </c>
      <c r="AU134" s="456">
        <f t="shared" ca="1" si="44"/>
        <v>2.8082443084340927</v>
      </c>
      <c r="AV134" s="456">
        <f t="shared" si="45"/>
        <v>0</v>
      </c>
      <c r="AW134" s="456"/>
      <c r="AX134" s="455">
        <f t="shared" ca="1" si="50"/>
        <v>0</v>
      </c>
      <c r="AY134" s="455"/>
      <c r="AZ134" s="458"/>
      <c r="BA134" s="450" t="str">
        <f t="shared" si="49"/>
        <v>CEE Tier 3 Clothes Washer - Electric DHW, Gas Dryer - 54% ENERGY STAR Baseline</v>
      </c>
      <c r="BB134" s="450" t="s">
        <v>26</v>
      </c>
      <c r="BC134" s="455">
        <f t="shared" ca="1" si="46"/>
        <v>0</v>
      </c>
      <c r="BD134" s="455">
        <f>SFAssumptions!$C$7</f>
        <v>14</v>
      </c>
      <c r="BE134" s="459">
        <f t="shared" si="47"/>
        <v>0</v>
      </c>
      <c r="BF134" s="450"/>
      <c r="BG134" s="449" t="s">
        <v>159</v>
      </c>
      <c r="BH134" s="460"/>
      <c r="BI134" s="450"/>
      <c r="BJ134" s="450"/>
      <c r="BK134" s="450"/>
      <c r="BL134" s="450"/>
      <c r="BM134" s="450"/>
      <c r="BN134" s="450"/>
      <c r="BO134" s="461">
        <f t="shared" ca="1" si="48"/>
        <v>2.8082443084340927</v>
      </c>
      <c r="BP134" s="450" t="s">
        <v>159</v>
      </c>
    </row>
    <row r="135" spans="1:69" s="309" customFormat="1">
      <c r="A135" s="450">
        <f t="shared" si="39"/>
        <v>58</v>
      </c>
      <c r="B135" s="450">
        <f t="shared" si="3"/>
        <v>2</v>
      </c>
      <c r="C135" s="450">
        <f t="shared" si="4"/>
        <v>28</v>
      </c>
      <c r="D135" s="450">
        <f t="shared" si="5"/>
        <v>6</v>
      </c>
      <c r="E135" s="450">
        <f t="shared" si="6"/>
        <v>3</v>
      </c>
      <c r="F135" s="450"/>
      <c r="G135" s="450" t="str">
        <f t="shared" si="12"/>
        <v>Current Practice Baseline Using 54% ENERGY STAR Penetration</v>
      </c>
      <c r="H135" s="450" t="str">
        <f t="shared" si="40"/>
        <v>CEE Tier 3</v>
      </c>
      <c r="I135" s="450" t="str">
        <f t="shared" si="7"/>
        <v>Gas DHW, Electric Dryer</v>
      </c>
      <c r="J135" s="450" t="str">
        <f t="shared" si="8"/>
        <v>Gas DHW</v>
      </c>
      <c r="K135" s="450" t="str">
        <f t="shared" si="9"/>
        <v>Electric Dryer</v>
      </c>
      <c r="L135" s="451">
        <f>VLOOKUP(J135,SFAssumptions!$A$14:$B$16,2,FALSE)</f>
        <v>0</v>
      </c>
      <c r="M135" s="452">
        <f>VLOOKUP(K135,SFAssumptions!$A$18:$B$20,2,FALSE)</f>
        <v>1</v>
      </c>
      <c r="N135" s="453">
        <f ca="1">HLOOKUP($G135,'SFBaselines and Measures'!$C$3:$V$33,7,FALSE)</f>
        <v>3802.5240664273615</v>
      </c>
      <c r="O135" s="454"/>
      <c r="P135" s="455"/>
      <c r="Q135" s="455">
        <f ca="1">HLOOKUP($G135,'SFBaselines and Measures'!$C$3:$V$33,26,FALSE)</f>
        <v>297.83257188187963</v>
      </c>
      <c r="R135" s="455"/>
      <c r="S135" s="456"/>
      <c r="T135" s="456">
        <f ca="1">HLOOKUP($G135,'SFBaselines and Measures'!$C$3:$V$33,30,FALSE)</f>
        <v>11.384828759727979</v>
      </c>
      <c r="U135" s="456"/>
      <c r="V135" s="456"/>
      <c r="W135" s="457"/>
      <c r="X135" s="453"/>
      <c r="Y135" s="454"/>
      <c r="Z135" s="455"/>
      <c r="AA135" s="455">
        <f ca="1">HLOOKUP($H135,'SFBaselines and Measures'!$C$2:$V$33,27,FALSE)</f>
        <v>224.36755606959434</v>
      </c>
      <c r="AB135" s="455"/>
      <c r="AC135" s="456"/>
      <c r="AD135" s="456">
        <f ca="1">HLOOKUP($H135,'SFBaselines and Measures'!$C$2:$V$33,31,FALSE)</f>
        <v>8.5765844512938862</v>
      </c>
      <c r="AE135" s="456"/>
      <c r="AF135" s="456"/>
      <c r="AG135" s="457"/>
      <c r="AH135" s="453"/>
      <c r="AI135" s="454"/>
      <c r="AJ135" s="455"/>
      <c r="AK135" s="455">
        <f t="shared" ca="1" si="35"/>
        <v>73.465015812285287</v>
      </c>
      <c r="AL135" s="455"/>
      <c r="AM135" s="456"/>
      <c r="AN135" s="456">
        <f t="shared" ca="1" si="36"/>
        <v>2.8082443084340927</v>
      </c>
      <c r="AO135" s="456"/>
      <c r="AP135" s="456"/>
      <c r="AQ135" s="458"/>
      <c r="AR135" s="452" t="str">
        <f t="shared" si="41"/>
        <v>CEE Tier 3 Clothes Washer - Gas DHW, Electric Dryer - 54% ENERGY STAR Baseline</v>
      </c>
      <c r="AS135" s="454">
        <f t="shared" si="42"/>
        <v>0</v>
      </c>
      <c r="AT135" s="455">
        <f t="shared" ca="1" si="43"/>
        <v>73.465015812285287</v>
      </c>
      <c r="AU135" s="456">
        <f t="shared" ca="1" si="44"/>
        <v>0</v>
      </c>
      <c r="AV135" s="456">
        <f t="shared" si="45"/>
        <v>0</v>
      </c>
      <c r="AW135" s="456"/>
      <c r="AX135" s="455">
        <f t="shared" ca="1" si="50"/>
        <v>73.465015812285287</v>
      </c>
      <c r="AY135" s="455"/>
      <c r="AZ135" s="458"/>
      <c r="BA135" s="450" t="str">
        <f t="shared" si="49"/>
        <v>CEE Tier 3 Clothes Washer - Gas DHW, Electric Dryer - 54% ENERGY STAR Baseline</v>
      </c>
      <c r="BB135" s="450" t="s">
        <v>26</v>
      </c>
      <c r="BC135" s="455">
        <f t="shared" ca="1" si="46"/>
        <v>73.465015812285287</v>
      </c>
      <c r="BD135" s="455">
        <f>SFAssumptions!$C$7</f>
        <v>14</v>
      </c>
      <c r="BE135" s="459">
        <f t="shared" si="47"/>
        <v>0</v>
      </c>
      <c r="BF135" s="450"/>
      <c r="BG135" s="449" t="s">
        <v>159</v>
      </c>
      <c r="BH135" s="460"/>
      <c r="BI135" s="450"/>
      <c r="BJ135" s="450"/>
      <c r="BK135" s="450"/>
      <c r="BL135" s="450"/>
      <c r="BM135" s="450"/>
      <c r="BN135" s="450"/>
      <c r="BO135" s="461">
        <f t="shared" ca="1" si="48"/>
        <v>0</v>
      </c>
      <c r="BP135" s="450" t="s">
        <v>159</v>
      </c>
    </row>
    <row r="136" spans="1:69" s="309" customFormat="1">
      <c r="A136" s="450">
        <f t="shared" si="39"/>
        <v>59</v>
      </c>
      <c r="B136" s="450">
        <f t="shared" si="3"/>
        <v>2</v>
      </c>
      <c r="C136" s="450">
        <f t="shared" si="4"/>
        <v>29</v>
      </c>
      <c r="D136" s="450">
        <f t="shared" si="5"/>
        <v>6</v>
      </c>
      <c r="E136" s="450">
        <f t="shared" si="6"/>
        <v>4</v>
      </c>
      <c r="F136" s="450"/>
      <c r="G136" s="450" t="str">
        <f t="shared" si="12"/>
        <v>Current Practice Baseline Using 54% ENERGY STAR Penetration</v>
      </c>
      <c r="H136" s="450" t="str">
        <f t="shared" si="40"/>
        <v>CEE Tier 3</v>
      </c>
      <c r="I136" s="450" t="str">
        <f t="shared" si="7"/>
        <v>Gas DHW, Gas Dryer</v>
      </c>
      <c r="J136" s="450" t="str">
        <f t="shared" si="8"/>
        <v>Gas DHW</v>
      </c>
      <c r="K136" s="450" t="str">
        <f t="shared" si="9"/>
        <v>Gas Dryer</v>
      </c>
      <c r="L136" s="451">
        <f>VLOOKUP(J136,SFAssumptions!$A$14:$B$16,2,FALSE)</f>
        <v>0</v>
      </c>
      <c r="M136" s="452">
        <f>VLOOKUP(K136,SFAssumptions!$A$18:$B$20,2,FALSE)</f>
        <v>0</v>
      </c>
      <c r="N136" s="453">
        <f ca="1">HLOOKUP($G136,'SFBaselines and Measures'!$C$3:$V$33,7,FALSE)</f>
        <v>3802.5240664273615</v>
      </c>
      <c r="O136" s="454"/>
      <c r="P136" s="455"/>
      <c r="Q136" s="455">
        <f ca="1">HLOOKUP($G136,'SFBaselines and Measures'!$C$3:$V$33,26,FALSE)</f>
        <v>297.83257188187963</v>
      </c>
      <c r="R136" s="455"/>
      <c r="S136" s="456"/>
      <c r="T136" s="456">
        <f ca="1">HLOOKUP($G136,'SFBaselines and Measures'!$C$3:$V$33,30,FALSE)</f>
        <v>11.384828759727979</v>
      </c>
      <c r="U136" s="456"/>
      <c r="V136" s="456"/>
      <c r="W136" s="457"/>
      <c r="X136" s="453"/>
      <c r="Y136" s="454"/>
      <c r="Z136" s="455"/>
      <c r="AA136" s="455">
        <f ca="1">HLOOKUP($H136,'SFBaselines and Measures'!$C$2:$V$33,27,FALSE)</f>
        <v>224.36755606959434</v>
      </c>
      <c r="AB136" s="455"/>
      <c r="AC136" s="456"/>
      <c r="AD136" s="456">
        <f ca="1">HLOOKUP($H136,'SFBaselines and Measures'!$C$2:$V$33,31,FALSE)</f>
        <v>8.5765844512938862</v>
      </c>
      <c r="AE136" s="456"/>
      <c r="AF136" s="456"/>
      <c r="AG136" s="457"/>
      <c r="AH136" s="453"/>
      <c r="AI136" s="454"/>
      <c r="AJ136" s="455"/>
      <c r="AK136" s="455">
        <f t="shared" ca="1" si="35"/>
        <v>73.465015812285287</v>
      </c>
      <c r="AL136" s="455"/>
      <c r="AM136" s="456"/>
      <c r="AN136" s="456">
        <f t="shared" ca="1" si="36"/>
        <v>2.8082443084340927</v>
      </c>
      <c r="AO136" s="456"/>
      <c r="AP136" s="456"/>
      <c r="AQ136" s="458"/>
      <c r="AR136" s="452" t="str">
        <f t="shared" si="41"/>
        <v>CEE Tier 3 Clothes Washer - Gas DHW, Gas Dryer - 54% ENERGY STAR Baseline</v>
      </c>
      <c r="AS136" s="454">
        <f t="shared" si="42"/>
        <v>0</v>
      </c>
      <c r="AT136" s="455">
        <f t="shared" ca="1" si="43"/>
        <v>0</v>
      </c>
      <c r="AU136" s="456">
        <f t="shared" ca="1" si="44"/>
        <v>2.8082443084340927</v>
      </c>
      <c r="AV136" s="456">
        <f t="shared" si="45"/>
        <v>0</v>
      </c>
      <c r="AW136" s="456"/>
      <c r="AX136" s="455">
        <f t="shared" ca="1" si="50"/>
        <v>0</v>
      </c>
      <c r="AY136" s="455"/>
      <c r="AZ136" s="458"/>
      <c r="BA136" s="450" t="str">
        <f t="shared" si="49"/>
        <v>CEE Tier 3 Clothes Washer - Gas DHW, Gas Dryer - 54% ENERGY STAR Baseline</v>
      </c>
      <c r="BB136" s="450" t="s">
        <v>26</v>
      </c>
      <c r="BC136" s="455">
        <f t="shared" ca="1" si="46"/>
        <v>0</v>
      </c>
      <c r="BD136" s="455">
        <f>SFAssumptions!$C$7</f>
        <v>14</v>
      </c>
      <c r="BE136" s="459">
        <f t="shared" si="47"/>
        <v>0</v>
      </c>
      <c r="BF136" s="450"/>
      <c r="BG136" s="449" t="s">
        <v>159</v>
      </c>
      <c r="BH136" s="460"/>
      <c r="BI136" s="450"/>
      <c r="BJ136" s="450"/>
      <c r="BK136" s="450"/>
      <c r="BL136" s="450"/>
      <c r="BM136" s="450"/>
      <c r="BN136" s="450"/>
      <c r="BO136" s="461">
        <f t="shared" ca="1" si="48"/>
        <v>2.8082443084340927</v>
      </c>
      <c r="BP136" s="450" t="s">
        <v>159</v>
      </c>
    </row>
    <row r="137" spans="1:69" s="309" customFormat="1">
      <c r="A137" s="450">
        <f t="shared" si="39"/>
        <v>60</v>
      </c>
      <c r="B137" s="450">
        <f t="shared" si="3"/>
        <v>2</v>
      </c>
      <c r="C137" s="450">
        <f t="shared" si="4"/>
        <v>30</v>
      </c>
      <c r="D137" s="450">
        <f t="shared" si="5"/>
        <v>6</v>
      </c>
      <c r="E137" s="450">
        <f t="shared" si="6"/>
        <v>5</v>
      </c>
      <c r="F137" s="450"/>
      <c r="G137" s="450" t="str">
        <f t="shared" si="12"/>
        <v>Current Practice Baseline Using 54% ENERGY STAR Penetration</v>
      </c>
      <c r="H137" s="450" t="str">
        <f t="shared" si="40"/>
        <v>CEE Tier 3</v>
      </c>
      <c r="I137" s="450" t="str">
        <f t="shared" si="7"/>
        <v>Any DHW, Any Dryer</v>
      </c>
      <c r="J137" s="450" t="str">
        <f t="shared" si="8"/>
        <v>Any DHW</v>
      </c>
      <c r="K137" s="450" t="str">
        <f t="shared" si="9"/>
        <v>Any Dryer</v>
      </c>
      <c r="L137" s="451">
        <f>VLOOKUP(J137,SFAssumptions!$A$14:$B$16,2,FALSE)</f>
        <v>0.55200000000000005</v>
      </c>
      <c r="M137" s="452">
        <f>VLOOKUP(K137,SFAssumptions!$A$18:$B$20,2,FALSE)</f>
        <v>0.95</v>
      </c>
      <c r="N137" s="453">
        <f ca="1">HLOOKUP($G137,'SFBaselines and Measures'!$C$3:$V$33,7,FALSE)</f>
        <v>3802.5240664273615</v>
      </c>
      <c r="O137" s="454"/>
      <c r="P137" s="455"/>
      <c r="Q137" s="455">
        <f ca="1">HLOOKUP($G137,'SFBaselines and Measures'!$C$3:$V$33,26,FALSE)</f>
        <v>297.83257188187963</v>
      </c>
      <c r="R137" s="455"/>
      <c r="S137" s="456"/>
      <c r="T137" s="456">
        <f ca="1">HLOOKUP($G137,'SFBaselines and Measures'!$C$3:$V$33,30,FALSE)</f>
        <v>11.384828759727979</v>
      </c>
      <c r="U137" s="456"/>
      <c r="V137" s="456"/>
      <c r="W137" s="457"/>
      <c r="X137" s="453"/>
      <c r="Y137" s="454"/>
      <c r="Z137" s="455"/>
      <c r="AA137" s="455">
        <f ca="1">HLOOKUP($H137,'SFBaselines and Measures'!$C$2:$V$33,27,FALSE)</f>
        <v>224.36755606959434</v>
      </c>
      <c r="AB137" s="455"/>
      <c r="AC137" s="456"/>
      <c r="AD137" s="456">
        <f ca="1">HLOOKUP($H137,'SFBaselines and Measures'!$C$2:$V$33,31,FALSE)</f>
        <v>8.5765844512938862</v>
      </c>
      <c r="AE137" s="456"/>
      <c r="AF137" s="456"/>
      <c r="AG137" s="457"/>
      <c r="AH137" s="453"/>
      <c r="AI137" s="454"/>
      <c r="AJ137" s="455"/>
      <c r="AK137" s="455">
        <f t="shared" ca="1" si="35"/>
        <v>73.465015812285287</v>
      </c>
      <c r="AL137" s="455"/>
      <c r="AM137" s="456"/>
      <c r="AN137" s="456">
        <f t="shared" ca="1" si="36"/>
        <v>2.8082443084340927</v>
      </c>
      <c r="AO137" s="456"/>
      <c r="AP137" s="456"/>
      <c r="AQ137" s="458"/>
      <c r="AR137" s="452" t="str">
        <f t="shared" si="41"/>
        <v>CEE Tier 3 Clothes Washer - Any DHW, Any Dryer - 54% ENERGY STAR Baseline</v>
      </c>
      <c r="AS137" s="454">
        <f t="shared" si="42"/>
        <v>0</v>
      </c>
      <c r="AT137" s="455">
        <f t="shared" ca="1" si="43"/>
        <v>69.791765021671026</v>
      </c>
      <c r="AU137" s="456">
        <f t="shared" ca="1" si="44"/>
        <v>0.14041221542170476</v>
      </c>
      <c r="AV137" s="456">
        <f t="shared" si="45"/>
        <v>0</v>
      </c>
      <c r="AW137" s="456"/>
      <c r="AX137" s="455">
        <f t="shared" ca="1" si="50"/>
        <v>69.791765021671026</v>
      </c>
      <c r="AY137" s="455"/>
      <c r="AZ137" s="458"/>
      <c r="BA137" s="450" t="str">
        <f t="shared" si="49"/>
        <v>CEE Tier 3 Clothes Washer - Any DHW, Any Dryer - 54% ENERGY STAR Baseline</v>
      </c>
      <c r="BB137" s="450" t="s">
        <v>26</v>
      </c>
      <c r="BC137" s="455">
        <f t="shared" ca="1" si="46"/>
        <v>69.791765021671026</v>
      </c>
      <c r="BD137" s="455">
        <f>SFAssumptions!$C$7</f>
        <v>14</v>
      </c>
      <c r="BE137" s="459">
        <f t="shared" si="47"/>
        <v>0</v>
      </c>
      <c r="BF137" s="450"/>
      <c r="BG137" s="449" t="s">
        <v>159</v>
      </c>
      <c r="BH137" s="460"/>
      <c r="BI137" s="450"/>
      <c r="BJ137" s="450"/>
      <c r="BK137" s="450"/>
      <c r="BL137" s="450"/>
      <c r="BM137" s="450"/>
      <c r="BN137" s="450"/>
      <c r="BO137" s="461">
        <f t="shared" ca="1" si="48"/>
        <v>0.14041221542170476</v>
      </c>
      <c r="BP137" s="450" t="s">
        <v>159</v>
      </c>
    </row>
    <row r="138" spans="1:69" s="469" customFormat="1">
      <c r="A138" s="462">
        <f t="shared" ref="A138:A162" si="51">A18</f>
        <v>1</v>
      </c>
      <c r="B138" s="462">
        <f t="shared" si="3"/>
        <v>1</v>
      </c>
      <c r="C138" s="462">
        <f t="shared" si="4"/>
        <v>1</v>
      </c>
      <c r="D138" s="462">
        <f t="shared" si="5"/>
        <v>1</v>
      </c>
      <c r="E138" s="462">
        <f t="shared" si="6"/>
        <v>1</v>
      </c>
      <c r="F138" s="462"/>
      <c r="G138" s="462" t="str">
        <f t="shared" si="12"/>
        <v>Current Practice Baseline Using 31% ENERGY STAR Penetration</v>
      </c>
      <c r="H138" s="462" t="str">
        <f t="shared" si="40"/>
        <v>ENERGY STAR - Top-Load</v>
      </c>
      <c r="I138" s="462" t="str">
        <f t="shared" si="7"/>
        <v>Electric DHW, Electric Dryer</v>
      </c>
      <c r="J138" s="462" t="str">
        <f t="shared" si="8"/>
        <v>Electric DHW</v>
      </c>
      <c r="K138" s="462" t="str">
        <f t="shared" si="9"/>
        <v>Electric Dryer</v>
      </c>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2" t="str">
        <f>CONCATENATE(H138," Clothes Washer - ",I138," - 31% ENERGY STAR Baseline")</f>
        <v>ENERGY STAR - Top-Load Clothes Washer - Electric DHW, Electric Dryer - 31% ENERGY STAR Baseline</v>
      </c>
      <c r="BB138" s="464" t="s">
        <v>27</v>
      </c>
      <c r="BC138" s="465">
        <f ca="1">AH18*SFAssumptions!$C$26/1000</f>
        <v>0.29472284399684212</v>
      </c>
      <c r="BD138" s="466">
        <f t="shared" ref="BD138:BD197" si="52">BD18</f>
        <v>14</v>
      </c>
      <c r="BE138" s="462">
        <v>0</v>
      </c>
      <c r="BF138" s="462"/>
      <c r="BG138" s="464" t="s">
        <v>160</v>
      </c>
      <c r="BH138" s="467">
        <f ca="1">AH18*SFAssumptions!$C$27/1000</f>
        <v>1.1075262970731625</v>
      </c>
      <c r="BI138" s="462"/>
      <c r="BJ138" s="462"/>
      <c r="BK138" s="462"/>
      <c r="BL138" s="462"/>
      <c r="BM138" s="462"/>
      <c r="BN138" s="462"/>
      <c r="BO138" s="462"/>
      <c r="BP138" s="462"/>
      <c r="BQ138" s="468"/>
    </row>
    <row r="139" spans="1:69" s="469" customFormat="1">
      <c r="A139" s="462">
        <f t="shared" si="51"/>
        <v>2</v>
      </c>
      <c r="B139" s="462">
        <f t="shared" si="3"/>
        <v>1</v>
      </c>
      <c r="C139" s="462">
        <f t="shared" si="4"/>
        <v>2</v>
      </c>
      <c r="D139" s="462">
        <f t="shared" si="5"/>
        <v>1</v>
      </c>
      <c r="E139" s="462">
        <f t="shared" si="6"/>
        <v>2</v>
      </c>
      <c r="F139" s="462"/>
      <c r="G139" s="462" t="str">
        <f t="shared" si="12"/>
        <v>Current Practice Baseline Using 31% ENERGY STAR Penetration</v>
      </c>
      <c r="H139" s="462" t="str">
        <f t="shared" si="40"/>
        <v>ENERGY STAR - Top-Load</v>
      </c>
      <c r="I139" s="462" t="str">
        <f t="shared" si="7"/>
        <v>Electric DHW, Gas Dryer</v>
      </c>
      <c r="J139" s="462" t="str">
        <f t="shared" si="8"/>
        <v>Electric DHW</v>
      </c>
      <c r="K139" s="462" t="str">
        <f t="shared" si="9"/>
        <v>Gas Dryer</v>
      </c>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2" t="str">
        <f t="shared" ref="BA139:BA167" si="53">CONCATENATE(H139," Clothes Washer - ",I139," - 31% ENERGY STAR Baseline")</f>
        <v>ENERGY STAR - Top-Load Clothes Washer - Electric DHW, Gas Dryer - 31% ENERGY STAR Baseline</v>
      </c>
      <c r="BB139" s="464" t="s">
        <v>27</v>
      </c>
      <c r="BC139" s="465">
        <f ca="1">AH19*SFAssumptions!$C$26/1000</f>
        <v>0.29472284399684212</v>
      </c>
      <c r="BD139" s="466">
        <f t="shared" si="52"/>
        <v>14</v>
      </c>
      <c r="BE139" s="462">
        <v>0</v>
      </c>
      <c r="BF139" s="462"/>
      <c r="BG139" s="464" t="s">
        <v>160</v>
      </c>
      <c r="BH139" s="467">
        <f ca="1">AH19*SFAssumptions!$C$27/1000</f>
        <v>1.1075262970731625</v>
      </c>
      <c r="BI139" s="462"/>
      <c r="BJ139" s="462"/>
      <c r="BK139" s="462"/>
      <c r="BL139" s="462"/>
      <c r="BM139" s="462"/>
      <c r="BN139" s="462"/>
      <c r="BO139" s="462"/>
      <c r="BP139" s="462"/>
      <c r="BQ139" s="468"/>
    </row>
    <row r="140" spans="1:69" s="469" customFormat="1">
      <c r="A140" s="462">
        <f t="shared" si="51"/>
        <v>3</v>
      </c>
      <c r="B140" s="462">
        <f t="shared" si="3"/>
        <v>1</v>
      </c>
      <c r="C140" s="462">
        <f t="shared" si="4"/>
        <v>3</v>
      </c>
      <c r="D140" s="462">
        <f t="shared" si="5"/>
        <v>1</v>
      </c>
      <c r="E140" s="462">
        <f t="shared" si="6"/>
        <v>3</v>
      </c>
      <c r="F140" s="462"/>
      <c r="G140" s="462" t="str">
        <f t="shared" si="12"/>
        <v>Current Practice Baseline Using 31% ENERGY STAR Penetration</v>
      </c>
      <c r="H140" s="462" t="str">
        <f t="shared" si="40"/>
        <v>ENERGY STAR - Top-Load</v>
      </c>
      <c r="I140" s="462" t="str">
        <f t="shared" si="7"/>
        <v>Gas DHW, Electric Dryer</v>
      </c>
      <c r="J140" s="462" t="str">
        <f t="shared" si="8"/>
        <v>Gas DHW</v>
      </c>
      <c r="K140" s="462" t="str">
        <f t="shared" si="9"/>
        <v>Electric Dryer</v>
      </c>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2" t="str">
        <f t="shared" si="53"/>
        <v>ENERGY STAR - Top-Load Clothes Washer - Gas DHW, Electric Dryer - 31% ENERGY STAR Baseline</v>
      </c>
      <c r="BB140" s="464" t="s">
        <v>27</v>
      </c>
      <c r="BC140" s="465">
        <f ca="1">AH20*SFAssumptions!$C$26/1000</f>
        <v>0.29472284399684212</v>
      </c>
      <c r="BD140" s="466">
        <f t="shared" si="52"/>
        <v>14</v>
      </c>
      <c r="BE140" s="462">
        <v>0</v>
      </c>
      <c r="BF140" s="462"/>
      <c r="BG140" s="464" t="s">
        <v>160</v>
      </c>
      <c r="BH140" s="467">
        <f ca="1">AH20*SFAssumptions!$C$27/1000</f>
        <v>1.1075262970731625</v>
      </c>
      <c r="BI140" s="462"/>
      <c r="BJ140" s="462"/>
      <c r="BK140" s="462"/>
      <c r="BL140" s="462"/>
      <c r="BM140" s="462"/>
      <c r="BN140" s="462"/>
      <c r="BO140" s="462"/>
      <c r="BP140" s="462"/>
      <c r="BQ140" s="468"/>
    </row>
    <row r="141" spans="1:69" s="469" customFormat="1">
      <c r="A141" s="462">
        <f t="shared" si="51"/>
        <v>4</v>
      </c>
      <c r="B141" s="462">
        <f t="shared" si="3"/>
        <v>1</v>
      </c>
      <c r="C141" s="462">
        <f t="shared" si="4"/>
        <v>4</v>
      </c>
      <c r="D141" s="462">
        <f t="shared" si="5"/>
        <v>1</v>
      </c>
      <c r="E141" s="462">
        <f t="shared" si="6"/>
        <v>4</v>
      </c>
      <c r="F141" s="462"/>
      <c r="G141" s="462" t="str">
        <f t="shared" si="12"/>
        <v>Current Practice Baseline Using 31% ENERGY STAR Penetration</v>
      </c>
      <c r="H141" s="462" t="str">
        <f t="shared" si="40"/>
        <v>ENERGY STAR - Top-Load</v>
      </c>
      <c r="I141" s="462" t="str">
        <f t="shared" si="7"/>
        <v>Gas DHW, Gas Dryer</v>
      </c>
      <c r="J141" s="462" t="str">
        <f t="shared" si="8"/>
        <v>Gas DHW</v>
      </c>
      <c r="K141" s="462" t="str">
        <f t="shared" si="9"/>
        <v>Gas Dryer</v>
      </c>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2" t="str">
        <f t="shared" si="53"/>
        <v>ENERGY STAR - Top-Load Clothes Washer - Gas DHW, Gas Dryer - 31% ENERGY STAR Baseline</v>
      </c>
      <c r="BB141" s="464" t="s">
        <v>27</v>
      </c>
      <c r="BC141" s="465">
        <f ca="1">AH21*SFAssumptions!$C$26/1000</f>
        <v>0.29472284399684212</v>
      </c>
      <c r="BD141" s="466">
        <f t="shared" si="52"/>
        <v>14</v>
      </c>
      <c r="BE141" s="462">
        <v>0</v>
      </c>
      <c r="BF141" s="462"/>
      <c r="BG141" s="464" t="s">
        <v>160</v>
      </c>
      <c r="BH141" s="467">
        <f ca="1">AH21*SFAssumptions!$C$27/1000</f>
        <v>1.1075262970731625</v>
      </c>
      <c r="BI141" s="462"/>
      <c r="BJ141" s="462"/>
      <c r="BK141" s="462"/>
      <c r="BL141" s="462"/>
      <c r="BM141" s="462"/>
      <c r="BN141" s="462"/>
      <c r="BO141" s="462"/>
      <c r="BP141" s="462"/>
      <c r="BQ141" s="470"/>
    </row>
    <row r="142" spans="1:69" s="469" customFormat="1">
      <c r="A142" s="462">
        <f t="shared" si="51"/>
        <v>5</v>
      </c>
      <c r="B142" s="462">
        <f t="shared" si="3"/>
        <v>1</v>
      </c>
      <c r="C142" s="462">
        <f t="shared" si="4"/>
        <v>5</v>
      </c>
      <c r="D142" s="462">
        <f t="shared" si="5"/>
        <v>1</v>
      </c>
      <c r="E142" s="462">
        <f t="shared" si="6"/>
        <v>5</v>
      </c>
      <c r="F142" s="462"/>
      <c r="G142" s="462" t="str">
        <f t="shared" si="12"/>
        <v>Current Practice Baseline Using 31% ENERGY STAR Penetration</v>
      </c>
      <c r="H142" s="462" t="str">
        <f t="shared" si="40"/>
        <v>ENERGY STAR - Top-Load</v>
      </c>
      <c r="I142" s="462" t="str">
        <f t="shared" si="7"/>
        <v>Any DHW, Any Dryer</v>
      </c>
      <c r="J142" s="462" t="str">
        <f t="shared" si="8"/>
        <v>Any DHW</v>
      </c>
      <c r="K142" s="462" t="str">
        <f t="shared" si="9"/>
        <v>Any Dryer</v>
      </c>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2" t="str">
        <f t="shared" si="53"/>
        <v>ENERGY STAR - Top-Load Clothes Washer - Any DHW, Any Dryer - 31% ENERGY STAR Baseline</v>
      </c>
      <c r="BB142" s="464" t="s">
        <v>27</v>
      </c>
      <c r="BC142" s="465">
        <f ca="1">AH22*SFAssumptions!$C$26/1000</f>
        <v>0.29472284399684212</v>
      </c>
      <c r="BD142" s="466">
        <f t="shared" si="52"/>
        <v>14</v>
      </c>
      <c r="BE142" s="462">
        <v>0</v>
      </c>
      <c r="BF142" s="462"/>
      <c r="BG142" s="464" t="s">
        <v>160</v>
      </c>
      <c r="BH142" s="467">
        <f ca="1">AH22*SFAssumptions!$C$27/1000</f>
        <v>1.1075262970731625</v>
      </c>
      <c r="BI142" s="462"/>
      <c r="BJ142" s="462"/>
      <c r="BK142" s="462"/>
      <c r="BL142" s="462"/>
      <c r="BM142" s="462"/>
      <c r="BN142" s="462"/>
      <c r="BO142" s="462"/>
      <c r="BP142" s="462"/>
    </row>
    <row r="143" spans="1:69" s="469" customFormat="1">
      <c r="A143" s="462">
        <f t="shared" si="51"/>
        <v>6</v>
      </c>
      <c r="B143" s="462">
        <f t="shared" si="3"/>
        <v>1</v>
      </c>
      <c r="C143" s="462">
        <f t="shared" si="4"/>
        <v>6</v>
      </c>
      <c r="D143" s="462">
        <f t="shared" si="5"/>
        <v>2</v>
      </c>
      <c r="E143" s="462">
        <f t="shared" si="6"/>
        <v>1</v>
      </c>
      <c r="F143" s="462"/>
      <c r="G143" s="462" t="str">
        <f t="shared" si="12"/>
        <v>Current Practice Baseline Using 31% ENERGY STAR Penetration</v>
      </c>
      <c r="H143" s="462" t="str">
        <f t="shared" si="40"/>
        <v>ENERGY STAR - Front-Load</v>
      </c>
      <c r="I143" s="462" t="str">
        <f t="shared" si="7"/>
        <v>Electric DHW, Electric Dryer</v>
      </c>
      <c r="J143" s="462" t="str">
        <f t="shared" si="8"/>
        <v>Electric DHW</v>
      </c>
      <c r="K143" s="462" t="str">
        <f t="shared" si="9"/>
        <v>Electric Dryer</v>
      </c>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2" t="str">
        <f t="shared" si="53"/>
        <v>ENERGY STAR - Front-Load Clothes Washer - Electric DHW, Electric Dryer - 31% ENERGY STAR Baseline</v>
      </c>
      <c r="BB143" s="464" t="s">
        <v>27</v>
      </c>
      <c r="BC143" s="465">
        <f ca="1">AH23*SFAssumptions!$C$26/1000</f>
        <v>3.6144341128034556</v>
      </c>
      <c r="BD143" s="466">
        <f t="shared" si="52"/>
        <v>14</v>
      </c>
      <c r="BE143" s="462">
        <v>0</v>
      </c>
      <c r="BF143" s="462"/>
      <c r="BG143" s="464" t="s">
        <v>160</v>
      </c>
      <c r="BH143" s="467">
        <f ca="1">AH23*SFAssumptions!$C$27/1000</f>
        <v>13.58252646683548</v>
      </c>
      <c r="BI143" s="462"/>
      <c r="BJ143" s="462"/>
      <c r="BK143" s="462"/>
      <c r="BL143" s="462"/>
      <c r="BM143" s="462"/>
      <c r="BN143" s="462"/>
      <c r="BO143" s="462"/>
      <c r="BP143" s="462"/>
    </row>
    <row r="144" spans="1:69" s="469" customFormat="1">
      <c r="A144" s="462">
        <f t="shared" si="51"/>
        <v>7</v>
      </c>
      <c r="B144" s="462">
        <f t="shared" si="3"/>
        <v>1</v>
      </c>
      <c r="C144" s="462">
        <f t="shared" si="4"/>
        <v>7</v>
      </c>
      <c r="D144" s="462">
        <f t="shared" si="5"/>
        <v>2</v>
      </c>
      <c r="E144" s="462">
        <f t="shared" si="6"/>
        <v>2</v>
      </c>
      <c r="F144" s="462"/>
      <c r="G144" s="462" t="str">
        <f t="shared" si="12"/>
        <v>Current Practice Baseline Using 31% ENERGY STAR Penetration</v>
      </c>
      <c r="H144" s="462" t="str">
        <f t="shared" si="40"/>
        <v>ENERGY STAR - Front-Load</v>
      </c>
      <c r="I144" s="462" t="str">
        <f t="shared" si="7"/>
        <v>Electric DHW, Gas Dryer</v>
      </c>
      <c r="J144" s="462" t="str">
        <f t="shared" si="8"/>
        <v>Electric DHW</v>
      </c>
      <c r="K144" s="462" t="str">
        <f t="shared" si="9"/>
        <v>Gas Dryer</v>
      </c>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2" t="str">
        <f t="shared" si="53"/>
        <v>ENERGY STAR - Front-Load Clothes Washer - Electric DHW, Gas Dryer - 31% ENERGY STAR Baseline</v>
      </c>
      <c r="BB144" s="464" t="s">
        <v>27</v>
      </c>
      <c r="BC144" s="465">
        <f ca="1">AH24*SFAssumptions!$C$26/1000</f>
        <v>3.6144341128034556</v>
      </c>
      <c r="BD144" s="466">
        <f t="shared" si="52"/>
        <v>14</v>
      </c>
      <c r="BE144" s="462">
        <v>0</v>
      </c>
      <c r="BF144" s="462"/>
      <c r="BG144" s="464" t="s">
        <v>160</v>
      </c>
      <c r="BH144" s="467">
        <f ca="1">AH24*SFAssumptions!$C$27/1000</f>
        <v>13.58252646683548</v>
      </c>
      <c r="BI144" s="462"/>
      <c r="BJ144" s="462"/>
      <c r="BK144" s="462"/>
      <c r="BL144" s="462"/>
      <c r="BM144" s="462"/>
      <c r="BN144" s="462"/>
      <c r="BO144" s="462"/>
      <c r="BP144" s="462"/>
    </row>
    <row r="145" spans="1:69" s="469" customFormat="1">
      <c r="A145" s="462">
        <f t="shared" si="51"/>
        <v>8</v>
      </c>
      <c r="B145" s="462">
        <f t="shared" si="3"/>
        <v>1</v>
      </c>
      <c r="C145" s="462">
        <f t="shared" si="4"/>
        <v>8</v>
      </c>
      <c r="D145" s="462">
        <f t="shared" si="5"/>
        <v>2</v>
      </c>
      <c r="E145" s="462">
        <f t="shared" si="6"/>
        <v>3</v>
      </c>
      <c r="F145" s="462"/>
      <c r="G145" s="462" t="str">
        <f t="shared" si="12"/>
        <v>Current Practice Baseline Using 31% ENERGY STAR Penetration</v>
      </c>
      <c r="H145" s="462" t="str">
        <f t="shared" si="40"/>
        <v>ENERGY STAR - Front-Load</v>
      </c>
      <c r="I145" s="462" t="str">
        <f t="shared" si="7"/>
        <v>Gas DHW, Electric Dryer</v>
      </c>
      <c r="J145" s="462" t="str">
        <f t="shared" si="8"/>
        <v>Gas DHW</v>
      </c>
      <c r="K145" s="462" t="str">
        <f t="shared" si="9"/>
        <v>Electric Dryer</v>
      </c>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2" t="str">
        <f t="shared" si="53"/>
        <v>ENERGY STAR - Front-Load Clothes Washer - Gas DHW, Electric Dryer - 31% ENERGY STAR Baseline</v>
      </c>
      <c r="BB145" s="464" t="s">
        <v>27</v>
      </c>
      <c r="BC145" s="465">
        <f ca="1">AH25*SFAssumptions!$C$26/1000</f>
        <v>3.6144341128034556</v>
      </c>
      <c r="BD145" s="466">
        <f t="shared" si="52"/>
        <v>14</v>
      </c>
      <c r="BE145" s="462">
        <v>0</v>
      </c>
      <c r="BF145" s="462"/>
      <c r="BG145" s="464" t="s">
        <v>160</v>
      </c>
      <c r="BH145" s="467">
        <f ca="1">AH25*SFAssumptions!$C$27/1000</f>
        <v>13.58252646683548</v>
      </c>
      <c r="BI145" s="462"/>
      <c r="BJ145" s="462"/>
      <c r="BK145" s="462"/>
      <c r="BL145" s="462"/>
      <c r="BM145" s="462"/>
      <c r="BN145" s="462"/>
      <c r="BO145" s="462"/>
      <c r="BP145" s="462"/>
      <c r="BQ145" s="470"/>
    </row>
    <row r="146" spans="1:69" s="469" customFormat="1">
      <c r="A146" s="462">
        <f t="shared" si="51"/>
        <v>9</v>
      </c>
      <c r="B146" s="462">
        <f t="shared" si="3"/>
        <v>1</v>
      </c>
      <c r="C146" s="462">
        <f t="shared" si="4"/>
        <v>9</v>
      </c>
      <c r="D146" s="462">
        <f t="shared" si="5"/>
        <v>2</v>
      </c>
      <c r="E146" s="462">
        <f t="shared" si="6"/>
        <v>4</v>
      </c>
      <c r="F146" s="462"/>
      <c r="G146" s="462" t="str">
        <f t="shared" si="12"/>
        <v>Current Practice Baseline Using 31% ENERGY STAR Penetration</v>
      </c>
      <c r="H146" s="462" t="str">
        <f t="shared" si="40"/>
        <v>ENERGY STAR - Front-Load</v>
      </c>
      <c r="I146" s="462" t="str">
        <f t="shared" si="7"/>
        <v>Gas DHW, Gas Dryer</v>
      </c>
      <c r="J146" s="462" t="str">
        <f t="shared" si="8"/>
        <v>Gas DHW</v>
      </c>
      <c r="K146" s="462" t="str">
        <f t="shared" si="9"/>
        <v>Gas Dryer</v>
      </c>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2" t="str">
        <f t="shared" si="53"/>
        <v>ENERGY STAR - Front-Load Clothes Washer - Gas DHW, Gas Dryer - 31% ENERGY STAR Baseline</v>
      </c>
      <c r="BB146" s="464" t="s">
        <v>27</v>
      </c>
      <c r="BC146" s="465">
        <f ca="1">AH26*SFAssumptions!$C$26/1000</f>
        <v>3.6144341128034556</v>
      </c>
      <c r="BD146" s="466">
        <f t="shared" si="52"/>
        <v>14</v>
      </c>
      <c r="BE146" s="462">
        <v>0</v>
      </c>
      <c r="BF146" s="462"/>
      <c r="BG146" s="464" t="s">
        <v>160</v>
      </c>
      <c r="BH146" s="467">
        <f ca="1">AH26*SFAssumptions!$C$27/1000</f>
        <v>13.58252646683548</v>
      </c>
      <c r="BI146" s="462"/>
      <c r="BJ146" s="462"/>
      <c r="BK146" s="462"/>
      <c r="BL146" s="462"/>
      <c r="BM146" s="462"/>
      <c r="BN146" s="462"/>
      <c r="BO146" s="462"/>
      <c r="BP146" s="462"/>
    </row>
    <row r="147" spans="1:69" s="469" customFormat="1">
      <c r="A147" s="462">
        <f t="shared" si="51"/>
        <v>10</v>
      </c>
      <c r="B147" s="462">
        <f t="shared" si="3"/>
        <v>1</v>
      </c>
      <c r="C147" s="462">
        <f t="shared" si="4"/>
        <v>10</v>
      </c>
      <c r="D147" s="462">
        <f t="shared" si="5"/>
        <v>2</v>
      </c>
      <c r="E147" s="462">
        <f t="shared" si="6"/>
        <v>5</v>
      </c>
      <c r="F147" s="462"/>
      <c r="G147" s="462" t="str">
        <f t="shared" si="12"/>
        <v>Current Practice Baseline Using 31% ENERGY STAR Penetration</v>
      </c>
      <c r="H147" s="462" t="str">
        <f t="shared" ref="H147:H197" si="54">VLOOKUP(D147,$J$2:$O$12,6,FALSE)</f>
        <v>ENERGY STAR - Front-Load</v>
      </c>
      <c r="I147" s="462" t="str">
        <f t="shared" si="7"/>
        <v>Any DHW, Any Dryer</v>
      </c>
      <c r="J147" s="462" t="str">
        <f t="shared" si="8"/>
        <v>Any DHW</v>
      </c>
      <c r="K147" s="462" t="str">
        <f t="shared" si="9"/>
        <v>Any Dryer</v>
      </c>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2" t="str">
        <f t="shared" si="53"/>
        <v>ENERGY STAR - Front-Load Clothes Washer - Any DHW, Any Dryer - 31% ENERGY STAR Baseline</v>
      </c>
      <c r="BB147" s="464" t="s">
        <v>27</v>
      </c>
      <c r="BC147" s="465">
        <f ca="1">AH27*SFAssumptions!$C$26/1000</f>
        <v>3.6144341128034556</v>
      </c>
      <c r="BD147" s="466">
        <f t="shared" si="52"/>
        <v>14</v>
      </c>
      <c r="BE147" s="462">
        <v>0</v>
      </c>
      <c r="BF147" s="462"/>
      <c r="BG147" s="464" t="s">
        <v>160</v>
      </c>
      <c r="BH147" s="467">
        <f ca="1">AH27*SFAssumptions!$C$27/1000</f>
        <v>13.58252646683548</v>
      </c>
      <c r="BI147" s="462"/>
      <c r="BJ147" s="462"/>
      <c r="BK147" s="462"/>
      <c r="BL147" s="462"/>
      <c r="BM147" s="462"/>
      <c r="BN147" s="462"/>
      <c r="BO147" s="462"/>
      <c r="BP147" s="462"/>
    </row>
    <row r="148" spans="1:69" s="469" customFormat="1">
      <c r="A148" s="462">
        <f t="shared" si="51"/>
        <v>11</v>
      </c>
      <c r="B148" s="462">
        <f t="shared" si="3"/>
        <v>1</v>
      </c>
      <c r="C148" s="462">
        <f t="shared" si="4"/>
        <v>11</v>
      </c>
      <c r="D148" s="462">
        <f t="shared" si="5"/>
        <v>3</v>
      </c>
      <c r="E148" s="462">
        <f t="shared" si="6"/>
        <v>1</v>
      </c>
      <c r="F148" s="462"/>
      <c r="G148" s="462" t="str">
        <f t="shared" si="12"/>
        <v>Current Practice Baseline Using 31% ENERGY STAR Penetration</v>
      </c>
      <c r="H148" s="462" t="str">
        <f t="shared" si="54"/>
        <v>Any ENERGY STAR (Top- or Front-Load)</v>
      </c>
      <c r="I148" s="462" t="str">
        <f t="shared" si="7"/>
        <v>Electric DHW, Electric Dryer</v>
      </c>
      <c r="J148" s="462" t="str">
        <f t="shared" si="8"/>
        <v>Electric DHW</v>
      </c>
      <c r="K148" s="462" t="str">
        <f t="shared" si="9"/>
        <v>Electric Dryer</v>
      </c>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2" t="str">
        <f t="shared" si="53"/>
        <v>Any ENERGY STAR (Top- or Front-Load) Clothes Washer - Electric DHW, Electric Dryer - 31% ENERGY STAR Baseline</v>
      </c>
      <c r="BB148" s="464" t="s">
        <v>27</v>
      </c>
      <c r="BC148" s="465">
        <f ca="1">AH28*SFAssumptions!$C$26/1000</f>
        <v>2.6771038721992375</v>
      </c>
      <c r="BD148" s="466">
        <f t="shared" si="52"/>
        <v>14</v>
      </c>
      <c r="BE148" s="462">
        <v>0</v>
      </c>
      <c r="BF148" s="462"/>
      <c r="BG148" s="464" t="s">
        <v>160</v>
      </c>
      <c r="BH148" s="467">
        <f ca="1">AH28*SFAssumptions!$C$27/1000</f>
        <v>10.060173477726128</v>
      </c>
      <c r="BI148" s="462"/>
      <c r="BJ148" s="462"/>
      <c r="BK148" s="462"/>
      <c r="BL148" s="462"/>
      <c r="BM148" s="462"/>
      <c r="BN148" s="462"/>
      <c r="BO148" s="462"/>
      <c r="BP148" s="462"/>
    </row>
    <row r="149" spans="1:69" s="469" customFormat="1">
      <c r="A149" s="462">
        <f t="shared" si="51"/>
        <v>12</v>
      </c>
      <c r="B149" s="462">
        <f t="shared" si="3"/>
        <v>1</v>
      </c>
      <c r="C149" s="462">
        <f t="shared" si="4"/>
        <v>12</v>
      </c>
      <c r="D149" s="462">
        <f t="shared" si="5"/>
        <v>3</v>
      </c>
      <c r="E149" s="462">
        <f t="shared" si="6"/>
        <v>2</v>
      </c>
      <c r="F149" s="462"/>
      <c r="G149" s="462" t="str">
        <f t="shared" si="12"/>
        <v>Current Practice Baseline Using 31% ENERGY STAR Penetration</v>
      </c>
      <c r="H149" s="462" t="str">
        <f t="shared" si="54"/>
        <v>Any ENERGY STAR (Top- or Front-Load)</v>
      </c>
      <c r="I149" s="462" t="str">
        <f t="shared" si="7"/>
        <v>Electric DHW, Gas Dryer</v>
      </c>
      <c r="J149" s="462" t="str">
        <f t="shared" si="8"/>
        <v>Electric DHW</v>
      </c>
      <c r="K149" s="462" t="str">
        <f t="shared" si="9"/>
        <v>Gas Dryer</v>
      </c>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2" t="str">
        <f t="shared" si="53"/>
        <v>Any ENERGY STAR (Top- or Front-Load) Clothes Washer - Electric DHW, Gas Dryer - 31% ENERGY STAR Baseline</v>
      </c>
      <c r="BB149" s="464" t="s">
        <v>27</v>
      </c>
      <c r="BC149" s="465">
        <f ca="1">AH29*SFAssumptions!$C$26/1000</f>
        <v>2.6771038721992375</v>
      </c>
      <c r="BD149" s="466">
        <f t="shared" si="52"/>
        <v>14</v>
      </c>
      <c r="BE149" s="462">
        <v>0</v>
      </c>
      <c r="BF149" s="462"/>
      <c r="BG149" s="464" t="s">
        <v>160</v>
      </c>
      <c r="BH149" s="467">
        <f ca="1">AH29*SFAssumptions!$C$27/1000</f>
        <v>10.060173477726128</v>
      </c>
      <c r="BI149" s="462"/>
      <c r="BJ149" s="462"/>
      <c r="BK149" s="462"/>
      <c r="BL149" s="462"/>
      <c r="BM149" s="462"/>
      <c r="BN149" s="462"/>
      <c r="BO149" s="462"/>
      <c r="BP149" s="462"/>
    </row>
    <row r="150" spans="1:69" s="469" customFormat="1">
      <c r="A150" s="462">
        <f t="shared" si="51"/>
        <v>13</v>
      </c>
      <c r="B150" s="462">
        <f t="shared" si="3"/>
        <v>1</v>
      </c>
      <c r="C150" s="462">
        <f t="shared" si="4"/>
        <v>13</v>
      </c>
      <c r="D150" s="462">
        <f t="shared" si="5"/>
        <v>3</v>
      </c>
      <c r="E150" s="462">
        <f t="shared" si="6"/>
        <v>3</v>
      </c>
      <c r="F150" s="462"/>
      <c r="G150" s="462" t="str">
        <f t="shared" si="12"/>
        <v>Current Practice Baseline Using 31% ENERGY STAR Penetration</v>
      </c>
      <c r="H150" s="462" t="str">
        <f t="shared" si="54"/>
        <v>Any ENERGY STAR (Top- or Front-Load)</v>
      </c>
      <c r="I150" s="462" t="str">
        <f t="shared" si="7"/>
        <v>Gas DHW, Electric Dryer</v>
      </c>
      <c r="J150" s="462" t="str">
        <f t="shared" si="8"/>
        <v>Gas DHW</v>
      </c>
      <c r="K150" s="462" t="str">
        <f t="shared" si="9"/>
        <v>Electric Dryer</v>
      </c>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2" t="str">
        <f t="shared" si="53"/>
        <v>Any ENERGY STAR (Top- or Front-Load) Clothes Washer - Gas DHW, Electric Dryer - 31% ENERGY STAR Baseline</v>
      </c>
      <c r="BB150" s="464" t="s">
        <v>27</v>
      </c>
      <c r="BC150" s="465">
        <f ca="1">AH30*SFAssumptions!$C$26/1000</f>
        <v>2.6771038721992375</v>
      </c>
      <c r="BD150" s="466">
        <f t="shared" si="52"/>
        <v>14</v>
      </c>
      <c r="BE150" s="462">
        <v>0</v>
      </c>
      <c r="BF150" s="462"/>
      <c r="BG150" s="464" t="s">
        <v>160</v>
      </c>
      <c r="BH150" s="467">
        <f ca="1">AH30*SFAssumptions!$C$27/1000</f>
        <v>10.060173477726128</v>
      </c>
      <c r="BI150" s="462"/>
      <c r="BJ150" s="462"/>
      <c r="BK150" s="462"/>
      <c r="BL150" s="462"/>
      <c r="BM150" s="462"/>
      <c r="BN150" s="462"/>
      <c r="BO150" s="462"/>
      <c r="BP150" s="462"/>
    </row>
    <row r="151" spans="1:69" s="469" customFormat="1">
      <c r="A151" s="462">
        <f t="shared" si="51"/>
        <v>14</v>
      </c>
      <c r="B151" s="462">
        <f t="shared" si="3"/>
        <v>1</v>
      </c>
      <c r="C151" s="462">
        <f t="shared" si="4"/>
        <v>14</v>
      </c>
      <c r="D151" s="462">
        <f t="shared" si="5"/>
        <v>3</v>
      </c>
      <c r="E151" s="462">
        <f t="shared" si="6"/>
        <v>4</v>
      </c>
      <c r="F151" s="462"/>
      <c r="G151" s="462" t="str">
        <f t="shared" si="12"/>
        <v>Current Practice Baseline Using 31% ENERGY STAR Penetration</v>
      </c>
      <c r="H151" s="462" t="str">
        <f t="shared" si="54"/>
        <v>Any ENERGY STAR (Top- or Front-Load)</v>
      </c>
      <c r="I151" s="462" t="str">
        <f t="shared" si="7"/>
        <v>Gas DHW, Gas Dryer</v>
      </c>
      <c r="J151" s="462" t="str">
        <f t="shared" si="8"/>
        <v>Gas DHW</v>
      </c>
      <c r="K151" s="462" t="str">
        <f t="shared" si="9"/>
        <v>Gas Dryer</v>
      </c>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2" t="str">
        <f t="shared" si="53"/>
        <v>Any ENERGY STAR (Top- or Front-Load) Clothes Washer - Gas DHW, Gas Dryer - 31% ENERGY STAR Baseline</v>
      </c>
      <c r="BB151" s="464" t="s">
        <v>27</v>
      </c>
      <c r="BC151" s="465">
        <f ca="1">AH31*SFAssumptions!$C$26/1000</f>
        <v>2.6771038721992375</v>
      </c>
      <c r="BD151" s="466">
        <f t="shared" si="52"/>
        <v>14</v>
      </c>
      <c r="BE151" s="462">
        <v>0</v>
      </c>
      <c r="BF151" s="462"/>
      <c r="BG151" s="464" t="s">
        <v>160</v>
      </c>
      <c r="BH151" s="467">
        <f ca="1">AH31*SFAssumptions!$C$27/1000</f>
        <v>10.060173477726128</v>
      </c>
      <c r="BI151" s="462"/>
      <c r="BJ151" s="462"/>
      <c r="BK151" s="462"/>
      <c r="BL151" s="462"/>
      <c r="BM151" s="462"/>
      <c r="BN151" s="462"/>
      <c r="BO151" s="462"/>
      <c r="BP151" s="462"/>
    </row>
    <row r="152" spans="1:69" s="469" customFormat="1">
      <c r="A152" s="462">
        <f t="shared" si="51"/>
        <v>15</v>
      </c>
      <c r="B152" s="462">
        <f t="shared" si="3"/>
        <v>1</v>
      </c>
      <c r="C152" s="462">
        <f t="shared" si="4"/>
        <v>15</v>
      </c>
      <c r="D152" s="462">
        <f t="shared" si="5"/>
        <v>3</v>
      </c>
      <c r="E152" s="462">
        <f t="shared" si="6"/>
        <v>5</v>
      </c>
      <c r="F152" s="462"/>
      <c r="G152" s="462" t="str">
        <f t="shared" si="12"/>
        <v>Current Practice Baseline Using 31% ENERGY STAR Penetration</v>
      </c>
      <c r="H152" s="462" t="str">
        <f t="shared" si="54"/>
        <v>Any ENERGY STAR (Top- or Front-Load)</v>
      </c>
      <c r="I152" s="462" t="str">
        <f t="shared" si="7"/>
        <v>Any DHW, Any Dryer</v>
      </c>
      <c r="J152" s="462" t="str">
        <f t="shared" si="8"/>
        <v>Any DHW</v>
      </c>
      <c r="K152" s="462" t="str">
        <f t="shared" si="9"/>
        <v>Any Dryer</v>
      </c>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2" t="str">
        <f t="shared" si="53"/>
        <v>Any ENERGY STAR (Top- or Front-Load) Clothes Washer - Any DHW, Any Dryer - 31% ENERGY STAR Baseline</v>
      </c>
      <c r="BB152" s="464" t="s">
        <v>27</v>
      </c>
      <c r="BC152" s="465">
        <f ca="1">AH32*SFAssumptions!$C$26/1000</f>
        <v>2.6771038721992375</v>
      </c>
      <c r="BD152" s="466">
        <f t="shared" si="52"/>
        <v>14</v>
      </c>
      <c r="BE152" s="462">
        <v>0</v>
      </c>
      <c r="BF152" s="462"/>
      <c r="BG152" s="464" t="s">
        <v>160</v>
      </c>
      <c r="BH152" s="467">
        <f ca="1">AH32*SFAssumptions!$C$27/1000</f>
        <v>10.060173477726128</v>
      </c>
      <c r="BI152" s="462"/>
      <c r="BJ152" s="462"/>
      <c r="BK152" s="462"/>
      <c r="BL152" s="462"/>
      <c r="BM152" s="462"/>
      <c r="BN152" s="462"/>
      <c r="BO152" s="462"/>
      <c r="BP152" s="462"/>
    </row>
    <row r="153" spans="1:69" s="746" customFormat="1">
      <c r="A153" s="462">
        <f t="shared" si="51"/>
        <v>16</v>
      </c>
      <c r="B153" s="462">
        <f t="shared" si="3"/>
        <v>1</v>
      </c>
      <c r="C153" s="462">
        <f t="shared" si="4"/>
        <v>16</v>
      </c>
      <c r="D153" s="462">
        <f t="shared" si="5"/>
        <v>4</v>
      </c>
      <c r="E153" s="462">
        <f t="shared" si="6"/>
        <v>1</v>
      </c>
      <c r="F153" s="462"/>
      <c r="G153" s="462" t="str">
        <f t="shared" ref="G153:G197" si="55">VLOOKUP(B153,$G$2:$H$13,2,FALSE)</f>
        <v>Current Practice Baseline Using 31% ENERGY STAR Penetration</v>
      </c>
      <c r="H153" s="462" t="str">
        <f t="shared" si="54"/>
        <v>CEE Tier 1</v>
      </c>
      <c r="I153" s="462" t="str">
        <f t="shared" si="7"/>
        <v>Electric DHW, Electric Dryer</v>
      </c>
      <c r="J153" s="462" t="str">
        <f t="shared" si="8"/>
        <v>Electric DHW</v>
      </c>
      <c r="K153" s="462" t="str">
        <f t="shared" si="9"/>
        <v>Electric Dryer</v>
      </c>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T153" s="463"/>
      <c r="AU153" s="463"/>
      <c r="AV153" s="463"/>
      <c r="AW153" s="463"/>
      <c r="AX153" s="463"/>
      <c r="AY153" s="463"/>
      <c r="AZ153" s="463"/>
      <c r="BA153" s="462" t="str">
        <f t="shared" si="53"/>
        <v>CEE Tier 1 Clothes Washer - Electric DHW, Electric Dryer - 31% ENERGY STAR Baseline</v>
      </c>
      <c r="BB153" s="464" t="s">
        <v>27</v>
      </c>
      <c r="BC153" s="465">
        <f ca="1">AH33*SFAssumptions!$C$26/1000</f>
        <v>3.17293366135821</v>
      </c>
      <c r="BD153" s="466">
        <f t="shared" si="52"/>
        <v>14</v>
      </c>
      <c r="BE153" s="462">
        <v>0</v>
      </c>
      <c r="BF153" s="462"/>
      <c r="BG153" s="464" t="s">
        <v>160</v>
      </c>
      <c r="BH153" s="467">
        <f ca="1">AH33*SFAssumptions!$C$27/1000</f>
        <v>11.923430912808721</v>
      </c>
      <c r="BI153" s="462"/>
      <c r="BJ153" s="462"/>
      <c r="BK153" s="462"/>
      <c r="BL153" s="462"/>
      <c r="BM153" s="462"/>
      <c r="BN153" s="462"/>
      <c r="BO153" s="462"/>
      <c r="BP153" s="462"/>
    </row>
    <row r="154" spans="1:69" s="746" customFormat="1">
      <c r="A154" s="462">
        <f t="shared" si="51"/>
        <v>17</v>
      </c>
      <c r="B154" s="462">
        <f t="shared" ref="B154:B197" si="56">CEILING(A154/($B$2*$B$3),1)</f>
        <v>1</v>
      </c>
      <c r="C154" s="462">
        <f t="shared" ref="C154:C197" si="57">CEILING(A154-(B154-1)*$B$2*$B$3,1)</f>
        <v>17</v>
      </c>
      <c r="D154" s="462">
        <f t="shared" ref="D154:D197" si="58">CEILING(C154/$B$3,1)</f>
        <v>4</v>
      </c>
      <c r="E154" s="462">
        <f t="shared" ref="E154:E197" si="59">C154-((D154-1)*$B$3)</f>
        <v>2</v>
      </c>
      <c r="F154" s="462"/>
      <c r="G154" s="462" t="str">
        <f t="shared" si="55"/>
        <v>Current Practice Baseline Using 31% ENERGY STAR Penetration</v>
      </c>
      <c r="H154" s="462" t="str">
        <f t="shared" si="54"/>
        <v>CEE Tier 1</v>
      </c>
      <c r="I154" s="462" t="str">
        <f t="shared" ref="I154:I197" si="60">VLOOKUP($E154,$AI$2:$AL$12,2,FALSE)</f>
        <v>Electric DHW, Gas Dryer</v>
      </c>
      <c r="J154" s="462" t="str">
        <f t="shared" ref="J154:J197" si="61">VLOOKUP($E154,$AI$2:$AL$12,3,FALSE)</f>
        <v>Electric DHW</v>
      </c>
      <c r="K154" s="462" t="str">
        <f t="shared" ref="K154:K197" si="62">VLOOKUP($E154,$AI$2:$AL$12,4,FALSE)</f>
        <v>Gas Dryer</v>
      </c>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c r="AS154" s="463"/>
      <c r="AT154" s="463"/>
      <c r="AU154" s="463"/>
      <c r="AV154" s="463"/>
      <c r="AW154" s="463"/>
      <c r="AX154" s="463"/>
      <c r="AY154" s="463"/>
      <c r="AZ154" s="463"/>
      <c r="BA154" s="462" t="str">
        <f t="shared" si="53"/>
        <v>CEE Tier 1 Clothes Washer - Electric DHW, Gas Dryer - 31% ENERGY STAR Baseline</v>
      </c>
      <c r="BB154" s="464" t="s">
        <v>27</v>
      </c>
      <c r="BC154" s="465">
        <f ca="1">AH34*SFAssumptions!$C$26/1000</f>
        <v>3.17293366135821</v>
      </c>
      <c r="BD154" s="466">
        <f t="shared" si="52"/>
        <v>14</v>
      </c>
      <c r="BE154" s="462">
        <v>0</v>
      </c>
      <c r="BF154" s="462"/>
      <c r="BG154" s="464" t="s">
        <v>160</v>
      </c>
      <c r="BH154" s="467">
        <f ca="1">AH34*SFAssumptions!$C$27/1000</f>
        <v>11.923430912808721</v>
      </c>
      <c r="BI154" s="462"/>
      <c r="BJ154" s="462"/>
      <c r="BK154" s="462"/>
      <c r="BL154" s="462"/>
      <c r="BM154" s="462"/>
      <c r="BN154" s="462"/>
      <c r="BO154" s="462"/>
      <c r="BP154" s="462"/>
    </row>
    <row r="155" spans="1:69" s="746" customFormat="1">
      <c r="A155" s="462">
        <f t="shared" si="51"/>
        <v>18</v>
      </c>
      <c r="B155" s="462">
        <f t="shared" si="56"/>
        <v>1</v>
      </c>
      <c r="C155" s="462">
        <f t="shared" si="57"/>
        <v>18</v>
      </c>
      <c r="D155" s="462">
        <f t="shared" si="58"/>
        <v>4</v>
      </c>
      <c r="E155" s="462">
        <f t="shared" si="59"/>
        <v>3</v>
      </c>
      <c r="F155" s="462"/>
      <c r="G155" s="462" t="str">
        <f t="shared" si="55"/>
        <v>Current Practice Baseline Using 31% ENERGY STAR Penetration</v>
      </c>
      <c r="H155" s="462" t="str">
        <f t="shared" si="54"/>
        <v>CEE Tier 1</v>
      </c>
      <c r="I155" s="462" t="str">
        <f t="shared" si="60"/>
        <v>Gas DHW, Electric Dryer</v>
      </c>
      <c r="J155" s="462" t="str">
        <f t="shared" si="61"/>
        <v>Gas DHW</v>
      </c>
      <c r="K155" s="462" t="str">
        <f t="shared" si="62"/>
        <v>Electric Dryer</v>
      </c>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2" t="str">
        <f t="shared" si="53"/>
        <v>CEE Tier 1 Clothes Washer - Gas DHW, Electric Dryer - 31% ENERGY STAR Baseline</v>
      </c>
      <c r="BB155" s="464" t="s">
        <v>27</v>
      </c>
      <c r="BC155" s="465">
        <f ca="1">AH35*SFAssumptions!$C$26/1000</f>
        <v>3.17293366135821</v>
      </c>
      <c r="BD155" s="466">
        <f t="shared" si="52"/>
        <v>14</v>
      </c>
      <c r="BE155" s="462">
        <v>0</v>
      </c>
      <c r="BF155" s="462"/>
      <c r="BG155" s="464" t="s">
        <v>160</v>
      </c>
      <c r="BH155" s="467">
        <f ca="1">AH35*SFAssumptions!$C$27/1000</f>
        <v>11.923430912808721</v>
      </c>
      <c r="BI155" s="462"/>
      <c r="BJ155" s="462"/>
      <c r="BK155" s="462"/>
      <c r="BL155" s="462"/>
      <c r="BM155" s="462"/>
      <c r="BN155" s="462"/>
      <c r="BO155" s="462"/>
      <c r="BP155" s="462"/>
    </row>
    <row r="156" spans="1:69" s="746" customFormat="1">
      <c r="A156" s="462">
        <f t="shared" si="51"/>
        <v>19</v>
      </c>
      <c r="B156" s="462">
        <f t="shared" si="56"/>
        <v>1</v>
      </c>
      <c r="C156" s="462">
        <f t="shared" si="57"/>
        <v>19</v>
      </c>
      <c r="D156" s="462">
        <f t="shared" si="58"/>
        <v>4</v>
      </c>
      <c r="E156" s="462">
        <f t="shared" si="59"/>
        <v>4</v>
      </c>
      <c r="F156" s="462"/>
      <c r="G156" s="462" t="str">
        <f t="shared" si="55"/>
        <v>Current Practice Baseline Using 31% ENERGY STAR Penetration</v>
      </c>
      <c r="H156" s="462" t="str">
        <f t="shared" si="54"/>
        <v>CEE Tier 1</v>
      </c>
      <c r="I156" s="462" t="str">
        <f t="shared" si="60"/>
        <v>Gas DHW, Gas Dryer</v>
      </c>
      <c r="J156" s="462" t="str">
        <f t="shared" si="61"/>
        <v>Gas DHW</v>
      </c>
      <c r="K156" s="462" t="str">
        <f t="shared" si="62"/>
        <v>Gas Dryer</v>
      </c>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c r="AP156" s="463"/>
      <c r="AQ156" s="463"/>
      <c r="AR156" s="463"/>
      <c r="AS156" s="463"/>
      <c r="AT156" s="463"/>
      <c r="AU156" s="463"/>
      <c r="AV156" s="463"/>
      <c r="AW156" s="463"/>
      <c r="AX156" s="463"/>
      <c r="AY156" s="463"/>
      <c r="AZ156" s="463"/>
      <c r="BA156" s="462" t="str">
        <f t="shared" si="53"/>
        <v>CEE Tier 1 Clothes Washer - Gas DHW, Gas Dryer - 31% ENERGY STAR Baseline</v>
      </c>
      <c r="BB156" s="464" t="s">
        <v>27</v>
      </c>
      <c r="BC156" s="465">
        <f ca="1">AH36*SFAssumptions!$C$26/1000</f>
        <v>3.17293366135821</v>
      </c>
      <c r="BD156" s="466">
        <f t="shared" si="52"/>
        <v>14</v>
      </c>
      <c r="BE156" s="462">
        <v>0</v>
      </c>
      <c r="BF156" s="462"/>
      <c r="BG156" s="464" t="s">
        <v>160</v>
      </c>
      <c r="BH156" s="467">
        <f ca="1">AH36*SFAssumptions!$C$27/1000</f>
        <v>11.923430912808721</v>
      </c>
      <c r="BI156" s="462"/>
      <c r="BJ156" s="462"/>
      <c r="BK156" s="462"/>
      <c r="BL156" s="462"/>
      <c r="BM156" s="462"/>
      <c r="BN156" s="462"/>
      <c r="BO156" s="462"/>
      <c r="BP156" s="462"/>
    </row>
    <row r="157" spans="1:69" s="746" customFormat="1">
      <c r="A157" s="462">
        <f t="shared" si="51"/>
        <v>20</v>
      </c>
      <c r="B157" s="462">
        <f t="shared" si="56"/>
        <v>1</v>
      </c>
      <c r="C157" s="462">
        <f t="shared" si="57"/>
        <v>20</v>
      </c>
      <c r="D157" s="462">
        <f t="shared" si="58"/>
        <v>4</v>
      </c>
      <c r="E157" s="462">
        <f t="shared" si="59"/>
        <v>5</v>
      </c>
      <c r="F157" s="462"/>
      <c r="G157" s="462" t="str">
        <f t="shared" si="55"/>
        <v>Current Practice Baseline Using 31% ENERGY STAR Penetration</v>
      </c>
      <c r="H157" s="462" t="str">
        <f t="shared" si="54"/>
        <v>CEE Tier 1</v>
      </c>
      <c r="I157" s="462" t="str">
        <f t="shared" si="60"/>
        <v>Any DHW, Any Dryer</v>
      </c>
      <c r="J157" s="462" t="str">
        <f t="shared" si="61"/>
        <v>Any DHW</v>
      </c>
      <c r="K157" s="462" t="str">
        <f t="shared" si="62"/>
        <v>Any Dryer</v>
      </c>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c r="AS157" s="463"/>
      <c r="AT157" s="463"/>
      <c r="AU157" s="463"/>
      <c r="AV157" s="463"/>
      <c r="AW157" s="463"/>
      <c r="AX157" s="463"/>
      <c r="AY157" s="463"/>
      <c r="AZ157" s="463"/>
      <c r="BA157" s="462" t="str">
        <f t="shared" si="53"/>
        <v>CEE Tier 1 Clothes Washer - Any DHW, Any Dryer - 31% ENERGY STAR Baseline</v>
      </c>
      <c r="BB157" s="464" t="s">
        <v>27</v>
      </c>
      <c r="BC157" s="465">
        <f ca="1">AH37*SFAssumptions!$C$26/1000</f>
        <v>3.17293366135821</v>
      </c>
      <c r="BD157" s="466">
        <f t="shared" si="52"/>
        <v>14</v>
      </c>
      <c r="BE157" s="462">
        <v>0</v>
      </c>
      <c r="BF157" s="462"/>
      <c r="BG157" s="464" t="s">
        <v>160</v>
      </c>
      <c r="BH157" s="467">
        <f ca="1">AH37*SFAssumptions!$C$27/1000</f>
        <v>11.923430912808721</v>
      </c>
      <c r="BI157" s="462"/>
      <c r="BJ157" s="462"/>
      <c r="BK157" s="462"/>
      <c r="BL157" s="462"/>
      <c r="BM157" s="462"/>
      <c r="BN157" s="462"/>
      <c r="BO157" s="462"/>
      <c r="BP157" s="462"/>
    </row>
    <row r="158" spans="1:69" s="746" customFormat="1">
      <c r="A158" s="462">
        <f t="shared" si="51"/>
        <v>21</v>
      </c>
      <c r="B158" s="462">
        <f t="shared" si="56"/>
        <v>1</v>
      </c>
      <c r="C158" s="462">
        <f t="shared" si="57"/>
        <v>21</v>
      </c>
      <c r="D158" s="462">
        <f t="shared" si="58"/>
        <v>5</v>
      </c>
      <c r="E158" s="462">
        <f t="shared" si="59"/>
        <v>1</v>
      </c>
      <c r="F158" s="462"/>
      <c r="G158" s="462" t="str">
        <f t="shared" si="55"/>
        <v>Current Practice Baseline Using 31% ENERGY STAR Penetration</v>
      </c>
      <c r="H158" s="462" t="str">
        <f t="shared" si="54"/>
        <v>CEE Tier 2</v>
      </c>
      <c r="I158" s="462" t="str">
        <f t="shared" si="60"/>
        <v>Electric DHW, Electric Dryer</v>
      </c>
      <c r="J158" s="462" t="str">
        <f t="shared" si="61"/>
        <v>Electric DHW</v>
      </c>
      <c r="K158" s="462" t="str">
        <f t="shared" si="62"/>
        <v>Electric Dryer</v>
      </c>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c r="AS158" s="463"/>
      <c r="AT158" s="463"/>
      <c r="AU158" s="463"/>
      <c r="AV158" s="463"/>
      <c r="AW158" s="463"/>
      <c r="AX158" s="463"/>
      <c r="AY158" s="463"/>
      <c r="AZ158" s="463"/>
      <c r="BA158" s="462" t="str">
        <f t="shared" si="53"/>
        <v>CEE Tier 2 Clothes Washer - Electric DHW, Electric Dryer - 31% ENERGY STAR Baseline</v>
      </c>
      <c r="BB158" s="464" t="s">
        <v>27</v>
      </c>
      <c r="BC158" s="465">
        <f ca="1">AH38*SFAssumptions!$C$26/1000</f>
        <v>4.2319016498398385</v>
      </c>
      <c r="BD158" s="466">
        <f t="shared" si="52"/>
        <v>14</v>
      </c>
      <c r="BE158" s="462">
        <v>0</v>
      </c>
      <c r="BF158" s="462"/>
      <c r="BG158" s="464" t="s">
        <v>160</v>
      </c>
      <c r="BH158" s="467">
        <f ca="1">AH38*SFAssumptions!$C$27/1000</f>
        <v>15.902881162055911</v>
      </c>
      <c r="BI158" s="462"/>
      <c r="BJ158" s="462"/>
      <c r="BK158" s="462"/>
      <c r="BL158" s="462"/>
      <c r="BM158" s="462"/>
      <c r="BN158" s="462"/>
      <c r="BO158" s="462"/>
      <c r="BP158" s="462"/>
    </row>
    <row r="159" spans="1:69" s="746" customFormat="1">
      <c r="A159" s="462">
        <f t="shared" si="51"/>
        <v>22</v>
      </c>
      <c r="B159" s="462">
        <f t="shared" si="56"/>
        <v>1</v>
      </c>
      <c r="C159" s="462">
        <f t="shared" si="57"/>
        <v>22</v>
      </c>
      <c r="D159" s="462">
        <f t="shared" si="58"/>
        <v>5</v>
      </c>
      <c r="E159" s="462">
        <f t="shared" si="59"/>
        <v>2</v>
      </c>
      <c r="F159" s="462"/>
      <c r="G159" s="462" t="str">
        <f t="shared" si="55"/>
        <v>Current Practice Baseline Using 31% ENERGY STAR Penetration</v>
      </c>
      <c r="H159" s="462" t="str">
        <f t="shared" si="54"/>
        <v>CEE Tier 2</v>
      </c>
      <c r="I159" s="462" t="str">
        <f t="shared" si="60"/>
        <v>Electric DHW, Gas Dryer</v>
      </c>
      <c r="J159" s="462" t="str">
        <f t="shared" si="61"/>
        <v>Electric DHW</v>
      </c>
      <c r="K159" s="462" t="str">
        <f t="shared" si="62"/>
        <v>Gas Dryer</v>
      </c>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c r="AS159" s="463"/>
      <c r="AT159" s="463"/>
      <c r="AU159" s="463"/>
      <c r="AV159" s="463"/>
      <c r="AW159" s="463"/>
      <c r="AX159" s="463"/>
      <c r="AY159" s="463"/>
      <c r="AZ159" s="463"/>
      <c r="BA159" s="462" t="str">
        <f t="shared" si="53"/>
        <v>CEE Tier 2 Clothes Washer - Electric DHW, Gas Dryer - 31% ENERGY STAR Baseline</v>
      </c>
      <c r="BB159" s="464" t="s">
        <v>27</v>
      </c>
      <c r="BC159" s="465">
        <f ca="1">AH39*SFAssumptions!$C$26/1000</f>
        <v>4.2319016498398385</v>
      </c>
      <c r="BD159" s="466">
        <f t="shared" si="52"/>
        <v>14</v>
      </c>
      <c r="BE159" s="462">
        <v>0</v>
      </c>
      <c r="BF159" s="462"/>
      <c r="BG159" s="464" t="s">
        <v>160</v>
      </c>
      <c r="BH159" s="467">
        <f ca="1">AH39*SFAssumptions!$C$27/1000</f>
        <v>15.902881162055911</v>
      </c>
      <c r="BI159" s="462"/>
      <c r="BJ159" s="462"/>
      <c r="BK159" s="462"/>
      <c r="BL159" s="462"/>
      <c r="BM159" s="462"/>
      <c r="BN159" s="462"/>
      <c r="BO159" s="462"/>
      <c r="BP159" s="462"/>
    </row>
    <row r="160" spans="1:69" s="746" customFormat="1">
      <c r="A160" s="462">
        <f t="shared" si="51"/>
        <v>23</v>
      </c>
      <c r="B160" s="462">
        <f t="shared" si="56"/>
        <v>1</v>
      </c>
      <c r="C160" s="462">
        <f t="shared" si="57"/>
        <v>23</v>
      </c>
      <c r="D160" s="462">
        <f t="shared" si="58"/>
        <v>5</v>
      </c>
      <c r="E160" s="462">
        <f t="shared" si="59"/>
        <v>3</v>
      </c>
      <c r="F160" s="462"/>
      <c r="G160" s="462" t="str">
        <f t="shared" si="55"/>
        <v>Current Practice Baseline Using 31% ENERGY STAR Penetration</v>
      </c>
      <c r="H160" s="462" t="str">
        <f t="shared" si="54"/>
        <v>CEE Tier 2</v>
      </c>
      <c r="I160" s="462" t="str">
        <f t="shared" si="60"/>
        <v>Gas DHW, Electric Dryer</v>
      </c>
      <c r="J160" s="462" t="str">
        <f t="shared" si="61"/>
        <v>Gas DHW</v>
      </c>
      <c r="K160" s="462" t="str">
        <f t="shared" si="62"/>
        <v>Electric Dryer</v>
      </c>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2" t="str">
        <f t="shared" si="53"/>
        <v>CEE Tier 2 Clothes Washer - Gas DHW, Electric Dryer - 31% ENERGY STAR Baseline</v>
      </c>
      <c r="BB160" s="464" t="s">
        <v>27</v>
      </c>
      <c r="BC160" s="465">
        <f ca="1">AH40*SFAssumptions!$C$26/1000</f>
        <v>4.2319016498398385</v>
      </c>
      <c r="BD160" s="466">
        <f t="shared" si="52"/>
        <v>14</v>
      </c>
      <c r="BE160" s="462">
        <v>0</v>
      </c>
      <c r="BF160" s="462"/>
      <c r="BG160" s="464" t="s">
        <v>160</v>
      </c>
      <c r="BH160" s="467">
        <f ca="1">AH40*SFAssumptions!$C$27/1000</f>
        <v>15.902881162055911</v>
      </c>
      <c r="BI160" s="462"/>
      <c r="BJ160" s="462"/>
      <c r="BK160" s="462"/>
      <c r="BL160" s="462"/>
      <c r="BM160" s="462"/>
      <c r="BN160" s="462"/>
      <c r="BO160" s="462"/>
      <c r="BP160" s="462"/>
    </row>
    <row r="161" spans="1:68" s="746" customFormat="1">
      <c r="A161" s="462">
        <f t="shared" si="51"/>
        <v>24</v>
      </c>
      <c r="B161" s="462">
        <f t="shared" si="56"/>
        <v>1</v>
      </c>
      <c r="C161" s="462">
        <f t="shared" si="57"/>
        <v>24</v>
      </c>
      <c r="D161" s="462">
        <f t="shared" si="58"/>
        <v>5</v>
      </c>
      <c r="E161" s="462">
        <f t="shared" si="59"/>
        <v>4</v>
      </c>
      <c r="F161" s="462"/>
      <c r="G161" s="462" t="str">
        <f t="shared" si="55"/>
        <v>Current Practice Baseline Using 31% ENERGY STAR Penetration</v>
      </c>
      <c r="H161" s="462" t="str">
        <f t="shared" si="54"/>
        <v>CEE Tier 2</v>
      </c>
      <c r="I161" s="462" t="str">
        <f t="shared" si="60"/>
        <v>Gas DHW, Gas Dryer</v>
      </c>
      <c r="J161" s="462" t="str">
        <f t="shared" si="61"/>
        <v>Gas DHW</v>
      </c>
      <c r="K161" s="462" t="str">
        <f t="shared" si="62"/>
        <v>Gas Dryer</v>
      </c>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3"/>
      <c r="AZ161" s="463"/>
      <c r="BA161" s="462" t="str">
        <f t="shared" si="53"/>
        <v>CEE Tier 2 Clothes Washer - Gas DHW, Gas Dryer - 31% ENERGY STAR Baseline</v>
      </c>
      <c r="BB161" s="464" t="s">
        <v>27</v>
      </c>
      <c r="BC161" s="465">
        <f ca="1">AH41*SFAssumptions!$C$26/1000</f>
        <v>4.2319016498398385</v>
      </c>
      <c r="BD161" s="466">
        <f t="shared" si="52"/>
        <v>14</v>
      </c>
      <c r="BE161" s="462">
        <v>0</v>
      </c>
      <c r="BF161" s="462"/>
      <c r="BG161" s="464" t="s">
        <v>160</v>
      </c>
      <c r="BH161" s="467">
        <f ca="1">AH41*SFAssumptions!$C$27/1000</f>
        <v>15.902881162055911</v>
      </c>
      <c r="BI161" s="462"/>
      <c r="BJ161" s="462"/>
      <c r="BK161" s="462"/>
      <c r="BL161" s="462"/>
      <c r="BM161" s="462"/>
      <c r="BN161" s="462"/>
      <c r="BO161" s="462"/>
      <c r="BP161" s="462"/>
    </row>
    <row r="162" spans="1:68" s="746" customFormat="1">
      <c r="A162" s="462">
        <f t="shared" si="51"/>
        <v>25</v>
      </c>
      <c r="B162" s="462">
        <f t="shared" si="56"/>
        <v>1</v>
      </c>
      <c r="C162" s="462">
        <f t="shared" si="57"/>
        <v>25</v>
      </c>
      <c r="D162" s="462">
        <f t="shared" si="58"/>
        <v>5</v>
      </c>
      <c r="E162" s="462">
        <f t="shared" si="59"/>
        <v>5</v>
      </c>
      <c r="F162" s="462"/>
      <c r="G162" s="462" t="str">
        <f t="shared" si="55"/>
        <v>Current Practice Baseline Using 31% ENERGY STAR Penetration</v>
      </c>
      <c r="H162" s="462" t="str">
        <f t="shared" si="54"/>
        <v>CEE Tier 2</v>
      </c>
      <c r="I162" s="462" t="str">
        <f t="shared" si="60"/>
        <v>Any DHW, Any Dryer</v>
      </c>
      <c r="J162" s="462" t="str">
        <f t="shared" si="61"/>
        <v>Any DHW</v>
      </c>
      <c r="K162" s="462" t="str">
        <f t="shared" si="62"/>
        <v>Any Dryer</v>
      </c>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c r="AS162" s="463"/>
      <c r="AT162" s="463"/>
      <c r="AU162" s="463"/>
      <c r="AV162" s="463"/>
      <c r="AW162" s="463"/>
      <c r="AX162" s="463"/>
      <c r="AY162" s="463"/>
      <c r="AZ162" s="463"/>
      <c r="BA162" s="462" t="str">
        <f t="shared" si="53"/>
        <v>CEE Tier 2 Clothes Washer - Any DHW, Any Dryer - 31% ENERGY STAR Baseline</v>
      </c>
      <c r="BB162" s="464" t="s">
        <v>27</v>
      </c>
      <c r="BC162" s="465">
        <f ca="1">AH42*SFAssumptions!$C$26/1000</f>
        <v>4.2319016498398385</v>
      </c>
      <c r="BD162" s="466">
        <f t="shared" si="52"/>
        <v>14</v>
      </c>
      <c r="BE162" s="462">
        <v>0</v>
      </c>
      <c r="BF162" s="462"/>
      <c r="BG162" s="464" t="s">
        <v>160</v>
      </c>
      <c r="BH162" s="467">
        <f ca="1">AH42*SFAssumptions!$C$27/1000</f>
        <v>15.902881162055911</v>
      </c>
      <c r="BI162" s="462"/>
      <c r="BJ162" s="462"/>
      <c r="BK162" s="462"/>
      <c r="BL162" s="462"/>
      <c r="BM162" s="462"/>
      <c r="BN162" s="462"/>
      <c r="BO162" s="462"/>
      <c r="BP162" s="462"/>
    </row>
    <row r="163" spans="1:68">
      <c r="A163" s="462">
        <f>A43</f>
        <v>26</v>
      </c>
      <c r="B163" s="462">
        <f t="shared" si="56"/>
        <v>1</v>
      </c>
      <c r="C163" s="462">
        <f t="shared" si="57"/>
        <v>26</v>
      </c>
      <c r="D163" s="462">
        <f t="shared" si="58"/>
        <v>6</v>
      </c>
      <c r="E163" s="462">
        <f t="shared" si="59"/>
        <v>1</v>
      </c>
      <c r="F163" s="462"/>
      <c r="G163" s="462" t="str">
        <f t="shared" si="55"/>
        <v>Current Practice Baseline Using 31% ENERGY STAR Penetration</v>
      </c>
      <c r="H163" s="462" t="str">
        <f t="shared" si="54"/>
        <v>CEE Tier 3</v>
      </c>
      <c r="I163" s="462" t="str">
        <f t="shared" si="60"/>
        <v>Electric DHW, Electric Dryer</v>
      </c>
      <c r="J163" s="462" t="str">
        <f t="shared" si="61"/>
        <v>Electric DHW</v>
      </c>
      <c r="K163" s="462" t="str">
        <f t="shared" si="62"/>
        <v>Electric Dryer</v>
      </c>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2" t="str">
        <f t="shared" si="53"/>
        <v>CEE Tier 3 Clothes Washer - Electric DHW, Electric Dryer - 31% ENERGY STAR Baseline</v>
      </c>
      <c r="BB163" s="464" t="s">
        <v>27</v>
      </c>
      <c r="BC163" s="465">
        <f ca="1">AH43*SFAssumptions!$C$26/1000</f>
        <v>4.3233672150637759</v>
      </c>
      <c r="BD163" s="466">
        <f t="shared" si="52"/>
        <v>14</v>
      </c>
      <c r="BE163" s="462">
        <v>0</v>
      </c>
      <c r="BF163" s="462"/>
      <c r="BG163" s="464" t="s">
        <v>160</v>
      </c>
      <c r="BH163" s="467">
        <f ca="1">AH43*SFAssumptions!$C$27/1000</f>
        <v>16.246595674946729</v>
      </c>
      <c r="BI163" s="462"/>
      <c r="BJ163" s="462"/>
      <c r="BK163" s="462"/>
      <c r="BL163" s="462"/>
      <c r="BM163" s="462"/>
      <c r="BN163" s="462"/>
      <c r="BO163" s="462"/>
      <c r="BP163" s="462"/>
    </row>
    <row r="164" spans="1:68">
      <c r="A164" s="462">
        <f>A44</f>
        <v>27</v>
      </c>
      <c r="B164" s="462">
        <f t="shared" si="56"/>
        <v>1</v>
      </c>
      <c r="C164" s="462">
        <f t="shared" si="57"/>
        <v>27</v>
      </c>
      <c r="D164" s="462">
        <f t="shared" si="58"/>
        <v>6</v>
      </c>
      <c r="E164" s="462">
        <f t="shared" si="59"/>
        <v>2</v>
      </c>
      <c r="F164" s="462"/>
      <c r="G164" s="462" t="str">
        <f t="shared" si="55"/>
        <v>Current Practice Baseline Using 31% ENERGY STAR Penetration</v>
      </c>
      <c r="H164" s="462" t="str">
        <f t="shared" si="54"/>
        <v>CEE Tier 3</v>
      </c>
      <c r="I164" s="462" t="str">
        <f t="shared" si="60"/>
        <v>Electric DHW, Gas Dryer</v>
      </c>
      <c r="J164" s="462" t="str">
        <f t="shared" si="61"/>
        <v>Electric DHW</v>
      </c>
      <c r="K164" s="462" t="str">
        <f t="shared" si="62"/>
        <v>Gas Dryer</v>
      </c>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2" t="str">
        <f t="shared" si="53"/>
        <v>CEE Tier 3 Clothes Washer - Electric DHW, Gas Dryer - 31% ENERGY STAR Baseline</v>
      </c>
      <c r="BB164" s="464" t="s">
        <v>27</v>
      </c>
      <c r="BC164" s="465">
        <f ca="1">AH44*SFAssumptions!$C$26/1000</f>
        <v>4.3233672150637759</v>
      </c>
      <c r="BD164" s="466">
        <f t="shared" si="52"/>
        <v>14</v>
      </c>
      <c r="BE164" s="462">
        <v>0</v>
      </c>
      <c r="BF164" s="462"/>
      <c r="BG164" s="464" t="s">
        <v>160</v>
      </c>
      <c r="BH164" s="467">
        <f ca="1">AH44*SFAssumptions!$C$27/1000</f>
        <v>16.246595674946729</v>
      </c>
      <c r="BI164" s="462"/>
      <c r="BJ164" s="462"/>
      <c r="BK164" s="462"/>
      <c r="BL164" s="462"/>
      <c r="BM164" s="462"/>
      <c r="BN164" s="462"/>
      <c r="BO164" s="462"/>
      <c r="BP164" s="462"/>
    </row>
    <row r="165" spans="1:68">
      <c r="A165" s="462">
        <f>A45</f>
        <v>28</v>
      </c>
      <c r="B165" s="462">
        <f t="shared" si="56"/>
        <v>1</v>
      </c>
      <c r="C165" s="462">
        <f t="shared" si="57"/>
        <v>28</v>
      </c>
      <c r="D165" s="462">
        <f t="shared" si="58"/>
        <v>6</v>
      </c>
      <c r="E165" s="462">
        <f t="shared" si="59"/>
        <v>3</v>
      </c>
      <c r="F165" s="462"/>
      <c r="G165" s="462" t="str">
        <f t="shared" si="55"/>
        <v>Current Practice Baseline Using 31% ENERGY STAR Penetration</v>
      </c>
      <c r="H165" s="462" t="str">
        <f t="shared" si="54"/>
        <v>CEE Tier 3</v>
      </c>
      <c r="I165" s="462" t="str">
        <f t="shared" si="60"/>
        <v>Gas DHW, Electric Dryer</v>
      </c>
      <c r="J165" s="462" t="str">
        <f t="shared" si="61"/>
        <v>Gas DHW</v>
      </c>
      <c r="K165" s="462" t="str">
        <f t="shared" si="62"/>
        <v>Electric Dryer</v>
      </c>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463"/>
      <c r="AN165" s="463"/>
      <c r="AO165" s="463"/>
      <c r="AP165" s="463"/>
      <c r="AQ165" s="463"/>
      <c r="AR165" s="463"/>
      <c r="AS165" s="463"/>
      <c r="AT165" s="463"/>
      <c r="AU165" s="463"/>
      <c r="AV165" s="463"/>
      <c r="AW165" s="463"/>
      <c r="AX165" s="463"/>
      <c r="AY165" s="463"/>
      <c r="AZ165" s="463"/>
      <c r="BA165" s="462" t="str">
        <f t="shared" si="53"/>
        <v>CEE Tier 3 Clothes Washer - Gas DHW, Electric Dryer - 31% ENERGY STAR Baseline</v>
      </c>
      <c r="BB165" s="464" t="s">
        <v>27</v>
      </c>
      <c r="BC165" s="465">
        <f ca="1">AH45*SFAssumptions!$C$26/1000</f>
        <v>4.3233672150637759</v>
      </c>
      <c r="BD165" s="466">
        <f t="shared" si="52"/>
        <v>14</v>
      </c>
      <c r="BE165" s="462">
        <v>0</v>
      </c>
      <c r="BF165" s="462"/>
      <c r="BG165" s="464" t="s">
        <v>160</v>
      </c>
      <c r="BH165" s="467">
        <f ca="1">AH45*SFAssumptions!$C$27/1000</f>
        <v>16.246595674946729</v>
      </c>
      <c r="BI165" s="462"/>
      <c r="BJ165" s="462"/>
      <c r="BK165" s="462"/>
      <c r="BL165" s="462"/>
      <c r="BM165" s="462"/>
      <c r="BN165" s="462"/>
      <c r="BO165" s="462"/>
      <c r="BP165" s="462"/>
    </row>
    <row r="166" spans="1:68">
      <c r="A166" s="462">
        <f>A46</f>
        <v>29</v>
      </c>
      <c r="B166" s="462">
        <f t="shared" si="56"/>
        <v>1</v>
      </c>
      <c r="C166" s="462">
        <f t="shared" si="57"/>
        <v>29</v>
      </c>
      <c r="D166" s="462">
        <f t="shared" si="58"/>
        <v>6</v>
      </c>
      <c r="E166" s="462">
        <f t="shared" si="59"/>
        <v>4</v>
      </c>
      <c r="F166" s="462"/>
      <c r="G166" s="462" t="str">
        <f t="shared" si="55"/>
        <v>Current Practice Baseline Using 31% ENERGY STAR Penetration</v>
      </c>
      <c r="H166" s="462" t="str">
        <f t="shared" si="54"/>
        <v>CEE Tier 3</v>
      </c>
      <c r="I166" s="462" t="str">
        <f t="shared" si="60"/>
        <v>Gas DHW, Gas Dryer</v>
      </c>
      <c r="J166" s="462" t="str">
        <f t="shared" si="61"/>
        <v>Gas DHW</v>
      </c>
      <c r="K166" s="462" t="str">
        <f t="shared" si="62"/>
        <v>Gas Dryer</v>
      </c>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63"/>
      <c r="AN166" s="463"/>
      <c r="AO166" s="463"/>
      <c r="AP166" s="463"/>
      <c r="AQ166" s="463"/>
      <c r="AR166" s="463"/>
      <c r="AS166" s="463"/>
      <c r="AT166" s="463"/>
      <c r="AU166" s="463"/>
      <c r="AV166" s="463"/>
      <c r="AW166" s="463"/>
      <c r="AX166" s="463"/>
      <c r="AY166" s="463"/>
      <c r="AZ166" s="463"/>
      <c r="BA166" s="462" t="str">
        <f t="shared" si="53"/>
        <v>CEE Tier 3 Clothes Washer - Gas DHW, Gas Dryer - 31% ENERGY STAR Baseline</v>
      </c>
      <c r="BB166" s="464" t="s">
        <v>27</v>
      </c>
      <c r="BC166" s="465">
        <f ca="1">AH46*SFAssumptions!$C$26/1000</f>
        <v>4.3233672150637759</v>
      </c>
      <c r="BD166" s="466">
        <f t="shared" si="52"/>
        <v>14</v>
      </c>
      <c r="BE166" s="462">
        <v>0</v>
      </c>
      <c r="BF166" s="462"/>
      <c r="BG166" s="464" t="s">
        <v>160</v>
      </c>
      <c r="BH166" s="467">
        <f ca="1">AH46*SFAssumptions!$C$27/1000</f>
        <v>16.246595674946729</v>
      </c>
      <c r="BI166" s="462"/>
      <c r="BJ166" s="462"/>
      <c r="BK166" s="462"/>
      <c r="BL166" s="462"/>
      <c r="BM166" s="462"/>
      <c r="BN166" s="462"/>
      <c r="BO166" s="462"/>
      <c r="BP166" s="462"/>
    </row>
    <row r="167" spans="1:68">
      <c r="A167" s="462">
        <f>A47</f>
        <v>30</v>
      </c>
      <c r="B167" s="462">
        <f t="shared" si="56"/>
        <v>1</v>
      </c>
      <c r="C167" s="462">
        <f t="shared" si="57"/>
        <v>30</v>
      </c>
      <c r="D167" s="462">
        <f t="shared" si="58"/>
        <v>6</v>
      </c>
      <c r="E167" s="462">
        <f t="shared" si="59"/>
        <v>5</v>
      </c>
      <c r="F167" s="462"/>
      <c r="G167" s="462" t="str">
        <f t="shared" si="55"/>
        <v>Current Practice Baseline Using 31% ENERGY STAR Penetration</v>
      </c>
      <c r="H167" s="462" t="str">
        <f t="shared" si="54"/>
        <v>CEE Tier 3</v>
      </c>
      <c r="I167" s="462" t="str">
        <f t="shared" si="60"/>
        <v>Any DHW, Any Dryer</v>
      </c>
      <c r="J167" s="462" t="str">
        <f t="shared" si="61"/>
        <v>Any DHW</v>
      </c>
      <c r="K167" s="462" t="str">
        <f t="shared" si="62"/>
        <v>Any Dryer</v>
      </c>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463"/>
      <c r="AX167" s="463"/>
      <c r="AY167" s="463"/>
      <c r="AZ167" s="463"/>
      <c r="BA167" s="462" t="str">
        <f t="shared" si="53"/>
        <v>CEE Tier 3 Clothes Washer - Any DHW, Any Dryer - 31% ENERGY STAR Baseline</v>
      </c>
      <c r="BB167" s="464" t="s">
        <v>27</v>
      </c>
      <c r="BC167" s="465">
        <f ca="1">AH47*SFAssumptions!$C$26/1000</f>
        <v>4.3233672150637759</v>
      </c>
      <c r="BD167" s="466">
        <f t="shared" si="52"/>
        <v>14</v>
      </c>
      <c r="BE167" s="462">
        <v>0</v>
      </c>
      <c r="BF167" s="462"/>
      <c r="BG167" s="464" t="s">
        <v>160</v>
      </c>
      <c r="BH167" s="467">
        <f ca="1">AH47*SFAssumptions!$C$27/1000</f>
        <v>16.246595674946729</v>
      </c>
      <c r="BI167" s="462"/>
      <c r="BJ167" s="462"/>
      <c r="BK167" s="462"/>
      <c r="BL167" s="462"/>
      <c r="BM167" s="462"/>
      <c r="BN167" s="462"/>
      <c r="BO167" s="462"/>
      <c r="BP167" s="462"/>
    </row>
    <row r="168" spans="1:68">
      <c r="A168" s="462">
        <f t="shared" ref="A168:A197" si="63">A48</f>
        <v>31</v>
      </c>
      <c r="B168" s="462">
        <f t="shared" si="56"/>
        <v>2</v>
      </c>
      <c r="C168" s="462">
        <f t="shared" si="57"/>
        <v>1</v>
      </c>
      <c r="D168" s="462">
        <f t="shared" si="58"/>
        <v>1</v>
      </c>
      <c r="E168" s="462">
        <f t="shared" si="59"/>
        <v>1</v>
      </c>
      <c r="F168" s="462"/>
      <c r="G168" s="462" t="str">
        <f t="shared" si="55"/>
        <v>Current Practice Baseline Using 54% ENERGY STAR Penetration</v>
      </c>
      <c r="H168" s="462" t="str">
        <f t="shared" si="54"/>
        <v>ENERGY STAR - Top-Load</v>
      </c>
      <c r="I168" s="462" t="str">
        <f t="shared" si="60"/>
        <v>Electric DHW, Electric Dryer</v>
      </c>
      <c r="J168" s="462" t="str">
        <f t="shared" si="61"/>
        <v>Electric DHW</v>
      </c>
      <c r="K168" s="462" t="str">
        <f t="shared" si="62"/>
        <v>Electric Dryer</v>
      </c>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c r="AI168" s="463"/>
      <c r="AJ168" s="463"/>
      <c r="AK168" s="463"/>
      <c r="AL168" s="463"/>
      <c r="AM168" s="463"/>
      <c r="AN168" s="463"/>
      <c r="AO168" s="463"/>
      <c r="AP168" s="463"/>
      <c r="AQ168" s="463"/>
      <c r="AR168" s="463"/>
      <c r="AS168" s="463"/>
      <c r="AT168" s="463"/>
      <c r="AU168" s="463"/>
      <c r="AV168" s="463"/>
      <c r="AW168" s="463"/>
      <c r="AX168" s="463"/>
      <c r="AY168" s="463"/>
      <c r="AZ168" s="463"/>
      <c r="BA168" s="462" t="str">
        <f>CONCATENATE(H168," Clothes Washer - ",I168," - 54% ENERGY STAR Baseline")</f>
        <v>ENERGY STAR - Top-Load Clothes Washer - Electric DHW, Electric Dryer - 54% ENERGY STAR Baseline</v>
      </c>
      <c r="BB168" s="464" t="s">
        <v>27</v>
      </c>
      <c r="BC168" s="465">
        <f ca="1">AH48*SFAssumptions!$C$26/1000</f>
        <v>-0.60922634974146261</v>
      </c>
      <c r="BD168" s="466">
        <f t="shared" si="52"/>
        <v>14</v>
      </c>
      <c r="BE168" s="462">
        <v>0</v>
      </c>
      <c r="BF168" s="462"/>
      <c r="BG168" s="464" t="s">
        <v>160</v>
      </c>
      <c r="BH168" s="467">
        <f ca="1">AH48*SFAssumptions!$C$27/1000</f>
        <v>-2.2893854920041119</v>
      </c>
      <c r="BI168" s="462"/>
      <c r="BJ168" s="462"/>
      <c r="BK168" s="462"/>
      <c r="BL168" s="462"/>
      <c r="BM168" s="462"/>
      <c r="BN168" s="462"/>
      <c r="BO168" s="462"/>
      <c r="BP168" s="462"/>
    </row>
    <row r="169" spans="1:68">
      <c r="A169" s="462">
        <f t="shared" si="63"/>
        <v>32</v>
      </c>
      <c r="B169" s="462">
        <f t="shared" si="56"/>
        <v>2</v>
      </c>
      <c r="C169" s="462">
        <f t="shared" si="57"/>
        <v>2</v>
      </c>
      <c r="D169" s="462">
        <f t="shared" si="58"/>
        <v>1</v>
      </c>
      <c r="E169" s="462">
        <f t="shared" si="59"/>
        <v>2</v>
      </c>
      <c r="F169" s="462"/>
      <c r="G169" s="462" t="str">
        <f t="shared" si="55"/>
        <v>Current Practice Baseline Using 54% ENERGY STAR Penetration</v>
      </c>
      <c r="H169" s="462" t="str">
        <f t="shared" si="54"/>
        <v>ENERGY STAR - Top-Load</v>
      </c>
      <c r="I169" s="462" t="str">
        <f t="shared" si="60"/>
        <v>Electric DHW, Gas Dryer</v>
      </c>
      <c r="J169" s="462" t="str">
        <f t="shared" si="61"/>
        <v>Electric DHW</v>
      </c>
      <c r="K169" s="462" t="str">
        <f t="shared" si="62"/>
        <v>Gas Dryer</v>
      </c>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2" t="str">
        <f t="shared" ref="BA169:BA197" si="64">CONCATENATE(H169," Clothes Washer - ",I169," - 54% ENERGY STAR Baseline")</f>
        <v>ENERGY STAR - Top-Load Clothes Washer - Electric DHW, Gas Dryer - 54% ENERGY STAR Baseline</v>
      </c>
      <c r="BB169" s="464" t="s">
        <v>27</v>
      </c>
      <c r="BC169" s="465">
        <f ca="1">AH49*SFAssumptions!$C$26/1000</f>
        <v>-0.60922634974146261</v>
      </c>
      <c r="BD169" s="466">
        <f t="shared" si="52"/>
        <v>14</v>
      </c>
      <c r="BE169" s="462">
        <v>0</v>
      </c>
      <c r="BF169" s="462"/>
      <c r="BG169" s="464" t="s">
        <v>160</v>
      </c>
      <c r="BH169" s="467">
        <f ca="1">AH49*SFAssumptions!$C$27/1000</f>
        <v>-2.2893854920041119</v>
      </c>
      <c r="BI169" s="462"/>
      <c r="BJ169" s="462"/>
      <c r="BK169" s="462"/>
      <c r="BL169" s="462"/>
      <c r="BM169" s="462"/>
      <c r="BN169" s="462"/>
      <c r="BO169" s="462"/>
      <c r="BP169" s="462"/>
    </row>
    <row r="170" spans="1:68">
      <c r="A170" s="462">
        <f t="shared" si="63"/>
        <v>33</v>
      </c>
      <c r="B170" s="462">
        <f t="shared" si="56"/>
        <v>2</v>
      </c>
      <c r="C170" s="462">
        <f t="shared" si="57"/>
        <v>3</v>
      </c>
      <c r="D170" s="462">
        <f t="shared" si="58"/>
        <v>1</v>
      </c>
      <c r="E170" s="462">
        <f t="shared" si="59"/>
        <v>3</v>
      </c>
      <c r="F170" s="462"/>
      <c r="G170" s="462" t="str">
        <f t="shared" si="55"/>
        <v>Current Practice Baseline Using 54% ENERGY STAR Penetration</v>
      </c>
      <c r="H170" s="462" t="str">
        <f t="shared" si="54"/>
        <v>ENERGY STAR - Top-Load</v>
      </c>
      <c r="I170" s="462" t="str">
        <f t="shared" si="60"/>
        <v>Gas DHW, Electric Dryer</v>
      </c>
      <c r="J170" s="462" t="str">
        <f t="shared" si="61"/>
        <v>Gas DHW</v>
      </c>
      <c r="K170" s="462" t="str">
        <f t="shared" si="62"/>
        <v>Electric Dryer</v>
      </c>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c r="AI170" s="463"/>
      <c r="AJ170" s="463"/>
      <c r="AK170" s="463"/>
      <c r="AL170" s="463"/>
      <c r="AM170" s="463"/>
      <c r="AN170" s="463"/>
      <c r="AO170" s="463"/>
      <c r="AP170" s="463"/>
      <c r="AQ170" s="463"/>
      <c r="AR170" s="463"/>
      <c r="AS170" s="463"/>
      <c r="AT170" s="463"/>
      <c r="AU170" s="463"/>
      <c r="AV170" s="463"/>
      <c r="AW170" s="463"/>
      <c r="AX170" s="463"/>
      <c r="AY170" s="463"/>
      <c r="AZ170" s="463"/>
      <c r="BA170" s="462" t="str">
        <f t="shared" si="64"/>
        <v>ENERGY STAR - Top-Load Clothes Washer - Gas DHW, Electric Dryer - 54% ENERGY STAR Baseline</v>
      </c>
      <c r="BB170" s="464" t="s">
        <v>27</v>
      </c>
      <c r="BC170" s="465">
        <f ca="1">AH50*SFAssumptions!$C$26/1000</f>
        <v>-0.60922634974146261</v>
      </c>
      <c r="BD170" s="466">
        <f t="shared" si="52"/>
        <v>14</v>
      </c>
      <c r="BE170" s="462">
        <v>0</v>
      </c>
      <c r="BF170" s="462"/>
      <c r="BG170" s="464" t="s">
        <v>160</v>
      </c>
      <c r="BH170" s="467">
        <f ca="1">AH50*SFAssumptions!$C$27/1000</f>
        <v>-2.2893854920041119</v>
      </c>
      <c r="BI170" s="462"/>
      <c r="BJ170" s="462"/>
      <c r="BK170" s="462"/>
      <c r="BL170" s="462"/>
      <c r="BM170" s="462"/>
      <c r="BN170" s="462"/>
      <c r="BO170" s="462"/>
      <c r="BP170" s="462"/>
    </row>
    <row r="171" spans="1:68">
      <c r="A171" s="462">
        <f t="shared" si="63"/>
        <v>34</v>
      </c>
      <c r="B171" s="462">
        <f t="shared" si="56"/>
        <v>2</v>
      </c>
      <c r="C171" s="462">
        <f t="shared" si="57"/>
        <v>4</v>
      </c>
      <c r="D171" s="462">
        <f t="shared" si="58"/>
        <v>1</v>
      </c>
      <c r="E171" s="462">
        <f t="shared" si="59"/>
        <v>4</v>
      </c>
      <c r="F171" s="462"/>
      <c r="G171" s="462" t="str">
        <f t="shared" si="55"/>
        <v>Current Practice Baseline Using 54% ENERGY STAR Penetration</v>
      </c>
      <c r="H171" s="462" t="str">
        <f t="shared" si="54"/>
        <v>ENERGY STAR - Top-Load</v>
      </c>
      <c r="I171" s="462" t="str">
        <f t="shared" si="60"/>
        <v>Gas DHW, Gas Dryer</v>
      </c>
      <c r="J171" s="462" t="str">
        <f t="shared" si="61"/>
        <v>Gas DHW</v>
      </c>
      <c r="K171" s="462" t="str">
        <f t="shared" si="62"/>
        <v>Gas Dryer</v>
      </c>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63"/>
      <c r="AO171" s="463"/>
      <c r="AP171" s="463"/>
      <c r="AQ171" s="463"/>
      <c r="AR171" s="463"/>
      <c r="AS171" s="463"/>
      <c r="AT171" s="463"/>
      <c r="AU171" s="463"/>
      <c r="AV171" s="463"/>
      <c r="AW171" s="463"/>
      <c r="AX171" s="463"/>
      <c r="AY171" s="463"/>
      <c r="AZ171" s="463"/>
      <c r="BA171" s="462" t="str">
        <f t="shared" si="64"/>
        <v>ENERGY STAR - Top-Load Clothes Washer - Gas DHW, Gas Dryer - 54% ENERGY STAR Baseline</v>
      </c>
      <c r="BB171" s="464" t="s">
        <v>27</v>
      </c>
      <c r="BC171" s="465">
        <f ca="1">AH51*SFAssumptions!$C$26/1000</f>
        <v>-0.60922634974146261</v>
      </c>
      <c r="BD171" s="466">
        <f t="shared" si="52"/>
        <v>14</v>
      </c>
      <c r="BE171" s="462">
        <v>0</v>
      </c>
      <c r="BF171" s="462"/>
      <c r="BG171" s="464" t="s">
        <v>160</v>
      </c>
      <c r="BH171" s="467">
        <f ca="1">AH51*SFAssumptions!$C$27/1000</f>
        <v>-2.2893854920041119</v>
      </c>
      <c r="BI171" s="462"/>
      <c r="BJ171" s="462"/>
      <c r="BK171" s="462"/>
      <c r="BL171" s="462"/>
      <c r="BM171" s="462"/>
      <c r="BN171" s="462"/>
      <c r="BO171" s="462"/>
      <c r="BP171" s="462"/>
    </row>
    <row r="172" spans="1:68">
      <c r="A172" s="462">
        <f t="shared" si="63"/>
        <v>35</v>
      </c>
      <c r="B172" s="462">
        <f t="shared" si="56"/>
        <v>2</v>
      </c>
      <c r="C172" s="462">
        <f t="shared" si="57"/>
        <v>5</v>
      </c>
      <c r="D172" s="462">
        <f t="shared" si="58"/>
        <v>1</v>
      </c>
      <c r="E172" s="462">
        <f t="shared" si="59"/>
        <v>5</v>
      </c>
      <c r="F172" s="462"/>
      <c r="G172" s="462" t="str">
        <f t="shared" si="55"/>
        <v>Current Practice Baseline Using 54% ENERGY STAR Penetration</v>
      </c>
      <c r="H172" s="462" t="str">
        <f t="shared" si="54"/>
        <v>ENERGY STAR - Top-Load</v>
      </c>
      <c r="I172" s="462" t="str">
        <f t="shared" si="60"/>
        <v>Any DHW, Any Dryer</v>
      </c>
      <c r="J172" s="462" t="str">
        <f t="shared" si="61"/>
        <v>Any DHW</v>
      </c>
      <c r="K172" s="462" t="str">
        <f t="shared" si="62"/>
        <v>Any Dryer</v>
      </c>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2" t="str">
        <f t="shared" si="64"/>
        <v>ENERGY STAR - Top-Load Clothes Washer - Any DHW, Any Dryer - 54% ENERGY STAR Baseline</v>
      </c>
      <c r="BB172" s="464" t="s">
        <v>27</v>
      </c>
      <c r="BC172" s="465">
        <f ca="1">AH52*SFAssumptions!$C$26/1000</f>
        <v>-0.60922634974146261</v>
      </c>
      <c r="BD172" s="466">
        <f t="shared" si="52"/>
        <v>14</v>
      </c>
      <c r="BE172" s="462">
        <v>0</v>
      </c>
      <c r="BF172" s="462"/>
      <c r="BG172" s="464" t="s">
        <v>160</v>
      </c>
      <c r="BH172" s="467">
        <f ca="1">AH52*SFAssumptions!$C$27/1000</f>
        <v>-2.2893854920041119</v>
      </c>
      <c r="BI172" s="462"/>
      <c r="BJ172" s="462"/>
      <c r="BK172" s="462"/>
      <c r="BL172" s="462"/>
      <c r="BM172" s="462"/>
      <c r="BN172" s="462"/>
      <c r="BO172" s="462"/>
      <c r="BP172" s="462"/>
    </row>
    <row r="173" spans="1:68">
      <c r="A173" s="462">
        <f t="shared" si="63"/>
        <v>36</v>
      </c>
      <c r="B173" s="462">
        <f t="shared" si="56"/>
        <v>2</v>
      </c>
      <c r="C173" s="462">
        <f t="shared" si="57"/>
        <v>6</v>
      </c>
      <c r="D173" s="462">
        <f t="shared" si="58"/>
        <v>2</v>
      </c>
      <c r="E173" s="462">
        <f t="shared" si="59"/>
        <v>1</v>
      </c>
      <c r="F173" s="462"/>
      <c r="G173" s="462" t="str">
        <f t="shared" si="55"/>
        <v>Current Practice Baseline Using 54% ENERGY STAR Penetration</v>
      </c>
      <c r="H173" s="462" t="str">
        <f t="shared" si="54"/>
        <v>ENERGY STAR - Front-Load</v>
      </c>
      <c r="I173" s="462" t="str">
        <f t="shared" si="60"/>
        <v>Electric DHW, Electric Dryer</v>
      </c>
      <c r="J173" s="462" t="str">
        <f t="shared" si="61"/>
        <v>Electric DHW</v>
      </c>
      <c r="K173" s="462" t="str">
        <f t="shared" si="62"/>
        <v>Electric Dryer</v>
      </c>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c r="AI173" s="463"/>
      <c r="AJ173" s="463"/>
      <c r="AK173" s="463"/>
      <c r="AL173" s="463"/>
      <c r="AM173" s="463"/>
      <c r="AN173" s="463"/>
      <c r="AO173" s="463"/>
      <c r="AP173" s="463"/>
      <c r="AQ173" s="463"/>
      <c r="AR173" s="463"/>
      <c r="AS173" s="463"/>
      <c r="AT173" s="463"/>
      <c r="AU173" s="463"/>
      <c r="AV173" s="463"/>
      <c r="AW173" s="463"/>
      <c r="AX173" s="463"/>
      <c r="AY173" s="463"/>
      <c r="AZ173" s="463"/>
      <c r="BA173" s="462" t="str">
        <f t="shared" si="64"/>
        <v>ENERGY STAR - Front-Load Clothes Washer - Electric DHW, Electric Dryer - 54% ENERGY STAR Baseline</v>
      </c>
      <c r="BB173" s="464" t="s">
        <v>27</v>
      </c>
      <c r="BC173" s="465">
        <f ca="1">AH53*SFAssumptions!$C$26/1000</f>
        <v>2.7104849190651508</v>
      </c>
      <c r="BD173" s="466">
        <f t="shared" si="52"/>
        <v>14</v>
      </c>
      <c r="BE173" s="462">
        <v>0</v>
      </c>
      <c r="BF173" s="462"/>
      <c r="BG173" s="464" t="s">
        <v>160</v>
      </c>
      <c r="BH173" s="467">
        <f ca="1">AH53*SFAssumptions!$C$27/1000</f>
        <v>10.185614677758206</v>
      </c>
      <c r="BI173" s="462"/>
      <c r="BJ173" s="462"/>
      <c r="BK173" s="462"/>
      <c r="BL173" s="462"/>
      <c r="BM173" s="462"/>
      <c r="BN173" s="462"/>
      <c r="BO173" s="462"/>
      <c r="BP173" s="462"/>
    </row>
    <row r="174" spans="1:68">
      <c r="A174" s="462">
        <f t="shared" si="63"/>
        <v>37</v>
      </c>
      <c r="B174" s="462">
        <f t="shared" si="56"/>
        <v>2</v>
      </c>
      <c r="C174" s="462">
        <f t="shared" si="57"/>
        <v>7</v>
      </c>
      <c r="D174" s="462">
        <f t="shared" si="58"/>
        <v>2</v>
      </c>
      <c r="E174" s="462">
        <f t="shared" si="59"/>
        <v>2</v>
      </c>
      <c r="F174" s="462"/>
      <c r="G174" s="462" t="str">
        <f t="shared" si="55"/>
        <v>Current Practice Baseline Using 54% ENERGY STAR Penetration</v>
      </c>
      <c r="H174" s="462" t="str">
        <f t="shared" si="54"/>
        <v>ENERGY STAR - Front-Load</v>
      </c>
      <c r="I174" s="462" t="str">
        <f t="shared" si="60"/>
        <v>Electric DHW, Gas Dryer</v>
      </c>
      <c r="J174" s="462" t="str">
        <f t="shared" si="61"/>
        <v>Electric DHW</v>
      </c>
      <c r="K174" s="462" t="str">
        <f t="shared" si="62"/>
        <v>Gas Dryer</v>
      </c>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3"/>
      <c r="AY174" s="463"/>
      <c r="AZ174" s="463"/>
      <c r="BA174" s="462" t="str">
        <f t="shared" si="64"/>
        <v>ENERGY STAR - Front-Load Clothes Washer - Electric DHW, Gas Dryer - 54% ENERGY STAR Baseline</v>
      </c>
      <c r="BB174" s="464" t="s">
        <v>27</v>
      </c>
      <c r="BC174" s="465">
        <f ca="1">AH54*SFAssumptions!$C$26/1000</f>
        <v>2.7104849190651508</v>
      </c>
      <c r="BD174" s="466">
        <f t="shared" si="52"/>
        <v>14</v>
      </c>
      <c r="BE174" s="462">
        <v>0</v>
      </c>
      <c r="BF174" s="462"/>
      <c r="BG174" s="464" t="s">
        <v>160</v>
      </c>
      <c r="BH174" s="467">
        <f ca="1">AH54*SFAssumptions!$C$27/1000</f>
        <v>10.185614677758206</v>
      </c>
      <c r="BI174" s="462"/>
      <c r="BJ174" s="462"/>
      <c r="BK174" s="462"/>
      <c r="BL174" s="462"/>
      <c r="BM174" s="462"/>
      <c r="BN174" s="462"/>
      <c r="BO174" s="462"/>
      <c r="BP174" s="462"/>
    </row>
    <row r="175" spans="1:68">
      <c r="A175" s="462">
        <f t="shared" si="63"/>
        <v>38</v>
      </c>
      <c r="B175" s="462">
        <f t="shared" si="56"/>
        <v>2</v>
      </c>
      <c r="C175" s="462">
        <f t="shared" si="57"/>
        <v>8</v>
      </c>
      <c r="D175" s="462">
        <f t="shared" si="58"/>
        <v>2</v>
      </c>
      <c r="E175" s="462">
        <f t="shared" si="59"/>
        <v>3</v>
      </c>
      <c r="F175" s="462"/>
      <c r="G175" s="462" t="str">
        <f t="shared" si="55"/>
        <v>Current Practice Baseline Using 54% ENERGY STAR Penetration</v>
      </c>
      <c r="H175" s="462" t="str">
        <f t="shared" si="54"/>
        <v>ENERGY STAR - Front-Load</v>
      </c>
      <c r="I175" s="462" t="str">
        <f t="shared" si="60"/>
        <v>Gas DHW, Electric Dryer</v>
      </c>
      <c r="J175" s="462" t="str">
        <f t="shared" si="61"/>
        <v>Gas DHW</v>
      </c>
      <c r="K175" s="462" t="str">
        <f t="shared" si="62"/>
        <v>Electric Dryer</v>
      </c>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c r="AI175" s="463"/>
      <c r="AJ175" s="463"/>
      <c r="AK175" s="463"/>
      <c r="AL175" s="463"/>
      <c r="AM175" s="463"/>
      <c r="AN175" s="463"/>
      <c r="AO175" s="463"/>
      <c r="AP175" s="463"/>
      <c r="AQ175" s="463"/>
      <c r="AR175" s="463"/>
      <c r="AS175" s="463"/>
      <c r="AT175" s="463"/>
      <c r="AU175" s="463"/>
      <c r="AV175" s="463"/>
      <c r="AW175" s="463"/>
      <c r="AX175" s="463"/>
      <c r="AY175" s="463"/>
      <c r="AZ175" s="463"/>
      <c r="BA175" s="462" t="str">
        <f t="shared" si="64"/>
        <v>ENERGY STAR - Front-Load Clothes Washer - Gas DHW, Electric Dryer - 54% ENERGY STAR Baseline</v>
      </c>
      <c r="BB175" s="464" t="s">
        <v>27</v>
      </c>
      <c r="BC175" s="465">
        <f ca="1">AH55*SFAssumptions!$C$26/1000</f>
        <v>2.7104849190651508</v>
      </c>
      <c r="BD175" s="466">
        <f t="shared" si="52"/>
        <v>14</v>
      </c>
      <c r="BE175" s="462">
        <v>0</v>
      </c>
      <c r="BF175" s="462"/>
      <c r="BG175" s="464" t="s">
        <v>160</v>
      </c>
      <c r="BH175" s="467">
        <f ca="1">AH55*SFAssumptions!$C$27/1000</f>
        <v>10.185614677758206</v>
      </c>
      <c r="BI175" s="462"/>
      <c r="BJ175" s="462"/>
      <c r="BK175" s="462"/>
      <c r="BL175" s="462"/>
      <c r="BM175" s="462"/>
      <c r="BN175" s="462"/>
      <c r="BO175" s="462"/>
      <c r="BP175" s="462"/>
    </row>
    <row r="176" spans="1:68">
      <c r="A176" s="462">
        <f t="shared" si="63"/>
        <v>39</v>
      </c>
      <c r="B176" s="462">
        <f t="shared" si="56"/>
        <v>2</v>
      </c>
      <c r="C176" s="462">
        <f t="shared" si="57"/>
        <v>9</v>
      </c>
      <c r="D176" s="462">
        <f t="shared" si="58"/>
        <v>2</v>
      </c>
      <c r="E176" s="462">
        <f t="shared" si="59"/>
        <v>4</v>
      </c>
      <c r="F176" s="462"/>
      <c r="G176" s="462" t="str">
        <f t="shared" si="55"/>
        <v>Current Practice Baseline Using 54% ENERGY STAR Penetration</v>
      </c>
      <c r="H176" s="462" t="str">
        <f t="shared" si="54"/>
        <v>ENERGY STAR - Front-Load</v>
      </c>
      <c r="I176" s="462" t="str">
        <f t="shared" si="60"/>
        <v>Gas DHW, Gas Dryer</v>
      </c>
      <c r="J176" s="462" t="str">
        <f t="shared" si="61"/>
        <v>Gas DHW</v>
      </c>
      <c r="K176" s="462" t="str">
        <f t="shared" si="62"/>
        <v>Gas Dryer</v>
      </c>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c r="AI176" s="463"/>
      <c r="AJ176" s="463"/>
      <c r="AK176" s="463"/>
      <c r="AL176" s="463"/>
      <c r="AM176" s="463"/>
      <c r="AN176" s="463"/>
      <c r="AO176" s="463"/>
      <c r="AP176" s="463"/>
      <c r="AQ176" s="463"/>
      <c r="AR176" s="463"/>
      <c r="AS176" s="463"/>
      <c r="AT176" s="463"/>
      <c r="AU176" s="463"/>
      <c r="AV176" s="463"/>
      <c r="AW176" s="463"/>
      <c r="AX176" s="463"/>
      <c r="AY176" s="463"/>
      <c r="AZ176" s="463"/>
      <c r="BA176" s="462" t="str">
        <f t="shared" si="64"/>
        <v>ENERGY STAR - Front-Load Clothes Washer - Gas DHW, Gas Dryer - 54% ENERGY STAR Baseline</v>
      </c>
      <c r="BB176" s="464" t="s">
        <v>27</v>
      </c>
      <c r="BC176" s="465">
        <f ca="1">AH56*SFAssumptions!$C$26/1000</f>
        <v>2.7104849190651508</v>
      </c>
      <c r="BD176" s="466">
        <f t="shared" si="52"/>
        <v>14</v>
      </c>
      <c r="BE176" s="462">
        <v>0</v>
      </c>
      <c r="BF176" s="462"/>
      <c r="BG176" s="464" t="s">
        <v>160</v>
      </c>
      <c r="BH176" s="467">
        <f ca="1">AH56*SFAssumptions!$C$27/1000</f>
        <v>10.185614677758206</v>
      </c>
      <c r="BI176" s="462"/>
      <c r="BJ176" s="462"/>
      <c r="BK176" s="462"/>
      <c r="BL176" s="462"/>
      <c r="BM176" s="462"/>
      <c r="BN176" s="462"/>
      <c r="BO176" s="462"/>
      <c r="BP176" s="462"/>
    </row>
    <row r="177" spans="1:68">
      <c r="A177" s="462">
        <f t="shared" si="63"/>
        <v>40</v>
      </c>
      <c r="B177" s="462">
        <f t="shared" si="56"/>
        <v>2</v>
      </c>
      <c r="C177" s="462">
        <f t="shared" si="57"/>
        <v>10</v>
      </c>
      <c r="D177" s="462">
        <f t="shared" si="58"/>
        <v>2</v>
      </c>
      <c r="E177" s="462">
        <f t="shared" si="59"/>
        <v>5</v>
      </c>
      <c r="F177" s="462"/>
      <c r="G177" s="462" t="str">
        <f t="shared" si="55"/>
        <v>Current Practice Baseline Using 54% ENERGY STAR Penetration</v>
      </c>
      <c r="H177" s="462" t="str">
        <f t="shared" si="54"/>
        <v>ENERGY STAR - Front-Load</v>
      </c>
      <c r="I177" s="462" t="str">
        <f t="shared" si="60"/>
        <v>Any DHW, Any Dryer</v>
      </c>
      <c r="J177" s="462" t="str">
        <f t="shared" si="61"/>
        <v>Any DHW</v>
      </c>
      <c r="K177" s="462" t="str">
        <f t="shared" si="62"/>
        <v>Any Dryer</v>
      </c>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3"/>
      <c r="AY177" s="463"/>
      <c r="AZ177" s="463"/>
      <c r="BA177" s="462" t="str">
        <f t="shared" si="64"/>
        <v>ENERGY STAR - Front-Load Clothes Washer - Any DHW, Any Dryer - 54% ENERGY STAR Baseline</v>
      </c>
      <c r="BB177" s="464" t="s">
        <v>27</v>
      </c>
      <c r="BC177" s="465">
        <f ca="1">AH57*SFAssumptions!$C$26/1000</f>
        <v>2.7104849190651508</v>
      </c>
      <c r="BD177" s="466">
        <f t="shared" si="52"/>
        <v>14</v>
      </c>
      <c r="BE177" s="462">
        <v>0</v>
      </c>
      <c r="BF177" s="462"/>
      <c r="BG177" s="464" t="s">
        <v>160</v>
      </c>
      <c r="BH177" s="467">
        <f ca="1">AH57*SFAssumptions!$C$27/1000</f>
        <v>10.185614677758206</v>
      </c>
      <c r="BI177" s="462"/>
      <c r="BJ177" s="462"/>
      <c r="BK177" s="462"/>
      <c r="BL177" s="462"/>
      <c r="BM177" s="462"/>
      <c r="BN177" s="462"/>
      <c r="BO177" s="462"/>
      <c r="BP177" s="462"/>
    </row>
    <row r="178" spans="1:68">
      <c r="A178" s="462">
        <f t="shared" si="63"/>
        <v>41</v>
      </c>
      <c r="B178" s="462">
        <f t="shared" si="56"/>
        <v>2</v>
      </c>
      <c r="C178" s="462">
        <f t="shared" si="57"/>
        <v>11</v>
      </c>
      <c r="D178" s="462">
        <f t="shared" si="58"/>
        <v>3</v>
      </c>
      <c r="E178" s="462">
        <f t="shared" si="59"/>
        <v>1</v>
      </c>
      <c r="F178" s="462"/>
      <c r="G178" s="462" t="str">
        <f t="shared" si="55"/>
        <v>Current Practice Baseline Using 54% ENERGY STAR Penetration</v>
      </c>
      <c r="H178" s="462" t="str">
        <f t="shared" si="54"/>
        <v>Any ENERGY STAR (Top- or Front-Load)</v>
      </c>
      <c r="I178" s="462" t="str">
        <f t="shared" si="60"/>
        <v>Electric DHW, Electric Dryer</v>
      </c>
      <c r="J178" s="462" t="str">
        <f t="shared" si="61"/>
        <v>Electric DHW</v>
      </c>
      <c r="K178" s="462" t="str">
        <f t="shared" si="62"/>
        <v>Electric Dryer</v>
      </c>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2" t="str">
        <f t="shared" si="64"/>
        <v>Any ENERGY STAR (Top- or Front-Load) Clothes Washer - Electric DHW, Electric Dryer - 54% ENERGY STAR Baseline</v>
      </c>
      <c r="BB178" s="464" t="s">
        <v>27</v>
      </c>
      <c r="BC178" s="465">
        <f ca="1">AH58*SFAssumptions!$C$26/1000</f>
        <v>1.7731546784609331</v>
      </c>
      <c r="BD178" s="466">
        <f t="shared" si="52"/>
        <v>14</v>
      </c>
      <c r="BE178" s="462">
        <v>0</v>
      </c>
      <c r="BF178" s="462"/>
      <c r="BG178" s="464" t="s">
        <v>160</v>
      </c>
      <c r="BH178" s="467">
        <f ca="1">AH58*SFAssumptions!$C$27/1000</f>
        <v>6.6632616886488547</v>
      </c>
      <c r="BI178" s="462"/>
      <c r="BJ178" s="462"/>
      <c r="BK178" s="462"/>
      <c r="BL178" s="462"/>
      <c r="BM178" s="462"/>
      <c r="BN178" s="462"/>
      <c r="BO178" s="462"/>
      <c r="BP178" s="462"/>
    </row>
    <row r="179" spans="1:68">
      <c r="A179" s="462">
        <f t="shared" si="63"/>
        <v>42</v>
      </c>
      <c r="B179" s="462">
        <f t="shared" si="56"/>
        <v>2</v>
      </c>
      <c r="C179" s="462">
        <f t="shared" si="57"/>
        <v>12</v>
      </c>
      <c r="D179" s="462">
        <f t="shared" si="58"/>
        <v>3</v>
      </c>
      <c r="E179" s="462">
        <f t="shared" si="59"/>
        <v>2</v>
      </c>
      <c r="F179" s="462"/>
      <c r="G179" s="462" t="str">
        <f t="shared" si="55"/>
        <v>Current Practice Baseline Using 54% ENERGY STAR Penetration</v>
      </c>
      <c r="H179" s="462" t="str">
        <f t="shared" si="54"/>
        <v>Any ENERGY STAR (Top- or Front-Load)</v>
      </c>
      <c r="I179" s="462" t="str">
        <f t="shared" si="60"/>
        <v>Electric DHW, Gas Dryer</v>
      </c>
      <c r="J179" s="462" t="str">
        <f t="shared" si="61"/>
        <v>Electric DHW</v>
      </c>
      <c r="K179" s="462" t="str">
        <f t="shared" si="62"/>
        <v>Gas Dryer</v>
      </c>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2" t="str">
        <f t="shared" si="64"/>
        <v>Any ENERGY STAR (Top- or Front-Load) Clothes Washer - Electric DHW, Gas Dryer - 54% ENERGY STAR Baseline</v>
      </c>
      <c r="BB179" s="464" t="s">
        <v>27</v>
      </c>
      <c r="BC179" s="465">
        <f ca="1">AH59*SFAssumptions!$C$26/1000</f>
        <v>1.7731546784609331</v>
      </c>
      <c r="BD179" s="466">
        <f t="shared" si="52"/>
        <v>14</v>
      </c>
      <c r="BE179" s="462">
        <v>0</v>
      </c>
      <c r="BF179" s="462"/>
      <c r="BG179" s="464" t="s">
        <v>160</v>
      </c>
      <c r="BH179" s="467">
        <f ca="1">AH59*SFAssumptions!$C$27/1000</f>
        <v>6.6632616886488547</v>
      </c>
      <c r="BI179" s="462"/>
      <c r="BJ179" s="462"/>
      <c r="BK179" s="462"/>
      <c r="BL179" s="462"/>
      <c r="BM179" s="462"/>
      <c r="BN179" s="462"/>
      <c r="BO179" s="462"/>
      <c r="BP179" s="462"/>
    </row>
    <row r="180" spans="1:68">
      <c r="A180" s="462">
        <f t="shared" si="63"/>
        <v>43</v>
      </c>
      <c r="B180" s="462">
        <f t="shared" si="56"/>
        <v>2</v>
      </c>
      <c r="C180" s="462">
        <f t="shared" si="57"/>
        <v>13</v>
      </c>
      <c r="D180" s="462">
        <f t="shared" si="58"/>
        <v>3</v>
      </c>
      <c r="E180" s="462">
        <f t="shared" si="59"/>
        <v>3</v>
      </c>
      <c r="F180" s="462"/>
      <c r="G180" s="462" t="str">
        <f t="shared" si="55"/>
        <v>Current Practice Baseline Using 54% ENERGY STAR Penetration</v>
      </c>
      <c r="H180" s="462" t="str">
        <f t="shared" si="54"/>
        <v>Any ENERGY STAR (Top- or Front-Load)</v>
      </c>
      <c r="I180" s="462" t="str">
        <f t="shared" si="60"/>
        <v>Gas DHW, Electric Dryer</v>
      </c>
      <c r="J180" s="462" t="str">
        <f t="shared" si="61"/>
        <v>Gas DHW</v>
      </c>
      <c r="K180" s="462" t="str">
        <f t="shared" si="62"/>
        <v>Electric Dryer</v>
      </c>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2" t="str">
        <f t="shared" si="64"/>
        <v>Any ENERGY STAR (Top- or Front-Load) Clothes Washer - Gas DHW, Electric Dryer - 54% ENERGY STAR Baseline</v>
      </c>
      <c r="BB180" s="464" t="s">
        <v>27</v>
      </c>
      <c r="BC180" s="465">
        <f ca="1">AH60*SFAssumptions!$C$26/1000</f>
        <v>1.7731546784609331</v>
      </c>
      <c r="BD180" s="466">
        <f t="shared" si="52"/>
        <v>14</v>
      </c>
      <c r="BE180" s="462">
        <v>0</v>
      </c>
      <c r="BF180" s="462"/>
      <c r="BG180" s="464" t="s">
        <v>160</v>
      </c>
      <c r="BH180" s="467">
        <f ca="1">AH60*SFAssumptions!$C$27/1000</f>
        <v>6.6632616886488547</v>
      </c>
      <c r="BI180" s="462"/>
      <c r="BJ180" s="462"/>
      <c r="BK180" s="462"/>
      <c r="BL180" s="462"/>
      <c r="BM180" s="462"/>
      <c r="BN180" s="462"/>
      <c r="BO180" s="462"/>
      <c r="BP180" s="462"/>
    </row>
    <row r="181" spans="1:68">
      <c r="A181" s="462">
        <f t="shared" si="63"/>
        <v>44</v>
      </c>
      <c r="B181" s="462">
        <f t="shared" si="56"/>
        <v>2</v>
      </c>
      <c r="C181" s="462">
        <f t="shared" si="57"/>
        <v>14</v>
      </c>
      <c r="D181" s="462">
        <f t="shared" si="58"/>
        <v>3</v>
      </c>
      <c r="E181" s="462">
        <f t="shared" si="59"/>
        <v>4</v>
      </c>
      <c r="F181" s="462"/>
      <c r="G181" s="462" t="str">
        <f t="shared" si="55"/>
        <v>Current Practice Baseline Using 54% ENERGY STAR Penetration</v>
      </c>
      <c r="H181" s="462" t="str">
        <f t="shared" si="54"/>
        <v>Any ENERGY STAR (Top- or Front-Load)</v>
      </c>
      <c r="I181" s="462" t="str">
        <f t="shared" si="60"/>
        <v>Gas DHW, Gas Dryer</v>
      </c>
      <c r="J181" s="462" t="str">
        <f t="shared" si="61"/>
        <v>Gas DHW</v>
      </c>
      <c r="K181" s="462" t="str">
        <f t="shared" si="62"/>
        <v>Gas Dryer</v>
      </c>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2" t="str">
        <f t="shared" si="64"/>
        <v>Any ENERGY STAR (Top- or Front-Load) Clothes Washer - Gas DHW, Gas Dryer - 54% ENERGY STAR Baseline</v>
      </c>
      <c r="BB181" s="464" t="s">
        <v>27</v>
      </c>
      <c r="BC181" s="465">
        <f ca="1">AH61*SFAssumptions!$C$26/1000</f>
        <v>1.7731546784609331</v>
      </c>
      <c r="BD181" s="466">
        <f t="shared" si="52"/>
        <v>14</v>
      </c>
      <c r="BE181" s="462">
        <v>0</v>
      </c>
      <c r="BF181" s="462"/>
      <c r="BG181" s="464" t="s">
        <v>160</v>
      </c>
      <c r="BH181" s="467">
        <f ca="1">AH61*SFAssumptions!$C$27/1000</f>
        <v>6.6632616886488547</v>
      </c>
      <c r="BI181" s="462"/>
      <c r="BJ181" s="462"/>
      <c r="BK181" s="462"/>
      <c r="BL181" s="462"/>
      <c r="BM181" s="462"/>
      <c r="BN181" s="462"/>
      <c r="BO181" s="462"/>
      <c r="BP181" s="462"/>
    </row>
    <row r="182" spans="1:68">
      <c r="A182" s="462">
        <f t="shared" si="63"/>
        <v>45</v>
      </c>
      <c r="B182" s="462">
        <f t="shared" si="56"/>
        <v>2</v>
      </c>
      <c r="C182" s="462">
        <f t="shared" si="57"/>
        <v>15</v>
      </c>
      <c r="D182" s="462">
        <f t="shared" si="58"/>
        <v>3</v>
      </c>
      <c r="E182" s="462">
        <f t="shared" si="59"/>
        <v>5</v>
      </c>
      <c r="F182" s="462"/>
      <c r="G182" s="462" t="str">
        <f t="shared" si="55"/>
        <v>Current Practice Baseline Using 54% ENERGY STAR Penetration</v>
      </c>
      <c r="H182" s="462" t="str">
        <f t="shared" si="54"/>
        <v>Any ENERGY STAR (Top- or Front-Load)</v>
      </c>
      <c r="I182" s="462" t="str">
        <f t="shared" si="60"/>
        <v>Any DHW, Any Dryer</v>
      </c>
      <c r="J182" s="462" t="str">
        <f t="shared" si="61"/>
        <v>Any DHW</v>
      </c>
      <c r="K182" s="462" t="str">
        <f t="shared" si="62"/>
        <v>Any Dryer</v>
      </c>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2" t="str">
        <f t="shared" si="64"/>
        <v>Any ENERGY STAR (Top- or Front-Load) Clothes Washer - Any DHW, Any Dryer - 54% ENERGY STAR Baseline</v>
      </c>
      <c r="BB182" s="464" t="s">
        <v>27</v>
      </c>
      <c r="BC182" s="465">
        <f ca="1">AH62*SFAssumptions!$C$26/1000</f>
        <v>1.7731546784609331</v>
      </c>
      <c r="BD182" s="466">
        <f t="shared" si="52"/>
        <v>14</v>
      </c>
      <c r="BE182" s="462">
        <v>0</v>
      </c>
      <c r="BF182" s="462"/>
      <c r="BG182" s="464" t="s">
        <v>160</v>
      </c>
      <c r="BH182" s="467">
        <f ca="1">AH62*SFAssumptions!$C$27/1000</f>
        <v>6.6632616886488547</v>
      </c>
      <c r="BI182" s="462"/>
      <c r="BJ182" s="462"/>
      <c r="BK182" s="462"/>
      <c r="BL182" s="462"/>
      <c r="BM182" s="462"/>
      <c r="BN182" s="462"/>
      <c r="BO182" s="462"/>
      <c r="BP182" s="462"/>
    </row>
    <row r="183" spans="1:68">
      <c r="A183" s="462">
        <f t="shared" si="63"/>
        <v>46</v>
      </c>
      <c r="B183" s="462">
        <f t="shared" si="56"/>
        <v>2</v>
      </c>
      <c r="C183" s="462">
        <f t="shared" si="57"/>
        <v>16</v>
      </c>
      <c r="D183" s="462">
        <f t="shared" si="58"/>
        <v>4</v>
      </c>
      <c r="E183" s="462">
        <f t="shared" si="59"/>
        <v>1</v>
      </c>
      <c r="F183" s="462"/>
      <c r="G183" s="462" t="str">
        <f t="shared" si="55"/>
        <v>Current Practice Baseline Using 54% ENERGY STAR Penetration</v>
      </c>
      <c r="H183" s="462" t="str">
        <f t="shared" si="54"/>
        <v>CEE Tier 1</v>
      </c>
      <c r="I183" s="462" t="str">
        <f t="shared" si="60"/>
        <v>Electric DHW, Electric Dryer</v>
      </c>
      <c r="J183" s="462" t="str">
        <f t="shared" si="61"/>
        <v>Electric DHW</v>
      </c>
      <c r="K183" s="462" t="str">
        <f t="shared" si="62"/>
        <v>Electric Dryer</v>
      </c>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2" t="str">
        <f t="shared" si="64"/>
        <v>CEE Tier 1 Clothes Washer - Electric DHW, Electric Dryer - 54% ENERGY STAR Baseline</v>
      </c>
      <c r="BB183" s="464" t="s">
        <v>27</v>
      </c>
      <c r="BC183" s="465">
        <f ca="1">AH63*SFAssumptions!$C$26/1000</f>
        <v>2.2689844676199051</v>
      </c>
      <c r="BD183" s="466">
        <f t="shared" si="52"/>
        <v>14</v>
      </c>
      <c r="BE183" s="462">
        <v>0</v>
      </c>
      <c r="BF183" s="462"/>
      <c r="BG183" s="464" t="s">
        <v>160</v>
      </c>
      <c r="BH183" s="467">
        <f ca="1">AH63*SFAssumptions!$C$27/1000</f>
        <v>8.5265191237314468</v>
      </c>
      <c r="BI183" s="462"/>
      <c r="BJ183" s="462"/>
      <c r="BK183" s="462"/>
      <c r="BL183" s="462"/>
      <c r="BM183" s="462"/>
      <c r="BN183" s="462"/>
      <c r="BO183" s="462"/>
      <c r="BP183" s="462"/>
    </row>
    <row r="184" spans="1:68">
      <c r="A184" s="462">
        <f t="shared" si="63"/>
        <v>47</v>
      </c>
      <c r="B184" s="462">
        <f t="shared" si="56"/>
        <v>2</v>
      </c>
      <c r="C184" s="462">
        <f t="shared" si="57"/>
        <v>17</v>
      </c>
      <c r="D184" s="462">
        <f t="shared" si="58"/>
        <v>4</v>
      </c>
      <c r="E184" s="462">
        <f t="shared" si="59"/>
        <v>2</v>
      </c>
      <c r="F184" s="462"/>
      <c r="G184" s="462" t="str">
        <f t="shared" si="55"/>
        <v>Current Practice Baseline Using 54% ENERGY STAR Penetration</v>
      </c>
      <c r="H184" s="462" t="str">
        <f t="shared" si="54"/>
        <v>CEE Tier 1</v>
      </c>
      <c r="I184" s="462" t="str">
        <f t="shared" si="60"/>
        <v>Electric DHW, Gas Dryer</v>
      </c>
      <c r="J184" s="462" t="str">
        <f t="shared" si="61"/>
        <v>Electric DHW</v>
      </c>
      <c r="K184" s="462" t="str">
        <f t="shared" si="62"/>
        <v>Gas Dryer</v>
      </c>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2" t="str">
        <f t="shared" si="64"/>
        <v>CEE Tier 1 Clothes Washer - Electric DHW, Gas Dryer - 54% ENERGY STAR Baseline</v>
      </c>
      <c r="BB184" s="464" t="s">
        <v>27</v>
      </c>
      <c r="BC184" s="465">
        <f ca="1">AH64*SFAssumptions!$C$26/1000</f>
        <v>2.2689844676199051</v>
      </c>
      <c r="BD184" s="466">
        <f t="shared" si="52"/>
        <v>14</v>
      </c>
      <c r="BE184" s="462">
        <v>0</v>
      </c>
      <c r="BF184" s="462"/>
      <c r="BG184" s="464" t="s">
        <v>160</v>
      </c>
      <c r="BH184" s="467">
        <f ca="1">AH64*SFAssumptions!$C$27/1000</f>
        <v>8.5265191237314468</v>
      </c>
      <c r="BI184" s="462"/>
      <c r="BJ184" s="462"/>
      <c r="BK184" s="462"/>
      <c r="BL184" s="462"/>
      <c r="BM184" s="462"/>
      <c r="BN184" s="462"/>
      <c r="BO184" s="462"/>
      <c r="BP184" s="462"/>
    </row>
    <row r="185" spans="1:68">
      <c r="A185" s="462">
        <f t="shared" si="63"/>
        <v>48</v>
      </c>
      <c r="B185" s="462">
        <f t="shared" si="56"/>
        <v>2</v>
      </c>
      <c r="C185" s="462">
        <f t="shared" si="57"/>
        <v>18</v>
      </c>
      <c r="D185" s="462">
        <f t="shared" si="58"/>
        <v>4</v>
      </c>
      <c r="E185" s="462">
        <f t="shared" si="59"/>
        <v>3</v>
      </c>
      <c r="F185" s="462"/>
      <c r="G185" s="462" t="str">
        <f t="shared" si="55"/>
        <v>Current Practice Baseline Using 54% ENERGY STAR Penetration</v>
      </c>
      <c r="H185" s="462" t="str">
        <f t="shared" si="54"/>
        <v>CEE Tier 1</v>
      </c>
      <c r="I185" s="462" t="str">
        <f t="shared" si="60"/>
        <v>Gas DHW, Electric Dryer</v>
      </c>
      <c r="J185" s="462" t="str">
        <f t="shared" si="61"/>
        <v>Gas DHW</v>
      </c>
      <c r="K185" s="462" t="str">
        <f t="shared" si="62"/>
        <v>Electric Dryer</v>
      </c>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2" t="str">
        <f t="shared" si="64"/>
        <v>CEE Tier 1 Clothes Washer - Gas DHW, Electric Dryer - 54% ENERGY STAR Baseline</v>
      </c>
      <c r="BB185" s="464" t="s">
        <v>27</v>
      </c>
      <c r="BC185" s="465">
        <f ca="1">AH65*SFAssumptions!$C$26/1000</f>
        <v>2.2689844676199051</v>
      </c>
      <c r="BD185" s="466">
        <f t="shared" si="52"/>
        <v>14</v>
      </c>
      <c r="BE185" s="462">
        <v>0</v>
      </c>
      <c r="BF185" s="462"/>
      <c r="BG185" s="464" t="s">
        <v>160</v>
      </c>
      <c r="BH185" s="467">
        <f ca="1">AH65*SFAssumptions!$C$27/1000</f>
        <v>8.5265191237314468</v>
      </c>
      <c r="BI185" s="462"/>
      <c r="BJ185" s="462"/>
      <c r="BK185" s="462"/>
      <c r="BL185" s="462"/>
      <c r="BM185" s="462"/>
      <c r="BN185" s="462"/>
      <c r="BO185" s="462"/>
      <c r="BP185" s="462"/>
    </row>
    <row r="186" spans="1:68">
      <c r="A186" s="462">
        <f t="shared" si="63"/>
        <v>49</v>
      </c>
      <c r="B186" s="462">
        <f t="shared" si="56"/>
        <v>2</v>
      </c>
      <c r="C186" s="462">
        <f t="shared" si="57"/>
        <v>19</v>
      </c>
      <c r="D186" s="462">
        <f t="shared" si="58"/>
        <v>4</v>
      </c>
      <c r="E186" s="462">
        <f t="shared" si="59"/>
        <v>4</v>
      </c>
      <c r="F186" s="462"/>
      <c r="G186" s="462" t="str">
        <f t="shared" si="55"/>
        <v>Current Practice Baseline Using 54% ENERGY STAR Penetration</v>
      </c>
      <c r="H186" s="462" t="str">
        <f t="shared" si="54"/>
        <v>CEE Tier 1</v>
      </c>
      <c r="I186" s="462" t="str">
        <f t="shared" si="60"/>
        <v>Gas DHW, Gas Dryer</v>
      </c>
      <c r="J186" s="462" t="str">
        <f t="shared" si="61"/>
        <v>Gas DHW</v>
      </c>
      <c r="K186" s="462" t="str">
        <f t="shared" si="62"/>
        <v>Gas Dryer</v>
      </c>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2" t="str">
        <f t="shared" si="64"/>
        <v>CEE Tier 1 Clothes Washer - Gas DHW, Gas Dryer - 54% ENERGY STAR Baseline</v>
      </c>
      <c r="BB186" s="464" t="s">
        <v>27</v>
      </c>
      <c r="BC186" s="465">
        <f ca="1">AH66*SFAssumptions!$C$26/1000</f>
        <v>2.2689844676199051</v>
      </c>
      <c r="BD186" s="466">
        <f t="shared" si="52"/>
        <v>14</v>
      </c>
      <c r="BE186" s="462">
        <v>0</v>
      </c>
      <c r="BF186" s="462"/>
      <c r="BG186" s="464" t="s">
        <v>160</v>
      </c>
      <c r="BH186" s="467">
        <f ca="1">AH66*SFAssumptions!$C$27/1000</f>
        <v>8.5265191237314468</v>
      </c>
      <c r="BI186" s="462"/>
      <c r="BJ186" s="462"/>
      <c r="BK186" s="462"/>
      <c r="BL186" s="462"/>
      <c r="BM186" s="462"/>
      <c r="BN186" s="462"/>
      <c r="BO186" s="462"/>
      <c r="BP186" s="462"/>
    </row>
    <row r="187" spans="1:68">
      <c r="A187" s="462">
        <f t="shared" si="63"/>
        <v>50</v>
      </c>
      <c r="B187" s="462">
        <f t="shared" si="56"/>
        <v>2</v>
      </c>
      <c r="C187" s="462">
        <f t="shared" si="57"/>
        <v>20</v>
      </c>
      <c r="D187" s="462">
        <f t="shared" si="58"/>
        <v>4</v>
      </c>
      <c r="E187" s="462">
        <f t="shared" si="59"/>
        <v>5</v>
      </c>
      <c r="F187" s="462"/>
      <c r="G187" s="462" t="str">
        <f t="shared" si="55"/>
        <v>Current Practice Baseline Using 54% ENERGY STAR Penetration</v>
      </c>
      <c r="H187" s="462" t="str">
        <f t="shared" si="54"/>
        <v>CEE Tier 1</v>
      </c>
      <c r="I187" s="462" t="str">
        <f t="shared" si="60"/>
        <v>Any DHW, Any Dryer</v>
      </c>
      <c r="J187" s="462" t="str">
        <f t="shared" si="61"/>
        <v>Any DHW</v>
      </c>
      <c r="K187" s="462" t="str">
        <f t="shared" si="62"/>
        <v>Any Dryer</v>
      </c>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2" t="str">
        <f t="shared" si="64"/>
        <v>CEE Tier 1 Clothes Washer - Any DHW, Any Dryer - 54% ENERGY STAR Baseline</v>
      </c>
      <c r="BB187" s="464" t="s">
        <v>27</v>
      </c>
      <c r="BC187" s="465">
        <f ca="1">AH67*SFAssumptions!$C$26/1000</f>
        <v>2.2689844676199051</v>
      </c>
      <c r="BD187" s="466">
        <f t="shared" si="52"/>
        <v>14</v>
      </c>
      <c r="BE187" s="462">
        <v>0</v>
      </c>
      <c r="BF187" s="462"/>
      <c r="BG187" s="464" t="s">
        <v>160</v>
      </c>
      <c r="BH187" s="467">
        <f ca="1">AH67*SFAssumptions!$C$27/1000</f>
        <v>8.5265191237314468</v>
      </c>
      <c r="BI187" s="462"/>
      <c r="BJ187" s="462"/>
      <c r="BK187" s="462"/>
      <c r="BL187" s="462"/>
      <c r="BM187" s="462"/>
      <c r="BN187" s="462"/>
      <c r="BO187" s="462"/>
      <c r="BP187" s="462"/>
    </row>
    <row r="188" spans="1:68">
      <c r="A188" s="462">
        <f t="shared" si="63"/>
        <v>51</v>
      </c>
      <c r="B188" s="462">
        <f t="shared" si="56"/>
        <v>2</v>
      </c>
      <c r="C188" s="462">
        <f t="shared" si="57"/>
        <v>21</v>
      </c>
      <c r="D188" s="462">
        <f t="shared" si="58"/>
        <v>5</v>
      </c>
      <c r="E188" s="462">
        <f t="shared" si="59"/>
        <v>1</v>
      </c>
      <c r="F188" s="462"/>
      <c r="G188" s="462" t="str">
        <f t="shared" si="55"/>
        <v>Current Practice Baseline Using 54% ENERGY STAR Penetration</v>
      </c>
      <c r="H188" s="462" t="str">
        <f t="shared" si="54"/>
        <v>CEE Tier 2</v>
      </c>
      <c r="I188" s="462" t="str">
        <f t="shared" si="60"/>
        <v>Electric DHW, Electric Dryer</v>
      </c>
      <c r="J188" s="462" t="str">
        <f t="shared" si="61"/>
        <v>Electric DHW</v>
      </c>
      <c r="K188" s="462" t="str">
        <f t="shared" si="62"/>
        <v>Electric Dryer</v>
      </c>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2" t="str">
        <f t="shared" si="64"/>
        <v>CEE Tier 2 Clothes Washer - Electric DHW, Electric Dryer - 54% ENERGY STAR Baseline</v>
      </c>
      <c r="BB188" s="464" t="s">
        <v>27</v>
      </c>
      <c r="BC188" s="465">
        <f ca="1">AH68*SFAssumptions!$C$26/1000</f>
        <v>3.3279524561015337</v>
      </c>
      <c r="BD188" s="466">
        <f t="shared" si="52"/>
        <v>14</v>
      </c>
      <c r="BE188" s="462">
        <v>0</v>
      </c>
      <c r="BF188" s="462"/>
      <c r="BG188" s="464" t="s">
        <v>160</v>
      </c>
      <c r="BH188" s="467">
        <f ca="1">AH68*SFAssumptions!$C$27/1000</f>
        <v>12.505969372978637</v>
      </c>
      <c r="BI188" s="462"/>
      <c r="BJ188" s="462"/>
      <c r="BK188" s="462"/>
      <c r="BL188" s="462"/>
      <c r="BM188" s="462"/>
      <c r="BN188" s="462"/>
      <c r="BO188" s="462"/>
      <c r="BP188" s="462"/>
    </row>
    <row r="189" spans="1:68">
      <c r="A189" s="462">
        <f t="shared" si="63"/>
        <v>52</v>
      </c>
      <c r="B189" s="462">
        <f t="shared" si="56"/>
        <v>2</v>
      </c>
      <c r="C189" s="462">
        <f t="shared" si="57"/>
        <v>22</v>
      </c>
      <c r="D189" s="462">
        <f t="shared" si="58"/>
        <v>5</v>
      </c>
      <c r="E189" s="462">
        <f t="shared" si="59"/>
        <v>2</v>
      </c>
      <c r="F189" s="462"/>
      <c r="G189" s="462" t="str">
        <f t="shared" si="55"/>
        <v>Current Practice Baseline Using 54% ENERGY STAR Penetration</v>
      </c>
      <c r="H189" s="462" t="str">
        <f t="shared" si="54"/>
        <v>CEE Tier 2</v>
      </c>
      <c r="I189" s="462" t="str">
        <f t="shared" si="60"/>
        <v>Electric DHW, Gas Dryer</v>
      </c>
      <c r="J189" s="462" t="str">
        <f t="shared" si="61"/>
        <v>Electric DHW</v>
      </c>
      <c r="K189" s="462" t="str">
        <f t="shared" si="62"/>
        <v>Gas Dryer</v>
      </c>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c r="AI189" s="463"/>
      <c r="AJ189" s="463"/>
      <c r="AK189" s="463"/>
      <c r="AL189" s="463"/>
      <c r="AM189" s="463"/>
      <c r="AN189" s="463"/>
      <c r="AO189" s="463"/>
      <c r="AP189" s="463"/>
      <c r="AQ189" s="463"/>
      <c r="AR189" s="463"/>
      <c r="AS189" s="463"/>
      <c r="AT189" s="463"/>
      <c r="AU189" s="463"/>
      <c r="AV189" s="463"/>
      <c r="AW189" s="463"/>
      <c r="AX189" s="463"/>
      <c r="AY189" s="463"/>
      <c r="AZ189" s="463"/>
      <c r="BA189" s="462" t="str">
        <f t="shared" si="64"/>
        <v>CEE Tier 2 Clothes Washer - Electric DHW, Gas Dryer - 54% ENERGY STAR Baseline</v>
      </c>
      <c r="BB189" s="464" t="s">
        <v>27</v>
      </c>
      <c r="BC189" s="465">
        <f ca="1">AH69*SFAssumptions!$C$26/1000</f>
        <v>3.3279524561015337</v>
      </c>
      <c r="BD189" s="466">
        <f t="shared" si="52"/>
        <v>14</v>
      </c>
      <c r="BE189" s="462">
        <v>0</v>
      </c>
      <c r="BF189" s="462"/>
      <c r="BG189" s="464" t="s">
        <v>160</v>
      </c>
      <c r="BH189" s="467">
        <f ca="1">AH69*SFAssumptions!$C$27/1000</f>
        <v>12.505969372978637</v>
      </c>
      <c r="BI189" s="462"/>
      <c r="BJ189" s="462"/>
      <c r="BK189" s="462"/>
      <c r="BL189" s="462"/>
      <c r="BM189" s="462"/>
      <c r="BN189" s="462"/>
      <c r="BO189" s="462"/>
      <c r="BP189" s="462"/>
    </row>
    <row r="190" spans="1:68">
      <c r="A190" s="462">
        <f t="shared" si="63"/>
        <v>53</v>
      </c>
      <c r="B190" s="462">
        <f t="shared" si="56"/>
        <v>2</v>
      </c>
      <c r="C190" s="462">
        <f t="shared" si="57"/>
        <v>23</v>
      </c>
      <c r="D190" s="462">
        <f t="shared" si="58"/>
        <v>5</v>
      </c>
      <c r="E190" s="462">
        <f t="shared" si="59"/>
        <v>3</v>
      </c>
      <c r="F190" s="462"/>
      <c r="G190" s="462" t="str">
        <f t="shared" si="55"/>
        <v>Current Practice Baseline Using 54% ENERGY STAR Penetration</v>
      </c>
      <c r="H190" s="462" t="str">
        <f t="shared" si="54"/>
        <v>CEE Tier 2</v>
      </c>
      <c r="I190" s="462" t="str">
        <f t="shared" si="60"/>
        <v>Gas DHW, Electric Dryer</v>
      </c>
      <c r="J190" s="462" t="str">
        <f t="shared" si="61"/>
        <v>Gas DHW</v>
      </c>
      <c r="K190" s="462" t="str">
        <f t="shared" si="62"/>
        <v>Electric Dryer</v>
      </c>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3"/>
      <c r="AY190" s="463"/>
      <c r="AZ190" s="463"/>
      <c r="BA190" s="462" t="str">
        <f t="shared" si="64"/>
        <v>CEE Tier 2 Clothes Washer - Gas DHW, Electric Dryer - 54% ENERGY STAR Baseline</v>
      </c>
      <c r="BB190" s="464" t="s">
        <v>27</v>
      </c>
      <c r="BC190" s="465">
        <f ca="1">AH70*SFAssumptions!$C$26/1000</f>
        <v>3.3279524561015337</v>
      </c>
      <c r="BD190" s="466">
        <f t="shared" si="52"/>
        <v>14</v>
      </c>
      <c r="BE190" s="462">
        <v>0</v>
      </c>
      <c r="BF190" s="462"/>
      <c r="BG190" s="464" t="s">
        <v>160</v>
      </c>
      <c r="BH190" s="467">
        <f ca="1">AH70*SFAssumptions!$C$27/1000</f>
        <v>12.505969372978637</v>
      </c>
      <c r="BI190" s="462"/>
      <c r="BJ190" s="462"/>
      <c r="BK190" s="462"/>
      <c r="BL190" s="462"/>
      <c r="BM190" s="462"/>
      <c r="BN190" s="462"/>
      <c r="BO190" s="462"/>
      <c r="BP190" s="462"/>
    </row>
    <row r="191" spans="1:68">
      <c r="A191" s="462">
        <f t="shared" si="63"/>
        <v>54</v>
      </c>
      <c r="B191" s="462">
        <f t="shared" si="56"/>
        <v>2</v>
      </c>
      <c r="C191" s="462">
        <f t="shared" si="57"/>
        <v>24</v>
      </c>
      <c r="D191" s="462">
        <f t="shared" si="58"/>
        <v>5</v>
      </c>
      <c r="E191" s="462">
        <f t="shared" si="59"/>
        <v>4</v>
      </c>
      <c r="F191" s="462"/>
      <c r="G191" s="462" t="str">
        <f t="shared" si="55"/>
        <v>Current Practice Baseline Using 54% ENERGY STAR Penetration</v>
      </c>
      <c r="H191" s="462" t="str">
        <f t="shared" si="54"/>
        <v>CEE Tier 2</v>
      </c>
      <c r="I191" s="462" t="str">
        <f t="shared" si="60"/>
        <v>Gas DHW, Gas Dryer</v>
      </c>
      <c r="J191" s="462" t="str">
        <f t="shared" si="61"/>
        <v>Gas DHW</v>
      </c>
      <c r="K191" s="462" t="str">
        <f t="shared" si="62"/>
        <v>Gas Dryer</v>
      </c>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63"/>
      <c r="AN191" s="463"/>
      <c r="AO191" s="463"/>
      <c r="AP191" s="463"/>
      <c r="AQ191" s="463"/>
      <c r="AR191" s="463"/>
      <c r="AS191" s="463"/>
      <c r="AT191" s="463"/>
      <c r="AU191" s="463"/>
      <c r="AV191" s="463"/>
      <c r="AW191" s="463"/>
      <c r="AX191" s="463"/>
      <c r="AY191" s="463"/>
      <c r="AZ191" s="463"/>
      <c r="BA191" s="462" t="str">
        <f t="shared" si="64"/>
        <v>CEE Tier 2 Clothes Washer - Gas DHW, Gas Dryer - 54% ENERGY STAR Baseline</v>
      </c>
      <c r="BB191" s="464" t="s">
        <v>27</v>
      </c>
      <c r="BC191" s="465">
        <f ca="1">AH71*SFAssumptions!$C$26/1000</f>
        <v>3.3279524561015337</v>
      </c>
      <c r="BD191" s="466">
        <f t="shared" si="52"/>
        <v>14</v>
      </c>
      <c r="BE191" s="462">
        <v>0</v>
      </c>
      <c r="BF191" s="462"/>
      <c r="BG191" s="464" t="s">
        <v>160</v>
      </c>
      <c r="BH191" s="467">
        <f ca="1">AH71*SFAssumptions!$C$27/1000</f>
        <v>12.505969372978637</v>
      </c>
      <c r="BI191" s="462"/>
      <c r="BJ191" s="462"/>
      <c r="BK191" s="462"/>
      <c r="BL191" s="462"/>
      <c r="BM191" s="462"/>
      <c r="BN191" s="462"/>
      <c r="BO191" s="462"/>
      <c r="BP191" s="462"/>
    </row>
    <row r="192" spans="1:68">
      <c r="A192" s="462">
        <f t="shared" si="63"/>
        <v>55</v>
      </c>
      <c r="B192" s="462">
        <f t="shared" si="56"/>
        <v>2</v>
      </c>
      <c r="C192" s="462">
        <f t="shared" si="57"/>
        <v>25</v>
      </c>
      <c r="D192" s="462">
        <f t="shared" si="58"/>
        <v>5</v>
      </c>
      <c r="E192" s="462">
        <f t="shared" si="59"/>
        <v>5</v>
      </c>
      <c r="F192" s="462"/>
      <c r="G192" s="462" t="str">
        <f t="shared" si="55"/>
        <v>Current Practice Baseline Using 54% ENERGY STAR Penetration</v>
      </c>
      <c r="H192" s="462" t="str">
        <f t="shared" si="54"/>
        <v>CEE Tier 2</v>
      </c>
      <c r="I192" s="462" t="str">
        <f t="shared" si="60"/>
        <v>Any DHW, Any Dryer</v>
      </c>
      <c r="J192" s="462" t="str">
        <f t="shared" si="61"/>
        <v>Any DHW</v>
      </c>
      <c r="K192" s="462" t="str">
        <f t="shared" si="62"/>
        <v>Any Dryer</v>
      </c>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c r="AI192" s="463"/>
      <c r="AJ192" s="463"/>
      <c r="AK192" s="463"/>
      <c r="AL192" s="463"/>
      <c r="AM192" s="463"/>
      <c r="AN192" s="463"/>
      <c r="AO192" s="463"/>
      <c r="AP192" s="463"/>
      <c r="AQ192" s="463"/>
      <c r="AR192" s="463"/>
      <c r="AS192" s="463"/>
      <c r="AT192" s="463"/>
      <c r="AU192" s="463"/>
      <c r="AV192" s="463"/>
      <c r="AW192" s="463"/>
      <c r="AX192" s="463"/>
      <c r="AY192" s="463"/>
      <c r="AZ192" s="463"/>
      <c r="BA192" s="462" t="str">
        <f t="shared" si="64"/>
        <v>CEE Tier 2 Clothes Washer - Any DHW, Any Dryer - 54% ENERGY STAR Baseline</v>
      </c>
      <c r="BB192" s="464" t="s">
        <v>27</v>
      </c>
      <c r="BC192" s="465">
        <f ca="1">AH72*SFAssumptions!$C$26/1000</f>
        <v>3.3279524561015337</v>
      </c>
      <c r="BD192" s="466">
        <f t="shared" si="52"/>
        <v>14</v>
      </c>
      <c r="BE192" s="462">
        <v>0</v>
      </c>
      <c r="BF192" s="462"/>
      <c r="BG192" s="464" t="s">
        <v>160</v>
      </c>
      <c r="BH192" s="467">
        <f ca="1">AH72*SFAssumptions!$C$27/1000</f>
        <v>12.505969372978637</v>
      </c>
      <c r="BI192" s="462"/>
      <c r="BJ192" s="462"/>
      <c r="BK192" s="462"/>
      <c r="BL192" s="462"/>
      <c r="BM192" s="462"/>
      <c r="BN192" s="462"/>
      <c r="BO192" s="462"/>
      <c r="BP192" s="462"/>
    </row>
    <row r="193" spans="1:68">
      <c r="A193" s="462">
        <f t="shared" si="63"/>
        <v>56</v>
      </c>
      <c r="B193" s="462">
        <f t="shared" si="56"/>
        <v>2</v>
      </c>
      <c r="C193" s="462">
        <f t="shared" si="57"/>
        <v>26</v>
      </c>
      <c r="D193" s="462">
        <f t="shared" si="58"/>
        <v>6</v>
      </c>
      <c r="E193" s="462">
        <f t="shared" si="59"/>
        <v>1</v>
      </c>
      <c r="F193" s="462"/>
      <c r="G193" s="462" t="str">
        <f t="shared" si="55"/>
        <v>Current Practice Baseline Using 54% ENERGY STAR Penetration</v>
      </c>
      <c r="H193" s="462" t="str">
        <f t="shared" si="54"/>
        <v>CEE Tier 3</v>
      </c>
      <c r="I193" s="462" t="str">
        <f t="shared" si="60"/>
        <v>Electric DHW, Electric Dryer</v>
      </c>
      <c r="J193" s="462" t="str">
        <f t="shared" si="61"/>
        <v>Electric DHW</v>
      </c>
      <c r="K193" s="462" t="str">
        <f t="shared" si="62"/>
        <v>Electric Dryer</v>
      </c>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c r="AI193" s="463"/>
      <c r="AJ193" s="463"/>
      <c r="AK193" s="463"/>
      <c r="AL193" s="463"/>
      <c r="AM193" s="463"/>
      <c r="AN193" s="463"/>
      <c r="AO193" s="463"/>
      <c r="AP193" s="463"/>
      <c r="AQ193" s="463"/>
      <c r="AR193" s="463"/>
      <c r="AS193" s="463"/>
      <c r="AT193" s="463"/>
      <c r="AU193" s="463"/>
      <c r="AV193" s="463"/>
      <c r="AW193" s="463"/>
      <c r="AX193" s="463"/>
      <c r="AY193" s="463"/>
      <c r="AZ193" s="463"/>
      <c r="BA193" s="462" t="str">
        <f t="shared" si="64"/>
        <v>CEE Tier 3 Clothes Washer - Electric DHW, Electric Dryer - 54% ENERGY STAR Baseline</v>
      </c>
      <c r="BB193" s="464" t="s">
        <v>27</v>
      </c>
      <c r="BC193" s="465">
        <f ca="1">AH73*SFAssumptions!$C$26/1000</f>
        <v>3.4194180213254715</v>
      </c>
      <c r="BD193" s="466">
        <f t="shared" si="52"/>
        <v>14</v>
      </c>
      <c r="BE193" s="462">
        <v>0</v>
      </c>
      <c r="BF193" s="462"/>
      <c r="BG193" s="464" t="s">
        <v>160</v>
      </c>
      <c r="BH193" s="467">
        <f ca="1">AH73*SFAssumptions!$C$27/1000</f>
        <v>12.849683885869453</v>
      </c>
      <c r="BI193" s="462"/>
      <c r="BJ193" s="462"/>
      <c r="BK193" s="462"/>
      <c r="BL193" s="462"/>
      <c r="BM193" s="462"/>
      <c r="BN193" s="462"/>
      <c r="BO193" s="462"/>
      <c r="BP193" s="462"/>
    </row>
    <row r="194" spans="1:68">
      <c r="A194" s="462">
        <f t="shared" si="63"/>
        <v>57</v>
      </c>
      <c r="B194" s="462">
        <f t="shared" si="56"/>
        <v>2</v>
      </c>
      <c r="C194" s="462">
        <f t="shared" si="57"/>
        <v>27</v>
      </c>
      <c r="D194" s="462">
        <f t="shared" si="58"/>
        <v>6</v>
      </c>
      <c r="E194" s="462">
        <f t="shared" si="59"/>
        <v>2</v>
      </c>
      <c r="F194" s="462"/>
      <c r="G194" s="462" t="str">
        <f t="shared" si="55"/>
        <v>Current Practice Baseline Using 54% ENERGY STAR Penetration</v>
      </c>
      <c r="H194" s="462" t="str">
        <f t="shared" si="54"/>
        <v>CEE Tier 3</v>
      </c>
      <c r="I194" s="462" t="str">
        <f t="shared" si="60"/>
        <v>Electric DHW, Gas Dryer</v>
      </c>
      <c r="J194" s="462" t="str">
        <f t="shared" si="61"/>
        <v>Electric DHW</v>
      </c>
      <c r="K194" s="462" t="str">
        <f t="shared" si="62"/>
        <v>Gas Dryer</v>
      </c>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2" t="str">
        <f t="shared" si="64"/>
        <v>CEE Tier 3 Clothes Washer - Electric DHW, Gas Dryer - 54% ENERGY STAR Baseline</v>
      </c>
      <c r="BB194" s="464" t="s">
        <v>27</v>
      </c>
      <c r="BC194" s="465">
        <f ca="1">AH74*SFAssumptions!$C$26/1000</f>
        <v>3.4194180213254715</v>
      </c>
      <c r="BD194" s="466">
        <f t="shared" si="52"/>
        <v>14</v>
      </c>
      <c r="BE194" s="462">
        <v>0</v>
      </c>
      <c r="BF194" s="462"/>
      <c r="BG194" s="464" t="s">
        <v>160</v>
      </c>
      <c r="BH194" s="467">
        <f ca="1">AH74*SFAssumptions!$C$27/1000</f>
        <v>12.849683885869453</v>
      </c>
      <c r="BI194" s="462"/>
      <c r="BJ194" s="462"/>
      <c r="BK194" s="462"/>
      <c r="BL194" s="462"/>
      <c r="BM194" s="462"/>
      <c r="BN194" s="462"/>
      <c r="BO194" s="462"/>
      <c r="BP194" s="462"/>
    </row>
    <row r="195" spans="1:68">
      <c r="A195" s="462">
        <f t="shared" si="63"/>
        <v>58</v>
      </c>
      <c r="B195" s="462">
        <f t="shared" si="56"/>
        <v>2</v>
      </c>
      <c r="C195" s="462">
        <f t="shared" si="57"/>
        <v>28</v>
      </c>
      <c r="D195" s="462">
        <f t="shared" si="58"/>
        <v>6</v>
      </c>
      <c r="E195" s="462">
        <f t="shared" si="59"/>
        <v>3</v>
      </c>
      <c r="F195" s="462"/>
      <c r="G195" s="462" t="str">
        <f t="shared" si="55"/>
        <v>Current Practice Baseline Using 54% ENERGY STAR Penetration</v>
      </c>
      <c r="H195" s="462" t="str">
        <f t="shared" si="54"/>
        <v>CEE Tier 3</v>
      </c>
      <c r="I195" s="462" t="str">
        <f t="shared" si="60"/>
        <v>Gas DHW, Electric Dryer</v>
      </c>
      <c r="J195" s="462" t="str">
        <f t="shared" si="61"/>
        <v>Gas DHW</v>
      </c>
      <c r="K195" s="462" t="str">
        <f t="shared" si="62"/>
        <v>Electric Dryer</v>
      </c>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463"/>
      <c r="AJ195" s="463"/>
      <c r="AK195" s="463"/>
      <c r="AL195" s="463"/>
      <c r="AM195" s="463"/>
      <c r="AN195" s="463"/>
      <c r="AO195" s="463"/>
      <c r="AP195" s="463"/>
      <c r="AQ195" s="463"/>
      <c r="AR195" s="463"/>
      <c r="AS195" s="463"/>
      <c r="AT195" s="463"/>
      <c r="AU195" s="463"/>
      <c r="AV195" s="463"/>
      <c r="AW195" s="463"/>
      <c r="AX195" s="463"/>
      <c r="AY195" s="463"/>
      <c r="AZ195" s="463"/>
      <c r="BA195" s="462" t="str">
        <f t="shared" si="64"/>
        <v>CEE Tier 3 Clothes Washer - Gas DHW, Electric Dryer - 54% ENERGY STAR Baseline</v>
      </c>
      <c r="BB195" s="464" t="s">
        <v>27</v>
      </c>
      <c r="BC195" s="465">
        <f ca="1">AH75*SFAssumptions!$C$26/1000</f>
        <v>3.4194180213254715</v>
      </c>
      <c r="BD195" s="466">
        <f t="shared" si="52"/>
        <v>14</v>
      </c>
      <c r="BE195" s="462">
        <v>0</v>
      </c>
      <c r="BF195" s="462"/>
      <c r="BG195" s="464" t="s">
        <v>160</v>
      </c>
      <c r="BH195" s="467">
        <f ca="1">AH75*SFAssumptions!$C$27/1000</f>
        <v>12.849683885869453</v>
      </c>
      <c r="BI195" s="462"/>
      <c r="BJ195" s="462"/>
      <c r="BK195" s="462"/>
      <c r="BL195" s="462"/>
      <c r="BM195" s="462"/>
      <c r="BN195" s="462"/>
      <c r="BO195" s="462"/>
      <c r="BP195" s="462"/>
    </row>
    <row r="196" spans="1:68">
      <c r="A196" s="462">
        <f t="shared" si="63"/>
        <v>59</v>
      </c>
      <c r="B196" s="462">
        <f t="shared" si="56"/>
        <v>2</v>
      </c>
      <c r="C196" s="462">
        <f t="shared" si="57"/>
        <v>29</v>
      </c>
      <c r="D196" s="462">
        <f t="shared" si="58"/>
        <v>6</v>
      </c>
      <c r="E196" s="462">
        <f t="shared" si="59"/>
        <v>4</v>
      </c>
      <c r="F196" s="462"/>
      <c r="G196" s="462" t="str">
        <f t="shared" si="55"/>
        <v>Current Practice Baseline Using 54% ENERGY STAR Penetration</v>
      </c>
      <c r="H196" s="462" t="str">
        <f t="shared" si="54"/>
        <v>CEE Tier 3</v>
      </c>
      <c r="I196" s="462" t="str">
        <f t="shared" si="60"/>
        <v>Gas DHW, Gas Dryer</v>
      </c>
      <c r="J196" s="462" t="str">
        <f t="shared" si="61"/>
        <v>Gas DHW</v>
      </c>
      <c r="K196" s="462" t="str">
        <f t="shared" si="62"/>
        <v>Gas Dryer</v>
      </c>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c r="AI196" s="463"/>
      <c r="AJ196" s="463"/>
      <c r="AK196" s="463"/>
      <c r="AL196" s="463"/>
      <c r="AM196" s="463"/>
      <c r="AN196" s="463"/>
      <c r="AO196" s="463"/>
      <c r="AP196" s="463"/>
      <c r="AQ196" s="463"/>
      <c r="AR196" s="463"/>
      <c r="AS196" s="463"/>
      <c r="AT196" s="463"/>
      <c r="AU196" s="463"/>
      <c r="AV196" s="463"/>
      <c r="AW196" s="463"/>
      <c r="AX196" s="463"/>
      <c r="AY196" s="463"/>
      <c r="AZ196" s="463"/>
      <c r="BA196" s="462" t="str">
        <f t="shared" si="64"/>
        <v>CEE Tier 3 Clothes Washer - Gas DHW, Gas Dryer - 54% ENERGY STAR Baseline</v>
      </c>
      <c r="BB196" s="464" t="s">
        <v>27</v>
      </c>
      <c r="BC196" s="465">
        <f ca="1">AH76*SFAssumptions!$C$26/1000</f>
        <v>3.4194180213254715</v>
      </c>
      <c r="BD196" s="466">
        <f t="shared" si="52"/>
        <v>14</v>
      </c>
      <c r="BE196" s="462">
        <v>0</v>
      </c>
      <c r="BF196" s="462"/>
      <c r="BG196" s="464" t="s">
        <v>160</v>
      </c>
      <c r="BH196" s="467">
        <f ca="1">AH76*SFAssumptions!$C$27/1000</f>
        <v>12.849683885869453</v>
      </c>
      <c r="BI196" s="462"/>
      <c r="BJ196" s="462"/>
      <c r="BK196" s="462"/>
      <c r="BL196" s="462"/>
      <c r="BM196" s="462"/>
      <c r="BN196" s="462"/>
      <c r="BO196" s="462"/>
      <c r="BP196" s="462"/>
    </row>
    <row r="197" spans="1:68">
      <c r="A197" s="462">
        <f t="shared" si="63"/>
        <v>60</v>
      </c>
      <c r="B197" s="462">
        <f t="shared" si="56"/>
        <v>2</v>
      </c>
      <c r="C197" s="462">
        <f t="shared" si="57"/>
        <v>30</v>
      </c>
      <c r="D197" s="462">
        <f t="shared" si="58"/>
        <v>6</v>
      </c>
      <c r="E197" s="462">
        <f t="shared" si="59"/>
        <v>5</v>
      </c>
      <c r="F197" s="462"/>
      <c r="G197" s="462" t="str">
        <f t="shared" si="55"/>
        <v>Current Practice Baseline Using 54% ENERGY STAR Penetration</v>
      </c>
      <c r="H197" s="462" t="str">
        <f t="shared" si="54"/>
        <v>CEE Tier 3</v>
      </c>
      <c r="I197" s="462" t="str">
        <f t="shared" si="60"/>
        <v>Any DHW, Any Dryer</v>
      </c>
      <c r="J197" s="462" t="str">
        <f t="shared" si="61"/>
        <v>Any DHW</v>
      </c>
      <c r="K197" s="462" t="str">
        <f t="shared" si="62"/>
        <v>Any Dryer</v>
      </c>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463"/>
      <c r="AM197" s="463"/>
      <c r="AN197" s="463"/>
      <c r="AO197" s="463"/>
      <c r="AP197" s="463"/>
      <c r="AQ197" s="463"/>
      <c r="AR197" s="463"/>
      <c r="AS197" s="463"/>
      <c r="AT197" s="463"/>
      <c r="AU197" s="463"/>
      <c r="AV197" s="463"/>
      <c r="AW197" s="463"/>
      <c r="AX197" s="463"/>
      <c r="AY197" s="463"/>
      <c r="AZ197" s="463"/>
      <c r="BA197" s="462" t="str">
        <f t="shared" si="64"/>
        <v>CEE Tier 3 Clothes Washer - Any DHW, Any Dryer - 54% ENERGY STAR Baseline</v>
      </c>
      <c r="BB197" s="464" t="s">
        <v>27</v>
      </c>
      <c r="BC197" s="465">
        <f ca="1">AH77*SFAssumptions!$C$26/1000</f>
        <v>3.4194180213254715</v>
      </c>
      <c r="BD197" s="466">
        <f t="shared" si="52"/>
        <v>14</v>
      </c>
      <c r="BE197" s="462">
        <v>0</v>
      </c>
      <c r="BF197" s="462"/>
      <c r="BG197" s="464" t="s">
        <v>160</v>
      </c>
      <c r="BH197" s="467">
        <f ca="1">AH77*SFAssumptions!$C$27/1000</f>
        <v>12.849683885869453</v>
      </c>
      <c r="BI197" s="462"/>
      <c r="BJ197" s="462"/>
      <c r="BK197" s="462"/>
      <c r="BL197" s="462"/>
      <c r="BM197" s="462"/>
      <c r="BN197" s="462"/>
      <c r="BO197" s="462"/>
      <c r="BP197" s="462"/>
    </row>
  </sheetData>
  <mergeCells count="9">
    <mergeCell ref="AM16:AO16"/>
    <mergeCell ref="BI16:BN16"/>
    <mergeCell ref="BO16:BP16"/>
    <mergeCell ref="K1:N1"/>
    <mergeCell ref="P16:R16"/>
    <mergeCell ref="S16:U16"/>
    <mergeCell ref="Z16:AB16"/>
    <mergeCell ref="AC16:AE16"/>
    <mergeCell ref="AJ16:AL16"/>
  </mergeCells>
  <pageMargins left="0.7" right="0.7" top="0.75" bottom="0.75" header="0.3" footer="0.3"/>
  <pageSetup orientation="portrait" verticalDpi="0" r:id="rId1"/>
  <legacyDrawing r:id="rId2"/>
</worksheet>
</file>

<file path=xl/worksheets/sheet23.xml><?xml version="1.0" encoding="utf-8"?>
<worksheet xmlns="http://schemas.openxmlformats.org/spreadsheetml/2006/main" xmlns:r="http://schemas.openxmlformats.org/officeDocument/2006/relationships">
  <dimension ref="A1:BQ197"/>
  <sheetViews>
    <sheetView topLeftCell="AY1" zoomScale="80" zoomScaleNormal="80" workbookViewId="0">
      <selection sqref="A1:XFD1048576"/>
    </sheetView>
  </sheetViews>
  <sheetFormatPr defaultColWidth="8.85546875" defaultRowHeight="12.75"/>
  <cols>
    <col min="1" max="6" width="8.85546875" style="9"/>
    <col min="7" max="7" width="34.85546875" style="9" customWidth="1"/>
    <col min="8" max="8" width="38.7109375" style="9" customWidth="1"/>
    <col min="9" max="9" width="26" style="9" customWidth="1"/>
    <col min="10" max="10" width="13" style="9" customWidth="1"/>
    <col min="11" max="11" width="12.7109375" style="9" customWidth="1"/>
    <col min="12" max="13" width="12.42578125" style="9" customWidth="1"/>
    <col min="14" max="14" width="13.7109375" style="9" customWidth="1"/>
    <col min="15" max="15" width="17.28515625" style="9" customWidth="1"/>
    <col min="16" max="22" width="12.42578125" style="9" customWidth="1"/>
    <col min="23" max="23" width="5.42578125" style="9" customWidth="1"/>
    <col min="24" max="24" width="13.85546875" style="9" customWidth="1"/>
    <col min="25" max="32" width="12.42578125" style="9" customWidth="1"/>
    <col min="33" max="33" width="6.42578125" style="9" customWidth="1"/>
    <col min="34" max="34" width="14" style="9" customWidth="1"/>
    <col min="35" max="43" width="12.140625" style="9" customWidth="1"/>
    <col min="44" max="44" width="100.28515625" style="9" bestFit="1" customWidth="1"/>
    <col min="45" max="45" width="15.85546875" style="9" customWidth="1"/>
    <col min="46" max="46" width="12.140625" style="9" customWidth="1"/>
    <col min="47" max="47" width="14.85546875" style="9" customWidth="1"/>
    <col min="48" max="52" width="12.140625" style="9" customWidth="1"/>
    <col min="53" max="53" width="110" style="9" customWidth="1"/>
    <col min="54" max="54" width="29" style="9" customWidth="1"/>
    <col min="55" max="58" width="8.85546875" style="9"/>
    <col min="59" max="59" width="11.5703125" style="9" customWidth="1"/>
    <col min="60" max="60" width="10.7109375" style="9" bestFit="1" customWidth="1"/>
    <col min="61" max="16384" width="8.85546875" style="9"/>
  </cols>
  <sheetData>
    <row r="1" spans="2:68" s="198" customFormat="1">
      <c r="B1" s="394">
        <v>2</v>
      </c>
      <c r="C1" s="395" t="s">
        <v>1084</v>
      </c>
      <c r="D1" s="396"/>
      <c r="E1" s="397"/>
      <c r="G1" s="398" t="s">
        <v>1085</v>
      </c>
      <c r="H1" s="398" t="s">
        <v>1086</v>
      </c>
      <c r="I1" s="201"/>
      <c r="J1" s="399" t="s">
        <v>1087</v>
      </c>
      <c r="K1" s="921" t="s">
        <v>1088</v>
      </c>
      <c r="L1" s="921"/>
      <c r="M1" s="921"/>
      <c r="N1" s="921"/>
      <c r="W1" s="318"/>
      <c r="AG1" s="318"/>
      <c r="AI1" s="399" t="s">
        <v>1089</v>
      </c>
      <c r="AJ1" s="399" t="s">
        <v>1090</v>
      </c>
      <c r="AK1" s="399" t="s">
        <v>1091</v>
      </c>
      <c r="AL1" s="399" t="s">
        <v>1092</v>
      </c>
      <c r="AQ1" s="400"/>
      <c r="AR1" s="400"/>
      <c r="AS1" s="400"/>
      <c r="AT1" s="400"/>
      <c r="AU1" s="400"/>
      <c r="AV1" s="400"/>
      <c r="AW1" s="400"/>
      <c r="AX1" s="400"/>
      <c r="AY1" s="400"/>
      <c r="AZ1" s="400"/>
    </row>
    <row r="2" spans="2:68" s="198" customFormat="1">
      <c r="B2" s="394">
        <v>6</v>
      </c>
      <c r="C2" s="401" t="s">
        <v>1355</v>
      </c>
      <c r="D2" s="402"/>
      <c r="E2" s="403"/>
      <c r="G2" s="404">
        <v>1</v>
      </c>
      <c r="H2" s="471" t="str">
        <f>'MFBaselines and Measures'!C3</f>
        <v>Current Practice Baseline Using 31% ENERGY STAR Penetration</v>
      </c>
      <c r="J2" s="742">
        <v>1</v>
      </c>
      <c r="K2" s="743" t="str">
        <f>'MFBaselines and Measures'!F3</f>
        <v>ENERGY STAR - Top-Load</v>
      </c>
      <c r="L2" s="744"/>
      <c r="M2" s="744"/>
      <c r="N2" s="745"/>
      <c r="O2" s="405" t="str">
        <f>K2</f>
        <v>ENERGY STAR - Top-Load</v>
      </c>
      <c r="W2" s="318"/>
      <c r="AG2" s="318"/>
      <c r="AI2" s="404">
        <v>1</v>
      </c>
      <c r="AJ2" s="406" t="s">
        <v>1093</v>
      </c>
      <c r="AK2" s="406" t="s">
        <v>177</v>
      </c>
      <c r="AL2" s="406" t="s">
        <v>182</v>
      </c>
      <c r="AQ2" s="400"/>
      <c r="AR2" s="400"/>
      <c r="AS2" s="400"/>
      <c r="AT2" s="400"/>
      <c r="AU2" s="400"/>
      <c r="AV2" s="400"/>
      <c r="AW2" s="400"/>
      <c r="AX2" s="400"/>
      <c r="AY2" s="400"/>
      <c r="AZ2" s="400"/>
    </row>
    <row r="3" spans="2:68" s="198" customFormat="1">
      <c r="B3" s="394">
        <v>5</v>
      </c>
      <c r="C3" s="407" t="s">
        <v>1094</v>
      </c>
      <c r="D3" s="408"/>
      <c r="E3" s="409"/>
      <c r="G3" s="404">
        <v>2</v>
      </c>
      <c r="H3" s="471" t="str">
        <f>'MFBaselines and Measures'!D3</f>
        <v>Current Practice Baseline Using 54% ENERGY STAR Penetration</v>
      </c>
      <c r="J3" s="742">
        <v>2</v>
      </c>
      <c r="K3" s="743" t="str">
        <f>'MFBaselines and Measures'!G3</f>
        <v>ENERGY STAR - Front-Load</v>
      </c>
      <c r="L3" s="744"/>
      <c r="M3" s="744"/>
      <c r="N3" s="745"/>
      <c r="O3" s="405" t="str">
        <f t="shared" ref="O3:O7" si="0">K3</f>
        <v>ENERGY STAR - Front-Load</v>
      </c>
      <c r="W3" s="318"/>
      <c r="AG3" s="318"/>
      <c r="AI3" s="404">
        <f>AI2+1</f>
        <v>2</v>
      </c>
      <c r="AJ3" s="406" t="s">
        <v>1095</v>
      </c>
      <c r="AK3" s="406" t="s">
        <v>177</v>
      </c>
      <c r="AL3" s="406" t="s">
        <v>183</v>
      </c>
      <c r="AQ3" s="400"/>
      <c r="AR3" s="400"/>
      <c r="AS3" s="400"/>
      <c r="AT3" s="400"/>
      <c r="AU3" s="400"/>
      <c r="AV3" s="400"/>
      <c r="AW3" s="400"/>
      <c r="AX3" s="400"/>
      <c r="AY3" s="400"/>
      <c r="AZ3" s="400"/>
    </row>
    <row r="4" spans="2:68" s="198" customFormat="1">
      <c r="J4" s="742">
        <v>3</v>
      </c>
      <c r="K4" s="743" t="str">
        <f>'MFBaselines and Measures'!H3</f>
        <v>Any ENERGY STAR (Top- or Front-Load)</v>
      </c>
      <c r="L4" s="744"/>
      <c r="M4" s="744"/>
      <c r="N4" s="745"/>
      <c r="O4" s="405" t="str">
        <f t="shared" si="0"/>
        <v>Any ENERGY STAR (Top- or Front-Load)</v>
      </c>
      <c r="W4" s="318"/>
      <c r="AG4" s="318"/>
      <c r="AI4" s="404">
        <f>AI3+1</f>
        <v>3</v>
      </c>
      <c r="AJ4" s="406" t="s">
        <v>1096</v>
      </c>
      <c r="AK4" s="406" t="s">
        <v>178</v>
      </c>
      <c r="AL4" s="394" t="str">
        <f>AL2</f>
        <v>Electric Dryer</v>
      </c>
      <c r="AQ4" s="400"/>
      <c r="AR4" s="400"/>
      <c r="AS4" s="400"/>
      <c r="AT4" s="400"/>
      <c r="AU4" s="400"/>
      <c r="AV4" s="400"/>
      <c r="AW4" s="400"/>
      <c r="AX4" s="400"/>
      <c r="AY4" s="400"/>
      <c r="AZ4" s="400"/>
    </row>
    <row r="5" spans="2:68" s="198" customFormat="1">
      <c r="B5" s="201"/>
      <c r="J5" s="742">
        <v>4</v>
      </c>
      <c r="K5" s="743" t="str">
        <f>'MFBaselines and Measures'!I3</f>
        <v>CEE Tier 1</v>
      </c>
      <c r="L5" s="744"/>
      <c r="M5" s="744"/>
      <c r="N5" s="745"/>
      <c r="O5" s="405" t="str">
        <f t="shared" si="0"/>
        <v>CEE Tier 1</v>
      </c>
      <c r="W5" s="318"/>
      <c r="AG5" s="318"/>
      <c r="AI5" s="404">
        <f>AI4+1</f>
        <v>4</v>
      </c>
      <c r="AJ5" s="406" t="s">
        <v>1097</v>
      </c>
      <c r="AK5" s="406" t="s">
        <v>178</v>
      </c>
      <c r="AL5" s="394" t="str">
        <f>AL3</f>
        <v>Gas Dryer</v>
      </c>
      <c r="AQ5" s="400"/>
      <c r="AR5" s="400"/>
      <c r="AS5" s="400"/>
      <c r="AT5" s="400"/>
      <c r="AU5" s="400"/>
      <c r="AV5" s="400"/>
      <c r="AW5" s="400"/>
      <c r="AX5" s="400"/>
      <c r="AY5" s="400"/>
      <c r="AZ5" s="400"/>
    </row>
    <row r="6" spans="2:68" s="198" customFormat="1">
      <c r="J6" s="742">
        <v>5</v>
      </c>
      <c r="K6" s="743" t="str">
        <f>'MFBaselines and Measures'!J3</f>
        <v>CEE Tier 2</v>
      </c>
      <c r="L6" s="744"/>
      <c r="M6" s="744"/>
      <c r="N6" s="745"/>
      <c r="O6" s="405" t="str">
        <f t="shared" si="0"/>
        <v>CEE Tier 2</v>
      </c>
      <c r="W6" s="318"/>
      <c r="AG6" s="318"/>
      <c r="AI6" s="404">
        <f>AI5+1</f>
        <v>5</v>
      </c>
      <c r="AJ6" s="406" t="s">
        <v>1098</v>
      </c>
      <c r="AK6" s="406" t="s">
        <v>179</v>
      </c>
      <c r="AL6" s="406" t="s">
        <v>185</v>
      </c>
      <c r="AQ6" s="400"/>
      <c r="AR6" s="400"/>
      <c r="AS6" s="400"/>
      <c r="AT6" s="400"/>
      <c r="AU6" s="400"/>
      <c r="AV6" s="400"/>
      <c r="AW6" s="400"/>
      <c r="AX6" s="400"/>
      <c r="AY6" s="400"/>
      <c r="AZ6" s="400"/>
    </row>
    <row r="7" spans="2:68" s="198" customFormat="1">
      <c r="J7" s="742">
        <v>6</v>
      </c>
      <c r="K7" s="743" t="str">
        <f>'MFBaselines and Measures'!K3</f>
        <v>CEE Tier 3</v>
      </c>
      <c r="L7" s="744"/>
      <c r="M7" s="744"/>
      <c r="N7" s="745"/>
      <c r="O7" s="405" t="str">
        <f t="shared" si="0"/>
        <v>CEE Tier 3</v>
      </c>
      <c r="W7" s="318"/>
      <c r="AG7" s="318"/>
      <c r="AQ7" s="400"/>
      <c r="AR7" s="400"/>
      <c r="AS7" s="400"/>
      <c r="AT7" s="400"/>
      <c r="AU7" s="400"/>
      <c r="AV7" s="400"/>
      <c r="AW7" s="400"/>
      <c r="AX7" s="400"/>
      <c r="AY7" s="400"/>
      <c r="AZ7" s="400"/>
    </row>
    <row r="8" spans="2:68" s="198" customFormat="1">
      <c r="W8" s="318"/>
      <c r="AG8" s="318"/>
      <c r="AQ8" s="400"/>
      <c r="AR8" s="400"/>
      <c r="AS8" s="400"/>
      <c r="AT8" s="400"/>
      <c r="AU8" s="400"/>
      <c r="AV8" s="400"/>
      <c r="AW8" s="400"/>
      <c r="AX8" s="400"/>
      <c r="AY8" s="400"/>
      <c r="AZ8" s="400"/>
    </row>
    <row r="9" spans="2:68" s="198" customFormat="1">
      <c r="J9" s="410"/>
      <c r="K9" s="411"/>
      <c r="L9" s="411"/>
      <c r="M9" s="411"/>
      <c r="N9" s="411"/>
      <c r="O9" s="412"/>
      <c r="W9" s="318"/>
      <c r="AG9" s="318"/>
      <c r="AQ9" s="400"/>
      <c r="AR9" s="400"/>
      <c r="AS9" s="400"/>
      <c r="AT9" s="400"/>
      <c r="AU9" s="400"/>
      <c r="AV9" s="400"/>
      <c r="AW9" s="400"/>
      <c r="AX9" s="400"/>
      <c r="AY9" s="400"/>
      <c r="AZ9" s="400"/>
    </row>
    <row r="10" spans="2:68" s="198" customFormat="1">
      <c r="J10" s="410"/>
      <c r="K10" s="318"/>
      <c r="L10" s="318"/>
      <c r="M10" s="318"/>
      <c r="N10" s="318"/>
      <c r="O10" s="318"/>
      <c r="W10" s="318"/>
      <c r="AG10" s="318"/>
      <c r="AQ10" s="400"/>
      <c r="AR10" s="400"/>
      <c r="AS10" s="400"/>
      <c r="AT10" s="400"/>
      <c r="AU10" s="400"/>
      <c r="AV10" s="400"/>
      <c r="AW10" s="400"/>
      <c r="AX10" s="400"/>
      <c r="AY10" s="400"/>
      <c r="AZ10" s="400"/>
    </row>
    <row r="11" spans="2:68" s="198" customFormat="1">
      <c r="W11" s="318"/>
      <c r="AG11" s="318"/>
      <c r="AQ11" s="400"/>
      <c r="AR11" s="400"/>
      <c r="AS11" s="400"/>
      <c r="AT11" s="400"/>
      <c r="AU11" s="400"/>
      <c r="AV11" s="400"/>
      <c r="AW11" s="400"/>
      <c r="AX11" s="400"/>
      <c r="AY11" s="400"/>
      <c r="AZ11" s="400"/>
    </row>
    <row r="12" spans="2:68" s="198" customFormat="1">
      <c r="W12" s="318"/>
      <c r="AG12" s="318"/>
      <c r="AQ12" s="400"/>
      <c r="AR12" s="400"/>
      <c r="AS12" s="400"/>
      <c r="AT12" s="400"/>
      <c r="AU12" s="400"/>
      <c r="AV12" s="400"/>
      <c r="AW12" s="400"/>
      <c r="AX12" s="400"/>
      <c r="AY12" s="400"/>
      <c r="AZ12" s="400"/>
    </row>
    <row r="13" spans="2:68" s="198" customFormat="1">
      <c r="W13" s="318"/>
      <c r="AG13" s="318"/>
      <c r="AQ13" s="400"/>
      <c r="AR13" s="400"/>
      <c r="AS13" s="400"/>
      <c r="AT13" s="400"/>
      <c r="AU13" s="400"/>
      <c r="AV13" s="400"/>
      <c r="AW13" s="400"/>
      <c r="AX13" s="400"/>
      <c r="AY13" s="400"/>
      <c r="AZ13" s="400"/>
    </row>
    <row r="14" spans="2:68" s="198" customFormat="1">
      <c r="W14" s="318"/>
      <c r="AG14" s="318"/>
      <c r="AQ14" s="400"/>
      <c r="AR14" s="400"/>
      <c r="AS14" s="400"/>
      <c r="AT14" s="400"/>
      <c r="AU14" s="400"/>
      <c r="AV14" s="400"/>
      <c r="AW14" s="400"/>
      <c r="AX14" s="400"/>
      <c r="AY14" s="400"/>
      <c r="AZ14" s="400"/>
    </row>
    <row r="15" spans="2:68" s="198" customFormat="1">
      <c r="N15" s="413" t="s">
        <v>1099</v>
      </c>
      <c r="O15" s="414"/>
      <c r="P15" s="414"/>
      <c r="Q15" s="414"/>
      <c r="R15" s="414"/>
      <c r="S15" s="414"/>
      <c r="T15" s="414"/>
      <c r="U15" s="414"/>
      <c r="V15" s="414"/>
      <c r="W15" s="318"/>
      <c r="X15" s="308" t="s">
        <v>1100</v>
      </c>
      <c r="Y15" s="309"/>
      <c r="Z15" s="309"/>
      <c r="AA15" s="309"/>
      <c r="AB15" s="309"/>
      <c r="AC15" s="309"/>
      <c r="AD15" s="309"/>
      <c r="AE15" s="309"/>
      <c r="AF15" s="309"/>
      <c r="AG15" s="318"/>
      <c r="AH15" s="415" t="s">
        <v>1101</v>
      </c>
      <c r="AI15" s="416"/>
      <c r="AJ15" s="416"/>
      <c r="AK15" s="416"/>
      <c r="AL15" s="416"/>
      <c r="AM15" s="416"/>
      <c r="AN15" s="416"/>
      <c r="AO15" s="416"/>
      <c r="AP15" s="416"/>
      <c r="AQ15" s="400"/>
      <c r="AR15" s="400"/>
      <c r="AS15" s="400"/>
      <c r="AT15" s="400"/>
      <c r="AU15" s="400"/>
      <c r="AV15" s="400"/>
      <c r="AW15" s="400"/>
      <c r="AX15" s="400"/>
      <c r="AY15" s="400"/>
      <c r="AZ15" s="400"/>
    </row>
    <row r="16" spans="2:68" s="198" customFormat="1">
      <c r="P16" s="922" t="s">
        <v>1076</v>
      </c>
      <c r="Q16" s="922"/>
      <c r="R16" s="922"/>
      <c r="S16" s="923" t="s">
        <v>1080</v>
      </c>
      <c r="T16" s="923"/>
      <c r="U16" s="923"/>
      <c r="V16" s="549"/>
      <c r="W16" s="417"/>
      <c r="Z16" s="924" t="s">
        <v>1076</v>
      </c>
      <c r="AA16" s="924"/>
      <c r="AB16" s="924"/>
      <c r="AC16" s="925" t="s">
        <v>1080</v>
      </c>
      <c r="AD16" s="925"/>
      <c r="AE16" s="925"/>
      <c r="AF16" s="550"/>
      <c r="AG16" s="417"/>
      <c r="AJ16" s="918" t="s">
        <v>1076</v>
      </c>
      <c r="AK16" s="918"/>
      <c r="AL16" s="918"/>
      <c r="AM16" s="918" t="s">
        <v>1080</v>
      </c>
      <c r="AN16" s="918"/>
      <c r="AO16" s="918"/>
      <c r="AP16" s="548"/>
      <c r="AQ16" s="400"/>
      <c r="AR16" s="400"/>
      <c r="AS16" s="400"/>
      <c r="AT16" s="418" t="s">
        <v>1102</v>
      </c>
      <c r="AU16" s="419"/>
      <c r="AV16" s="419"/>
      <c r="AW16" s="419"/>
      <c r="AX16" s="419"/>
      <c r="AY16" s="419"/>
      <c r="AZ16" s="400"/>
      <c r="BA16" s="420" t="s">
        <v>3</v>
      </c>
      <c r="BB16" s="421"/>
      <c r="BC16" s="421"/>
      <c r="BD16" s="421"/>
      <c r="BE16" s="421"/>
      <c r="BF16" s="421"/>
      <c r="BG16" s="422"/>
      <c r="BH16" s="423"/>
      <c r="BI16" s="894" t="s">
        <v>4</v>
      </c>
      <c r="BJ16" s="895"/>
      <c r="BK16" s="895"/>
      <c r="BL16" s="895"/>
      <c r="BM16" s="895"/>
      <c r="BN16" s="896"/>
      <c r="BO16" s="919" t="s">
        <v>5</v>
      </c>
      <c r="BP16" s="920"/>
    </row>
    <row r="17" spans="1:69" s="198" customFormat="1" ht="38.25">
      <c r="A17" s="424" t="s">
        <v>1103</v>
      </c>
      <c r="B17" s="424" t="s">
        <v>1104</v>
      </c>
      <c r="C17" s="424" t="s">
        <v>1105</v>
      </c>
      <c r="D17" s="424" t="s">
        <v>22</v>
      </c>
      <c r="E17" s="424" t="s">
        <v>1106</v>
      </c>
      <c r="F17" s="424"/>
      <c r="G17" s="424" t="s">
        <v>1086</v>
      </c>
      <c r="H17" s="424" t="s">
        <v>1088</v>
      </c>
      <c r="I17" s="424" t="s">
        <v>1090</v>
      </c>
      <c r="J17" s="424" t="s">
        <v>1107</v>
      </c>
      <c r="K17" s="424" t="s">
        <v>1108</v>
      </c>
      <c r="L17" s="425" t="s">
        <v>1109</v>
      </c>
      <c r="M17" s="426" t="s">
        <v>1110</v>
      </c>
      <c r="N17" s="426" t="s">
        <v>1111</v>
      </c>
      <c r="O17" s="426" t="s">
        <v>1112</v>
      </c>
      <c r="P17" s="426" t="s">
        <v>1077</v>
      </c>
      <c r="Q17" s="426" t="s">
        <v>1078</v>
      </c>
      <c r="R17" s="426" t="s">
        <v>1079</v>
      </c>
      <c r="S17" s="426" t="s">
        <v>1081</v>
      </c>
      <c r="T17" s="426" t="s">
        <v>1082</v>
      </c>
      <c r="U17" s="426" t="s">
        <v>1083</v>
      </c>
      <c r="V17" s="426" t="s">
        <v>1113</v>
      </c>
      <c r="W17" s="427"/>
      <c r="X17" s="426" t="str">
        <f t="shared" ref="X17:AE17" si="1">N17</f>
        <v>gallons/year</v>
      </c>
      <c r="Y17" s="426" t="str">
        <f t="shared" si="1"/>
        <v>cost $2006</v>
      </c>
      <c r="Z17" s="426" t="str">
        <f t="shared" si="1"/>
        <v>kWh machine</v>
      </c>
      <c r="AA17" s="426" t="str">
        <f t="shared" si="1"/>
        <v>kWh dryer</v>
      </c>
      <c r="AB17" s="426" t="str">
        <f t="shared" si="1"/>
        <v>kWh hot water</v>
      </c>
      <c r="AC17" s="426" t="str">
        <f t="shared" si="1"/>
        <v>therms machine</v>
      </c>
      <c r="AD17" s="426" t="str">
        <f t="shared" si="1"/>
        <v>therms dryer</v>
      </c>
      <c r="AE17" s="426" t="str">
        <f t="shared" si="1"/>
        <v>therms hot water</v>
      </c>
      <c r="AF17" s="426" t="s">
        <v>1113</v>
      </c>
      <c r="AG17" s="427"/>
      <c r="AH17" s="426" t="str">
        <f t="shared" ref="AH17:AO17" si="2">X17</f>
        <v>gallons/year</v>
      </c>
      <c r="AI17" s="426" t="str">
        <f t="shared" si="2"/>
        <v>cost $2006</v>
      </c>
      <c r="AJ17" s="426" t="str">
        <f t="shared" si="2"/>
        <v>kWh machine</v>
      </c>
      <c r="AK17" s="426" t="str">
        <f t="shared" si="2"/>
        <v>kWh dryer</v>
      </c>
      <c r="AL17" s="426" t="str">
        <f t="shared" si="2"/>
        <v>kWh hot water</v>
      </c>
      <c r="AM17" s="426" t="str">
        <f t="shared" si="2"/>
        <v>therms machine</v>
      </c>
      <c r="AN17" s="426" t="str">
        <f t="shared" si="2"/>
        <v>therms dryer</v>
      </c>
      <c r="AO17" s="426" t="str">
        <f t="shared" si="2"/>
        <v>therms hot water</v>
      </c>
      <c r="AP17" s="426" t="s">
        <v>1113</v>
      </c>
      <c r="AQ17" s="400"/>
      <c r="AR17" s="428" t="s">
        <v>7</v>
      </c>
      <c r="AS17" s="428" t="s">
        <v>1114</v>
      </c>
      <c r="AT17" s="429" t="s">
        <v>1115</v>
      </c>
      <c r="AU17" s="429" t="s">
        <v>1116</v>
      </c>
      <c r="AV17" s="429" t="s">
        <v>1117</v>
      </c>
      <c r="AW17" s="429" t="s">
        <v>1118</v>
      </c>
      <c r="AX17" s="428" t="s">
        <v>1119</v>
      </c>
      <c r="AY17" s="428" t="s">
        <v>1120</v>
      </c>
      <c r="AZ17" s="430"/>
      <c r="BA17" s="23" t="s">
        <v>6</v>
      </c>
      <c r="BB17" s="23" t="s">
        <v>7</v>
      </c>
      <c r="BC17" s="23" t="s">
        <v>8</v>
      </c>
      <c r="BD17" s="23" t="s">
        <v>9</v>
      </c>
      <c r="BE17" s="23" t="s">
        <v>10</v>
      </c>
      <c r="BF17" s="23" t="s">
        <v>11</v>
      </c>
      <c r="BG17" s="23" t="s">
        <v>12</v>
      </c>
      <c r="BH17" s="23" t="s">
        <v>13</v>
      </c>
      <c r="BI17" s="23" t="s">
        <v>14</v>
      </c>
      <c r="BJ17" s="23" t="s">
        <v>15</v>
      </c>
      <c r="BK17" s="23" t="s">
        <v>16</v>
      </c>
      <c r="BL17" s="23" t="s">
        <v>17</v>
      </c>
      <c r="BM17" s="23" t="s">
        <v>18</v>
      </c>
      <c r="BN17" s="23" t="s">
        <v>19</v>
      </c>
      <c r="BO17" s="431" t="s">
        <v>20</v>
      </c>
      <c r="BP17" s="23" t="s">
        <v>12</v>
      </c>
    </row>
    <row r="18" spans="1:69" s="414" customFormat="1">
      <c r="A18" s="432">
        <v>1</v>
      </c>
      <c r="B18" s="433">
        <f t="shared" ref="B18:B153" si="3">CEILING(A18/($B$2*$B$3),1)</f>
        <v>1</v>
      </c>
      <c r="C18" s="433">
        <f t="shared" ref="C18:C153" si="4">CEILING(A18-(B18-1)*$B$2*$B$3,1)</f>
        <v>1</v>
      </c>
      <c r="D18" s="433">
        <f t="shared" ref="D18:D153" si="5">CEILING(C18/$B$3,1)</f>
        <v>1</v>
      </c>
      <c r="E18" s="433">
        <f t="shared" ref="E18:E153" si="6">C18-((D18-1)*$B$3)</f>
        <v>1</v>
      </c>
      <c r="F18" s="433"/>
      <c r="G18" s="433" t="str">
        <f>VLOOKUP(B18,$G$2:$H$13,2,FALSE)</f>
        <v>Current Practice Baseline Using 31% ENERGY STAR Penetration</v>
      </c>
      <c r="H18" s="433" t="str">
        <f>VLOOKUP(D18,$J$2:$O$12,6,FALSE)</f>
        <v>ENERGY STAR - Top-Load</v>
      </c>
      <c r="I18" s="433" t="str">
        <f t="shared" ref="I18:I153" si="7">VLOOKUP($E18,$AI$2:$AL$12,2,FALSE)</f>
        <v>Electric DHW, Electric Dryer</v>
      </c>
      <c r="J18" s="433" t="str">
        <f t="shared" ref="J18:J153" si="8">VLOOKUP($E18,$AI$2:$AL$12,3,FALSE)</f>
        <v>Electric DHW</v>
      </c>
      <c r="K18" s="433" t="str">
        <f t="shared" ref="K18:K153" si="9">VLOOKUP($E18,$AI$2:$AL$12,4,FALSE)</f>
        <v>Electric Dryer</v>
      </c>
      <c r="L18" s="434">
        <f>VLOOKUP(J18,SFAssumptions!$A$14:$B$16,2,FALSE)</f>
        <v>1</v>
      </c>
      <c r="M18" s="435">
        <f>VLOOKUP(K18,SFAssumptions!$A$18:$B$20,2,FALSE)</f>
        <v>1</v>
      </c>
      <c r="N18" s="436">
        <f ca="1">HLOOKUP($G18,'MFBaselines and Measures'!$C$3:$V$33,7,FALSE)</f>
        <v>4047.8861059902265</v>
      </c>
      <c r="O18" s="437">
        <f ca="1">HLOOKUP($G18,'MFBaselines and Measures'!$C$3:$V$33,8,FALSE)</f>
        <v>776.31603614450796</v>
      </c>
      <c r="P18" s="438">
        <f ca="1">HLOOKUP($G18,'MFBaselines and Measures'!$C$3:$V$33,25,FALSE)</f>
        <v>53.065837949637434</v>
      </c>
      <c r="Q18" s="438"/>
      <c r="R18" s="438">
        <f ca="1">HLOOKUP($G18,'MFBaselines and Measures'!$C$3:$V$33,27,FALSE)</f>
        <v>98.059847487163822</v>
      </c>
      <c r="S18" s="439">
        <f>HLOOKUP($G18,'MFBaselines and Measures'!$C$3:$V$33,29,FALSE)</f>
        <v>0</v>
      </c>
      <c r="T18" s="439"/>
      <c r="U18" s="439">
        <f ca="1">HLOOKUP($G18,'MFBaselines and Measures'!$C$3:$V$33,31,FALSE)</f>
        <v>4.4623767929825346</v>
      </c>
      <c r="V18" s="440">
        <f ca="1">HLOOKUP($G18,'MFBaselines and Measures'!$C$3:$V$33,9,FALSE)</f>
        <v>42.82176814392561</v>
      </c>
      <c r="W18" s="441"/>
      <c r="X18" s="436">
        <f ca="1">HLOOKUP($H18,'MFBaselines and Measures'!$C$2:$V$33,8,FALSE)</f>
        <v>3967.88847049284</v>
      </c>
      <c r="Y18" s="437">
        <f ca="1">HLOOKUP($H18,'MFBaselines and Measures'!$C$2:$V$33,9,FALSE)</f>
        <v>754.7360149776722</v>
      </c>
      <c r="Z18" s="438">
        <f ca="1">HLOOKUP($H18,'MFBaselines and Measures'!$C$2:$V$33,26,FALSE)</f>
        <v>50.610787625654815</v>
      </c>
      <c r="AA18" s="438"/>
      <c r="AB18" s="438">
        <f ca="1">HLOOKUP($H18,'MFBaselines and Measures'!$C$2:$V$33,28,FALSE)</f>
        <v>91.674902155254372</v>
      </c>
      <c r="AC18" s="439">
        <f>HLOOKUP($H18,'MFBaselines and Measures'!$C$2:$V$33,30,FALSE)</f>
        <v>0</v>
      </c>
      <c r="AD18" s="439"/>
      <c r="AE18" s="439">
        <f ca="1">HLOOKUP($H18,'MFBaselines and Measures'!$C$2:$V$33,32,FALSE)</f>
        <v>4.1718192140784423</v>
      </c>
      <c r="AF18" s="440">
        <f ca="1">HLOOKUP($H18,'MFBaselines and Measures'!$C$2:$V$33,10,FALSE)</f>
        <v>41.97548934318025</v>
      </c>
      <c r="AG18" s="441"/>
      <c r="AH18" s="436">
        <f ca="1">N18-X18</f>
        <v>79.997635497386455</v>
      </c>
      <c r="AI18" s="437">
        <f ca="1">Y18-O18</f>
        <v>-21.580021166835763</v>
      </c>
      <c r="AJ18" s="438">
        <f t="shared" ref="AJ18:AJ77" ca="1" si="10">P18-Z18</f>
        <v>2.4550503239826185</v>
      </c>
      <c r="AK18" s="438"/>
      <c r="AL18" s="438">
        <f t="shared" ref="AL18:AM33" ca="1" si="11">R18-AB18</f>
        <v>6.3849453319094494</v>
      </c>
      <c r="AM18" s="439">
        <f t="shared" si="11"/>
        <v>0</v>
      </c>
      <c r="AN18" s="439"/>
      <c r="AO18" s="439">
        <f ca="1">U18-AE18</f>
        <v>0.2905575789040924</v>
      </c>
      <c r="AP18" s="442">
        <f ca="1">V18-AF18</f>
        <v>0.84627880074535966</v>
      </c>
      <c r="AQ18" s="443"/>
      <c r="AR18" s="435" t="str">
        <f>BA18</f>
        <v>ENERGY STAR - Top-Load Clothes Washer - Electric DHW, Electric Dryer - 31% ENERGY STAR Baseline</v>
      </c>
      <c r="AS18" s="437">
        <f ca="1">BE18</f>
        <v>-21.580021166835763</v>
      </c>
      <c r="AT18" s="438">
        <f ca="1">AJ18+AL18*L18+AK18*M18</f>
        <v>8.8399956558920678</v>
      </c>
      <c r="AU18" s="439">
        <f ca="1">AO18*(1-L18)+AN18*(1-M18)</f>
        <v>0</v>
      </c>
      <c r="AV18" s="439">
        <f ca="1">AH18</f>
        <v>79.997635497386455</v>
      </c>
      <c r="AW18" s="439"/>
      <c r="AX18" s="438">
        <f t="shared" ref="AX18:AX77" ca="1" si="12">AT18+BC138</f>
        <v>9.1347184998889102</v>
      </c>
      <c r="AY18" s="438">
        <f ca="1">AP18</f>
        <v>0.84627880074535966</v>
      </c>
      <c r="AZ18" s="443"/>
      <c r="BA18" s="433" t="str">
        <f>CONCATENATE(H18," Clothes Washer - ",I18," - 31% ENERGY STAR Baseline")</f>
        <v>ENERGY STAR - Top-Load Clothes Washer - Electric DHW, Electric Dryer - 31% ENERGY STAR Baseline</v>
      </c>
      <c r="BB18" s="433" t="s">
        <v>25</v>
      </c>
      <c r="BC18" s="438">
        <f ca="1">AT18</f>
        <v>8.8399956558920678</v>
      </c>
      <c r="BD18" s="438">
        <f>SFAssumptions!$C$7</f>
        <v>14</v>
      </c>
      <c r="BE18" s="444">
        <f ca="1">AI18</f>
        <v>-21.580021166835763</v>
      </c>
      <c r="BF18" s="433"/>
      <c r="BG18" s="432" t="s">
        <v>157</v>
      </c>
      <c r="BH18" s="445">
        <f ca="1">AY18</f>
        <v>0.84627880074535966</v>
      </c>
      <c r="BI18" s="433"/>
      <c r="BJ18" s="433"/>
      <c r="BK18" s="433"/>
      <c r="BL18" s="433"/>
      <c r="BM18" s="433"/>
      <c r="BN18" s="433"/>
      <c r="BO18" s="446">
        <f ca="1">AU18</f>
        <v>0</v>
      </c>
      <c r="BP18" s="433" t="s">
        <v>158</v>
      </c>
    </row>
    <row r="19" spans="1:69" s="414" customFormat="1">
      <c r="A19" s="433">
        <f>A18+1</f>
        <v>2</v>
      </c>
      <c r="B19" s="433">
        <f t="shared" si="3"/>
        <v>1</v>
      </c>
      <c r="C19" s="433">
        <f t="shared" si="4"/>
        <v>2</v>
      </c>
      <c r="D19" s="433">
        <f t="shared" si="5"/>
        <v>1</v>
      </c>
      <c r="E19" s="433">
        <f t="shared" si="6"/>
        <v>2</v>
      </c>
      <c r="F19" s="433"/>
      <c r="G19" s="433" t="str">
        <f t="shared" ref="G19:G152" si="13">VLOOKUP(B19,$G$2:$H$13,2,FALSE)</f>
        <v>Current Practice Baseline Using 31% ENERGY STAR Penetration</v>
      </c>
      <c r="H19" s="433" t="str">
        <f t="shared" ref="H19:H82" si="14">VLOOKUP(D19,$J$2:$O$12,6,FALSE)</f>
        <v>ENERGY STAR - Top-Load</v>
      </c>
      <c r="I19" s="433" t="str">
        <f t="shared" si="7"/>
        <v>Electric DHW, Gas Dryer</v>
      </c>
      <c r="J19" s="433" t="str">
        <f t="shared" si="8"/>
        <v>Electric DHW</v>
      </c>
      <c r="K19" s="433" t="str">
        <f t="shared" si="9"/>
        <v>Gas Dryer</v>
      </c>
      <c r="L19" s="434">
        <f>VLOOKUP(J19,SFAssumptions!$A$14:$B$16,2,FALSE)</f>
        <v>1</v>
      </c>
      <c r="M19" s="435">
        <f>VLOOKUP(K19,SFAssumptions!$A$18:$B$20,2,FALSE)</f>
        <v>0</v>
      </c>
      <c r="N19" s="436">
        <f ca="1">HLOOKUP($G19,'MFBaselines and Measures'!$C$3:$V$33,7,FALSE)</f>
        <v>4047.8861059902265</v>
      </c>
      <c r="O19" s="437">
        <f ca="1">HLOOKUP($G19,'MFBaselines and Measures'!$C$3:$V$33,8,FALSE)</f>
        <v>776.31603614450796</v>
      </c>
      <c r="P19" s="438">
        <f ca="1">HLOOKUP($G19,'MFBaselines and Measures'!$C$3:$V$33,25,FALSE)</f>
        <v>53.065837949637434</v>
      </c>
      <c r="Q19" s="438"/>
      <c r="R19" s="438">
        <f ca="1">HLOOKUP($G19,'MFBaselines and Measures'!$C$3:$V$33,27,FALSE)</f>
        <v>98.059847487163822</v>
      </c>
      <c r="S19" s="439">
        <f>HLOOKUP($G19,'MFBaselines and Measures'!$C$3:$V$33,29,FALSE)</f>
        <v>0</v>
      </c>
      <c r="T19" s="439"/>
      <c r="U19" s="439">
        <f ca="1">HLOOKUP($G19,'MFBaselines and Measures'!$C$3:$V$33,31,FALSE)</f>
        <v>4.4623767929825346</v>
      </c>
      <c r="V19" s="440">
        <f ca="1">HLOOKUP($G19,'MFBaselines and Measures'!$C$3:$V$33,9,FALSE)</f>
        <v>42.82176814392561</v>
      </c>
      <c r="W19" s="441"/>
      <c r="X19" s="436">
        <f ca="1">HLOOKUP($H19,'MFBaselines and Measures'!$C$2:$V$33,8,FALSE)</f>
        <v>3967.88847049284</v>
      </c>
      <c r="Y19" s="437">
        <f ca="1">HLOOKUP($H19,'MFBaselines and Measures'!$C$2:$V$33,9,FALSE)</f>
        <v>754.7360149776722</v>
      </c>
      <c r="Z19" s="438">
        <f ca="1">HLOOKUP($H19,'MFBaselines and Measures'!$C$2:$V$33,26,FALSE)</f>
        <v>50.610787625654815</v>
      </c>
      <c r="AA19" s="438"/>
      <c r="AB19" s="438">
        <f ca="1">HLOOKUP($H19,'MFBaselines and Measures'!$C$2:$V$33,28,FALSE)</f>
        <v>91.674902155254372</v>
      </c>
      <c r="AC19" s="439">
        <f>HLOOKUP($H19,'MFBaselines and Measures'!$C$2:$V$33,30,FALSE)</f>
        <v>0</v>
      </c>
      <c r="AD19" s="439"/>
      <c r="AE19" s="439">
        <f ca="1">HLOOKUP($H19,'MFBaselines and Measures'!$C$2:$V$33,32,FALSE)</f>
        <v>4.1718192140784423</v>
      </c>
      <c r="AF19" s="440">
        <f ca="1">HLOOKUP($H19,'MFBaselines and Measures'!$C$2:$V$33,10,FALSE)</f>
        <v>41.97548934318025</v>
      </c>
      <c r="AG19" s="441"/>
      <c r="AH19" s="436">
        <f t="shared" ref="AH19:AH77" ca="1" si="15">N19-X19</f>
        <v>79.997635497386455</v>
      </c>
      <c r="AI19" s="437">
        <f t="shared" ref="AI19:AI77" ca="1" si="16">Y19-O19</f>
        <v>-21.580021166835763</v>
      </c>
      <c r="AJ19" s="438">
        <f t="shared" ca="1" si="10"/>
        <v>2.4550503239826185</v>
      </c>
      <c r="AK19" s="438"/>
      <c r="AL19" s="438">
        <f t="shared" ca="1" si="11"/>
        <v>6.3849453319094494</v>
      </c>
      <c r="AM19" s="439">
        <f t="shared" si="11"/>
        <v>0</v>
      </c>
      <c r="AN19" s="439"/>
      <c r="AO19" s="439">
        <f t="shared" ref="AO19:AP34" ca="1" si="17">U19-AE19</f>
        <v>0.2905575789040924</v>
      </c>
      <c r="AP19" s="442">
        <f t="shared" ca="1" si="17"/>
        <v>0.84627880074535966</v>
      </c>
      <c r="AQ19" s="443"/>
      <c r="AR19" s="435" t="str">
        <f t="shared" ref="AR19:AR82" si="18">BA19</f>
        <v>ENERGY STAR - Top-Load Clothes Washer - Electric DHW, Gas Dryer - 31% ENERGY STAR Baseline</v>
      </c>
      <c r="AS19" s="437">
        <f t="shared" ref="AS19:AS82" ca="1" si="19">BE19</f>
        <v>-21.580021166835763</v>
      </c>
      <c r="AT19" s="438">
        <f t="shared" ref="AT19:AT82" ca="1" si="20">AJ19+AL19*L19+AK19*M19</f>
        <v>8.8399956558920678</v>
      </c>
      <c r="AU19" s="439">
        <f t="shared" ref="AU19:AU82" ca="1" si="21">AO19*(1-L19)+AN19*(1-M19)</f>
        <v>0</v>
      </c>
      <c r="AV19" s="439">
        <f t="shared" ref="AV19:AV82" ca="1" si="22">AH19</f>
        <v>79.997635497386455</v>
      </c>
      <c r="AW19" s="439"/>
      <c r="AX19" s="438">
        <f t="shared" ca="1" si="12"/>
        <v>9.1347184998889102</v>
      </c>
      <c r="AY19" s="438">
        <f t="shared" ref="AY19:AY77" ca="1" si="23">AP19</f>
        <v>0.84627880074535966</v>
      </c>
      <c r="AZ19" s="443"/>
      <c r="BA19" s="433" t="str">
        <f t="shared" ref="BA19:BA47" si="24">CONCATENATE(H19," Clothes Washer - ",I19," - 31% ENERGY STAR Baseline")</f>
        <v>ENERGY STAR - Top-Load Clothes Washer - Electric DHW, Gas Dryer - 31% ENERGY STAR Baseline</v>
      </c>
      <c r="BB19" s="433" t="s">
        <v>25</v>
      </c>
      <c r="BC19" s="438">
        <f t="shared" ref="BC19:BC82" ca="1" si="25">AT19</f>
        <v>8.8399956558920678</v>
      </c>
      <c r="BD19" s="438">
        <f>SFAssumptions!$C$7</f>
        <v>14</v>
      </c>
      <c r="BE19" s="444">
        <f t="shared" ref="BE19:BE82" ca="1" si="26">AI19</f>
        <v>-21.580021166835763</v>
      </c>
      <c r="BF19" s="433"/>
      <c r="BG19" s="432" t="s">
        <v>157</v>
      </c>
      <c r="BH19" s="445">
        <f t="shared" ref="BH19:BH77" ca="1" si="27">AY19</f>
        <v>0.84627880074535966</v>
      </c>
      <c r="BI19" s="433"/>
      <c r="BJ19" s="433"/>
      <c r="BK19" s="433"/>
      <c r="BL19" s="433"/>
      <c r="BM19" s="433"/>
      <c r="BN19" s="433"/>
      <c r="BO19" s="446">
        <f t="shared" ref="BO19:BO82" ca="1" si="28">AU19</f>
        <v>0</v>
      </c>
      <c r="BP19" s="433" t="s">
        <v>158</v>
      </c>
    </row>
    <row r="20" spans="1:69" s="414" customFormat="1">
      <c r="A20" s="433">
        <f t="shared" ref="A20:A77" si="29">A19+1</f>
        <v>3</v>
      </c>
      <c r="B20" s="433">
        <f t="shared" si="3"/>
        <v>1</v>
      </c>
      <c r="C20" s="433">
        <f t="shared" si="4"/>
        <v>3</v>
      </c>
      <c r="D20" s="433">
        <f t="shared" si="5"/>
        <v>1</v>
      </c>
      <c r="E20" s="433">
        <f t="shared" si="6"/>
        <v>3</v>
      </c>
      <c r="F20" s="433"/>
      <c r="G20" s="433" t="str">
        <f t="shared" si="13"/>
        <v>Current Practice Baseline Using 31% ENERGY STAR Penetration</v>
      </c>
      <c r="H20" s="433" t="str">
        <f t="shared" si="14"/>
        <v>ENERGY STAR - Top-Load</v>
      </c>
      <c r="I20" s="433" t="str">
        <f t="shared" si="7"/>
        <v>Gas DHW, Electric Dryer</v>
      </c>
      <c r="J20" s="433" t="str">
        <f t="shared" si="8"/>
        <v>Gas DHW</v>
      </c>
      <c r="K20" s="433" t="str">
        <f t="shared" si="9"/>
        <v>Electric Dryer</v>
      </c>
      <c r="L20" s="434">
        <f>VLOOKUP(J20,SFAssumptions!$A$14:$B$16,2,FALSE)</f>
        <v>0</v>
      </c>
      <c r="M20" s="435">
        <f>VLOOKUP(K20,SFAssumptions!$A$18:$B$20,2,FALSE)</f>
        <v>1</v>
      </c>
      <c r="N20" s="436">
        <f ca="1">HLOOKUP($G20,'MFBaselines and Measures'!$C$3:$V$33,7,FALSE)</f>
        <v>4047.8861059902265</v>
      </c>
      <c r="O20" s="437">
        <f ca="1">HLOOKUP($G20,'MFBaselines and Measures'!$C$3:$V$33,8,FALSE)</f>
        <v>776.31603614450796</v>
      </c>
      <c r="P20" s="438">
        <f ca="1">HLOOKUP($G20,'MFBaselines and Measures'!$C$3:$V$33,25,FALSE)</f>
        <v>53.065837949637434</v>
      </c>
      <c r="Q20" s="438"/>
      <c r="R20" s="438">
        <f ca="1">HLOOKUP($G20,'MFBaselines and Measures'!$C$3:$V$33,27,FALSE)</f>
        <v>98.059847487163822</v>
      </c>
      <c r="S20" s="439">
        <f>HLOOKUP($G20,'MFBaselines and Measures'!$C$3:$V$33,29,FALSE)</f>
        <v>0</v>
      </c>
      <c r="T20" s="439"/>
      <c r="U20" s="439">
        <f ca="1">HLOOKUP($G20,'MFBaselines and Measures'!$C$3:$V$33,31,FALSE)</f>
        <v>4.4623767929825346</v>
      </c>
      <c r="V20" s="440">
        <f ca="1">HLOOKUP($G20,'MFBaselines and Measures'!$C$3:$V$33,9,FALSE)</f>
        <v>42.82176814392561</v>
      </c>
      <c r="W20" s="441"/>
      <c r="X20" s="436">
        <f ca="1">HLOOKUP($H20,'MFBaselines and Measures'!$C$2:$V$33,8,FALSE)</f>
        <v>3967.88847049284</v>
      </c>
      <c r="Y20" s="437">
        <f ca="1">HLOOKUP($H20,'MFBaselines and Measures'!$C$2:$V$33,9,FALSE)</f>
        <v>754.7360149776722</v>
      </c>
      <c r="Z20" s="438">
        <f ca="1">HLOOKUP($H20,'MFBaselines and Measures'!$C$2:$V$33,26,FALSE)</f>
        <v>50.610787625654815</v>
      </c>
      <c r="AA20" s="438"/>
      <c r="AB20" s="438">
        <f ca="1">HLOOKUP($H20,'MFBaselines and Measures'!$C$2:$V$33,28,FALSE)</f>
        <v>91.674902155254372</v>
      </c>
      <c r="AC20" s="439">
        <f>HLOOKUP($H20,'MFBaselines and Measures'!$C$2:$V$33,30,FALSE)</f>
        <v>0</v>
      </c>
      <c r="AD20" s="439"/>
      <c r="AE20" s="439">
        <f ca="1">HLOOKUP($H20,'MFBaselines and Measures'!$C$2:$V$33,32,FALSE)</f>
        <v>4.1718192140784423</v>
      </c>
      <c r="AF20" s="440">
        <f ca="1">HLOOKUP($H20,'MFBaselines and Measures'!$C$2:$V$33,10,FALSE)</f>
        <v>41.97548934318025</v>
      </c>
      <c r="AG20" s="441"/>
      <c r="AH20" s="436">
        <f t="shared" ca="1" si="15"/>
        <v>79.997635497386455</v>
      </c>
      <c r="AI20" s="437">
        <f t="shared" ca="1" si="16"/>
        <v>-21.580021166835763</v>
      </c>
      <c r="AJ20" s="438">
        <f t="shared" ca="1" si="10"/>
        <v>2.4550503239826185</v>
      </c>
      <c r="AK20" s="438"/>
      <c r="AL20" s="438">
        <f t="shared" ca="1" si="11"/>
        <v>6.3849453319094494</v>
      </c>
      <c r="AM20" s="439">
        <f t="shared" si="11"/>
        <v>0</v>
      </c>
      <c r="AN20" s="439"/>
      <c r="AO20" s="439">
        <f t="shared" ca="1" si="17"/>
        <v>0.2905575789040924</v>
      </c>
      <c r="AP20" s="442">
        <f t="shared" ca="1" si="17"/>
        <v>0.84627880074535966</v>
      </c>
      <c r="AQ20" s="443"/>
      <c r="AR20" s="435" t="str">
        <f t="shared" si="18"/>
        <v>ENERGY STAR - Top-Load Clothes Washer - Gas DHW, Electric Dryer - 31% ENERGY STAR Baseline</v>
      </c>
      <c r="AS20" s="437">
        <f t="shared" ca="1" si="19"/>
        <v>-21.580021166835763</v>
      </c>
      <c r="AT20" s="438">
        <f t="shared" ca="1" si="20"/>
        <v>2.4550503239826185</v>
      </c>
      <c r="AU20" s="439">
        <f t="shared" ca="1" si="21"/>
        <v>0.2905575789040924</v>
      </c>
      <c r="AV20" s="439">
        <f t="shared" ca="1" si="22"/>
        <v>79.997635497386455</v>
      </c>
      <c r="AW20" s="439"/>
      <c r="AX20" s="438">
        <f t="shared" ca="1" si="12"/>
        <v>2.7497731679794608</v>
      </c>
      <c r="AY20" s="438">
        <f t="shared" ca="1" si="23"/>
        <v>0.84627880074535966</v>
      </c>
      <c r="AZ20" s="443"/>
      <c r="BA20" s="433" t="str">
        <f t="shared" si="24"/>
        <v>ENERGY STAR - Top-Load Clothes Washer - Gas DHW, Electric Dryer - 31% ENERGY STAR Baseline</v>
      </c>
      <c r="BB20" s="433" t="s">
        <v>25</v>
      </c>
      <c r="BC20" s="438">
        <f t="shared" ca="1" si="25"/>
        <v>2.4550503239826185</v>
      </c>
      <c r="BD20" s="438">
        <f>SFAssumptions!$C$7</f>
        <v>14</v>
      </c>
      <c r="BE20" s="444">
        <f t="shared" ca="1" si="26"/>
        <v>-21.580021166835763</v>
      </c>
      <c r="BF20" s="433"/>
      <c r="BG20" s="432" t="s">
        <v>157</v>
      </c>
      <c r="BH20" s="445">
        <f t="shared" ca="1" si="27"/>
        <v>0.84627880074535966</v>
      </c>
      <c r="BI20" s="433"/>
      <c r="BJ20" s="433"/>
      <c r="BK20" s="433"/>
      <c r="BL20" s="433"/>
      <c r="BM20" s="433"/>
      <c r="BN20" s="433"/>
      <c r="BO20" s="446">
        <f t="shared" ca="1" si="28"/>
        <v>0.2905575789040924</v>
      </c>
      <c r="BP20" s="433" t="s">
        <v>158</v>
      </c>
    </row>
    <row r="21" spans="1:69" s="414" customFormat="1">
      <c r="A21" s="433">
        <f t="shared" si="29"/>
        <v>4</v>
      </c>
      <c r="B21" s="433">
        <f t="shared" si="3"/>
        <v>1</v>
      </c>
      <c r="C21" s="433">
        <f t="shared" si="4"/>
        <v>4</v>
      </c>
      <c r="D21" s="433">
        <f t="shared" si="5"/>
        <v>1</v>
      </c>
      <c r="E21" s="433">
        <f t="shared" si="6"/>
        <v>4</v>
      </c>
      <c r="F21" s="433"/>
      <c r="G21" s="433" t="str">
        <f t="shared" si="13"/>
        <v>Current Practice Baseline Using 31% ENERGY STAR Penetration</v>
      </c>
      <c r="H21" s="433" t="str">
        <f t="shared" si="14"/>
        <v>ENERGY STAR - Top-Load</v>
      </c>
      <c r="I21" s="433" t="str">
        <f t="shared" si="7"/>
        <v>Gas DHW, Gas Dryer</v>
      </c>
      <c r="J21" s="433" t="str">
        <f t="shared" si="8"/>
        <v>Gas DHW</v>
      </c>
      <c r="K21" s="433" t="str">
        <f t="shared" si="9"/>
        <v>Gas Dryer</v>
      </c>
      <c r="L21" s="434">
        <f>VLOOKUP(J21,SFAssumptions!$A$14:$B$16,2,FALSE)</f>
        <v>0</v>
      </c>
      <c r="M21" s="435">
        <f>VLOOKUP(K21,SFAssumptions!$A$18:$B$20,2,FALSE)</f>
        <v>0</v>
      </c>
      <c r="N21" s="436">
        <f ca="1">HLOOKUP($G21,'MFBaselines and Measures'!$C$3:$V$33,7,FALSE)</f>
        <v>4047.8861059902265</v>
      </c>
      <c r="O21" s="437">
        <f ca="1">HLOOKUP($G21,'MFBaselines and Measures'!$C$3:$V$33,8,FALSE)</f>
        <v>776.31603614450796</v>
      </c>
      <c r="P21" s="438">
        <f ca="1">HLOOKUP($G21,'MFBaselines and Measures'!$C$3:$V$33,25,FALSE)</f>
        <v>53.065837949637434</v>
      </c>
      <c r="Q21" s="438"/>
      <c r="R21" s="438">
        <f ca="1">HLOOKUP($G21,'MFBaselines and Measures'!$C$3:$V$33,27,FALSE)</f>
        <v>98.059847487163822</v>
      </c>
      <c r="S21" s="439">
        <f>HLOOKUP($G21,'MFBaselines and Measures'!$C$3:$V$33,29,FALSE)</f>
        <v>0</v>
      </c>
      <c r="T21" s="439"/>
      <c r="U21" s="439">
        <f ca="1">HLOOKUP($G21,'MFBaselines and Measures'!$C$3:$V$33,31,FALSE)</f>
        <v>4.4623767929825346</v>
      </c>
      <c r="V21" s="440">
        <f ca="1">HLOOKUP($G21,'MFBaselines and Measures'!$C$3:$V$33,9,FALSE)</f>
        <v>42.82176814392561</v>
      </c>
      <c r="W21" s="441"/>
      <c r="X21" s="436">
        <f ca="1">HLOOKUP($H21,'MFBaselines and Measures'!$C$2:$V$33,8,FALSE)</f>
        <v>3967.88847049284</v>
      </c>
      <c r="Y21" s="437">
        <f ca="1">HLOOKUP($H21,'MFBaselines and Measures'!$C$2:$V$33,9,FALSE)</f>
        <v>754.7360149776722</v>
      </c>
      <c r="Z21" s="438">
        <f ca="1">HLOOKUP($H21,'MFBaselines and Measures'!$C$2:$V$33,26,FALSE)</f>
        <v>50.610787625654815</v>
      </c>
      <c r="AA21" s="438"/>
      <c r="AB21" s="438">
        <f ca="1">HLOOKUP($H21,'MFBaselines and Measures'!$C$2:$V$33,28,FALSE)</f>
        <v>91.674902155254372</v>
      </c>
      <c r="AC21" s="439">
        <f>HLOOKUP($H21,'MFBaselines and Measures'!$C$2:$V$33,30,FALSE)</f>
        <v>0</v>
      </c>
      <c r="AD21" s="439"/>
      <c r="AE21" s="439">
        <f ca="1">HLOOKUP($H21,'MFBaselines and Measures'!$C$2:$V$33,32,FALSE)</f>
        <v>4.1718192140784423</v>
      </c>
      <c r="AF21" s="440">
        <f ca="1">HLOOKUP($H21,'MFBaselines and Measures'!$C$2:$V$33,10,FALSE)</f>
        <v>41.97548934318025</v>
      </c>
      <c r="AG21" s="441"/>
      <c r="AH21" s="436">
        <f t="shared" ca="1" si="15"/>
        <v>79.997635497386455</v>
      </c>
      <c r="AI21" s="437">
        <f t="shared" ca="1" si="16"/>
        <v>-21.580021166835763</v>
      </c>
      <c r="AJ21" s="438">
        <f t="shared" ca="1" si="10"/>
        <v>2.4550503239826185</v>
      </c>
      <c r="AK21" s="438"/>
      <c r="AL21" s="438">
        <f t="shared" ca="1" si="11"/>
        <v>6.3849453319094494</v>
      </c>
      <c r="AM21" s="439">
        <f t="shared" si="11"/>
        <v>0</v>
      </c>
      <c r="AN21" s="439"/>
      <c r="AO21" s="439">
        <f t="shared" ca="1" si="17"/>
        <v>0.2905575789040924</v>
      </c>
      <c r="AP21" s="442">
        <f t="shared" ca="1" si="17"/>
        <v>0.84627880074535966</v>
      </c>
      <c r="AQ21" s="443"/>
      <c r="AR21" s="435" t="str">
        <f t="shared" si="18"/>
        <v>ENERGY STAR - Top-Load Clothes Washer - Gas DHW, Gas Dryer - 31% ENERGY STAR Baseline</v>
      </c>
      <c r="AS21" s="437">
        <f t="shared" ca="1" si="19"/>
        <v>-21.580021166835763</v>
      </c>
      <c r="AT21" s="438">
        <f t="shared" ca="1" si="20"/>
        <v>2.4550503239826185</v>
      </c>
      <c r="AU21" s="439">
        <f t="shared" ca="1" si="21"/>
        <v>0.2905575789040924</v>
      </c>
      <c r="AV21" s="439">
        <f t="shared" ca="1" si="22"/>
        <v>79.997635497386455</v>
      </c>
      <c r="AW21" s="439"/>
      <c r="AX21" s="438">
        <f t="shared" ca="1" si="12"/>
        <v>2.7497731679794608</v>
      </c>
      <c r="AY21" s="438">
        <f t="shared" ca="1" si="23"/>
        <v>0.84627880074535966</v>
      </c>
      <c r="AZ21" s="443"/>
      <c r="BA21" s="433" t="str">
        <f t="shared" si="24"/>
        <v>ENERGY STAR - Top-Load Clothes Washer - Gas DHW, Gas Dryer - 31% ENERGY STAR Baseline</v>
      </c>
      <c r="BB21" s="433" t="s">
        <v>25</v>
      </c>
      <c r="BC21" s="438">
        <f t="shared" ca="1" si="25"/>
        <v>2.4550503239826185</v>
      </c>
      <c r="BD21" s="438">
        <f>SFAssumptions!$C$7</f>
        <v>14</v>
      </c>
      <c r="BE21" s="444">
        <f t="shared" ca="1" si="26"/>
        <v>-21.580021166835763</v>
      </c>
      <c r="BF21" s="433"/>
      <c r="BG21" s="432" t="s">
        <v>157</v>
      </c>
      <c r="BH21" s="445">
        <f t="shared" ca="1" si="27"/>
        <v>0.84627880074535966</v>
      </c>
      <c r="BI21" s="433"/>
      <c r="BJ21" s="433"/>
      <c r="BK21" s="433"/>
      <c r="BL21" s="433"/>
      <c r="BM21" s="433"/>
      <c r="BN21" s="433"/>
      <c r="BO21" s="446">
        <f t="shared" ca="1" si="28"/>
        <v>0.2905575789040924</v>
      </c>
      <c r="BP21" s="433" t="s">
        <v>158</v>
      </c>
      <c r="BQ21" s="447"/>
    </row>
    <row r="22" spans="1:69" s="414" customFormat="1">
      <c r="A22" s="433">
        <f t="shared" si="29"/>
        <v>5</v>
      </c>
      <c r="B22" s="433">
        <f t="shared" si="3"/>
        <v>1</v>
      </c>
      <c r="C22" s="433">
        <f t="shared" si="4"/>
        <v>5</v>
      </c>
      <c r="D22" s="433">
        <f t="shared" si="5"/>
        <v>1</v>
      </c>
      <c r="E22" s="433">
        <f t="shared" si="6"/>
        <v>5</v>
      </c>
      <c r="F22" s="433"/>
      <c r="G22" s="433" t="str">
        <f t="shared" si="13"/>
        <v>Current Practice Baseline Using 31% ENERGY STAR Penetration</v>
      </c>
      <c r="H22" s="433" t="str">
        <f t="shared" si="14"/>
        <v>ENERGY STAR - Top-Load</v>
      </c>
      <c r="I22" s="433" t="str">
        <f t="shared" si="7"/>
        <v>Any DHW, Any Dryer</v>
      </c>
      <c r="J22" s="433" t="str">
        <f t="shared" si="8"/>
        <v>Any DHW</v>
      </c>
      <c r="K22" s="433" t="str">
        <f t="shared" si="9"/>
        <v>Any Dryer</v>
      </c>
      <c r="L22" s="434">
        <f>VLOOKUP(J22,SFAssumptions!$A$14:$B$16,2,FALSE)</f>
        <v>0.55200000000000005</v>
      </c>
      <c r="M22" s="435">
        <f>VLOOKUP(K22,SFAssumptions!$A$18:$B$20,2,FALSE)</f>
        <v>0.95</v>
      </c>
      <c r="N22" s="436">
        <f ca="1">HLOOKUP($G22,'MFBaselines and Measures'!$C$3:$V$33,7,FALSE)</f>
        <v>4047.8861059902265</v>
      </c>
      <c r="O22" s="437">
        <f ca="1">HLOOKUP($G22,'MFBaselines and Measures'!$C$3:$V$33,8,FALSE)</f>
        <v>776.31603614450796</v>
      </c>
      <c r="P22" s="438">
        <f ca="1">HLOOKUP($G22,'MFBaselines and Measures'!$C$3:$V$33,25,FALSE)</f>
        <v>53.065837949637434</v>
      </c>
      <c r="Q22" s="438"/>
      <c r="R22" s="438">
        <f ca="1">HLOOKUP($G22,'MFBaselines and Measures'!$C$3:$V$33,27,FALSE)</f>
        <v>98.059847487163822</v>
      </c>
      <c r="S22" s="439">
        <f>HLOOKUP($G22,'MFBaselines and Measures'!$C$3:$V$33,29,FALSE)</f>
        <v>0</v>
      </c>
      <c r="T22" s="439"/>
      <c r="U22" s="439">
        <f ca="1">HLOOKUP($G22,'MFBaselines and Measures'!$C$3:$V$33,31,FALSE)</f>
        <v>4.4623767929825346</v>
      </c>
      <c r="V22" s="440">
        <f ca="1">HLOOKUP($G22,'MFBaselines and Measures'!$C$3:$V$33,9,FALSE)</f>
        <v>42.82176814392561</v>
      </c>
      <c r="W22" s="441"/>
      <c r="X22" s="436">
        <f ca="1">HLOOKUP($H22,'MFBaselines and Measures'!$C$2:$V$33,8,FALSE)</f>
        <v>3967.88847049284</v>
      </c>
      <c r="Y22" s="437">
        <f ca="1">HLOOKUP($H22,'MFBaselines and Measures'!$C$2:$V$33,9,FALSE)</f>
        <v>754.7360149776722</v>
      </c>
      <c r="Z22" s="438">
        <f ca="1">HLOOKUP($H22,'MFBaselines and Measures'!$C$2:$V$33,26,FALSE)</f>
        <v>50.610787625654815</v>
      </c>
      <c r="AA22" s="438"/>
      <c r="AB22" s="438">
        <f ca="1">HLOOKUP($H22,'MFBaselines and Measures'!$C$2:$V$33,28,FALSE)</f>
        <v>91.674902155254372</v>
      </c>
      <c r="AC22" s="439">
        <f>HLOOKUP($H22,'MFBaselines and Measures'!$C$2:$V$33,30,FALSE)</f>
        <v>0</v>
      </c>
      <c r="AD22" s="439"/>
      <c r="AE22" s="439">
        <f ca="1">HLOOKUP($H22,'MFBaselines and Measures'!$C$2:$V$33,32,FALSE)</f>
        <v>4.1718192140784423</v>
      </c>
      <c r="AF22" s="440">
        <f ca="1">HLOOKUP($H22,'MFBaselines and Measures'!$C$2:$V$33,10,FALSE)</f>
        <v>41.97548934318025</v>
      </c>
      <c r="AG22" s="441"/>
      <c r="AH22" s="436">
        <f t="shared" ca="1" si="15"/>
        <v>79.997635497386455</v>
      </c>
      <c r="AI22" s="437">
        <f t="shared" ca="1" si="16"/>
        <v>-21.580021166835763</v>
      </c>
      <c r="AJ22" s="438">
        <f t="shared" ca="1" si="10"/>
        <v>2.4550503239826185</v>
      </c>
      <c r="AK22" s="438"/>
      <c r="AL22" s="438">
        <f t="shared" ca="1" si="11"/>
        <v>6.3849453319094494</v>
      </c>
      <c r="AM22" s="439">
        <f t="shared" si="11"/>
        <v>0</v>
      </c>
      <c r="AN22" s="439"/>
      <c r="AO22" s="439">
        <f t="shared" ca="1" si="17"/>
        <v>0.2905575789040924</v>
      </c>
      <c r="AP22" s="442">
        <f t="shared" ca="1" si="17"/>
        <v>0.84627880074535966</v>
      </c>
      <c r="AQ22" s="443"/>
      <c r="AR22" s="435" t="str">
        <f t="shared" si="18"/>
        <v>ENERGY STAR - Top-Load Clothes Washer - Any DHW, Any Dryer - 31% ENERGY STAR Baseline</v>
      </c>
      <c r="AS22" s="437">
        <f t="shared" ca="1" si="19"/>
        <v>-21.580021166835763</v>
      </c>
      <c r="AT22" s="438">
        <f t="shared" ca="1" si="20"/>
        <v>5.9795401471966354</v>
      </c>
      <c r="AU22" s="439">
        <f t="shared" ca="1" si="21"/>
        <v>0.13016979534903339</v>
      </c>
      <c r="AV22" s="439">
        <f t="shared" ca="1" si="22"/>
        <v>79.997635497386455</v>
      </c>
      <c r="AW22" s="439"/>
      <c r="AX22" s="438">
        <f t="shared" ca="1" si="12"/>
        <v>6.2742629911934777</v>
      </c>
      <c r="AY22" s="438">
        <f t="shared" ca="1" si="23"/>
        <v>0.84627880074535966</v>
      </c>
      <c r="AZ22" s="443"/>
      <c r="BA22" s="433" t="str">
        <f t="shared" si="24"/>
        <v>ENERGY STAR - Top-Load Clothes Washer - Any DHW, Any Dryer - 31% ENERGY STAR Baseline</v>
      </c>
      <c r="BB22" s="433" t="s">
        <v>25</v>
      </c>
      <c r="BC22" s="438">
        <f t="shared" ca="1" si="25"/>
        <v>5.9795401471966354</v>
      </c>
      <c r="BD22" s="438">
        <f>SFAssumptions!$C$7</f>
        <v>14</v>
      </c>
      <c r="BE22" s="444">
        <f t="shared" ca="1" si="26"/>
        <v>-21.580021166835763</v>
      </c>
      <c r="BF22" s="433"/>
      <c r="BG22" s="432" t="s">
        <v>157</v>
      </c>
      <c r="BH22" s="445">
        <f t="shared" ca="1" si="27"/>
        <v>0.84627880074535966</v>
      </c>
      <c r="BI22" s="433"/>
      <c r="BJ22" s="433"/>
      <c r="BK22" s="433"/>
      <c r="BL22" s="433"/>
      <c r="BM22" s="433"/>
      <c r="BN22" s="433"/>
      <c r="BO22" s="446">
        <f t="shared" ca="1" si="28"/>
        <v>0.13016979534903339</v>
      </c>
      <c r="BP22" s="433" t="s">
        <v>158</v>
      </c>
    </row>
    <row r="23" spans="1:69" s="414" customFormat="1">
      <c r="A23" s="433">
        <f t="shared" si="29"/>
        <v>6</v>
      </c>
      <c r="B23" s="433">
        <f t="shared" si="3"/>
        <v>1</v>
      </c>
      <c r="C23" s="433">
        <f t="shared" si="4"/>
        <v>6</v>
      </c>
      <c r="D23" s="433">
        <f t="shared" si="5"/>
        <v>2</v>
      </c>
      <c r="E23" s="433">
        <f t="shared" si="6"/>
        <v>1</v>
      </c>
      <c r="F23" s="433"/>
      <c r="G23" s="433" t="str">
        <f t="shared" si="13"/>
        <v>Current Practice Baseline Using 31% ENERGY STAR Penetration</v>
      </c>
      <c r="H23" s="433" t="str">
        <f t="shared" si="14"/>
        <v>ENERGY STAR - Front-Load</v>
      </c>
      <c r="I23" s="433" t="str">
        <f t="shared" si="7"/>
        <v>Electric DHW, Electric Dryer</v>
      </c>
      <c r="J23" s="433" t="str">
        <f t="shared" si="8"/>
        <v>Electric DHW</v>
      </c>
      <c r="K23" s="433" t="str">
        <f t="shared" si="9"/>
        <v>Electric Dryer</v>
      </c>
      <c r="L23" s="434">
        <f>VLOOKUP(J23,SFAssumptions!$A$14:$B$16,2,FALSE)</f>
        <v>1</v>
      </c>
      <c r="M23" s="435">
        <f>VLOOKUP(K23,SFAssumptions!$A$18:$B$20,2,FALSE)</f>
        <v>1</v>
      </c>
      <c r="N23" s="436">
        <f ca="1">HLOOKUP($G23,'MFBaselines and Measures'!$C$3:$V$33,7,FALSE)</f>
        <v>4047.8861059902265</v>
      </c>
      <c r="O23" s="437">
        <f ca="1">HLOOKUP($G23,'MFBaselines and Measures'!$C$3:$V$33,8,FALSE)</f>
        <v>776.31603614450796</v>
      </c>
      <c r="P23" s="438">
        <f ca="1">HLOOKUP($G23,'MFBaselines and Measures'!$C$3:$V$33,25,FALSE)</f>
        <v>53.065837949637434</v>
      </c>
      <c r="Q23" s="438"/>
      <c r="R23" s="438">
        <f ca="1">HLOOKUP($G23,'MFBaselines and Measures'!$C$3:$V$33,27,FALSE)</f>
        <v>98.059847487163822</v>
      </c>
      <c r="S23" s="439">
        <f>HLOOKUP($G23,'MFBaselines and Measures'!$C$3:$V$33,29,FALSE)</f>
        <v>0</v>
      </c>
      <c r="T23" s="439"/>
      <c r="U23" s="439">
        <f ca="1">HLOOKUP($G23,'MFBaselines and Measures'!$C$3:$V$33,31,FALSE)</f>
        <v>4.4623767929825346</v>
      </c>
      <c r="V23" s="440">
        <f ca="1">HLOOKUP($G23,'MFBaselines and Measures'!$C$3:$V$33,9,FALSE)</f>
        <v>42.82176814392561</v>
      </c>
      <c r="W23" s="441"/>
      <c r="X23" s="436">
        <f ca="1">HLOOKUP($H23,'MFBaselines and Measures'!$C$2:$V$33,8,FALSE)</f>
        <v>3066.8078198141188</v>
      </c>
      <c r="Y23" s="437">
        <f ca="1">HLOOKUP($H23,'MFBaselines and Measures'!$C$2:$V$33,9,FALSE)</f>
        <v>969.81887509547198</v>
      </c>
      <c r="Z23" s="438">
        <f ca="1">HLOOKUP($H23,'MFBaselines and Measures'!$C$2:$V$33,26,FALSE)</f>
        <v>47.704390673629995</v>
      </c>
      <c r="AA23" s="438"/>
      <c r="AB23" s="438">
        <f ca="1">HLOOKUP($H23,'MFBaselines and Measures'!$C$2:$V$33,28,FALSE)</f>
        <v>66.787135586846006</v>
      </c>
      <c r="AC23" s="439">
        <f>HLOOKUP($H23,'MFBaselines and Measures'!$C$2:$V$33,30,FALSE)</f>
        <v>0</v>
      </c>
      <c r="AD23" s="439"/>
      <c r="AE23" s="439">
        <f ca="1">HLOOKUP($H23,'MFBaselines and Measures'!$C$2:$V$33,32,FALSE)</f>
        <v>3.0392599167720724</v>
      </c>
      <c r="AF23" s="440">
        <f ca="1">HLOOKUP($H23,'MFBaselines and Measures'!$C$2:$V$33,10,FALSE)</f>
        <v>32.443139446961354</v>
      </c>
      <c r="AG23" s="441"/>
      <c r="AH23" s="436">
        <f t="shared" ca="1" si="15"/>
        <v>981.07828617610767</v>
      </c>
      <c r="AI23" s="437">
        <f t="shared" ca="1" si="16"/>
        <v>193.50283895096402</v>
      </c>
      <c r="AJ23" s="438">
        <f t="shared" ca="1" si="10"/>
        <v>5.3614472760074392</v>
      </c>
      <c r="AK23" s="438"/>
      <c r="AL23" s="438">
        <f t="shared" ca="1" si="11"/>
        <v>31.272711900317816</v>
      </c>
      <c r="AM23" s="439">
        <f t="shared" si="11"/>
        <v>0</v>
      </c>
      <c r="AN23" s="439"/>
      <c r="AO23" s="439">
        <f t="shared" ca="1" si="17"/>
        <v>1.4231168762104622</v>
      </c>
      <c r="AP23" s="442">
        <f t="shared" ca="1" si="17"/>
        <v>10.378628696964256</v>
      </c>
      <c r="AQ23" s="443"/>
      <c r="AR23" s="435" t="str">
        <f t="shared" si="18"/>
        <v>ENERGY STAR - Front-Load Clothes Washer - Electric DHW, Electric Dryer - 31% ENERGY STAR Baseline</v>
      </c>
      <c r="AS23" s="437">
        <f t="shared" ca="1" si="19"/>
        <v>193.50283895096402</v>
      </c>
      <c r="AT23" s="438">
        <f t="shared" ca="1" si="20"/>
        <v>36.634159176325255</v>
      </c>
      <c r="AU23" s="439">
        <f t="shared" ca="1" si="21"/>
        <v>0</v>
      </c>
      <c r="AV23" s="439">
        <f t="shared" ca="1" si="22"/>
        <v>981.07828617610767</v>
      </c>
      <c r="AW23" s="439"/>
      <c r="AX23" s="438">
        <f t="shared" ca="1" si="12"/>
        <v>40.248593289128713</v>
      </c>
      <c r="AY23" s="438">
        <f t="shared" ca="1" si="23"/>
        <v>10.378628696964256</v>
      </c>
      <c r="AZ23" s="443"/>
      <c r="BA23" s="433" t="str">
        <f t="shared" si="24"/>
        <v>ENERGY STAR - Front-Load Clothes Washer - Electric DHW, Electric Dryer - 31% ENERGY STAR Baseline</v>
      </c>
      <c r="BB23" s="433" t="s">
        <v>25</v>
      </c>
      <c r="BC23" s="438">
        <f t="shared" ca="1" si="25"/>
        <v>36.634159176325255</v>
      </c>
      <c r="BD23" s="438">
        <f>SFAssumptions!$C$7</f>
        <v>14</v>
      </c>
      <c r="BE23" s="444">
        <f t="shared" ca="1" si="26"/>
        <v>193.50283895096402</v>
      </c>
      <c r="BF23" s="433"/>
      <c r="BG23" s="432" t="s">
        <v>157</v>
      </c>
      <c r="BH23" s="445">
        <f t="shared" ca="1" si="27"/>
        <v>10.378628696964256</v>
      </c>
      <c r="BI23" s="433"/>
      <c r="BJ23" s="433"/>
      <c r="BK23" s="433"/>
      <c r="BL23" s="433"/>
      <c r="BM23" s="433"/>
      <c r="BN23" s="433"/>
      <c r="BO23" s="446">
        <f t="shared" ca="1" si="28"/>
        <v>0</v>
      </c>
      <c r="BP23" s="433" t="s">
        <v>158</v>
      </c>
    </row>
    <row r="24" spans="1:69" s="414" customFormat="1">
      <c r="A24" s="433">
        <f t="shared" si="29"/>
        <v>7</v>
      </c>
      <c r="B24" s="433">
        <f t="shared" si="3"/>
        <v>1</v>
      </c>
      <c r="C24" s="433">
        <f t="shared" si="4"/>
        <v>7</v>
      </c>
      <c r="D24" s="433">
        <f t="shared" si="5"/>
        <v>2</v>
      </c>
      <c r="E24" s="433">
        <f t="shared" si="6"/>
        <v>2</v>
      </c>
      <c r="F24" s="433"/>
      <c r="G24" s="433" t="str">
        <f t="shared" si="13"/>
        <v>Current Practice Baseline Using 31% ENERGY STAR Penetration</v>
      </c>
      <c r="H24" s="433" t="str">
        <f t="shared" si="14"/>
        <v>ENERGY STAR - Front-Load</v>
      </c>
      <c r="I24" s="433" t="str">
        <f t="shared" si="7"/>
        <v>Electric DHW, Gas Dryer</v>
      </c>
      <c r="J24" s="433" t="str">
        <f t="shared" si="8"/>
        <v>Electric DHW</v>
      </c>
      <c r="K24" s="433" t="str">
        <f t="shared" si="9"/>
        <v>Gas Dryer</v>
      </c>
      <c r="L24" s="434">
        <f>VLOOKUP(J24,SFAssumptions!$A$14:$B$16,2,FALSE)</f>
        <v>1</v>
      </c>
      <c r="M24" s="435">
        <f>VLOOKUP(K24,SFAssumptions!$A$18:$B$20,2,FALSE)</f>
        <v>0</v>
      </c>
      <c r="N24" s="436">
        <f ca="1">HLOOKUP($G24,'MFBaselines and Measures'!$C$3:$V$33,7,FALSE)</f>
        <v>4047.8861059902265</v>
      </c>
      <c r="O24" s="437">
        <f ca="1">HLOOKUP($G24,'MFBaselines and Measures'!$C$3:$V$33,8,FALSE)</f>
        <v>776.31603614450796</v>
      </c>
      <c r="P24" s="438">
        <f ca="1">HLOOKUP($G24,'MFBaselines and Measures'!$C$3:$V$33,25,FALSE)</f>
        <v>53.065837949637434</v>
      </c>
      <c r="Q24" s="438"/>
      <c r="R24" s="438">
        <f ca="1">HLOOKUP($G24,'MFBaselines and Measures'!$C$3:$V$33,27,FALSE)</f>
        <v>98.059847487163822</v>
      </c>
      <c r="S24" s="439">
        <f>HLOOKUP($G24,'MFBaselines and Measures'!$C$3:$V$33,29,FALSE)</f>
        <v>0</v>
      </c>
      <c r="T24" s="439"/>
      <c r="U24" s="439">
        <f ca="1">HLOOKUP($G24,'MFBaselines and Measures'!$C$3:$V$33,31,FALSE)</f>
        <v>4.4623767929825346</v>
      </c>
      <c r="V24" s="440">
        <f ca="1">HLOOKUP($G24,'MFBaselines and Measures'!$C$3:$V$33,9,FALSE)</f>
        <v>42.82176814392561</v>
      </c>
      <c r="W24" s="441"/>
      <c r="X24" s="436">
        <f ca="1">HLOOKUP($H24,'MFBaselines and Measures'!$C$2:$V$33,8,FALSE)</f>
        <v>3066.8078198141188</v>
      </c>
      <c r="Y24" s="437">
        <f ca="1">HLOOKUP($H24,'MFBaselines and Measures'!$C$2:$V$33,9,FALSE)</f>
        <v>969.81887509547198</v>
      </c>
      <c r="Z24" s="438">
        <f ca="1">HLOOKUP($H24,'MFBaselines and Measures'!$C$2:$V$33,26,FALSE)</f>
        <v>47.704390673629995</v>
      </c>
      <c r="AA24" s="438"/>
      <c r="AB24" s="438">
        <f ca="1">HLOOKUP($H24,'MFBaselines and Measures'!$C$2:$V$33,28,FALSE)</f>
        <v>66.787135586846006</v>
      </c>
      <c r="AC24" s="439">
        <f>HLOOKUP($H24,'MFBaselines and Measures'!$C$2:$V$33,30,FALSE)</f>
        <v>0</v>
      </c>
      <c r="AD24" s="439"/>
      <c r="AE24" s="439">
        <f ca="1">HLOOKUP($H24,'MFBaselines and Measures'!$C$2:$V$33,32,FALSE)</f>
        <v>3.0392599167720724</v>
      </c>
      <c r="AF24" s="440">
        <f ca="1">HLOOKUP($H24,'MFBaselines and Measures'!$C$2:$V$33,10,FALSE)</f>
        <v>32.443139446961354</v>
      </c>
      <c r="AG24" s="441"/>
      <c r="AH24" s="436">
        <f t="shared" ca="1" si="15"/>
        <v>981.07828617610767</v>
      </c>
      <c r="AI24" s="437">
        <f t="shared" ca="1" si="16"/>
        <v>193.50283895096402</v>
      </c>
      <c r="AJ24" s="438">
        <f t="shared" ca="1" si="10"/>
        <v>5.3614472760074392</v>
      </c>
      <c r="AK24" s="438"/>
      <c r="AL24" s="438">
        <f t="shared" ca="1" si="11"/>
        <v>31.272711900317816</v>
      </c>
      <c r="AM24" s="439">
        <f t="shared" si="11"/>
        <v>0</v>
      </c>
      <c r="AN24" s="439"/>
      <c r="AO24" s="439">
        <f t="shared" ca="1" si="17"/>
        <v>1.4231168762104622</v>
      </c>
      <c r="AP24" s="442">
        <f t="shared" ca="1" si="17"/>
        <v>10.378628696964256</v>
      </c>
      <c r="AQ24" s="443"/>
      <c r="AR24" s="435" t="str">
        <f t="shared" si="18"/>
        <v>ENERGY STAR - Front-Load Clothes Washer - Electric DHW, Gas Dryer - 31% ENERGY STAR Baseline</v>
      </c>
      <c r="AS24" s="437">
        <f t="shared" ca="1" si="19"/>
        <v>193.50283895096402</v>
      </c>
      <c r="AT24" s="438">
        <f t="shared" ca="1" si="20"/>
        <v>36.634159176325255</v>
      </c>
      <c r="AU24" s="439">
        <f t="shared" ca="1" si="21"/>
        <v>0</v>
      </c>
      <c r="AV24" s="439">
        <f t="shared" ca="1" si="22"/>
        <v>981.07828617610767</v>
      </c>
      <c r="AW24" s="439"/>
      <c r="AX24" s="438">
        <f t="shared" ca="1" si="12"/>
        <v>40.248593289128713</v>
      </c>
      <c r="AY24" s="438">
        <f t="shared" ca="1" si="23"/>
        <v>10.378628696964256</v>
      </c>
      <c r="AZ24" s="443"/>
      <c r="BA24" s="433" t="str">
        <f t="shared" si="24"/>
        <v>ENERGY STAR - Front-Load Clothes Washer - Electric DHW, Gas Dryer - 31% ENERGY STAR Baseline</v>
      </c>
      <c r="BB24" s="433" t="s">
        <v>25</v>
      </c>
      <c r="BC24" s="438">
        <f t="shared" ca="1" si="25"/>
        <v>36.634159176325255</v>
      </c>
      <c r="BD24" s="438">
        <f>SFAssumptions!$C$7</f>
        <v>14</v>
      </c>
      <c r="BE24" s="444">
        <f t="shared" ca="1" si="26"/>
        <v>193.50283895096402</v>
      </c>
      <c r="BF24" s="433"/>
      <c r="BG24" s="432" t="s">
        <v>157</v>
      </c>
      <c r="BH24" s="445">
        <f t="shared" ca="1" si="27"/>
        <v>10.378628696964256</v>
      </c>
      <c r="BI24" s="433"/>
      <c r="BJ24" s="433"/>
      <c r="BK24" s="433"/>
      <c r="BL24" s="433"/>
      <c r="BM24" s="433"/>
      <c r="BN24" s="433"/>
      <c r="BO24" s="446">
        <f t="shared" ca="1" si="28"/>
        <v>0</v>
      </c>
      <c r="BP24" s="433" t="s">
        <v>158</v>
      </c>
    </row>
    <row r="25" spans="1:69" s="414" customFormat="1">
      <c r="A25" s="433">
        <f t="shared" si="29"/>
        <v>8</v>
      </c>
      <c r="B25" s="433">
        <f t="shared" si="3"/>
        <v>1</v>
      </c>
      <c r="C25" s="433">
        <f t="shared" si="4"/>
        <v>8</v>
      </c>
      <c r="D25" s="433">
        <f t="shared" si="5"/>
        <v>2</v>
      </c>
      <c r="E25" s="433">
        <f t="shared" si="6"/>
        <v>3</v>
      </c>
      <c r="F25" s="433"/>
      <c r="G25" s="433" t="str">
        <f t="shared" si="13"/>
        <v>Current Practice Baseline Using 31% ENERGY STAR Penetration</v>
      </c>
      <c r="H25" s="433" t="str">
        <f t="shared" si="14"/>
        <v>ENERGY STAR - Front-Load</v>
      </c>
      <c r="I25" s="433" t="str">
        <f t="shared" si="7"/>
        <v>Gas DHW, Electric Dryer</v>
      </c>
      <c r="J25" s="433" t="str">
        <f t="shared" si="8"/>
        <v>Gas DHW</v>
      </c>
      <c r="K25" s="433" t="str">
        <f t="shared" si="9"/>
        <v>Electric Dryer</v>
      </c>
      <c r="L25" s="434">
        <f>VLOOKUP(J25,SFAssumptions!$A$14:$B$16,2,FALSE)</f>
        <v>0</v>
      </c>
      <c r="M25" s="435">
        <f>VLOOKUP(K25,SFAssumptions!$A$18:$B$20,2,FALSE)</f>
        <v>1</v>
      </c>
      <c r="N25" s="436">
        <f ca="1">HLOOKUP($G25,'MFBaselines and Measures'!$C$3:$V$33,7,FALSE)</f>
        <v>4047.8861059902265</v>
      </c>
      <c r="O25" s="437">
        <f ca="1">HLOOKUP($G25,'MFBaselines and Measures'!$C$3:$V$33,8,FALSE)</f>
        <v>776.31603614450796</v>
      </c>
      <c r="P25" s="438">
        <f ca="1">HLOOKUP($G25,'MFBaselines and Measures'!$C$3:$V$33,25,FALSE)</f>
        <v>53.065837949637434</v>
      </c>
      <c r="Q25" s="438"/>
      <c r="R25" s="438">
        <f ca="1">HLOOKUP($G25,'MFBaselines and Measures'!$C$3:$V$33,27,FALSE)</f>
        <v>98.059847487163822</v>
      </c>
      <c r="S25" s="439">
        <f>HLOOKUP($G25,'MFBaselines and Measures'!$C$3:$V$33,29,FALSE)</f>
        <v>0</v>
      </c>
      <c r="T25" s="439"/>
      <c r="U25" s="439">
        <f ca="1">HLOOKUP($G25,'MFBaselines and Measures'!$C$3:$V$33,31,FALSE)</f>
        <v>4.4623767929825346</v>
      </c>
      <c r="V25" s="440">
        <f ca="1">HLOOKUP($G25,'MFBaselines and Measures'!$C$3:$V$33,9,FALSE)</f>
        <v>42.82176814392561</v>
      </c>
      <c r="W25" s="441"/>
      <c r="X25" s="436">
        <f ca="1">HLOOKUP($H25,'MFBaselines and Measures'!$C$2:$V$33,8,FALSE)</f>
        <v>3066.8078198141188</v>
      </c>
      <c r="Y25" s="437">
        <f ca="1">HLOOKUP($H25,'MFBaselines and Measures'!$C$2:$V$33,9,FALSE)</f>
        <v>969.81887509547198</v>
      </c>
      <c r="Z25" s="438">
        <f ca="1">HLOOKUP($H25,'MFBaselines and Measures'!$C$2:$V$33,26,FALSE)</f>
        <v>47.704390673629995</v>
      </c>
      <c r="AA25" s="438"/>
      <c r="AB25" s="438">
        <f ca="1">HLOOKUP($H25,'MFBaselines and Measures'!$C$2:$V$33,28,FALSE)</f>
        <v>66.787135586846006</v>
      </c>
      <c r="AC25" s="439">
        <f>HLOOKUP($H25,'MFBaselines and Measures'!$C$2:$V$33,30,FALSE)</f>
        <v>0</v>
      </c>
      <c r="AD25" s="439"/>
      <c r="AE25" s="439">
        <f ca="1">HLOOKUP($H25,'MFBaselines and Measures'!$C$2:$V$33,32,FALSE)</f>
        <v>3.0392599167720724</v>
      </c>
      <c r="AF25" s="440">
        <f ca="1">HLOOKUP($H25,'MFBaselines and Measures'!$C$2:$V$33,10,FALSE)</f>
        <v>32.443139446961354</v>
      </c>
      <c r="AG25" s="441"/>
      <c r="AH25" s="436">
        <f t="shared" ca="1" si="15"/>
        <v>981.07828617610767</v>
      </c>
      <c r="AI25" s="437">
        <f t="shared" ca="1" si="16"/>
        <v>193.50283895096402</v>
      </c>
      <c r="AJ25" s="438">
        <f t="shared" ca="1" si="10"/>
        <v>5.3614472760074392</v>
      </c>
      <c r="AK25" s="438"/>
      <c r="AL25" s="438">
        <f t="shared" ca="1" si="11"/>
        <v>31.272711900317816</v>
      </c>
      <c r="AM25" s="439">
        <f t="shared" si="11"/>
        <v>0</v>
      </c>
      <c r="AN25" s="439"/>
      <c r="AO25" s="439">
        <f t="shared" ca="1" si="17"/>
        <v>1.4231168762104622</v>
      </c>
      <c r="AP25" s="442">
        <f t="shared" ca="1" si="17"/>
        <v>10.378628696964256</v>
      </c>
      <c r="AQ25" s="443"/>
      <c r="AR25" s="435" t="str">
        <f t="shared" si="18"/>
        <v>ENERGY STAR - Front-Load Clothes Washer - Gas DHW, Electric Dryer - 31% ENERGY STAR Baseline</v>
      </c>
      <c r="AS25" s="437">
        <f t="shared" ca="1" si="19"/>
        <v>193.50283895096402</v>
      </c>
      <c r="AT25" s="438">
        <f t="shared" ca="1" si="20"/>
        <v>5.3614472760074392</v>
      </c>
      <c r="AU25" s="439">
        <f t="shared" ca="1" si="21"/>
        <v>1.4231168762104622</v>
      </c>
      <c r="AV25" s="439">
        <f t="shared" ca="1" si="22"/>
        <v>981.07828617610767</v>
      </c>
      <c r="AW25" s="439"/>
      <c r="AX25" s="438">
        <f t="shared" ca="1" si="12"/>
        <v>8.9758813888108939</v>
      </c>
      <c r="AY25" s="438">
        <f t="shared" ca="1" si="23"/>
        <v>10.378628696964256</v>
      </c>
      <c r="AZ25" s="443"/>
      <c r="BA25" s="433" t="str">
        <f t="shared" si="24"/>
        <v>ENERGY STAR - Front-Load Clothes Washer - Gas DHW, Electric Dryer - 31% ENERGY STAR Baseline</v>
      </c>
      <c r="BB25" s="433" t="s">
        <v>25</v>
      </c>
      <c r="BC25" s="438">
        <f t="shared" ca="1" si="25"/>
        <v>5.3614472760074392</v>
      </c>
      <c r="BD25" s="438">
        <f>SFAssumptions!$C$7</f>
        <v>14</v>
      </c>
      <c r="BE25" s="444">
        <f t="shared" ca="1" si="26"/>
        <v>193.50283895096402</v>
      </c>
      <c r="BF25" s="433"/>
      <c r="BG25" s="432" t="s">
        <v>157</v>
      </c>
      <c r="BH25" s="445">
        <f t="shared" ca="1" si="27"/>
        <v>10.378628696964256</v>
      </c>
      <c r="BI25" s="433"/>
      <c r="BJ25" s="433"/>
      <c r="BK25" s="433"/>
      <c r="BL25" s="433"/>
      <c r="BM25" s="433"/>
      <c r="BN25" s="433"/>
      <c r="BO25" s="446">
        <f t="shared" ca="1" si="28"/>
        <v>1.4231168762104622</v>
      </c>
      <c r="BP25" s="433" t="s">
        <v>158</v>
      </c>
      <c r="BQ25" s="447"/>
    </row>
    <row r="26" spans="1:69" s="414" customFormat="1">
      <c r="A26" s="433">
        <f t="shared" si="29"/>
        <v>9</v>
      </c>
      <c r="B26" s="433">
        <f t="shared" si="3"/>
        <v>1</v>
      </c>
      <c r="C26" s="433">
        <f t="shared" si="4"/>
        <v>9</v>
      </c>
      <c r="D26" s="433">
        <f t="shared" si="5"/>
        <v>2</v>
      </c>
      <c r="E26" s="433">
        <f t="shared" si="6"/>
        <v>4</v>
      </c>
      <c r="F26" s="433"/>
      <c r="G26" s="433" t="str">
        <f t="shared" si="13"/>
        <v>Current Practice Baseline Using 31% ENERGY STAR Penetration</v>
      </c>
      <c r="H26" s="433" t="str">
        <f t="shared" si="14"/>
        <v>ENERGY STAR - Front-Load</v>
      </c>
      <c r="I26" s="433" t="str">
        <f t="shared" si="7"/>
        <v>Gas DHW, Gas Dryer</v>
      </c>
      <c r="J26" s="433" t="str">
        <f t="shared" si="8"/>
        <v>Gas DHW</v>
      </c>
      <c r="K26" s="433" t="str">
        <f t="shared" si="9"/>
        <v>Gas Dryer</v>
      </c>
      <c r="L26" s="434">
        <f>VLOOKUP(J26,SFAssumptions!$A$14:$B$16,2,FALSE)</f>
        <v>0</v>
      </c>
      <c r="M26" s="435">
        <f>VLOOKUP(K26,SFAssumptions!$A$18:$B$20,2,FALSE)</f>
        <v>0</v>
      </c>
      <c r="N26" s="436">
        <f ca="1">HLOOKUP($G26,'MFBaselines and Measures'!$C$3:$V$33,7,FALSE)</f>
        <v>4047.8861059902265</v>
      </c>
      <c r="O26" s="437">
        <f ca="1">HLOOKUP($G26,'MFBaselines and Measures'!$C$3:$V$33,8,FALSE)</f>
        <v>776.31603614450796</v>
      </c>
      <c r="P26" s="438">
        <f ca="1">HLOOKUP($G26,'MFBaselines and Measures'!$C$3:$V$33,25,FALSE)</f>
        <v>53.065837949637434</v>
      </c>
      <c r="Q26" s="438"/>
      <c r="R26" s="438">
        <f ca="1">HLOOKUP($G26,'MFBaselines and Measures'!$C$3:$V$33,27,FALSE)</f>
        <v>98.059847487163822</v>
      </c>
      <c r="S26" s="439">
        <f>HLOOKUP($G26,'MFBaselines and Measures'!$C$3:$V$33,29,FALSE)</f>
        <v>0</v>
      </c>
      <c r="T26" s="439"/>
      <c r="U26" s="439">
        <f ca="1">HLOOKUP($G26,'MFBaselines and Measures'!$C$3:$V$33,31,FALSE)</f>
        <v>4.4623767929825346</v>
      </c>
      <c r="V26" s="440">
        <f ca="1">HLOOKUP($G26,'MFBaselines and Measures'!$C$3:$V$33,9,FALSE)</f>
        <v>42.82176814392561</v>
      </c>
      <c r="W26" s="441"/>
      <c r="X26" s="436">
        <f ca="1">HLOOKUP($H26,'MFBaselines and Measures'!$C$2:$V$33,8,FALSE)</f>
        <v>3066.8078198141188</v>
      </c>
      <c r="Y26" s="437">
        <f ca="1">HLOOKUP($H26,'MFBaselines and Measures'!$C$2:$V$33,9,FALSE)</f>
        <v>969.81887509547198</v>
      </c>
      <c r="Z26" s="438">
        <f ca="1">HLOOKUP($H26,'MFBaselines and Measures'!$C$2:$V$33,26,FALSE)</f>
        <v>47.704390673629995</v>
      </c>
      <c r="AA26" s="438"/>
      <c r="AB26" s="438">
        <f ca="1">HLOOKUP($H26,'MFBaselines and Measures'!$C$2:$V$33,28,FALSE)</f>
        <v>66.787135586846006</v>
      </c>
      <c r="AC26" s="439">
        <f>HLOOKUP($H26,'MFBaselines and Measures'!$C$2:$V$33,30,FALSE)</f>
        <v>0</v>
      </c>
      <c r="AD26" s="439"/>
      <c r="AE26" s="439">
        <f ca="1">HLOOKUP($H26,'MFBaselines and Measures'!$C$2:$V$33,32,FALSE)</f>
        <v>3.0392599167720724</v>
      </c>
      <c r="AF26" s="440">
        <f ca="1">HLOOKUP($H26,'MFBaselines and Measures'!$C$2:$V$33,10,FALSE)</f>
        <v>32.443139446961354</v>
      </c>
      <c r="AG26" s="441"/>
      <c r="AH26" s="436">
        <f t="shared" ca="1" si="15"/>
        <v>981.07828617610767</v>
      </c>
      <c r="AI26" s="437">
        <f t="shared" ca="1" si="16"/>
        <v>193.50283895096402</v>
      </c>
      <c r="AJ26" s="438">
        <f t="shared" ca="1" si="10"/>
        <v>5.3614472760074392</v>
      </c>
      <c r="AK26" s="438"/>
      <c r="AL26" s="438">
        <f t="shared" ca="1" si="11"/>
        <v>31.272711900317816</v>
      </c>
      <c r="AM26" s="439">
        <f t="shared" si="11"/>
        <v>0</v>
      </c>
      <c r="AN26" s="439"/>
      <c r="AO26" s="439">
        <f t="shared" ca="1" si="17"/>
        <v>1.4231168762104622</v>
      </c>
      <c r="AP26" s="442">
        <f t="shared" ca="1" si="17"/>
        <v>10.378628696964256</v>
      </c>
      <c r="AQ26" s="443"/>
      <c r="AR26" s="435" t="str">
        <f t="shared" si="18"/>
        <v>ENERGY STAR - Front-Load Clothes Washer - Gas DHW, Gas Dryer - 31% ENERGY STAR Baseline</v>
      </c>
      <c r="AS26" s="437">
        <f t="shared" ca="1" si="19"/>
        <v>193.50283895096402</v>
      </c>
      <c r="AT26" s="438">
        <f t="shared" ca="1" si="20"/>
        <v>5.3614472760074392</v>
      </c>
      <c r="AU26" s="439">
        <f t="shared" ca="1" si="21"/>
        <v>1.4231168762104622</v>
      </c>
      <c r="AV26" s="439">
        <f t="shared" ca="1" si="22"/>
        <v>981.07828617610767</v>
      </c>
      <c r="AW26" s="439"/>
      <c r="AX26" s="438">
        <f t="shared" ca="1" si="12"/>
        <v>8.9758813888108939</v>
      </c>
      <c r="AY26" s="438">
        <f t="shared" ca="1" si="23"/>
        <v>10.378628696964256</v>
      </c>
      <c r="AZ26" s="443"/>
      <c r="BA26" s="433" t="str">
        <f t="shared" si="24"/>
        <v>ENERGY STAR - Front-Load Clothes Washer - Gas DHW, Gas Dryer - 31% ENERGY STAR Baseline</v>
      </c>
      <c r="BB26" s="433" t="s">
        <v>25</v>
      </c>
      <c r="BC26" s="438">
        <f t="shared" ca="1" si="25"/>
        <v>5.3614472760074392</v>
      </c>
      <c r="BD26" s="438">
        <f>SFAssumptions!$C$7</f>
        <v>14</v>
      </c>
      <c r="BE26" s="444">
        <f t="shared" ca="1" si="26"/>
        <v>193.50283895096402</v>
      </c>
      <c r="BF26" s="433"/>
      <c r="BG26" s="432" t="s">
        <v>157</v>
      </c>
      <c r="BH26" s="445">
        <f t="shared" ca="1" si="27"/>
        <v>10.378628696964256</v>
      </c>
      <c r="BI26" s="433"/>
      <c r="BJ26" s="433"/>
      <c r="BK26" s="433"/>
      <c r="BL26" s="433"/>
      <c r="BM26" s="433"/>
      <c r="BN26" s="433"/>
      <c r="BO26" s="446">
        <f t="shared" ca="1" si="28"/>
        <v>1.4231168762104622</v>
      </c>
      <c r="BP26" s="433" t="s">
        <v>158</v>
      </c>
      <c r="BQ26" s="448"/>
    </row>
    <row r="27" spans="1:69" s="414" customFormat="1">
      <c r="A27" s="433">
        <f t="shared" si="29"/>
        <v>10</v>
      </c>
      <c r="B27" s="433">
        <f t="shared" si="3"/>
        <v>1</v>
      </c>
      <c r="C27" s="433">
        <f t="shared" si="4"/>
        <v>10</v>
      </c>
      <c r="D27" s="433">
        <f t="shared" si="5"/>
        <v>2</v>
      </c>
      <c r="E27" s="433">
        <f t="shared" si="6"/>
        <v>5</v>
      </c>
      <c r="F27" s="433"/>
      <c r="G27" s="433" t="str">
        <f t="shared" si="13"/>
        <v>Current Practice Baseline Using 31% ENERGY STAR Penetration</v>
      </c>
      <c r="H27" s="433" t="str">
        <f t="shared" si="14"/>
        <v>ENERGY STAR - Front-Load</v>
      </c>
      <c r="I27" s="433" t="str">
        <f t="shared" si="7"/>
        <v>Any DHW, Any Dryer</v>
      </c>
      <c r="J27" s="433" t="str">
        <f t="shared" si="8"/>
        <v>Any DHW</v>
      </c>
      <c r="K27" s="433" t="str">
        <f t="shared" si="9"/>
        <v>Any Dryer</v>
      </c>
      <c r="L27" s="434">
        <f>VLOOKUP(J27,SFAssumptions!$A$14:$B$16,2,FALSE)</f>
        <v>0.55200000000000005</v>
      </c>
      <c r="M27" s="435">
        <f>VLOOKUP(K27,SFAssumptions!$A$18:$B$20,2,FALSE)</f>
        <v>0.95</v>
      </c>
      <c r="N27" s="436">
        <f ca="1">HLOOKUP($G27,'MFBaselines and Measures'!$C$3:$V$33,7,FALSE)</f>
        <v>4047.8861059902265</v>
      </c>
      <c r="O27" s="437">
        <f ca="1">HLOOKUP($G27,'MFBaselines and Measures'!$C$3:$V$33,8,FALSE)</f>
        <v>776.31603614450796</v>
      </c>
      <c r="P27" s="438">
        <f ca="1">HLOOKUP($G27,'MFBaselines and Measures'!$C$3:$V$33,25,FALSE)</f>
        <v>53.065837949637434</v>
      </c>
      <c r="Q27" s="438"/>
      <c r="R27" s="438">
        <f ca="1">HLOOKUP($G27,'MFBaselines and Measures'!$C$3:$V$33,27,FALSE)</f>
        <v>98.059847487163822</v>
      </c>
      <c r="S27" s="439">
        <f>HLOOKUP($G27,'MFBaselines and Measures'!$C$3:$V$33,29,FALSE)</f>
        <v>0</v>
      </c>
      <c r="T27" s="439"/>
      <c r="U27" s="439">
        <f ca="1">HLOOKUP($G27,'MFBaselines and Measures'!$C$3:$V$33,31,FALSE)</f>
        <v>4.4623767929825346</v>
      </c>
      <c r="V27" s="440">
        <f ca="1">HLOOKUP($G27,'MFBaselines and Measures'!$C$3:$V$33,9,FALSE)</f>
        <v>42.82176814392561</v>
      </c>
      <c r="W27" s="441"/>
      <c r="X27" s="436">
        <f ca="1">HLOOKUP($H27,'MFBaselines and Measures'!$C$2:$V$33,8,FALSE)</f>
        <v>3066.8078198141188</v>
      </c>
      <c r="Y27" s="437">
        <f ca="1">HLOOKUP($H27,'MFBaselines and Measures'!$C$2:$V$33,9,FALSE)</f>
        <v>969.81887509547198</v>
      </c>
      <c r="Z27" s="438">
        <f ca="1">HLOOKUP($H27,'MFBaselines and Measures'!$C$2:$V$33,26,FALSE)</f>
        <v>47.704390673629995</v>
      </c>
      <c r="AA27" s="438"/>
      <c r="AB27" s="438">
        <f ca="1">HLOOKUP($H27,'MFBaselines and Measures'!$C$2:$V$33,28,FALSE)</f>
        <v>66.787135586846006</v>
      </c>
      <c r="AC27" s="439">
        <f>HLOOKUP($H27,'MFBaselines and Measures'!$C$2:$V$33,30,FALSE)</f>
        <v>0</v>
      </c>
      <c r="AD27" s="439"/>
      <c r="AE27" s="439">
        <f ca="1">HLOOKUP($H27,'MFBaselines and Measures'!$C$2:$V$33,32,FALSE)</f>
        <v>3.0392599167720724</v>
      </c>
      <c r="AF27" s="440">
        <f ca="1">HLOOKUP($H27,'MFBaselines and Measures'!$C$2:$V$33,10,FALSE)</f>
        <v>32.443139446961354</v>
      </c>
      <c r="AG27" s="441"/>
      <c r="AH27" s="436">
        <f t="shared" ca="1" si="15"/>
        <v>981.07828617610767</v>
      </c>
      <c r="AI27" s="437">
        <f t="shared" ca="1" si="16"/>
        <v>193.50283895096402</v>
      </c>
      <c r="AJ27" s="438">
        <f t="shared" ca="1" si="10"/>
        <v>5.3614472760074392</v>
      </c>
      <c r="AK27" s="438"/>
      <c r="AL27" s="438">
        <f t="shared" ca="1" si="11"/>
        <v>31.272711900317816</v>
      </c>
      <c r="AM27" s="439">
        <f t="shared" si="11"/>
        <v>0</v>
      </c>
      <c r="AN27" s="439"/>
      <c r="AO27" s="439">
        <f t="shared" ca="1" si="17"/>
        <v>1.4231168762104622</v>
      </c>
      <c r="AP27" s="442">
        <f t="shared" ca="1" si="17"/>
        <v>10.378628696964256</v>
      </c>
      <c r="AQ27" s="443"/>
      <c r="AR27" s="435" t="str">
        <f t="shared" si="18"/>
        <v>ENERGY STAR - Front-Load Clothes Washer - Any DHW, Any Dryer - 31% ENERGY STAR Baseline</v>
      </c>
      <c r="AS27" s="437">
        <f t="shared" ca="1" si="19"/>
        <v>193.50283895096402</v>
      </c>
      <c r="AT27" s="438">
        <f t="shared" ca="1" si="20"/>
        <v>22.623984244982875</v>
      </c>
      <c r="AU27" s="439">
        <f t="shared" ca="1" si="21"/>
        <v>0.63755636054228704</v>
      </c>
      <c r="AV27" s="439">
        <f t="shared" ca="1" si="22"/>
        <v>981.07828617610767</v>
      </c>
      <c r="AW27" s="439"/>
      <c r="AX27" s="438">
        <f t="shared" ca="1" si="12"/>
        <v>26.23841835778633</v>
      </c>
      <c r="AY27" s="438">
        <f t="shared" ca="1" si="23"/>
        <v>10.378628696964256</v>
      </c>
      <c r="AZ27" s="443"/>
      <c r="BA27" s="433" t="str">
        <f t="shared" si="24"/>
        <v>ENERGY STAR - Front-Load Clothes Washer - Any DHW, Any Dryer - 31% ENERGY STAR Baseline</v>
      </c>
      <c r="BB27" s="433" t="s">
        <v>25</v>
      </c>
      <c r="BC27" s="438">
        <f t="shared" ca="1" si="25"/>
        <v>22.623984244982875</v>
      </c>
      <c r="BD27" s="438">
        <f>SFAssumptions!$C$7</f>
        <v>14</v>
      </c>
      <c r="BE27" s="444">
        <f t="shared" ca="1" si="26"/>
        <v>193.50283895096402</v>
      </c>
      <c r="BF27" s="433"/>
      <c r="BG27" s="432" t="s">
        <v>157</v>
      </c>
      <c r="BH27" s="445">
        <f t="shared" ca="1" si="27"/>
        <v>10.378628696964256</v>
      </c>
      <c r="BI27" s="433"/>
      <c r="BJ27" s="433"/>
      <c r="BK27" s="433"/>
      <c r="BL27" s="433"/>
      <c r="BM27" s="433"/>
      <c r="BN27" s="433"/>
      <c r="BO27" s="446">
        <f t="shared" ca="1" si="28"/>
        <v>0.63755636054228704</v>
      </c>
      <c r="BP27" s="433" t="s">
        <v>158</v>
      </c>
      <c r="BQ27" s="448"/>
    </row>
    <row r="28" spans="1:69" s="414" customFormat="1">
      <c r="A28" s="433">
        <f t="shared" si="29"/>
        <v>11</v>
      </c>
      <c r="B28" s="433">
        <f t="shared" si="3"/>
        <v>1</v>
      </c>
      <c r="C28" s="433">
        <f t="shared" si="4"/>
        <v>11</v>
      </c>
      <c r="D28" s="433">
        <f t="shared" si="5"/>
        <v>3</v>
      </c>
      <c r="E28" s="433">
        <f t="shared" si="6"/>
        <v>1</v>
      </c>
      <c r="F28" s="433"/>
      <c r="G28" s="433" t="str">
        <f t="shared" si="13"/>
        <v>Current Practice Baseline Using 31% ENERGY STAR Penetration</v>
      </c>
      <c r="H28" s="433" t="str">
        <f t="shared" si="14"/>
        <v>Any ENERGY STAR (Top- or Front-Load)</v>
      </c>
      <c r="I28" s="433" t="str">
        <f t="shared" si="7"/>
        <v>Electric DHW, Electric Dryer</v>
      </c>
      <c r="J28" s="433" t="str">
        <f t="shared" si="8"/>
        <v>Electric DHW</v>
      </c>
      <c r="K28" s="433" t="str">
        <f t="shared" si="9"/>
        <v>Electric Dryer</v>
      </c>
      <c r="L28" s="434">
        <f>VLOOKUP(J28,SFAssumptions!$A$14:$B$16,2,FALSE)</f>
        <v>1</v>
      </c>
      <c r="M28" s="435">
        <f>VLOOKUP(K28,SFAssumptions!$A$18:$B$20,2,FALSE)</f>
        <v>1</v>
      </c>
      <c r="N28" s="436">
        <f ca="1">HLOOKUP($G28,'MFBaselines and Measures'!$C$3:$V$33,7,FALSE)</f>
        <v>4047.8861059902265</v>
      </c>
      <c r="O28" s="437">
        <f ca="1">HLOOKUP($G28,'MFBaselines and Measures'!$C$3:$V$33,8,FALSE)</f>
        <v>776.31603614450796</v>
      </c>
      <c r="P28" s="438">
        <f ca="1">HLOOKUP($G28,'MFBaselines and Measures'!$C$3:$V$33,25,FALSE)</f>
        <v>53.065837949637434</v>
      </c>
      <c r="Q28" s="438"/>
      <c r="R28" s="438">
        <f ca="1">HLOOKUP($G28,'MFBaselines and Measures'!$C$3:$V$33,27,FALSE)</f>
        <v>98.059847487163822</v>
      </c>
      <c r="S28" s="439">
        <f>HLOOKUP($G28,'MFBaselines and Measures'!$C$3:$V$33,29,FALSE)</f>
        <v>0</v>
      </c>
      <c r="T28" s="439"/>
      <c r="U28" s="439">
        <f ca="1">HLOOKUP($G28,'MFBaselines and Measures'!$C$3:$V$33,31,FALSE)</f>
        <v>4.4623767929825346</v>
      </c>
      <c r="V28" s="440">
        <f ca="1">HLOOKUP($G28,'MFBaselines and Measures'!$C$3:$V$33,9,FALSE)</f>
        <v>42.82176814392561</v>
      </c>
      <c r="W28" s="441"/>
      <c r="X28" s="436">
        <f ca="1">HLOOKUP($H28,'MFBaselines and Measures'!$C$2:$V$33,8,FALSE)</f>
        <v>3321.230591770463</v>
      </c>
      <c r="Y28" s="437">
        <f ca="1">HLOOKUP($H28,'MFBaselines and Measures'!$C$2:$V$33,9,FALSE)</f>
        <v>921.19144585144784</v>
      </c>
      <c r="Z28" s="438">
        <f ca="1">HLOOKUP($H28,'MFBaselines and Measures'!$C$2:$V$33,26,FALSE)</f>
        <v>48.668256432345743</v>
      </c>
      <c r="AA28" s="438"/>
      <c r="AB28" s="438">
        <f ca="1">HLOOKUP($H28,'MFBaselines and Measures'!$C$2:$V$33,28,FALSE)</f>
        <v>73.789186055570553</v>
      </c>
      <c r="AC28" s="439">
        <f>HLOOKUP($H28,'MFBaselines and Measures'!$C$2:$V$33,30,FALSE)</f>
        <v>0</v>
      </c>
      <c r="AD28" s="439"/>
      <c r="AE28" s="439">
        <f ca="1">HLOOKUP($H28,'MFBaselines and Measures'!$C$2:$V$33,32,FALSE)</f>
        <v>3.3578998934354973</v>
      </c>
      <c r="AF28" s="440">
        <f ca="1">HLOOKUP($H28,'MFBaselines and Measures'!$C$2:$V$33,10,FALSE)</f>
        <v>35.134626476481984</v>
      </c>
      <c r="AG28" s="441"/>
      <c r="AH28" s="436">
        <f t="shared" ca="1" si="15"/>
        <v>726.65551421976352</v>
      </c>
      <c r="AI28" s="437">
        <f t="shared" ca="1" si="16"/>
        <v>144.87540970693988</v>
      </c>
      <c r="AJ28" s="438">
        <f t="shared" ca="1" si="10"/>
        <v>4.397581517291691</v>
      </c>
      <c r="AK28" s="438"/>
      <c r="AL28" s="438">
        <f t="shared" ca="1" si="11"/>
        <v>24.270661431593268</v>
      </c>
      <c r="AM28" s="439">
        <f t="shared" si="11"/>
        <v>0</v>
      </c>
      <c r="AN28" s="439"/>
      <c r="AO28" s="439">
        <f t="shared" ca="1" si="17"/>
        <v>1.1044768995470373</v>
      </c>
      <c r="AP28" s="442">
        <f t="shared" ca="1" si="17"/>
        <v>7.6871416674436261</v>
      </c>
      <c r="AQ28" s="443"/>
      <c r="AR28" s="435" t="str">
        <f t="shared" si="18"/>
        <v>Any ENERGY STAR (Top- or Front-Load) Clothes Washer - Electric DHW, Electric Dryer - 31% ENERGY STAR Baseline</v>
      </c>
      <c r="AS28" s="437">
        <f t="shared" ca="1" si="19"/>
        <v>144.87540970693988</v>
      </c>
      <c r="AT28" s="438">
        <f t="shared" ca="1" si="20"/>
        <v>28.668242948884959</v>
      </c>
      <c r="AU28" s="439">
        <f t="shared" ca="1" si="21"/>
        <v>0</v>
      </c>
      <c r="AV28" s="439">
        <f t="shared" ca="1" si="22"/>
        <v>726.65551421976352</v>
      </c>
      <c r="AW28" s="439"/>
      <c r="AX28" s="438">
        <f t="shared" ca="1" si="12"/>
        <v>31.345346821084195</v>
      </c>
      <c r="AY28" s="438">
        <f t="shared" ca="1" si="23"/>
        <v>7.6871416674436261</v>
      </c>
      <c r="AZ28" s="443"/>
      <c r="BA28" s="433" t="str">
        <f t="shared" si="24"/>
        <v>Any ENERGY STAR (Top- or Front-Load) Clothes Washer - Electric DHW, Electric Dryer - 31% ENERGY STAR Baseline</v>
      </c>
      <c r="BB28" s="433" t="s">
        <v>25</v>
      </c>
      <c r="BC28" s="438">
        <f t="shared" ca="1" si="25"/>
        <v>28.668242948884959</v>
      </c>
      <c r="BD28" s="438">
        <f>SFAssumptions!$C$7</f>
        <v>14</v>
      </c>
      <c r="BE28" s="444">
        <f t="shared" ca="1" si="26"/>
        <v>144.87540970693988</v>
      </c>
      <c r="BF28" s="433"/>
      <c r="BG28" s="432" t="s">
        <v>157</v>
      </c>
      <c r="BH28" s="445">
        <f t="shared" ca="1" si="27"/>
        <v>7.6871416674436261</v>
      </c>
      <c r="BI28" s="433"/>
      <c r="BJ28" s="433"/>
      <c r="BK28" s="433"/>
      <c r="BL28" s="433"/>
      <c r="BM28" s="433"/>
      <c r="BN28" s="433"/>
      <c r="BO28" s="446">
        <f t="shared" ca="1" si="28"/>
        <v>0</v>
      </c>
      <c r="BP28" s="433" t="s">
        <v>158</v>
      </c>
      <c r="BQ28" s="448"/>
    </row>
    <row r="29" spans="1:69" s="414" customFormat="1">
      <c r="A29" s="433">
        <f t="shared" si="29"/>
        <v>12</v>
      </c>
      <c r="B29" s="433">
        <f t="shared" si="3"/>
        <v>1</v>
      </c>
      <c r="C29" s="433">
        <f t="shared" si="4"/>
        <v>12</v>
      </c>
      <c r="D29" s="433">
        <f t="shared" si="5"/>
        <v>3</v>
      </c>
      <c r="E29" s="433">
        <f t="shared" si="6"/>
        <v>2</v>
      </c>
      <c r="F29" s="433"/>
      <c r="G29" s="433" t="str">
        <f t="shared" si="13"/>
        <v>Current Practice Baseline Using 31% ENERGY STAR Penetration</v>
      </c>
      <c r="H29" s="433" t="str">
        <f t="shared" si="14"/>
        <v>Any ENERGY STAR (Top- or Front-Load)</v>
      </c>
      <c r="I29" s="433" t="str">
        <f t="shared" si="7"/>
        <v>Electric DHW, Gas Dryer</v>
      </c>
      <c r="J29" s="433" t="str">
        <f t="shared" si="8"/>
        <v>Electric DHW</v>
      </c>
      <c r="K29" s="433" t="str">
        <f t="shared" si="9"/>
        <v>Gas Dryer</v>
      </c>
      <c r="L29" s="434">
        <f>VLOOKUP(J29,SFAssumptions!$A$14:$B$16,2,FALSE)</f>
        <v>1</v>
      </c>
      <c r="M29" s="435">
        <f>VLOOKUP(K29,SFAssumptions!$A$18:$B$20,2,FALSE)</f>
        <v>0</v>
      </c>
      <c r="N29" s="436">
        <f ca="1">HLOOKUP($G29,'MFBaselines and Measures'!$C$3:$V$33,7,FALSE)</f>
        <v>4047.8861059902265</v>
      </c>
      <c r="O29" s="437">
        <f ca="1">HLOOKUP($G29,'MFBaselines and Measures'!$C$3:$V$33,8,FALSE)</f>
        <v>776.31603614450796</v>
      </c>
      <c r="P29" s="438">
        <f ca="1">HLOOKUP($G29,'MFBaselines and Measures'!$C$3:$V$33,25,FALSE)</f>
        <v>53.065837949637434</v>
      </c>
      <c r="Q29" s="438"/>
      <c r="R29" s="438">
        <f ca="1">HLOOKUP($G29,'MFBaselines and Measures'!$C$3:$V$33,27,FALSE)</f>
        <v>98.059847487163822</v>
      </c>
      <c r="S29" s="439">
        <f>HLOOKUP($G29,'MFBaselines and Measures'!$C$3:$V$33,29,FALSE)</f>
        <v>0</v>
      </c>
      <c r="T29" s="439"/>
      <c r="U29" s="439">
        <f ca="1">HLOOKUP($G29,'MFBaselines and Measures'!$C$3:$V$33,31,FALSE)</f>
        <v>4.4623767929825346</v>
      </c>
      <c r="V29" s="440">
        <f ca="1">HLOOKUP($G29,'MFBaselines and Measures'!$C$3:$V$33,9,FALSE)</f>
        <v>42.82176814392561</v>
      </c>
      <c r="W29" s="441"/>
      <c r="X29" s="436">
        <f ca="1">HLOOKUP($H29,'MFBaselines and Measures'!$C$2:$V$33,8,FALSE)</f>
        <v>3321.230591770463</v>
      </c>
      <c r="Y29" s="437">
        <f ca="1">HLOOKUP($H29,'MFBaselines and Measures'!$C$2:$V$33,9,FALSE)</f>
        <v>921.19144585144784</v>
      </c>
      <c r="Z29" s="438">
        <f ca="1">HLOOKUP($H29,'MFBaselines and Measures'!$C$2:$V$33,26,FALSE)</f>
        <v>48.668256432345743</v>
      </c>
      <c r="AA29" s="438"/>
      <c r="AB29" s="438">
        <f ca="1">HLOOKUP($H29,'MFBaselines and Measures'!$C$2:$V$33,28,FALSE)</f>
        <v>73.789186055570553</v>
      </c>
      <c r="AC29" s="439">
        <f>HLOOKUP($H29,'MFBaselines and Measures'!$C$2:$V$33,30,FALSE)</f>
        <v>0</v>
      </c>
      <c r="AD29" s="439"/>
      <c r="AE29" s="439">
        <f ca="1">HLOOKUP($H29,'MFBaselines and Measures'!$C$2:$V$33,32,FALSE)</f>
        <v>3.3578998934354973</v>
      </c>
      <c r="AF29" s="440">
        <f ca="1">HLOOKUP($H29,'MFBaselines and Measures'!$C$2:$V$33,10,FALSE)</f>
        <v>35.134626476481984</v>
      </c>
      <c r="AG29" s="441"/>
      <c r="AH29" s="436">
        <f t="shared" ca="1" si="15"/>
        <v>726.65551421976352</v>
      </c>
      <c r="AI29" s="437">
        <f t="shared" ca="1" si="16"/>
        <v>144.87540970693988</v>
      </c>
      <c r="AJ29" s="438">
        <f t="shared" ca="1" si="10"/>
        <v>4.397581517291691</v>
      </c>
      <c r="AK29" s="438"/>
      <c r="AL29" s="438">
        <f t="shared" ca="1" si="11"/>
        <v>24.270661431593268</v>
      </c>
      <c r="AM29" s="439">
        <f t="shared" si="11"/>
        <v>0</v>
      </c>
      <c r="AN29" s="439"/>
      <c r="AO29" s="439">
        <f t="shared" ca="1" si="17"/>
        <v>1.1044768995470373</v>
      </c>
      <c r="AP29" s="442">
        <f t="shared" ca="1" si="17"/>
        <v>7.6871416674436261</v>
      </c>
      <c r="AQ29" s="443"/>
      <c r="AR29" s="435" t="str">
        <f t="shared" si="18"/>
        <v>Any ENERGY STAR (Top- or Front-Load) Clothes Washer - Electric DHW, Gas Dryer - 31% ENERGY STAR Baseline</v>
      </c>
      <c r="AS29" s="437">
        <f t="shared" ca="1" si="19"/>
        <v>144.87540970693988</v>
      </c>
      <c r="AT29" s="438">
        <f t="shared" ca="1" si="20"/>
        <v>28.668242948884959</v>
      </c>
      <c r="AU29" s="439">
        <f t="shared" ca="1" si="21"/>
        <v>0</v>
      </c>
      <c r="AV29" s="439">
        <f t="shared" ca="1" si="22"/>
        <v>726.65551421976352</v>
      </c>
      <c r="AW29" s="439"/>
      <c r="AX29" s="438">
        <f t="shared" ca="1" si="12"/>
        <v>31.345346821084195</v>
      </c>
      <c r="AY29" s="438">
        <f t="shared" ca="1" si="23"/>
        <v>7.6871416674436261</v>
      </c>
      <c r="AZ29" s="443"/>
      <c r="BA29" s="433" t="str">
        <f t="shared" si="24"/>
        <v>Any ENERGY STAR (Top- or Front-Load) Clothes Washer - Electric DHW, Gas Dryer - 31% ENERGY STAR Baseline</v>
      </c>
      <c r="BB29" s="433" t="s">
        <v>25</v>
      </c>
      <c r="BC29" s="438">
        <f t="shared" ca="1" si="25"/>
        <v>28.668242948884959</v>
      </c>
      <c r="BD29" s="438">
        <f>SFAssumptions!$C$7</f>
        <v>14</v>
      </c>
      <c r="BE29" s="444">
        <f t="shared" ca="1" si="26"/>
        <v>144.87540970693988</v>
      </c>
      <c r="BF29" s="433"/>
      <c r="BG29" s="432" t="s">
        <v>157</v>
      </c>
      <c r="BH29" s="445">
        <f t="shared" ca="1" si="27"/>
        <v>7.6871416674436261</v>
      </c>
      <c r="BI29" s="433"/>
      <c r="BJ29" s="433"/>
      <c r="BK29" s="433"/>
      <c r="BL29" s="433"/>
      <c r="BM29" s="433"/>
      <c r="BN29" s="433"/>
      <c r="BO29" s="446">
        <f t="shared" ca="1" si="28"/>
        <v>0</v>
      </c>
      <c r="BP29" s="433" t="s">
        <v>158</v>
      </c>
      <c r="BQ29" s="447"/>
    </row>
    <row r="30" spans="1:69" s="414" customFormat="1">
      <c r="A30" s="433">
        <f t="shared" si="29"/>
        <v>13</v>
      </c>
      <c r="B30" s="433">
        <f t="shared" si="3"/>
        <v>1</v>
      </c>
      <c r="C30" s="433">
        <f t="shared" si="4"/>
        <v>13</v>
      </c>
      <c r="D30" s="433">
        <f t="shared" si="5"/>
        <v>3</v>
      </c>
      <c r="E30" s="433">
        <f t="shared" si="6"/>
        <v>3</v>
      </c>
      <c r="F30" s="433"/>
      <c r="G30" s="433" t="str">
        <f t="shared" si="13"/>
        <v>Current Practice Baseline Using 31% ENERGY STAR Penetration</v>
      </c>
      <c r="H30" s="433" t="str">
        <f t="shared" si="14"/>
        <v>Any ENERGY STAR (Top- or Front-Load)</v>
      </c>
      <c r="I30" s="433" t="str">
        <f t="shared" si="7"/>
        <v>Gas DHW, Electric Dryer</v>
      </c>
      <c r="J30" s="433" t="str">
        <f t="shared" si="8"/>
        <v>Gas DHW</v>
      </c>
      <c r="K30" s="433" t="str">
        <f t="shared" si="9"/>
        <v>Electric Dryer</v>
      </c>
      <c r="L30" s="434">
        <f>VLOOKUP(J30,SFAssumptions!$A$14:$B$16,2,FALSE)</f>
        <v>0</v>
      </c>
      <c r="M30" s="435">
        <f>VLOOKUP(K30,SFAssumptions!$A$18:$B$20,2,FALSE)</f>
        <v>1</v>
      </c>
      <c r="N30" s="436">
        <f ca="1">HLOOKUP($G30,'MFBaselines and Measures'!$C$3:$V$33,7,FALSE)</f>
        <v>4047.8861059902265</v>
      </c>
      <c r="O30" s="437">
        <f ca="1">HLOOKUP($G30,'MFBaselines and Measures'!$C$3:$V$33,8,FALSE)</f>
        <v>776.31603614450796</v>
      </c>
      <c r="P30" s="438">
        <f ca="1">HLOOKUP($G30,'MFBaselines and Measures'!$C$3:$V$33,25,FALSE)</f>
        <v>53.065837949637434</v>
      </c>
      <c r="Q30" s="438"/>
      <c r="R30" s="438">
        <f ca="1">HLOOKUP($G30,'MFBaselines and Measures'!$C$3:$V$33,27,FALSE)</f>
        <v>98.059847487163822</v>
      </c>
      <c r="S30" s="439">
        <f>HLOOKUP($G30,'MFBaselines and Measures'!$C$3:$V$33,29,FALSE)</f>
        <v>0</v>
      </c>
      <c r="T30" s="439"/>
      <c r="U30" s="439">
        <f ca="1">HLOOKUP($G30,'MFBaselines and Measures'!$C$3:$V$33,31,FALSE)</f>
        <v>4.4623767929825346</v>
      </c>
      <c r="V30" s="440">
        <f ca="1">HLOOKUP($G30,'MFBaselines and Measures'!$C$3:$V$33,9,FALSE)</f>
        <v>42.82176814392561</v>
      </c>
      <c r="W30" s="441"/>
      <c r="X30" s="436">
        <f ca="1">HLOOKUP($H30,'MFBaselines and Measures'!$C$2:$V$33,8,FALSE)</f>
        <v>3321.230591770463</v>
      </c>
      <c r="Y30" s="437">
        <f ca="1">HLOOKUP($H30,'MFBaselines and Measures'!$C$2:$V$33,9,FALSE)</f>
        <v>921.19144585144784</v>
      </c>
      <c r="Z30" s="438">
        <f ca="1">HLOOKUP($H30,'MFBaselines and Measures'!$C$2:$V$33,26,FALSE)</f>
        <v>48.668256432345743</v>
      </c>
      <c r="AA30" s="438"/>
      <c r="AB30" s="438">
        <f ca="1">HLOOKUP($H30,'MFBaselines and Measures'!$C$2:$V$33,28,FALSE)</f>
        <v>73.789186055570553</v>
      </c>
      <c r="AC30" s="439">
        <f>HLOOKUP($H30,'MFBaselines and Measures'!$C$2:$V$33,30,FALSE)</f>
        <v>0</v>
      </c>
      <c r="AD30" s="439"/>
      <c r="AE30" s="439">
        <f ca="1">HLOOKUP($H30,'MFBaselines and Measures'!$C$2:$V$33,32,FALSE)</f>
        <v>3.3578998934354973</v>
      </c>
      <c r="AF30" s="440">
        <f ca="1">HLOOKUP($H30,'MFBaselines and Measures'!$C$2:$V$33,10,FALSE)</f>
        <v>35.134626476481984</v>
      </c>
      <c r="AG30" s="441"/>
      <c r="AH30" s="436">
        <f t="shared" ca="1" si="15"/>
        <v>726.65551421976352</v>
      </c>
      <c r="AI30" s="437">
        <f t="shared" ca="1" si="16"/>
        <v>144.87540970693988</v>
      </c>
      <c r="AJ30" s="438">
        <f t="shared" ca="1" si="10"/>
        <v>4.397581517291691</v>
      </c>
      <c r="AK30" s="438"/>
      <c r="AL30" s="438">
        <f t="shared" ca="1" si="11"/>
        <v>24.270661431593268</v>
      </c>
      <c r="AM30" s="439">
        <f t="shared" si="11"/>
        <v>0</v>
      </c>
      <c r="AN30" s="439"/>
      <c r="AO30" s="439">
        <f t="shared" ca="1" si="17"/>
        <v>1.1044768995470373</v>
      </c>
      <c r="AP30" s="442">
        <f t="shared" ca="1" si="17"/>
        <v>7.6871416674436261</v>
      </c>
      <c r="AQ30" s="443"/>
      <c r="AR30" s="435" t="str">
        <f t="shared" si="18"/>
        <v>Any ENERGY STAR (Top- or Front-Load) Clothes Washer - Gas DHW, Electric Dryer - 31% ENERGY STAR Baseline</v>
      </c>
      <c r="AS30" s="437">
        <f t="shared" ca="1" si="19"/>
        <v>144.87540970693988</v>
      </c>
      <c r="AT30" s="438">
        <f t="shared" ca="1" si="20"/>
        <v>4.397581517291691</v>
      </c>
      <c r="AU30" s="439">
        <f t="shared" ca="1" si="21"/>
        <v>1.1044768995470373</v>
      </c>
      <c r="AV30" s="439">
        <f t="shared" ca="1" si="22"/>
        <v>726.65551421976352</v>
      </c>
      <c r="AW30" s="439"/>
      <c r="AX30" s="438">
        <f t="shared" ca="1" si="12"/>
        <v>7.074685389490929</v>
      </c>
      <c r="AY30" s="438">
        <f t="shared" ca="1" si="23"/>
        <v>7.6871416674436261</v>
      </c>
      <c r="AZ30" s="443"/>
      <c r="BA30" s="433" t="str">
        <f t="shared" si="24"/>
        <v>Any ENERGY STAR (Top- or Front-Load) Clothes Washer - Gas DHW, Electric Dryer - 31% ENERGY STAR Baseline</v>
      </c>
      <c r="BB30" s="433" t="s">
        <v>25</v>
      </c>
      <c r="BC30" s="438">
        <f t="shared" ca="1" si="25"/>
        <v>4.397581517291691</v>
      </c>
      <c r="BD30" s="438">
        <f>SFAssumptions!$C$7</f>
        <v>14</v>
      </c>
      <c r="BE30" s="444">
        <f t="shared" ca="1" si="26"/>
        <v>144.87540970693988</v>
      </c>
      <c r="BF30" s="433"/>
      <c r="BG30" s="432" t="s">
        <v>157</v>
      </c>
      <c r="BH30" s="445">
        <f t="shared" ca="1" si="27"/>
        <v>7.6871416674436261</v>
      </c>
      <c r="BI30" s="433"/>
      <c r="BJ30" s="433"/>
      <c r="BK30" s="433"/>
      <c r="BL30" s="433"/>
      <c r="BM30" s="433"/>
      <c r="BN30" s="433"/>
      <c r="BO30" s="446">
        <f t="shared" ca="1" si="28"/>
        <v>1.1044768995470373</v>
      </c>
      <c r="BP30" s="433" t="s">
        <v>158</v>
      </c>
    </row>
    <row r="31" spans="1:69" s="414" customFormat="1">
      <c r="A31" s="433">
        <f t="shared" si="29"/>
        <v>14</v>
      </c>
      <c r="B31" s="433">
        <f t="shared" si="3"/>
        <v>1</v>
      </c>
      <c r="C31" s="433">
        <f t="shared" si="4"/>
        <v>14</v>
      </c>
      <c r="D31" s="433">
        <f t="shared" si="5"/>
        <v>3</v>
      </c>
      <c r="E31" s="433">
        <f t="shared" si="6"/>
        <v>4</v>
      </c>
      <c r="F31" s="433"/>
      <c r="G31" s="433" t="str">
        <f t="shared" si="13"/>
        <v>Current Practice Baseline Using 31% ENERGY STAR Penetration</v>
      </c>
      <c r="H31" s="433" t="str">
        <f t="shared" si="14"/>
        <v>Any ENERGY STAR (Top- or Front-Load)</v>
      </c>
      <c r="I31" s="433" t="str">
        <f t="shared" si="7"/>
        <v>Gas DHW, Gas Dryer</v>
      </c>
      <c r="J31" s="433" t="str">
        <f t="shared" si="8"/>
        <v>Gas DHW</v>
      </c>
      <c r="K31" s="433" t="str">
        <f t="shared" si="9"/>
        <v>Gas Dryer</v>
      </c>
      <c r="L31" s="434">
        <f>VLOOKUP(J31,SFAssumptions!$A$14:$B$16,2,FALSE)</f>
        <v>0</v>
      </c>
      <c r="M31" s="435">
        <f>VLOOKUP(K31,SFAssumptions!$A$18:$B$20,2,FALSE)</f>
        <v>0</v>
      </c>
      <c r="N31" s="436">
        <f ca="1">HLOOKUP($G31,'MFBaselines and Measures'!$C$3:$V$33,7,FALSE)</f>
        <v>4047.8861059902265</v>
      </c>
      <c r="O31" s="437">
        <f ca="1">HLOOKUP($G31,'MFBaselines and Measures'!$C$3:$V$33,8,FALSE)</f>
        <v>776.31603614450796</v>
      </c>
      <c r="P31" s="438">
        <f ca="1">HLOOKUP($G31,'MFBaselines and Measures'!$C$3:$V$33,25,FALSE)</f>
        <v>53.065837949637434</v>
      </c>
      <c r="Q31" s="438"/>
      <c r="R31" s="438">
        <f ca="1">HLOOKUP($G31,'MFBaselines and Measures'!$C$3:$V$33,27,FALSE)</f>
        <v>98.059847487163822</v>
      </c>
      <c r="S31" s="439">
        <f>HLOOKUP($G31,'MFBaselines and Measures'!$C$3:$V$33,29,FALSE)</f>
        <v>0</v>
      </c>
      <c r="T31" s="439"/>
      <c r="U31" s="439">
        <f ca="1">HLOOKUP($G31,'MFBaselines and Measures'!$C$3:$V$33,31,FALSE)</f>
        <v>4.4623767929825346</v>
      </c>
      <c r="V31" s="440">
        <f ca="1">HLOOKUP($G31,'MFBaselines and Measures'!$C$3:$V$33,9,FALSE)</f>
        <v>42.82176814392561</v>
      </c>
      <c r="W31" s="441"/>
      <c r="X31" s="436">
        <f ca="1">HLOOKUP($H31,'MFBaselines and Measures'!$C$2:$V$33,8,FALSE)</f>
        <v>3321.230591770463</v>
      </c>
      <c r="Y31" s="437">
        <f ca="1">HLOOKUP($H31,'MFBaselines and Measures'!$C$2:$V$33,9,FALSE)</f>
        <v>921.19144585144784</v>
      </c>
      <c r="Z31" s="438">
        <f ca="1">HLOOKUP($H31,'MFBaselines and Measures'!$C$2:$V$33,26,FALSE)</f>
        <v>48.668256432345743</v>
      </c>
      <c r="AA31" s="438"/>
      <c r="AB31" s="438">
        <f ca="1">HLOOKUP($H31,'MFBaselines and Measures'!$C$2:$V$33,28,FALSE)</f>
        <v>73.789186055570553</v>
      </c>
      <c r="AC31" s="439">
        <f>HLOOKUP($H31,'MFBaselines and Measures'!$C$2:$V$33,30,FALSE)</f>
        <v>0</v>
      </c>
      <c r="AD31" s="439"/>
      <c r="AE31" s="439">
        <f ca="1">HLOOKUP($H31,'MFBaselines and Measures'!$C$2:$V$33,32,FALSE)</f>
        <v>3.3578998934354973</v>
      </c>
      <c r="AF31" s="440">
        <f ca="1">HLOOKUP($H31,'MFBaselines and Measures'!$C$2:$V$33,10,FALSE)</f>
        <v>35.134626476481984</v>
      </c>
      <c r="AG31" s="441"/>
      <c r="AH31" s="436">
        <f t="shared" ca="1" si="15"/>
        <v>726.65551421976352</v>
      </c>
      <c r="AI31" s="437">
        <f t="shared" ca="1" si="16"/>
        <v>144.87540970693988</v>
      </c>
      <c r="AJ31" s="438">
        <f t="shared" ca="1" si="10"/>
        <v>4.397581517291691</v>
      </c>
      <c r="AK31" s="438"/>
      <c r="AL31" s="438">
        <f t="shared" ca="1" si="11"/>
        <v>24.270661431593268</v>
      </c>
      <c r="AM31" s="439">
        <f t="shared" si="11"/>
        <v>0</v>
      </c>
      <c r="AN31" s="439"/>
      <c r="AO31" s="439">
        <f t="shared" ca="1" si="17"/>
        <v>1.1044768995470373</v>
      </c>
      <c r="AP31" s="442">
        <f t="shared" ca="1" si="17"/>
        <v>7.6871416674436261</v>
      </c>
      <c r="AQ31" s="443"/>
      <c r="AR31" s="435" t="str">
        <f t="shared" si="18"/>
        <v>Any ENERGY STAR (Top- or Front-Load) Clothes Washer - Gas DHW, Gas Dryer - 31% ENERGY STAR Baseline</v>
      </c>
      <c r="AS31" s="437">
        <f t="shared" ca="1" si="19"/>
        <v>144.87540970693988</v>
      </c>
      <c r="AT31" s="438">
        <f t="shared" ca="1" si="20"/>
        <v>4.397581517291691</v>
      </c>
      <c r="AU31" s="439">
        <f t="shared" ca="1" si="21"/>
        <v>1.1044768995470373</v>
      </c>
      <c r="AV31" s="439">
        <f t="shared" ca="1" si="22"/>
        <v>726.65551421976352</v>
      </c>
      <c r="AW31" s="439"/>
      <c r="AX31" s="438">
        <f t="shared" ca="1" si="12"/>
        <v>7.074685389490929</v>
      </c>
      <c r="AY31" s="438">
        <f t="shared" ca="1" si="23"/>
        <v>7.6871416674436261</v>
      </c>
      <c r="AZ31" s="443"/>
      <c r="BA31" s="433" t="str">
        <f t="shared" si="24"/>
        <v>Any ENERGY STAR (Top- or Front-Load) Clothes Washer - Gas DHW, Gas Dryer - 31% ENERGY STAR Baseline</v>
      </c>
      <c r="BB31" s="433" t="s">
        <v>25</v>
      </c>
      <c r="BC31" s="438">
        <f t="shared" ca="1" si="25"/>
        <v>4.397581517291691</v>
      </c>
      <c r="BD31" s="438">
        <f>SFAssumptions!$C$7</f>
        <v>14</v>
      </c>
      <c r="BE31" s="444">
        <f t="shared" ca="1" si="26"/>
        <v>144.87540970693988</v>
      </c>
      <c r="BF31" s="433"/>
      <c r="BG31" s="432" t="s">
        <v>157</v>
      </c>
      <c r="BH31" s="445">
        <f t="shared" ca="1" si="27"/>
        <v>7.6871416674436261</v>
      </c>
      <c r="BI31" s="433"/>
      <c r="BJ31" s="433"/>
      <c r="BK31" s="433"/>
      <c r="BL31" s="433"/>
      <c r="BM31" s="433"/>
      <c r="BN31" s="433"/>
      <c r="BO31" s="446">
        <f t="shared" ca="1" si="28"/>
        <v>1.1044768995470373</v>
      </c>
      <c r="BP31" s="433" t="s">
        <v>158</v>
      </c>
    </row>
    <row r="32" spans="1:69" s="414" customFormat="1">
      <c r="A32" s="433">
        <f t="shared" si="29"/>
        <v>15</v>
      </c>
      <c r="B32" s="433">
        <f t="shared" si="3"/>
        <v>1</v>
      </c>
      <c r="C32" s="433">
        <f t="shared" si="4"/>
        <v>15</v>
      </c>
      <c r="D32" s="433">
        <f t="shared" si="5"/>
        <v>3</v>
      </c>
      <c r="E32" s="433">
        <f t="shared" si="6"/>
        <v>5</v>
      </c>
      <c r="F32" s="433"/>
      <c r="G32" s="433" t="str">
        <f t="shared" si="13"/>
        <v>Current Practice Baseline Using 31% ENERGY STAR Penetration</v>
      </c>
      <c r="H32" s="433" t="str">
        <f t="shared" si="14"/>
        <v>Any ENERGY STAR (Top- or Front-Load)</v>
      </c>
      <c r="I32" s="433" t="str">
        <f t="shared" si="7"/>
        <v>Any DHW, Any Dryer</v>
      </c>
      <c r="J32" s="433" t="str">
        <f t="shared" si="8"/>
        <v>Any DHW</v>
      </c>
      <c r="K32" s="433" t="str">
        <f t="shared" si="9"/>
        <v>Any Dryer</v>
      </c>
      <c r="L32" s="434">
        <f>VLOOKUP(J32,SFAssumptions!$A$14:$B$16,2,FALSE)</f>
        <v>0.55200000000000005</v>
      </c>
      <c r="M32" s="435">
        <f>VLOOKUP(K32,SFAssumptions!$A$18:$B$20,2,FALSE)</f>
        <v>0.95</v>
      </c>
      <c r="N32" s="436">
        <f ca="1">HLOOKUP($G32,'MFBaselines and Measures'!$C$3:$V$33,7,FALSE)</f>
        <v>4047.8861059902265</v>
      </c>
      <c r="O32" s="437">
        <f ca="1">HLOOKUP($G32,'MFBaselines and Measures'!$C$3:$V$33,8,FALSE)</f>
        <v>776.31603614450796</v>
      </c>
      <c r="P32" s="438">
        <f ca="1">HLOOKUP($G32,'MFBaselines and Measures'!$C$3:$V$33,25,FALSE)</f>
        <v>53.065837949637434</v>
      </c>
      <c r="Q32" s="438"/>
      <c r="R32" s="438">
        <f ca="1">HLOOKUP($G32,'MFBaselines and Measures'!$C$3:$V$33,27,FALSE)</f>
        <v>98.059847487163822</v>
      </c>
      <c r="S32" s="439">
        <f>HLOOKUP($G32,'MFBaselines and Measures'!$C$3:$V$33,29,FALSE)</f>
        <v>0</v>
      </c>
      <c r="T32" s="439"/>
      <c r="U32" s="439">
        <f ca="1">HLOOKUP($G32,'MFBaselines and Measures'!$C$3:$V$33,31,FALSE)</f>
        <v>4.4623767929825346</v>
      </c>
      <c r="V32" s="440">
        <f ca="1">HLOOKUP($G32,'MFBaselines and Measures'!$C$3:$V$33,9,FALSE)</f>
        <v>42.82176814392561</v>
      </c>
      <c r="W32" s="441"/>
      <c r="X32" s="436">
        <f ca="1">HLOOKUP($H32,'MFBaselines and Measures'!$C$2:$V$33,8,FALSE)</f>
        <v>3321.230591770463</v>
      </c>
      <c r="Y32" s="437">
        <f ca="1">HLOOKUP($H32,'MFBaselines and Measures'!$C$2:$V$33,9,FALSE)</f>
        <v>921.19144585144784</v>
      </c>
      <c r="Z32" s="438">
        <f ca="1">HLOOKUP($H32,'MFBaselines and Measures'!$C$2:$V$33,26,FALSE)</f>
        <v>48.668256432345743</v>
      </c>
      <c r="AA32" s="438"/>
      <c r="AB32" s="438">
        <f ca="1">HLOOKUP($H32,'MFBaselines and Measures'!$C$2:$V$33,28,FALSE)</f>
        <v>73.789186055570553</v>
      </c>
      <c r="AC32" s="439">
        <f>HLOOKUP($H32,'MFBaselines and Measures'!$C$2:$V$33,30,FALSE)</f>
        <v>0</v>
      </c>
      <c r="AD32" s="439"/>
      <c r="AE32" s="439">
        <f ca="1">HLOOKUP($H32,'MFBaselines and Measures'!$C$2:$V$33,32,FALSE)</f>
        <v>3.3578998934354973</v>
      </c>
      <c r="AF32" s="440">
        <f ca="1">HLOOKUP($H32,'MFBaselines and Measures'!$C$2:$V$33,10,FALSE)</f>
        <v>35.134626476481984</v>
      </c>
      <c r="AG32" s="441"/>
      <c r="AH32" s="436">
        <f t="shared" ca="1" si="15"/>
        <v>726.65551421976352</v>
      </c>
      <c r="AI32" s="437">
        <f t="shared" ca="1" si="16"/>
        <v>144.87540970693988</v>
      </c>
      <c r="AJ32" s="438">
        <f t="shared" ca="1" si="10"/>
        <v>4.397581517291691</v>
      </c>
      <c r="AK32" s="438"/>
      <c r="AL32" s="438">
        <f t="shared" ca="1" si="11"/>
        <v>24.270661431593268</v>
      </c>
      <c r="AM32" s="439">
        <f t="shared" si="11"/>
        <v>0</v>
      </c>
      <c r="AN32" s="439"/>
      <c r="AO32" s="439">
        <f t="shared" ca="1" si="17"/>
        <v>1.1044768995470373</v>
      </c>
      <c r="AP32" s="442">
        <f t="shared" ca="1" si="17"/>
        <v>7.6871416674436261</v>
      </c>
      <c r="AQ32" s="443"/>
      <c r="AR32" s="435" t="str">
        <f t="shared" si="18"/>
        <v>Any ENERGY STAR (Top- or Front-Load) Clothes Washer - Any DHW, Any Dryer - 31% ENERGY STAR Baseline</v>
      </c>
      <c r="AS32" s="437">
        <f t="shared" ca="1" si="19"/>
        <v>144.87540970693988</v>
      </c>
      <c r="AT32" s="438">
        <f t="shared" ca="1" si="20"/>
        <v>17.794986627531177</v>
      </c>
      <c r="AU32" s="439">
        <f t="shared" ca="1" si="21"/>
        <v>0.49480565099707269</v>
      </c>
      <c r="AV32" s="439">
        <f t="shared" ca="1" si="22"/>
        <v>726.65551421976352</v>
      </c>
      <c r="AW32" s="439"/>
      <c r="AX32" s="438">
        <f t="shared" ca="1" si="12"/>
        <v>20.472090499730413</v>
      </c>
      <c r="AY32" s="438">
        <f t="shared" ca="1" si="23"/>
        <v>7.6871416674436261</v>
      </c>
      <c r="AZ32" s="443"/>
      <c r="BA32" s="433" t="str">
        <f t="shared" si="24"/>
        <v>Any ENERGY STAR (Top- or Front-Load) Clothes Washer - Any DHW, Any Dryer - 31% ENERGY STAR Baseline</v>
      </c>
      <c r="BB32" s="433" t="s">
        <v>25</v>
      </c>
      <c r="BC32" s="438">
        <f t="shared" ca="1" si="25"/>
        <v>17.794986627531177</v>
      </c>
      <c r="BD32" s="438">
        <f>SFAssumptions!$C$7</f>
        <v>14</v>
      </c>
      <c r="BE32" s="444">
        <f t="shared" ca="1" si="26"/>
        <v>144.87540970693988</v>
      </c>
      <c r="BF32" s="433"/>
      <c r="BG32" s="432" t="s">
        <v>157</v>
      </c>
      <c r="BH32" s="445">
        <f t="shared" ca="1" si="27"/>
        <v>7.6871416674436261</v>
      </c>
      <c r="BI32" s="433"/>
      <c r="BJ32" s="433"/>
      <c r="BK32" s="433"/>
      <c r="BL32" s="433"/>
      <c r="BM32" s="433"/>
      <c r="BN32" s="433"/>
      <c r="BO32" s="446">
        <f t="shared" ca="1" si="28"/>
        <v>0.49480565099707269</v>
      </c>
      <c r="BP32" s="433" t="s">
        <v>158</v>
      </c>
    </row>
    <row r="33" spans="1:68" s="414" customFormat="1">
      <c r="A33" s="433">
        <f t="shared" si="29"/>
        <v>16</v>
      </c>
      <c r="B33" s="433">
        <f t="shared" si="3"/>
        <v>1</v>
      </c>
      <c r="C33" s="433">
        <f t="shared" si="4"/>
        <v>16</v>
      </c>
      <c r="D33" s="433">
        <f t="shared" si="5"/>
        <v>4</v>
      </c>
      <c r="E33" s="433">
        <f t="shared" si="6"/>
        <v>1</v>
      </c>
      <c r="F33" s="433"/>
      <c r="G33" s="433" t="str">
        <f t="shared" si="13"/>
        <v>Current Practice Baseline Using 31% ENERGY STAR Penetration</v>
      </c>
      <c r="H33" s="433" t="str">
        <f t="shared" si="14"/>
        <v>CEE Tier 1</v>
      </c>
      <c r="I33" s="433" t="str">
        <f t="shared" si="7"/>
        <v>Electric DHW, Electric Dryer</v>
      </c>
      <c r="J33" s="433" t="str">
        <f t="shared" si="8"/>
        <v>Electric DHW</v>
      </c>
      <c r="K33" s="433" t="str">
        <f t="shared" si="9"/>
        <v>Electric Dryer</v>
      </c>
      <c r="L33" s="434">
        <f>VLOOKUP(J33,SFAssumptions!$A$14:$B$16,2,FALSE)</f>
        <v>1</v>
      </c>
      <c r="M33" s="435">
        <f>VLOOKUP(K33,SFAssumptions!$A$18:$B$20,2,FALSE)</f>
        <v>1</v>
      </c>
      <c r="N33" s="436">
        <f ca="1">HLOOKUP($G33,'MFBaselines and Measures'!$C$3:$V$33,7,FALSE)</f>
        <v>4047.8861059902265</v>
      </c>
      <c r="O33" s="437">
        <f ca="1">HLOOKUP($G33,'MFBaselines and Measures'!$C$3:$V$33,8,FALSE)</f>
        <v>776.31603614450796</v>
      </c>
      <c r="P33" s="438">
        <f ca="1">HLOOKUP($G33,'MFBaselines and Measures'!$C$3:$V$33,25,FALSE)</f>
        <v>53.065837949637434</v>
      </c>
      <c r="Q33" s="438"/>
      <c r="R33" s="438">
        <f ca="1">HLOOKUP($G33,'MFBaselines and Measures'!$C$3:$V$33,27,FALSE)</f>
        <v>98.059847487163822</v>
      </c>
      <c r="S33" s="439">
        <f>HLOOKUP($G33,'MFBaselines and Measures'!$C$3:$V$33,29,FALSE)</f>
        <v>0</v>
      </c>
      <c r="T33" s="439"/>
      <c r="U33" s="439">
        <f ca="1">HLOOKUP($G33,'MFBaselines and Measures'!$C$3:$V$33,31,FALSE)</f>
        <v>4.4623767929825346</v>
      </c>
      <c r="V33" s="440">
        <f ca="1">HLOOKUP($G33,'MFBaselines and Measures'!$C$3:$V$33,9,FALSE)</f>
        <v>42.82176814392561</v>
      </c>
      <c r="W33" s="441"/>
      <c r="X33" s="436">
        <f ca="1">HLOOKUP($H33,'MFBaselines and Measures'!$C$2:$V$33,8,FALSE)</f>
        <v>3186.6458062683578</v>
      </c>
      <c r="Y33" s="437">
        <f ca="1">HLOOKUP($H33,'MFBaselines and Measures'!$C$2:$V$33,9,FALSE)</f>
        <v>951.49912384722427</v>
      </c>
      <c r="Z33" s="438">
        <f ca="1">HLOOKUP($H33,'MFBaselines and Measures'!$C$2:$V$33,26,FALSE)</f>
        <v>48.694377064929483</v>
      </c>
      <c r="AA33" s="438"/>
      <c r="AB33" s="438">
        <f ca="1">HLOOKUP($H33,'MFBaselines and Measures'!$C$2:$V$33,28,FALSE)</f>
        <v>70.837057308188136</v>
      </c>
      <c r="AC33" s="439">
        <f>HLOOKUP($H33,'MFBaselines and Measures'!$C$2:$V$33,30,FALSE)</f>
        <v>0</v>
      </c>
      <c r="AD33" s="439"/>
      <c r="AE33" s="439">
        <f ca="1">HLOOKUP($H33,'MFBaselines and Measures'!$C$2:$V$33,32,FALSE)</f>
        <v>3.2235583545712814</v>
      </c>
      <c r="AF33" s="440">
        <f ca="1">HLOOKUP($H33,'MFBaselines and Measures'!$C$2:$V$33,10,FALSE)</f>
        <v>33.710881259949694</v>
      </c>
      <c r="AG33" s="441"/>
      <c r="AH33" s="436">
        <f t="shared" ca="1" si="15"/>
        <v>861.24029972186872</v>
      </c>
      <c r="AI33" s="437">
        <f t="shared" ca="1" si="16"/>
        <v>175.18308770271631</v>
      </c>
      <c r="AJ33" s="438">
        <f t="shared" ca="1" si="10"/>
        <v>4.3714608847079504</v>
      </c>
      <c r="AK33" s="438"/>
      <c r="AL33" s="438">
        <f t="shared" ca="1" si="11"/>
        <v>27.222790178975686</v>
      </c>
      <c r="AM33" s="439">
        <f t="shared" si="11"/>
        <v>0</v>
      </c>
      <c r="AN33" s="439"/>
      <c r="AO33" s="439">
        <f t="shared" ca="1" si="17"/>
        <v>1.2388184384112533</v>
      </c>
      <c r="AP33" s="442">
        <f t="shared" ca="1" si="17"/>
        <v>9.1108868839759154</v>
      </c>
      <c r="AQ33" s="443"/>
      <c r="AR33" s="435" t="str">
        <f t="shared" si="18"/>
        <v>CEE Tier 1 Clothes Washer - Electric DHW, Electric Dryer - 31% ENERGY STAR Baseline</v>
      </c>
      <c r="AS33" s="437">
        <f t="shared" ca="1" si="19"/>
        <v>175.18308770271631</v>
      </c>
      <c r="AT33" s="438">
        <f t="shared" ca="1" si="20"/>
        <v>31.594251063683636</v>
      </c>
      <c r="AU33" s="439">
        <f t="shared" ca="1" si="21"/>
        <v>0</v>
      </c>
      <c r="AV33" s="439">
        <f t="shared" ca="1" si="22"/>
        <v>861.24029972186872</v>
      </c>
      <c r="AW33" s="439"/>
      <c r="AX33" s="438">
        <f t="shared" ca="1" si="12"/>
        <v>34.767184725041844</v>
      </c>
      <c r="AY33" s="438">
        <f t="shared" ca="1" si="23"/>
        <v>9.1108868839759154</v>
      </c>
      <c r="AZ33" s="443"/>
      <c r="BA33" s="433" t="str">
        <f t="shared" si="24"/>
        <v>CEE Tier 1 Clothes Washer - Electric DHW, Electric Dryer - 31% ENERGY STAR Baseline</v>
      </c>
      <c r="BB33" s="433" t="s">
        <v>25</v>
      </c>
      <c r="BC33" s="438">
        <f t="shared" ca="1" si="25"/>
        <v>31.594251063683636</v>
      </c>
      <c r="BD33" s="438">
        <f>SFAssumptions!$C$7</f>
        <v>14</v>
      </c>
      <c r="BE33" s="444">
        <f t="shared" ca="1" si="26"/>
        <v>175.18308770271631</v>
      </c>
      <c r="BF33" s="433"/>
      <c r="BG33" s="432" t="s">
        <v>157</v>
      </c>
      <c r="BH33" s="445">
        <f t="shared" ca="1" si="27"/>
        <v>9.1108868839759154</v>
      </c>
      <c r="BI33" s="433"/>
      <c r="BJ33" s="433"/>
      <c r="BK33" s="433"/>
      <c r="BL33" s="433"/>
      <c r="BM33" s="433"/>
      <c r="BN33" s="433"/>
      <c r="BO33" s="446">
        <f t="shared" ca="1" si="28"/>
        <v>0</v>
      </c>
      <c r="BP33" s="433" t="s">
        <v>158</v>
      </c>
    </row>
    <row r="34" spans="1:68" s="414" customFormat="1">
      <c r="A34" s="433">
        <f t="shared" si="29"/>
        <v>17</v>
      </c>
      <c r="B34" s="433">
        <f t="shared" si="3"/>
        <v>1</v>
      </c>
      <c r="C34" s="433">
        <f t="shared" si="4"/>
        <v>17</v>
      </c>
      <c r="D34" s="433">
        <f t="shared" si="5"/>
        <v>4</v>
      </c>
      <c r="E34" s="433">
        <f t="shared" si="6"/>
        <v>2</v>
      </c>
      <c r="F34" s="433"/>
      <c r="G34" s="433" t="str">
        <f t="shared" si="13"/>
        <v>Current Practice Baseline Using 31% ENERGY STAR Penetration</v>
      </c>
      <c r="H34" s="433" t="str">
        <f t="shared" si="14"/>
        <v>CEE Tier 1</v>
      </c>
      <c r="I34" s="433" t="str">
        <f t="shared" si="7"/>
        <v>Electric DHW, Gas Dryer</v>
      </c>
      <c r="J34" s="433" t="str">
        <f t="shared" si="8"/>
        <v>Electric DHW</v>
      </c>
      <c r="K34" s="433" t="str">
        <f t="shared" si="9"/>
        <v>Gas Dryer</v>
      </c>
      <c r="L34" s="434">
        <f>VLOOKUP(J34,SFAssumptions!$A$14:$B$16,2,FALSE)</f>
        <v>1</v>
      </c>
      <c r="M34" s="435">
        <f>VLOOKUP(K34,SFAssumptions!$A$18:$B$20,2,FALSE)</f>
        <v>0</v>
      </c>
      <c r="N34" s="436">
        <f ca="1">HLOOKUP($G34,'MFBaselines and Measures'!$C$3:$V$33,7,FALSE)</f>
        <v>4047.8861059902265</v>
      </c>
      <c r="O34" s="437">
        <f ca="1">HLOOKUP($G34,'MFBaselines and Measures'!$C$3:$V$33,8,FALSE)</f>
        <v>776.31603614450796</v>
      </c>
      <c r="P34" s="438">
        <f ca="1">HLOOKUP($G34,'MFBaselines and Measures'!$C$3:$V$33,25,FALSE)</f>
        <v>53.065837949637434</v>
      </c>
      <c r="Q34" s="438"/>
      <c r="R34" s="438">
        <f ca="1">HLOOKUP($G34,'MFBaselines and Measures'!$C$3:$V$33,27,FALSE)</f>
        <v>98.059847487163822</v>
      </c>
      <c r="S34" s="439">
        <f>HLOOKUP($G34,'MFBaselines and Measures'!$C$3:$V$33,29,FALSE)</f>
        <v>0</v>
      </c>
      <c r="T34" s="439"/>
      <c r="U34" s="439">
        <f ca="1">HLOOKUP($G34,'MFBaselines and Measures'!$C$3:$V$33,31,FALSE)</f>
        <v>4.4623767929825346</v>
      </c>
      <c r="V34" s="440">
        <f ca="1">HLOOKUP($G34,'MFBaselines and Measures'!$C$3:$V$33,9,FALSE)</f>
        <v>42.82176814392561</v>
      </c>
      <c r="W34" s="441"/>
      <c r="X34" s="436">
        <f ca="1">HLOOKUP($H34,'MFBaselines and Measures'!$C$2:$V$33,8,FALSE)</f>
        <v>3186.6458062683578</v>
      </c>
      <c r="Y34" s="437">
        <f ca="1">HLOOKUP($H34,'MFBaselines and Measures'!$C$2:$V$33,9,FALSE)</f>
        <v>951.49912384722427</v>
      </c>
      <c r="Z34" s="438">
        <f ca="1">HLOOKUP($H34,'MFBaselines and Measures'!$C$2:$V$33,26,FALSE)</f>
        <v>48.694377064929483</v>
      </c>
      <c r="AA34" s="438"/>
      <c r="AB34" s="438">
        <f ca="1">HLOOKUP($H34,'MFBaselines and Measures'!$C$2:$V$33,28,FALSE)</f>
        <v>70.837057308188136</v>
      </c>
      <c r="AC34" s="439">
        <f>HLOOKUP($H34,'MFBaselines and Measures'!$C$2:$V$33,30,FALSE)</f>
        <v>0</v>
      </c>
      <c r="AD34" s="439"/>
      <c r="AE34" s="439">
        <f ca="1">HLOOKUP($H34,'MFBaselines and Measures'!$C$2:$V$33,32,FALSE)</f>
        <v>3.2235583545712814</v>
      </c>
      <c r="AF34" s="440">
        <f ca="1">HLOOKUP($H34,'MFBaselines and Measures'!$C$2:$V$33,10,FALSE)</f>
        <v>33.710881259949694</v>
      </c>
      <c r="AG34" s="441"/>
      <c r="AH34" s="436">
        <f t="shared" ca="1" si="15"/>
        <v>861.24029972186872</v>
      </c>
      <c r="AI34" s="437">
        <f t="shared" ca="1" si="16"/>
        <v>175.18308770271631</v>
      </c>
      <c r="AJ34" s="438">
        <f t="shared" ca="1" si="10"/>
        <v>4.3714608847079504</v>
      </c>
      <c r="AK34" s="438"/>
      <c r="AL34" s="438">
        <f t="shared" ref="AL34:AM49" ca="1" si="30">R34-AB34</f>
        <v>27.222790178975686</v>
      </c>
      <c r="AM34" s="439">
        <f t="shared" si="30"/>
        <v>0</v>
      </c>
      <c r="AN34" s="439"/>
      <c r="AO34" s="439">
        <f t="shared" ca="1" si="17"/>
        <v>1.2388184384112533</v>
      </c>
      <c r="AP34" s="442">
        <f t="shared" ca="1" si="17"/>
        <v>9.1108868839759154</v>
      </c>
      <c r="AQ34" s="443"/>
      <c r="AR34" s="435" t="str">
        <f t="shared" si="18"/>
        <v>CEE Tier 1 Clothes Washer - Electric DHW, Gas Dryer - 31% ENERGY STAR Baseline</v>
      </c>
      <c r="AS34" s="437">
        <f t="shared" ca="1" si="19"/>
        <v>175.18308770271631</v>
      </c>
      <c r="AT34" s="438">
        <f t="shared" ca="1" si="20"/>
        <v>31.594251063683636</v>
      </c>
      <c r="AU34" s="439">
        <f t="shared" ca="1" si="21"/>
        <v>0</v>
      </c>
      <c r="AV34" s="439">
        <f t="shared" ca="1" si="22"/>
        <v>861.24029972186872</v>
      </c>
      <c r="AW34" s="439"/>
      <c r="AX34" s="438">
        <f t="shared" ca="1" si="12"/>
        <v>34.767184725041844</v>
      </c>
      <c r="AY34" s="438">
        <f t="shared" ca="1" si="23"/>
        <v>9.1108868839759154</v>
      </c>
      <c r="AZ34" s="443"/>
      <c r="BA34" s="433" t="str">
        <f t="shared" si="24"/>
        <v>CEE Tier 1 Clothes Washer - Electric DHW, Gas Dryer - 31% ENERGY STAR Baseline</v>
      </c>
      <c r="BB34" s="433" t="s">
        <v>25</v>
      </c>
      <c r="BC34" s="438">
        <f t="shared" ca="1" si="25"/>
        <v>31.594251063683636</v>
      </c>
      <c r="BD34" s="438">
        <f>SFAssumptions!$C$7</f>
        <v>14</v>
      </c>
      <c r="BE34" s="444">
        <f t="shared" ca="1" si="26"/>
        <v>175.18308770271631</v>
      </c>
      <c r="BF34" s="433"/>
      <c r="BG34" s="432" t="s">
        <v>157</v>
      </c>
      <c r="BH34" s="445">
        <f t="shared" ca="1" si="27"/>
        <v>9.1108868839759154</v>
      </c>
      <c r="BI34" s="433"/>
      <c r="BJ34" s="433"/>
      <c r="BK34" s="433"/>
      <c r="BL34" s="433"/>
      <c r="BM34" s="433"/>
      <c r="BN34" s="433"/>
      <c r="BO34" s="446">
        <f t="shared" ca="1" si="28"/>
        <v>0</v>
      </c>
      <c r="BP34" s="433" t="s">
        <v>158</v>
      </c>
    </row>
    <row r="35" spans="1:68" s="414" customFormat="1">
      <c r="A35" s="433">
        <f t="shared" si="29"/>
        <v>18</v>
      </c>
      <c r="B35" s="433">
        <f t="shared" si="3"/>
        <v>1</v>
      </c>
      <c r="C35" s="433">
        <f t="shared" si="4"/>
        <v>18</v>
      </c>
      <c r="D35" s="433">
        <f t="shared" si="5"/>
        <v>4</v>
      </c>
      <c r="E35" s="433">
        <f t="shared" si="6"/>
        <v>3</v>
      </c>
      <c r="F35" s="433"/>
      <c r="G35" s="433" t="str">
        <f t="shared" si="13"/>
        <v>Current Practice Baseline Using 31% ENERGY STAR Penetration</v>
      </c>
      <c r="H35" s="433" t="str">
        <f t="shared" si="14"/>
        <v>CEE Tier 1</v>
      </c>
      <c r="I35" s="433" t="str">
        <f t="shared" si="7"/>
        <v>Gas DHW, Electric Dryer</v>
      </c>
      <c r="J35" s="433" t="str">
        <f t="shared" si="8"/>
        <v>Gas DHW</v>
      </c>
      <c r="K35" s="433" t="str">
        <f t="shared" si="9"/>
        <v>Electric Dryer</v>
      </c>
      <c r="L35" s="434">
        <f>VLOOKUP(J35,SFAssumptions!$A$14:$B$16,2,FALSE)</f>
        <v>0</v>
      </c>
      <c r="M35" s="435">
        <f>VLOOKUP(K35,SFAssumptions!$A$18:$B$20,2,FALSE)</f>
        <v>1</v>
      </c>
      <c r="N35" s="436">
        <f ca="1">HLOOKUP($G35,'MFBaselines and Measures'!$C$3:$V$33,7,FALSE)</f>
        <v>4047.8861059902265</v>
      </c>
      <c r="O35" s="437">
        <f ca="1">HLOOKUP($G35,'MFBaselines and Measures'!$C$3:$V$33,8,FALSE)</f>
        <v>776.31603614450796</v>
      </c>
      <c r="P35" s="438">
        <f ca="1">HLOOKUP($G35,'MFBaselines and Measures'!$C$3:$V$33,25,FALSE)</f>
        <v>53.065837949637434</v>
      </c>
      <c r="Q35" s="438"/>
      <c r="R35" s="438">
        <f ca="1">HLOOKUP($G35,'MFBaselines and Measures'!$C$3:$V$33,27,FALSE)</f>
        <v>98.059847487163822</v>
      </c>
      <c r="S35" s="439">
        <f>HLOOKUP($G35,'MFBaselines and Measures'!$C$3:$V$33,29,FALSE)</f>
        <v>0</v>
      </c>
      <c r="T35" s="439"/>
      <c r="U35" s="439">
        <f ca="1">HLOOKUP($G35,'MFBaselines and Measures'!$C$3:$V$33,31,FALSE)</f>
        <v>4.4623767929825346</v>
      </c>
      <c r="V35" s="440">
        <f ca="1">HLOOKUP($G35,'MFBaselines and Measures'!$C$3:$V$33,9,FALSE)</f>
        <v>42.82176814392561</v>
      </c>
      <c r="W35" s="441"/>
      <c r="X35" s="436">
        <f ca="1">HLOOKUP($H35,'MFBaselines and Measures'!$C$2:$V$33,8,FALSE)</f>
        <v>3186.6458062683578</v>
      </c>
      <c r="Y35" s="437">
        <f ca="1">HLOOKUP($H35,'MFBaselines and Measures'!$C$2:$V$33,9,FALSE)</f>
        <v>951.49912384722427</v>
      </c>
      <c r="Z35" s="438">
        <f ca="1">HLOOKUP($H35,'MFBaselines and Measures'!$C$2:$V$33,26,FALSE)</f>
        <v>48.694377064929483</v>
      </c>
      <c r="AA35" s="438"/>
      <c r="AB35" s="438">
        <f ca="1">HLOOKUP($H35,'MFBaselines and Measures'!$C$2:$V$33,28,FALSE)</f>
        <v>70.837057308188136</v>
      </c>
      <c r="AC35" s="439">
        <f>HLOOKUP($H35,'MFBaselines and Measures'!$C$2:$V$33,30,FALSE)</f>
        <v>0</v>
      </c>
      <c r="AD35" s="439"/>
      <c r="AE35" s="439">
        <f ca="1">HLOOKUP($H35,'MFBaselines and Measures'!$C$2:$V$33,32,FALSE)</f>
        <v>3.2235583545712814</v>
      </c>
      <c r="AF35" s="440">
        <f ca="1">HLOOKUP($H35,'MFBaselines and Measures'!$C$2:$V$33,10,FALSE)</f>
        <v>33.710881259949694</v>
      </c>
      <c r="AG35" s="441"/>
      <c r="AH35" s="436">
        <f t="shared" ca="1" si="15"/>
        <v>861.24029972186872</v>
      </c>
      <c r="AI35" s="437">
        <f t="shared" ca="1" si="16"/>
        <v>175.18308770271631</v>
      </c>
      <c r="AJ35" s="438">
        <f t="shared" ca="1" si="10"/>
        <v>4.3714608847079504</v>
      </c>
      <c r="AK35" s="438"/>
      <c r="AL35" s="438">
        <f t="shared" ca="1" si="30"/>
        <v>27.222790178975686</v>
      </c>
      <c r="AM35" s="439">
        <f t="shared" si="30"/>
        <v>0</v>
      </c>
      <c r="AN35" s="439"/>
      <c r="AO35" s="439">
        <f t="shared" ref="AO35:AP50" ca="1" si="31">U35-AE35</f>
        <v>1.2388184384112533</v>
      </c>
      <c r="AP35" s="442">
        <f t="shared" ca="1" si="31"/>
        <v>9.1108868839759154</v>
      </c>
      <c r="AQ35" s="443"/>
      <c r="AR35" s="435" t="str">
        <f t="shared" si="18"/>
        <v>CEE Tier 1 Clothes Washer - Gas DHW, Electric Dryer - 31% ENERGY STAR Baseline</v>
      </c>
      <c r="AS35" s="437">
        <f t="shared" ca="1" si="19"/>
        <v>175.18308770271631</v>
      </c>
      <c r="AT35" s="438">
        <f t="shared" ca="1" si="20"/>
        <v>4.3714608847079504</v>
      </c>
      <c r="AU35" s="439">
        <f t="shared" ca="1" si="21"/>
        <v>1.2388184384112533</v>
      </c>
      <c r="AV35" s="439">
        <f t="shared" ca="1" si="22"/>
        <v>861.24029972186872</v>
      </c>
      <c r="AW35" s="439"/>
      <c r="AX35" s="438">
        <f t="shared" ca="1" si="12"/>
        <v>7.5443945460661599</v>
      </c>
      <c r="AY35" s="438">
        <f t="shared" ca="1" si="23"/>
        <v>9.1108868839759154</v>
      </c>
      <c r="AZ35" s="443"/>
      <c r="BA35" s="433" t="str">
        <f t="shared" si="24"/>
        <v>CEE Tier 1 Clothes Washer - Gas DHW, Electric Dryer - 31% ENERGY STAR Baseline</v>
      </c>
      <c r="BB35" s="433" t="s">
        <v>25</v>
      </c>
      <c r="BC35" s="438">
        <f t="shared" ca="1" si="25"/>
        <v>4.3714608847079504</v>
      </c>
      <c r="BD35" s="438">
        <f>SFAssumptions!$C$7</f>
        <v>14</v>
      </c>
      <c r="BE35" s="444">
        <f t="shared" ca="1" si="26"/>
        <v>175.18308770271631</v>
      </c>
      <c r="BF35" s="433"/>
      <c r="BG35" s="432" t="s">
        <v>157</v>
      </c>
      <c r="BH35" s="445">
        <f t="shared" ca="1" si="27"/>
        <v>9.1108868839759154</v>
      </c>
      <c r="BI35" s="433"/>
      <c r="BJ35" s="433"/>
      <c r="BK35" s="433"/>
      <c r="BL35" s="433"/>
      <c r="BM35" s="433"/>
      <c r="BN35" s="433"/>
      <c r="BO35" s="446">
        <f t="shared" ca="1" si="28"/>
        <v>1.2388184384112533</v>
      </c>
      <c r="BP35" s="433" t="s">
        <v>158</v>
      </c>
    </row>
    <row r="36" spans="1:68" s="414" customFormat="1">
      <c r="A36" s="433">
        <f t="shared" si="29"/>
        <v>19</v>
      </c>
      <c r="B36" s="433">
        <f t="shared" si="3"/>
        <v>1</v>
      </c>
      <c r="C36" s="433">
        <f t="shared" si="4"/>
        <v>19</v>
      </c>
      <c r="D36" s="433">
        <f t="shared" si="5"/>
        <v>4</v>
      </c>
      <c r="E36" s="433">
        <f t="shared" si="6"/>
        <v>4</v>
      </c>
      <c r="F36" s="433"/>
      <c r="G36" s="433" t="str">
        <f t="shared" si="13"/>
        <v>Current Practice Baseline Using 31% ENERGY STAR Penetration</v>
      </c>
      <c r="H36" s="433" t="str">
        <f t="shared" si="14"/>
        <v>CEE Tier 1</v>
      </c>
      <c r="I36" s="433" t="str">
        <f t="shared" si="7"/>
        <v>Gas DHW, Gas Dryer</v>
      </c>
      <c r="J36" s="433" t="str">
        <f t="shared" si="8"/>
        <v>Gas DHW</v>
      </c>
      <c r="K36" s="433" t="str">
        <f t="shared" si="9"/>
        <v>Gas Dryer</v>
      </c>
      <c r="L36" s="434">
        <f>VLOOKUP(J36,SFAssumptions!$A$14:$B$16,2,FALSE)</f>
        <v>0</v>
      </c>
      <c r="M36" s="435">
        <f>VLOOKUP(K36,SFAssumptions!$A$18:$B$20,2,FALSE)</f>
        <v>0</v>
      </c>
      <c r="N36" s="436">
        <f ca="1">HLOOKUP($G36,'MFBaselines and Measures'!$C$3:$V$33,7,FALSE)</f>
        <v>4047.8861059902265</v>
      </c>
      <c r="O36" s="437">
        <f ca="1">HLOOKUP($G36,'MFBaselines and Measures'!$C$3:$V$33,8,FALSE)</f>
        <v>776.31603614450796</v>
      </c>
      <c r="P36" s="438">
        <f ca="1">HLOOKUP($G36,'MFBaselines and Measures'!$C$3:$V$33,25,FALSE)</f>
        <v>53.065837949637434</v>
      </c>
      <c r="Q36" s="438"/>
      <c r="R36" s="438">
        <f ca="1">HLOOKUP($G36,'MFBaselines and Measures'!$C$3:$V$33,27,FALSE)</f>
        <v>98.059847487163822</v>
      </c>
      <c r="S36" s="439">
        <f>HLOOKUP($G36,'MFBaselines and Measures'!$C$3:$V$33,29,FALSE)</f>
        <v>0</v>
      </c>
      <c r="T36" s="439"/>
      <c r="U36" s="439">
        <f ca="1">HLOOKUP($G36,'MFBaselines and Measures'!$C$3:$V$33,31,FALSE)</f>
        <v>4.4623767929825346</v>
      </c>
      <c r="V36" s="440">
        <f ca="1">HLOOKUP($G36,'MFBaselines and Measures'!$C$3:$V$33,9,FALSE)</f>
        <v>42.82176814392561</v>
      </c>
      <c r="W36" s="441"/>
      <c r="X36" s="436">
        <f ca="1">HLOOKUP($H36,'MFBaselines and Measures'!$C$2:$V$33,8,FALSE)</f>
        <v>3186.6458062683578</v>
      </c>
      <c r="Y36" s="437">
        <f ca="1">HLOOKUP($H36,'MFBaselines and Measures'!$C$2:$V$33,9,FALSE)</f>
        <v>951.49912384722427</v>
      </c>
      <c r="Z36" s="438">
        <f ca="1">HLOOKUP($H36,'MFBaselines and Measures'!$C$2:$V$33,26,FALSE)</f>
        <v>48.694377064929483</v>
      </c>
      <c r="AA36" s="438"/>
      <c r="AB36" s="438">
        <f ca="1">HLOOKUP($H36,'MFBaselines and Measures'!$C$2:$V$33,28,FALSE)</f>
        <v>70.837057308188136</v>
      </c>
      <c r="AC36" s="439">
        <f>HLOOKUP($H36,'MFBaselines and Measures'!$C$2:$V$33,30,FALSE)</f>
        <v>0</v>
      </c>
      <c r="AD36" s="439"/>
      <c r="AE36" s="439">
        <f ca="1">HLOOKUP($H36,'MFBaselines and Measures'!$C$2:$V$33,32,FALSE)</f>
        <v>3.2235583545712814</v>
      </c>
      <c r="AF36" s="440">
        <f ca="1">HLOOKUP($H36,'MFBaselines and Measures'!$C$2:$V$33,10,FALSE)</f>
        <v>33.710881259949694</v>
      </c>
      <c r="AG36" s="441"/>
      <c r="AH36" s="436">
        <f t="shared" ca="1" si="15"/>
        <v>861.24029972186872</v>
      </c>
      <c r="AI36" s="437">
        <f t="shared" ca="1" si="16"/>
        <v>175.18308770271631</v>
      </c>
      <c r="AJ36" s="438">
        <f t="shared" ca="1" si="10"/>
        <v>4.3714608847079504</v>
      </c>
      <c r="AK36" s="438"/>
      <c r="AL36" s="438">
        <f t="shared" ca="1" si="30"/>
        <v>27.222790178975686</v>
      </c>
      <c r="AM36" s="439">
        <f t="shared" si="30"/>
        <v>0</v>
      </c>
      <c r="AN36" s="439"/>
      <c r="AO36" s="439">
        <f t="shared" ca="1" si="31"/>
        <v>1.2388184384112533</v>
      </c>
      <c r="AP36" s="442">
        <f t="shared" ca="1" si="31"/>
        <v>9.1108868839759154</v>
      </c>
      <c r="AQ36" s="443"/>
      <c r="AR36" s="435" t="str">
        <f t="shared" si="18"/>
        <v>CEE Tier 1 Clothes Washer - Gas DHW, Gas Dryer - 31% ENERGY STAR Baseline</v>
      </c>
      <c r="AS36" s="437">
        <f t="shared" ca="1" si="19"/>
        <v>175.18308770271631</v>
      </c>
      <c r="AT36" s="438">
        <f t="shared" ca="1" si="20"/>
        <v>4.3714608847079504</v>
      </c>
      <c r="AU36" s="439">
        <f t="shared" ca="1" si="21"/>
        <v>1.2388184384112533</v>
      </c>
      <c r="AV36" s="439">
        <f t="shared" ca="1" si="22"/>
        <v>861.24029972186872</v>
      </c>
      <c r="AW36" s="439"/>
      <c r="AX36" s="438">
        <f t="shared" ca="1" si="12"/>
        <v>7.5443945460661599</v>
      </c>
      <c r="AY36" s="438">
        <f t="shared" ca="1" si="23"/>
        <v>9.1108868839759154</v>
      </c>
      <c r="AZ36" s="443"/>
      <c r="BA36" s="433" t="str">
        <f t="shared" si="24"/>
        <v>CEE Tier 1 Clothes Washer - Gas DHW, Gas Dryer - 31% ENERGY STAR Baseline</v>
      </c>
      <c r="BB36" s="433" t="s">
        <v>25</v>
      </c>
      <c r="BC36" s="438">
        <f t="shared" ca="1" si="25"/>
        <v>4.3714608847079504</v>
      </c>
      <c r="BD36" s="438">
        <f>SFAssumptions!$C$7</f>
        <v>14</v>
      </c>
      <c r="BE36" s="444">
        <f t="shared" ca="1" si="26"/>
        <v>175.18308770271631</v>
      </c>
      <c r="BF36" s="433"/>
      <c r="BG36" s="432" t="s">
        <v>157</v>
      </c>
      <c r="BH36" s="445">
        <f t="shared" ca="1" si="27"/>
        <v>9.1108868839759154</v>
      </c>
      <c r="BI36" s="433"/>
      <c r="BJ36" s="433"/>
      <c r="BK36" s="433"/>
      <c r="BL36" s="433"/>
      <c r="BM36" s="433"/>
      <c r="BN36" s="433"/>
      <c r="BO36" s="446">
        <f t="shared" ca="1" si="28"/>
        <v>1.2388184384112533</v>
      </c>
      <c r="BP36" s="433" t="s">
        <v>158</v>
      </c>
    </row>
    <row r="37" spans="1:68" s="414" customFormat="1">
      <c r="A37" s="433">
        <f t="shared" si="29"/>
        <v>20</v>
      </c>
      <c r="B37" s="433">
        <f t="shared" si="3"/>
        <v>1</v>
      </c>
      <c r="C37" s="433">
        <f t="shared" si="4"/>
        <v>20</v>
      </c>
      <c r="D37" s="433">
        <f t="shared" si="5"/>
        <v>4</v>
      </c>
      <c r="E37" s="433">
        <f t="shared" si="6"/>
        <v>5</v>
      </c>
      <c r="F37" s="433"/>
      <c r="G37" s="433" t="str">
        <f t="shared" si="13"/>
        <v>Current Practice Baseline Using 31% ENERGY STAR Penetration</v>
      </c>
      <c r="H37" s="433" t="str">
        <f t="shared" si="14"/>
        <v>CEE Tier 1</v>
      </c>
      <c r="I37" s="433" t="str">
        <f t="shared" si="7"/>
        <v>Any DHW, Any Dryer</v>
      </c>
      <c r="J37" s="433" t="str">
        <f t="shared" si="8"/>
        <v>Any DHW</v>
      </c>
      <c r="K37" s="433" t="str">
        <f t="shared" si="9"/>
        <v>Any Dryer</v>
      </c>
      <c r="L37" s="434">
        <f>VLOOKUP(J37,SFAssumptions!$A$14:$B$16,2,FALSE)</f>
        <v>0.55200000000000005</v>
      </c>
      <c r="M37" s="435">
        <f>VLOOKUP(K37,SFAssumptions!$A$18:$B$20,2,FALSE)</f>
        <v>0.95</v>
      </c>
      <c r="N37" s="436">
        <f ca="1">HLOOKUP($G37,'MFBaselines and Measures'!$C$3:$V$33,7,FALSE)</f>
        <v>4047.8861059902265</v>
      </c>
      <c r="O37" s="437">
        <f ca="1">HLOOKUP($G37,'MFBaselines and Measures'!$C$3:$V$33,8,FALSE)</f>
        <v>776.31603614450796</v>
      </c>
      <c r="P37" s="438">
        <f ca="1">HLOOKUP($G37,'MFBaselines and Measures'!$C$3:$V$33,25,FALSE)</f>
        <v>53.065837949637434</v>
      </c>
      <c r="Q37" s="438"/>
      <c r="R37" s="438">
        <f ca="1">HLOOKUP($G37,'MFBaselines and Measures'!$C$3:$V$33,27,FALSE)</f>
        <v>98.059847487163822</v>
      </c>
      <c r="S37" s="439">
        <f>HLOOKUP($G37,'MFBaselines and Measures'!$C$3:$V$33,29,FALSE)</f>
        <v>0</v>
      </c>
      <c r="T37" s="439"/>
      <c r="U37" s="439">
        <f ca="1">HLOOKUP($G37,'MFBaselines and Measures'!$C$3:$V$33,31,FALSE)</f>
        <v>4.4623767929825346</v>
      </c>
      <c r="V37" s="440">
        <f ca="1">HLOOKUP($G37,'MFBaselines and Measures'!$C$3:$V$33,9,FALSE)</f>
        <v>42.82176814392561</v>
      </c>
      <c r="W37" s="441"/>
      <c r="X37" s="436">
        <f ca="1">HLOOKUP($H37,'MFBaselines and Measures'!$C$2:$V$33,8,FALSE)</f>
        <v>3186.6458062683578</v>
      </c>
      <c r="Y37" s="437">
        <f ca="1">HLOOKUP($H37,'MFBaselines and Measures'!$C$2:$V$33,9,FALSE)</f>
        <v>951.49912384722427</v>
      </c>
      <c r="Z37" s="438">
        <f ca="1">HLOOKUP($H37,'MFBaselines and Measures'!$C$2:$V$33,26,FALSE)</f>
        <v>48.694377064929483</v>
      </c>
      <c r="AA37" s="438"/>
      <c r="AB37" s="438">
        <f ca="1">HLOOKUP($H37,'MFBaselines and Measures'!$C$2:$V$33,28,FALSE)</f>
        <v>70.837057308188136</v>
      </c>
      <c r="AC37" s="439">
        <f>HLOOKUP($H37,'MFBaselines and Measures'!$C$2:$V$33,30,FALSE)</f>
        <v>0</v>
      </c>
      <c r="AD37" s="439"/>
      <c r="AE37" s="439">
        <f ca="1">HLOOKUP($H37,'MFBaselines and Measures'!$C$2:$V$33,32,FALSE)</f>
        <v>3.2235583545712814</v>
      </c>
      <c r="AF37" s="440">
        <f ca="1">HLOOKUP($H37,'MFBaselines and Measures'!$C$2:$V$33,10,FALSE)</f>
        <v>33.710881259949694</v>
      </c>
      <c r="AG37" s="441"/>
      <c r="AH37" s="436">
        <f t="shared" ca="1" si="15"/>
        <v>861.24029972186872</v>
      </c>
      <c r="AI37" s="437">
        <f t="shared" ca="1" si="16"/>
        <v>175.18308770271631</v>
      </c>
      <c r="AJ37" s="438">
        <f t="shared" ca="1" si="10"/>
        <v>4.3714608847079504</v>
      </c>
      <c r="AK37" s="438"/>
      <c r="AL37" s="438">
        <f t="shared" ca="1" si="30"/>
        <v>27.222790178975686</v>
      </c>
      <c r="AM37" s="439">
        <f t="shared" si="30"/>
        <v>0</v>
      </c>
      <c r="AN37" s="439"/>
      <c r="AO37" s="439">
        <f t="shared" ca="1" si="31"/>
        <v>1.2388184384112533</v>
      </c>
      <c r="AP37" s="442">
        <f t="shared" ca="1" si="31"/>
        <v>9.1108868839759154</v>
      </c>
      <c r="AQ37" s="443"/>
      <c r="AR37" s="435" t="str">
        <f t="shared" si="18"/>
        <v>CEE Tier 1 Clothes Washer - Any DHW, Any Dryer - 31% ENERGY STAR Baseline</v>
      </c>
      <c r="AS37" s="437">
        <f t="shared" ca="1" si="19"/>
        <v>175.18308770271631</v>
      </c>
      <c r="AT37" s="438">
        <f t="shared" ca="1" si="20"/>
        <v>19.398441063502531</v>
      </c>
      <c r="AU37" s="439">
        <f t="shared" ca="1" si="21"/>
        <v>0.55499066040824141</v>
      </c>
      <c r="AV37" s="439">
        <f t="shared" ca="1" si="22"/>
        <v>861.24029972186872</v>
      </c>
      <c r="AW37" s="439"/>
      <c r="AX37" s="438">
        <f t="shared" ca="1" si="12"/>
        <v>22.571374724860743</v>
      </c>
      <c r="AY37" s="438">
        <f t="shared" ca="1" si="23"/>
        <v>9.1108868839759154</v>
      </c>
      <c r="AZ37" s="443"/>
      <c r="BA37" s="433" t="str">
        <f t="shared" si="24"/>
        <v>CEE Tier 1 Clothes Washer - Any DHW, Any Dryer - 31% ENERGY STAR Baseline</v>
      </c>
      <c r="BB37" s="433" t="s">
        <v>25</v>
      </c>
      <c r="BC37" s="438">
        <f t="shared" ca="1" si="25"/>
        <v>19.398441063502531</v>
      </c>
      <c r="BD37" s="438">
        <f>SFAssumptions!$C$7</f>
        <v>14</v>
      </c>
      <c r="BE37" s="444">
        <f t="shared" ca="1" si="26"/>
        <v>175.18308770271631</v>
      </c>
      <c r="BF37" s="433"/>
      <c r="BG37" s="432" t="s">
        <v>157</v>
      </c>
      <c r="BH37" s="445">
        <f t="shared" ca="1" si="27"/>
        <v>9.1108868839759154</v>
      </c>
      <c r="BI37" s="433"/>
      <c r="BJ37" s="433"/>
      <c r="BK37" s="433"/>
      <c r="BL37" s="433"/>
      <c r="BM37" s="433"/>
      <c r="BN37" s="433"/>
      <c r="BO37" s="446">
        <f t="shared" ca="1" si="28"/>
        <v>0.55499066040824141</v>
      </c>
      <c r="BP37" s="433" t="s">
        <v>158</v>
      </c>
    </row>
    <row r="38" spans="1:68" s="414" customFormat="1">
      <c r="A38" s="433">
        <f>A37+1</f>
        <v>21</v>
      </c>
      <c r="B38" s="433">
        <f t="shared" si="3"/>
        <v>1</v>
      </c>
      <c r="C38" s="433">
        <f t="shared" si="4"/>
        <v>21</v>
      </c>
      <c r="D38" s="433">
        <f t="shared" si="5"/>
        <v>5</v>
      </c>
      <c r="E38" s="433">
        <f t="shared" si="6"/>
        <v>1</v>
      </c>
      <c r="F38" s="433"/>
      <c r="G38" s="433" t="str">
        <f t="shared" si="13"/>
        <v>Current Practice Baseline Using 31% ENERGY STAR Penetration</v>
      </c>
      <c r="H38" s="433" t="str">
        <f t="shared" si="14"/>
        <v>CEE Tier 2</v>
      </c>
      <c r="I38" s="433" t="str">
        <f t="shared" si="7"/>
        <v>Electric DHW, Electric Dryer</v>
      </c>
      <c r="J38" s="433" t="str">
        <f t="shared" si="8"/>
        <v>Electric DHW</v>
      </c>
      <c r="K38" s="433" t="str">
        <f t="shared" si="9"/>
        <v>Electric Dryer</v>
      </c>
      <c r="L38" s="434">
        <f>VLOOKUP(J38,SFAssumptions!$A$14:$B$16,2,FALSE)</f>
        <v>1</v>
      </c>
      <c r="M38" s="435">
        <f>VLOOKUP(K38,SFAssumptions!$A$18:$B$20,2,FALSE)</f>
        <v>1</v>
      </c>
      <c r="N38" s="436">
        <f ca="1">HLOOKUP($G38,'MFBaselines and Measures'!$C$3:$V$33,7,FALSE)</f>
        <v>4047.8861059902265</v>
      </c>
      <c r="O38" s="437">
        <f ca="1">HLOOKUP($G38,'MFBaselines and Measures'!$C$3:$V$33,8,FALSE)</f>
        <v>776.31603614450796</v>
      </c>
      <c r="P38" s="438">
        <f ca="1">HLOOKUP($G38,'MFBaselines and Measures'!$C$3:$V$33,25,FALSE)</f>
        <v>53.065837949637434</v>
      </c>
      <c r="Q38" s="438"/>
      <c r="R38" s="438">
        <f ca="1">HLOOKUP($G38,'MFBaselines and Measures'!$C$3:$V$33,27,FALSE)</f>
        <v>98.059847487163822</v>
      </c>
      <c r="S38" s="439">
        <f>HLOOKUP($G38,'MFBaselines and Measures'!$C$3:$V$33,29,FALSE)</f>
        <v>0</v>
      </c>
      <c r="T38" s="439"/>
      <c r="U38" s="439">
        <f ca="1">HLOOKUP($G38,'MFBaselines and Measures'!$C$3:$V$33,31,FALSE)</f>
        <v>4.4623767929825346</v>
      </c>
      <c r="V38" s="440">
        <f ca="1">HLOOKUP($G38,'MFBaselines and Measures'!$C$3:$V$33,9,FALSE)</f>
        <v>42.82176814392561</v>
      </c>
      <c r="W38" s="441"/>
      <c r="X38" s="436">
        <f ca="1">HLOOKUP($H38,'MFBaselines and Measures'!$C$2:$V$33,8,FALSE)</f>
        <v>2899.206481928567</v>
      </c>
      <c r="Y38" s="437">
        <f ca="1">HLOOKUP($H38,'MFBaselines and Measures'!$C$2:$V$33,9,FALSE)</f>
        <v>1001.0825583529517</v>
      </c>
      <c r="Z38" s="438">
        <f ca="1">HLOOKUP($H38,'MFBaselines and Measures'!$C$2:$V$33,26,FALSE)</f>
        <v>46.331539107024525</v>
      </c>
      <c r="AA38" s="438"/>
      <c r="AB38" s="438">
        <f ca="1">HLOOKUP($H38,'MFBaselines and Measures'!$C$2:$V$33,28,FALSE)</f>
        <v>61.320230265550691</v>
      </c>
      <c r="AC38" s="439">
        <f>HLOOKUP($H38,'MFBaselines and Measures'!$C$2:$V$33,30,FALSE)</f>
        <v>0</v>
      </c>
      <c r="AD38" s="439"/>
      <c r="AE38" s="439">
        <f ca="1">HLOOKUP($H38,'MFBaselines and Measures'!$C$2:$V$33,32,FALSE)</f>
        <v>2.79047927861766</v>
      </c>
      <c r="AF38" s="440">
        <f ca="1">HLOOKUP($H38,'MFBaselines and Measures'!$C$2:$V$33,10,FALSE)</f>
        <v>30.67011880269817</v>
      </c>
      <c r="AG38" s="441"/>
      <c r="AH38" s="436">
        <f t="shared" ca="1" si="15"/>
        <v>1148.6796240616595</v>
      </c>
      <c r="AI38" s="437">
        <f t="shared" ca="1" si="16"/>
        <v>224.76652220844369</v>
      </c>
      <c r="AJ38" s="438">
        <f t="shared" ca="1" si="10"/>
        <v>6.7342988426129082</v>
      </c>
      <c r="AK38" s="438"/>
      <c r="AL38" s="438">
        <f t="shared" ca="1" si="30"/>
        <v>36.73961722161313</v>
      </c>
      <c r="AM38" s="439">
        <f t="shared" si="30"/>
        <v>0</v>
      </c>
      <c r="AN38" s="439"/>
      <c r="AO38" s="439">
        <f t="shared" ca="1" si="31"/>
        <v>1.6718975143648747</v>
      </c>
      <c r="AP38" s="442">
        <f t="shared" ca="1" si="31"/>
        <v>12.15164934122744</v>
      </c>
      <c r="AQ38" s="443"/>
      <c r="AR38" s="435" t="str">
        <f t="shared" si="18"/>
        <v>CEE Tier 2 Clothes Washer - Electric DHW, Electric Dryer - 31% ENERGY STAR Baseline</v>
      </c>
      <c r="AS38" s="437">
        <f t="shared" ca="1" si="19"/>
        <v>224.76652220844369</v>
      </c>
      <c r="AT38" s="438">
        <f t="shared" ca="1" si="20"/>
        <v>43.473916064226039</v>
      </c>
      <c r="AU38" s="439">
        <f t="shared" ca="1" si="21"/>
        <v>0</v>
      </c>
      <c r="AV38" s="439">
        <f t="shared" ca="1" si="22"/>
        <v>1148.6796240616595</v>
      </c>
      <c r="AW38" s="439"/>
      <c r="AX38" s="438">
        <f t="shared" ca="1" si="12"/>
        <v>47.70581771406588</v>
      </c>
      <c r="AY38" s="438">
        <f t="shared" ca="1" si="23"/>
        <v>12.15164934122744</v>
      </c>
      <c r="AZ38" s="443"/>
      <c r="BA38" s="433" t="str">
        <f t="shared" si="24"/>
        <v>CEE Tier 2 Clothes Washer - Electric DHW, Electric Dryer - 31% ENERGY STAR Baseline</v>
      </c>
      <c r="BB38" s="433" t="s">
        <v>25</v>
      </c>
      <c r="BC38" s="438">
        <f t="shared" ca="1" si="25"/>
        <v>43.473916064226039</v>
      </c>
      <c r="BD38" s="438">
        <f>SFAssumptions!$C$7</f>
        <v>14</v>
      </c>
      <c r="BE38" s="444">
        <f t="shared" ca="1" si="26"/>
        <v>224.76652220844369</v>
      </c>
      <c r="BF38" s="433"/>
      <c r="BG38" s="432" t="s">
        <v>157</v>
      </c>
      <c r="BH38" s="445">
        <f t="shared" ca="1" si="27"/>
        <v>12.15164934122744</v>
      </c>
      <c r="BI38" s="433"/>
      <c r="BJ38" s="433"/>
      <c r="BK38" s="433"/>
      <c r="BL38" s="433"/>
      <c r="BM38" s="433"/>
      <c r="BN38" s="433"/>
      <c r="BO38" s="446">
        <f t="shared" ca="1" si="28"/>
        <v>0</v>
      </c>
      <c r="BP38" s="433" t="s">
        <v>158</v>
      </c>
    </row>
    <row r="39" spans="1:68" s="414" customFormat="1">
      <c r="A39" s="433">
        <f t="shared" si="29"/>
        <v>22</v>
      </c>
      <c r="B39" s="433">
        <f t="shared" si="3"/>
        <v>1</v>
      </c>
      <c r="C39" s="433">
        <f t="shared" si="4"/>
        <v>22</v>
      </c>
      <c r="D39" s="433">
        <f t="shared" si="5"/>
        <v>5</v>
      </c>
      <c r="E39" s="433">
        <f t="shared" si="6"/>
        <v>2</v>
      </c>
      <c r="F39" s="433"/>
      <c r="G39" s="433" t="str">
        <f t="shared" si="13"/>
        <v>Current Practice Baseline Using 31% ENERGY STAR Penetration</v>
      </c>
      <c r="H39" s="433" t="str">
        <f t="shared" si="14"/>
        <v>CEE Tier 2</v>
      </c>
      <c r="I39" s="433" t="str">
        <f t="shared" si="7"/>
        <v>Electric DHW, Gas Dryer</v>
      </c>
      <c r="J39" s="433" t="str">
        <f t="shared" si="8"/>
        <v>Electric DHW</v>
      </c>
      <c r="K39" s="433" t="str">
        <f t="shared" si="9"/>
        <v>Gas Dryer</v>
      </c>
      <c r="L39" s="434">
        <f>VLOOKUP(J39,SFAssumptions!$A$14:$B$16,2,FALSE)</f>
        <v>1</v>
      </c>
      <c r="M39" s="435">
        <f>VLOOKUP(K39,SFAssumptions!$A$18:$B$20,2,FALSE)</f>
        <v>0</v>
      </c>
      <c r="N39" s="436">
        <f ca="1">HLOOKUP($G39,'MFBaselines and Measures'!$C$3:$V$33,7,FALSE)</f>
        <v>4047.8861059902265</v>
      </c>
      <c r="O39" s="437">
        <f ca="1">HLOOKUP($G39,'MFBaselines and Measures'!$C$3:$V$33,8,FALSE)</f>
        <v>776.31603614450796</v>
      </c>
      <c r="P39" s="438">
        <f ca="1">HLOOKUP($G39,'MFBaselines and Measures'!$C$3:$V$33,25,FALSE)</f>
        <v>53.065837949637434</v>
      </c>
      <c r="Q39" s="438"/>
      <c r="R39" s="438">
        <f ca="1">HLOOKUP($G39,'MFBaselines and Measures'!$C$3:$V$33,27,FALSE)</f>
        <v>98.059847487163822</v>
      </c>
      <c r="S39" s="439">
        <f>HLOOKUP($G39,'MFBaselines and Measures'!$C$3:$V$33,29,FALSE)</f>
        <v>0</v>
      </c>
      <c r="T39" s="439"/>
      <c r="U39" s="439">
        <f ca="1">HLOOKUP($G39,'MFBaselines and Measures'!$C$3:$V$33,31,FALSE)</f>
        <v>4.4623767929825346</v>
      </c>
      <c r="V39" s="440">
        <f ca="1">HLOOKUP($G39,'MFBaselines and Measures'!$C$3:$V$33,9,FALSE)</f>
        <v>42.82176814392561</v>
      </c>
      <c r="W39" s="441"/>
      <c r="X39" s="436">
        <f ca="1">HLOOKUP($H39,'MFBaselines and Measures'!$C$2:$V$33,8,FALSE)</f>
        <v>2899.206481928567</v>
      </c>
      <c r="Y39" s="437">
        <f ca="1">HLOOKUP($H39,'MFBaselines and Measures'!$C$2:$V$33,9,FALSE)</f>
        <v>1001.0825583529517</v>
      </c>
      <c r="Z39" s="438">
        <f ca="1">HLOOKUP($H39,'MFBaselines and Measures'!$C$2:$V$33,26,FALSE)</f>
        <v>46.331539107024525</v>
      </c>
      <c r="AA39" s="438"/>
      <c r="AB39" s="438">
        <f ca="1">HLOOKUP($H39,'MFBaselines and Measures'!$C$2:$V$33,28,FALSE)</f>
        <v>61.320230265550691</v>
      </c>
      <c r="AC39" s="439">
        <f>HLOOKUP($H39,'MFBaselines and Measures'!$C$2:$V$33,30,FALSE)</f>
        <v>0</v>
      </c>
      <c r="AD39" s="439"/>
      <c r="AE39" s="439">
        <f ca="1">HLOOKUP($H39,'MFBaselines and Measures'!$C$2:$V$33,32,FALSE)</f>
        <v>2.79047927861766</v>
      </c>
      <c r="AF39" s="440">
        <f ca="1">HLOOKUP($H39,'MFBaselines and Measures'!$C$2:$V$33,10,FALSE)</f>
        <v>30.67011880269817</v>
      </c>
      <c r="AG39" s="441"/>
      <c r="AH39" s="436">
        <f t="shared" ca="1" si="15"/>
        <v>1148.6796240616595</v>
      </c>
      <c r="AI39" s="437">
        <f t="shared" ca="1" si="16"/>
        <v>224.76652220844369</v>
      </c>
      <c r="AJ39" s="438">
        <f t="shared" ca="1" si="10"/>
        <v>6.7342988426129082</v>
      </c>
      <c r="AK39" s="438"/>
      <c r="AL39" s="438">
        <f t="shared" ca="1" si="30"/>
        <v>36.73961722161313</v>
      </c>
      <c r="AM39" s="439">
        <f t="shared" si="30"/>
        <v>0</v>
      </c>
      <c r="AN39" s="439"/>
      <c r="AO39" s="439">
        <f t="shared" ca="1" si="31"/>
        <v>1.6718975143648747</v>
      </c>
      <c r="AP39" s="442">
        <f t="shared" ca="1" si="31"/>
        <v>12.15164934122744</v>
      </c>
      <c r="AQ39" s="443"/>
      <c r="AR39" s="435" t="str">
        <f t="shared" si="18"/>
        <v>CEE Tier 2 Clothes Washer - Electric DHW, Gas Dryer - 31% ENERGY STAR Baseline</v>
      </c>
      <c r="AS39" s="437">
        <f t="shared" ca="1" si="19"/>
        <v>224.76652220844369</v>
      </c>
      <c r="AT39" s="438">
        <f t="shared" ca="1" si="20"/>
        <v>43.473916064226039</v>
      </c>
      <c r="AU39" s="439">
        <f t="shared" ca="1" si="21"/>
        <v>0</v>
      </c>
      <c r="AV39" s="439">
        <f t="shared" ca="1" si="22"/>
        <v>1148.6796240616595</v>
      </c>
      <c r="AW39" s="439"/>
      <c r="AX39" s="438">
        <f t="shared" ca="1" si="12"/>
        <v>47.70581771406588</v>
      </c>
      <c r="AY39" s="438">
        <f t="shared" ca="1" si="23"/>
        <v>12.15164934122744</v>
      </c>
      <c r="AZ39" s="443"/>
      <c r="BA39" s="433" t="str">
        <f t="shared" si="24"/>
        <v>CEE Tier 2 Clothes Washer - Electric DHW, Gas Dryer - 31% ENERGY STAR Baseline</v>
      </c>
      <c r="BB39" s="433" t="s">
        <v>25</v>
      </c>
      <c r="BC39" s="438">
        <f t="shared" ca="1" si="25"/>
        <v>43.473916064226039</v>
      </c>
      <c r="BD39" s="438">
        <f>SFAssumptions!$C$7</f>
        <v>14</v>
      </c>
      <c r="BE39" s="444">
        <f t="shared" ca="1" si="26"/>
        <v>224.76652220844369</v>
      </c>
      <c r="BF39" s="433"/>
      <c r="BG39" s="432" t="s">
        <v>157</v>
      </c>
      <c r="BH39" s="445">
        <f t="shared" ca="1" si="27"/>
        <v>12.15164934122744</v>
      </c>
      <c r="BI39" s="433"/>
      <c r="BJ39" s="433"/>
      <c r="BK39" s="433"/>
      <c r="BL39" s="433"/>
      <c r="BM39" s="433"/>
      <c r="BN39" s="433"/>
      <c r="BO39" s="446">
        <f t="shared" ca="1" si="28"/>
        <v>0</v>
      </c>
      <c r="BP39" s="433" t="s">
        <v>158</v>
      </c>
    </row>
    <row r="40" spans="1:68" s="414" customFormat="1">
      <c r="A40" s="433">
        <f t="shared" si="29"/>
        <v>23</v>
      </c>
      <c r="B40" s="433">
        <f t="shared" si="3"/>
        <v>1</v>
      </c>
      <c r="C40" s="433">
        <f t="shared" si="4"/>
        <v>23</v>
      </c>
      <c r="D40" s="433">
        <f t="shared" si="5"/>
        <v>5</v>
      </c>
      <c r="E40" s="433">
        <f t="shared" si="6"/>
        <v>3</v>
      </c>
      <c r="F40" s="433"/>
      <c r="G40" s="433" t="str">
        <f t="shared" si="13"/>
        <v>Current Practice Baseline Using 31% ENERGY STAR Penetration</v>
      </c>
      <c r="H40" s="433" t="str">
        <f t="shared" si="14"/>
        <v>CEE Tier 2</v>
      </c>
      <c r="I40" s="433" t="str">
        <f t="shared" si="7"/>
        <v>Gas DHW, Electric Dryer</v>
      </c>
      <c r="J40" s="433" t="str">
        <f t="shared" si="8"/>
        <v>Gas DHW</v>
      </c>
      <c r="K40" s="433" t="str">
        <f t="shared" si="9"/>
        <v>Electric Dryer</v>
      </c>
      <c r="L40" s="434">
        <f>VLOOKUP(J40,SFAssumptions!$A$14:$B$16,2,FALSE)</f>
        <v>0</v>
      </c>
      <c r="M40" s="435">
        <f>VLOOKUP(K40,SFAssumptions!$A$18:$B$20,2,FALSE)</f>
        <v>1</v>
      </c>
      <c r="N40" s="436">
        <f ca="1">HLOOKUP($G40,'MFBaselines and Measures'!$C$3:$V$33,7,FALSE)</f>
        <v>4047.8861059902265</v>
      </c>
      <c r="O40" s="437">
        <f ca="1">HLOOKUP($G40,'MFBaselines and Measures'!$C$3:$V$33,8,FALSE)</f>
        <v>776.31603614450796</v>
      </c>
      <c r="P40" s="438">
        <f ca="1">HLOOKUP($G40,'MFBaselines and Measures'!$C$3:$V$33,25,FALSE)</f>
        <v>53.065837949637434</v>
      </c>
      <c r="Q40" s="438"/>
      <c r="R40" s="438">
        <f ca="1">HLOOKUP($G40,'MFBaselines and Measures'!$C$3:$V$33,27,FALSE)</f>
        <v>98.059847487163822</v>
      </c>
      <c r="S40" s="439">
        <f>HLOOKUP($G40,'MFBaselines and Measures'!$C$3:$V$33,29,FALSE)</f>
        <v>0</v>
      </c>
      <c r="T40" s="439"/>
      <c r="U40" s="439">
        <f ca="1">HLOOKUP($G40,'MFBaselines and Measures'!$C$3:$V$33,31,FALSE)</f>
        <v>4.4623767929825346</v>
      </c>
      <c r="V40" s="440">
        <f ca="1">HLOOKUP($G40,'MFBaselines and Measures'!$C$3:$V$33,9,FALSE)</f>
        <v>42.82176814392561</v>
      </c>
      <c r="W40" s="441"/>
      <c r="X40" s="436">
        <f ca="1">HLOOKUP($H40,'MFBaselines and Measures'!$C$2:$V$33,8,FALSE)</f>
        <v>2899.206481928567</v>
      </c>
      <c r="Y40" s="437">
        <f ca="1">HLOOKUP($H40,'MFBaselines and Measures'!$C$2:$V$33,9,FALSE)</f>
        <v>1001.0825583529517</v>
      </c>
      <c r="Z40" s="438">
        <f ca="1">HLOOKUP($H40,'MFBaselines and Measures'!$C$2:$V$33,26,FALSE)</f>
        <v>46.331539107024525</v>
      </c>
      <c r="AA40" s="438"/>
      <c r="AB40" s="438">
        <f ca="1">HLOOKUP($H40,'MFBaselines and Measures'!$C$2:$V$33,28,FALSE)</f>
        <v>61.320230265550691</v>
      </c>
      <c r="AC40" s="439">
        <f>HLOOKUP($H40,'MFBaselines and Measures'!$C$2:$V$33,30,FALSE)</f>
        <v>0</v>
      </c>
      <c r="AD40" s="439"/>
      <c r="AE40" s="439">
        <f ca="1">HLOOKUP($H40,'MFBaselines and Measures'!$C$2:$V$33,32,FALSE)</f>
        <v>2.79047927861766</v>
      </c>
      <c r="AF40" s="440">
        <f ca="1">HLOOKUP($H40,'MFBaselines and Measures'!$C$2:$V$33,10,FALSE)</f>
        <v>30.67011880269817</v>
      </c>
      <c r="AG40" s="441"/>
      <c r="AH40" s="436">
        <f t="shared" ca="1" si="15"/>
        <v>1148.6796240616595</v>
      </c>
      <c r="AI40" s="437">
        <f t="shared" ca="1" si="16"/>
        <v>224.76652220844369</v>
      </c>
      <c r="AJ40" s="438">
        <f t="shared" ca="1" si="10"/>
        <v>6.7342988426129082</v>
      </c>
      <c r="AK40" s="438"/>
      <c r="AL40" s="438">
        <f t="shared" ca="1" si="30"/>
        <v>36.73961722161313</v>
      </c>
      <c r="AM40" s="439">
        <f t="shared" si="30"/>
        <v>0</v>
      </c>
      <c r="AN40" s="439"/>
      <c r="AO40" s="439">
        <f t="shared" ca="1" si="31"/>
        <v>1.6718975143648747</v>
      </c>
      <c r="AP40" s="442">
        <f t="shared" ca="1" si="31"/>
        <v>12.15164934122744</v>
      </c>
      <c r="AQ40" s="443"/>
      <c r="AR40" s="435" t="str">
        <f t="shared" si="18"/>
        <v>CEE Tier 2 Clothes Washer - Gas DHW, Electric Dryer - 31% ENERGY STAR Baseline</v>
      </c>
      <c r="AS40" s="437">
        <f t="shared" ca="1" si="19"/>
        <v>224.76652220844369</v>
      </c>
      <c r="AT40" s="438">
        <f t="shared" ca="1" si="20"/>
        <v>6.7342988426129082</v>
      </c>
      <c r="AU40" s="439">
        <f t="shared" ca="1" si="21"/>
        <v>1.6718975143648747</v>
      </c>
      <c r="AV40" s="439">
        <f t="shared" ca="1" si="22"/>
        <v>1148.6796240616595</v>
      </c>
      <c r="AW40" s="439"/>
      <c r="AX40" s="438">
        <f t="shared" ca="1" si="12"/>
        <v>10.966200492452746</v>
      </c>
      <c r="AY40" s="438">
        <f t="shared" ca="1" si="23"/>
        <v>12.15164934122744</v>
      </c>
      <c r="AZ40" s="443"/>
      <c r="BA40" s="433" t="str">
        <f t="shared" si="24"/>
        <v>CEE Tier 2 Clothes Washer - Gas DHW, Electric Dryer - 31% ENERGY STAR Baseline</v>
      </c>
      <c r="BB40" s="433" t="s">
        <v>25</v>
      </c>
      <c r="BC40" s="438">
        <f t="shared" ca="1" si="25"/>
        <v>6.7342988426129082</v>
      </c>
      <c r="BD40" s="438">
        <f>SFAssumptions!$C$7</f>
        <v>14</v>
      </c>
      <c r="BE40" s="444">
        <f t="shared" ca="1" si="26"/>
        <v>224.76652220844369</v>
      </c>
      <c r="BF40" s="433"/>
      <c r="BG40" s="432" t="s">
        <v>157</v>
      </c>
      <c r="BH40" s="445">
        <f t="shared" ca="1" si="27"/>
        <v>12.15164934122744</v>
      </c>
      <c r="BI40" s="433"/>
      <c r="BJ40" s="433"/>
      <c r="BK40" s="433"/>
      <c r="BL40" s="433"/>
      <c r="BM40" s="433"/>
      <c r="BN40" s="433"/>
      <c r="BO40" s="446">
        <f t="shared" ca="1" si="28"/>
        <v>1.6718975143648747</v>
      </c>
      <c r="BP40" s="433" t="s">
        <v>158</v>
      </c>
    </row>
    <row r="41" spans="1:68" s="414" customFormat="1">
      <c r="A41" s="433">
        <f t="shared" si="29"/>
        <v>24</v>
      </c>
      <c r="B41" s="433">
        <f t="shared" si="3"/>
        <v>1</v>
      </c>
      <c r="C41" s="433">
        <f t="shared" si="4"/>
        <v>24</v>
      </c>
      <c r="D41" s="433">
        <f t="shared" si="5"/>
        <v>5</v>
      </c>
      <c r="E41" s="433">
        <f t="shared" si="6"/>
        <v>4</v>
      </c>
      <c r="F41" s="433"/>
      <c r="G41" s="433" t="str">
        <f t="shared" si="13"/>
        <v>Current Practice Baseline Using 31% ENERGY STAR Penetration</v>
      </c>
      <c r="H41" s="433" t="str">
        <f t="shared" si="14"/>
        <v>CEE Tier 2</v>
      </c>
      <c r="I41" s="433" t="str">
        <f t="shared" si="7"/>
        <v>Gas DHW, Gas Dryer</v>
      </c>
      <c r="J41" s="433" t="str">
        <f t="shared" si="8"/>
        <v>Gas DHW</v>
      </c>
      <c r="K41" s="433" t="str">
        <f t="shared" si="9"/>
        <v>Gas Dryer</v>
      </c>
      <c r="L41" s="434">
        <f>VLOOKUP(J41,SFAssumptions!$A$14:$B$16,2,FALSE)</f>
        <v>0</v>
      </c>
      <c r="M41" s="435">
        <f>VLOOKUP(K41,SFAssumptions!$A$18:$B$20,2,FALSE)</f>
        <v>0</v>
      </c>
      <c r="N41" s="436">
        <f ca="1">HLOOKUP($G41,'MFBaselines and Measures'!$C$3:$V$33,7,FALSE)</f>
        <v>4047.8861059902265</v>
      </c>
      <c r="O41" s="437">
        <f ca="1">HLOOKUP($G41,'MFBaselines and Measures'!$C$3:$V$33,8,FALSE)</f>
        <v>776.31603614450796</v>
      </c>
      <c r="P41" s="438">
        <f ca="1">HLOOKUP($G41,'MFBaselines and Measures'!$C$3:$V$33,25,FALSE)</f>
        <v>53.065837949637434</v>
      </c>
      <c r="Q41" s="438"/>
      <c r="R41" s="438">
        <f ca="1">HLOOKUP($G41,'MFBaselines and Measures'!$C$3:$V$33,27,FALSE)</f>
        <v>98.059847487163822</v>
      </c>
      <c r="S41" s="439">
        <f>HLOOKUP($G41,'MFBaselines and Measures'!$C$3:$V$33,29,FALSE)</f>
        <v>0</v>
      </c>
      <c r="T41" s="439"/>
      <c r="U41" s="439">
        <f ca="1">HLOOKUP($G41,'MFBaselines and Measures'!$C$3:$V$33,31,FALSE)</f>
        <v>4.4623767929825346</v>
      </c>
      <c r="V41" s="440">
        <f ca="1">HLOOKUP($G41,'MFBaselines and Measures'!$C$3:$V$33,9,FALSE)</f>
        <v>42.82176814392561</v>
      </c>
      <c r="W41" s="441"/>
      <c r="X41" s="436">
        <f ca="1">HLOOKUP($H41,'MFBaselines and Measures'!$C$2:$V$33,8,FALSE)</f>
        <v>2899.206481928567</v>
      </c>
      <c r="Y41" s="437">
        <f ca="1">HLOOKUP($H41,'MFBaselines and Measures'!$C$2:$V$33,9,FALSE)</f>
        <v>1001.0825583529517</v>
      </c>
      <c r="Z41" s="438">
        <f ca="1">HLOOKUP($H41,'MFBaselines and Measures'!$C$2:$V$33,26,FALSE)</f>
        <v>46.331539107024525</v>
      </c>
      <c r="AA41" s="438"/>
      <c r="AB41" s="438">
        <f ca="1">HLOOKUP($H41,'MFBaselines and Measures'!$C$2:$V$33,28,FALSE)</f>
        <v>61.320230265550691</v>
      </c>
      <c r="AC41" s="439">
        <f>HLOOKUP($H41,'MFBaselines and Measures'!$C$2:$V$33,30,FALSE)</f>
        <v>0</v>
      </c>
      <c r="AD41" s="439"/>
      <c r="AE41" s="439">
        <f ca="1">HLOOKUP($H41,'MFBaselines and Measures'!$C$2:$V$33,32,FALSE)</f>
        <v>2.79047927861766</v>
      </c>
      <c r="AF41" s="440">
        <f ca="1">HLOOKUP($H41,'MFBaselines and Measures'!$C$2:$V$33,10,FALSE)</f>
        <v>30.67011880269817</v>
      </c>
      <c r="AG41" s="441"/>
      <c r="AH41" s="436">
        <f t="shared" ca="1" si="15"/>
        <v>1148.6796240616595</v>
      </c>
      <c r="AI41" s="437">
        <f t="shared" ca="1" si="16"/>
        <v>224.76652220844369</v>
      </c>
      <c r="AJ41" s="438">
        <f t="shared" ca="1" si="10"/>
        <v>6.7342988426129082</v>
      </c>
      <c r="AK41" s="438"/>
      <c r="AL41" s="438">
        <f t="shared" ca="1" si="30"/>
        <v>36.73961722161313</v>
      </c>
      <c r="AM41" s="439">
        <f t="shared" si="30"/>
        <v>0</v>
      </c>
      <c r="AN41" s="439"/>
      <c r="AO41" s="439">
        <f t="shared" ca="1" si="31"/>
        <v>1.6718975143648747</v>
      </c>
      <c r="AP41" s="442">
        <f t="shared" ca="1" si="31"/>
        <v>12.15164934122744</v>
      </c>
      <c r="AQ41" s="443"/>
      <c r="AR41" s="435" t="str">
        <f t="shared" si="18"/>
        <v>CEE Tier 2 Clothes Washer - Gas DHW, Gas Dryer - 31% ENERGY STAR Baseline</v>
      </c>
      <c r="AS41" s="437">
        <f t="shared" ca="1" si="19"/>
        <v>224.76652220844369</v>
      </c>
      <c r="AT41" s="438">
        <f t="shared" ca="1" si="20"/>
        <v>6.7342988426129082</v>
      </c>
      <c r="AU41" s="439">
        <f t="shared" ca="1" si="21"/>
        <v>1.6718975143648747</v>
      </c>
      <c r="AV41" s="439">
        <f t="shared" ca="1" si="22"/>
        <v>1148.6796240616595</v>
      </c>
      <c r="AW41" s="439"/>
      <c r="AX41" s="438">
        <f t="shared" ca="1" si="12"/>
        <v>10.966200492452746</v>
      </c>
      <c r="AY41" s="438">
        <f t="shared" ca="1" si="23"/>
        <v>12.15164934122744</v>
      </c>
      <c r="AZ41" s="443"/>
      <c r="BA41" s="433" t="str">
        <f t="shared" si="24"/>
        <v>CEE Tier 2 Clothes Washer - Gas DHW, Gas Dryer - 31% ENERGY STAR Baseline</v>
      </c>
      <c r="BB41" s="433" t="s">
        <v>25</v>
      </c>
      <c r="BC41" s="438">
        <f t="shared" ca="1" si="25"/>
        <v>6.7342988426129082</v>
      </c>
      <c r="BD41" s="438">
        <f>SFAssumptions!$C$7</f>
        <v>14</v>
      </c>
      <c r="BE41" s="444">
        <f t="shared" ca="1" si="26"/>
        <v>224.76652220844369</v>
      </c>
      <c r="BF41" s="433"/>
      <c r="BG41" s="432" t="s">
        <v>157</v>
      </c>
      <c r="BH41" s="445">
        <f t="shared" ca="1" si="27"/>
        <v>12.15164934122744</v>
      </c>
      <c r="BI41" s="433"/>
      <c r="BJ41" s="433"/>
      <c r="BK41" s="433"/>
      <c r="BL41" s="433"/>
      <c r="BM41" s="433"/>
      <c r="BN41" s="433"/>
      <c r="BO41" s="446">
        <f t="shared" ca="1" si="28"/>
        <v>1.6718975143648747</v>
      </c>
      <c r="BP41" s="433" t="s">
        <v>158</v>
      </c>
    </row>
    <row r="42" spans="1:68" s="414" customFormat="1">
      <c r="A42" s="433">
        <f t="shared" si="29"/>
        <v>25</v>
      </c>
      <c r="B42" s="433">
        <f t="shared" si="3"/>
        <v>1</v>
      </c>
      <c r="C42" s="433">
        <f t="shared" si="4"/>
        <v>25</v>
      </c>
      <c r="D42" s="433">
        <f t="shared" si="5"/>
        <v>5</v>
      </c>
      <c r="E42" s="433">
        <f t="shared" si="6"/>
        <v>5</v>
      </c>
      <c r="F42" s="433"/>
      <c r="G42" s="433" t="str">
        <f t="shared" si="13"/>
        <v>Current Practice Baseline Using 31% ENERGY STAR Penetration</v>
      </c>
      <c r="H42" s="433" t="str">
        <f t="shared" si="14"/>
        <v>CEE Tier 2</v>
      </c>
      <c r="I42" s="433" t="str">
        <f t="shared" si="7"/>
        <v>Any DHW, Any Dryer</v>
      </c>
      <c r="J42" s="433" t="str">
        <f t="shared" si="8"/>
        <v>Any DHW</v>
      </c>
      <c r="K42" s="433" t="str">
        <f t="shared" si="9"/>
        <v>Any Dryer</v>
      </c>
      <c r="L42" s="434">
        <f>VLOOKUP(J42,SFAssumptions!$A$14:$B$16,2,FALSE)</f>
        <v>0.55200000000000005</v>
      </c>
      <c r="M42" s="435">
        <f>VLOOKUP(K42,SFAssumptions!$A$18:$B$20,2,FALSE)</f>
        <v>0.95</v>
      </c>
      <c r="N42" s="436">
        <f ca="1">HLOOKUP($G42,'MFBaselines and Measures'!$C$3:$V$33,7,FALSE)</f>
        <v>4047.8861059902265</v>
      </c>
      <c r="O42" s="437">
        <f ca="1">HLOOKUP($G42,'MFBaselines and Measures'!$C$3:$V$33,8,FALSE)</f>
        <v>776.31603614450796</v>
      </c>
      <c r="P42" s="438">
        <f ca="1">HLOOKUP($G42,'MFBaselines and Measures'!$C$3:$V$33,25,FALSE)</f>
        <v>53.065837949637434</v>
      </c>
      <c r="Q42" s="438"/>
      <c r="R42" s="438">
        <f ca="1">HLOOKUP($G42,'MFBaselines and Measures'!$C$3:$V$33,27,FALSE)</f>
        <v>98.059847487163822</v>
      </c>
      <c r="S42" s="439">
        <f>HLOOKUP($G42,'MFBaselines and Measures'!$C$3:$V$33,29,FALSE)</f>
        <v>0</v>
      </c>
      <c r="T42" s="439"/>
      <c r="U42" s="439">
        <f ca="1">HLOOKUP($G42,'MFBaselines and Measures'!$C$3:$V$33,31,FALSE)</f>
        <v>4.4623767929825346</v>
      </c>
      <c r="V42" s="440">
        <f ca="1">HLOOKUP($G42,'MFBaselines and Measures'!$C$3:$V$33,9,FALSE)</f>
        <v>42.82176814392561</v>
      </c>
      <c r="W42" s="441"/>
      <c r="X42" s="436">
        <f ca="1">HLOOKUP($H42,'MFBaselines and Measures'!$C$2:$V$33,8,FALSE)</f>
        <v>2899.206481928567</v>
      </c>
      <c r="Y42" s="437">
        <f ca="1">HLOOKUP($H42,'MFBaselines and Measures'!$C$2:$V$33,9,FALSE)</f>
        <v>1001.0825583529517</v>
      </c>
      <c r="Z42" s="438">
        <f ca="1">HLOOKUP($H42,'MFBaselines and Measures'!$C$2:$V$33,26,FALSE)</f>
        <v>46.331539107024525</v>
      </c>
      <c r="AA42" s="438"/>
      <c r="AB42" s="438">
        <f ca="1">HLOOKUP($H42,'MFBaselines and Measures'!$C$2:$V$33,28,FALSE)</f>
        <v>61.320230265550691</v>
      </c>
      <c r="AC42" s="439">
        <f>HLOOKUP($H42,'MFBaselines and Measures'!$C$2:$V$33,30,FALSE)</f>
        <v>0</v>
      </c>
      <c r="AD42" s="439"/>
      <c r="AE42" s="439">
        <f ca="1">HLOOKUP($H42,'MFBaselines and Measures'!$C$2:$V$33,32,FALSE)</f>
        <v>2.79047927861766</v>
      </c>
      <c r="AF42" s="440">
        <f ca="1">HLOOKUP($H42,'MFBaselines and Measures'!$C$2:$V$33,10,FALSE)</f>
        <v>30.67011880269817</v>
      </c>
      <c r="AG42" s="441"/>
      <c r="AH42" s="436">
        <f t="shared" ca="1" si="15"/>
        <v>1148.6796240616595</v>
      </c>
      <c r="AI42" s="437">
        <f t="shared" ca="1" si="16"/>
        <v>224.76652220844369</v>
      </c>
      <c r="AJ42" s="438">
        <f t="shared" ca="1" si="10"/>
        <v>6.7342988426129082</v>
      </c>
      <c r="AK42" s="438"/>
      <c r="AL42" s="438">
        <f t="shared" ca="1" si="30"/>
        <v>36.73961722161313</v>
      </c>
      <c r="AM42" s="439">
        <f t="shared" si="30"/>
        <v>0</v>
      </c>
      <c r="AN42" s="439"/>
      <c r="AO42" s="439">
        <f t="shared" ca="1" si="31"/>
        <v>1.6718975143648747</v>
      </c>
      <c r="AP42" s="442">
        <f t="shared" ca="1" si="31"/>
        <v>12.15164934122744</v>
      </c>
      <c r="AQ42" s="443"/>
      <c r="AR42" s="435" t="str">
        <f t="shared" si="18"/>
        <v>CEE Tier 2 Clothes Washer - Any DHW, Any Dryer - 31% ENERGY STAR Baseline</v>
      </c>
      <c r="AS42" s="437">
        <f t="shared" ca="1" si="19"/>
        <v>224.76652220844369</v>
      </c>
      <c r="AT42" s="438">
        <f t="shared" ca="1" si="20"/>
        <v>27.014567548943358</v>
      </c>
      <c r="AU42" s="439">
        <f t="shared" ca="1" si="21"/>
        <v>0.74901008643546374</v>
      </c>
      <c r="AV42" s="439">
        <f t="shared" ca="1" si="22"/>
        <v>1148.6796240616595</v>
      </c>
      <c r="AW42" s="439"/>
      <c r="AX42" s="438">
        <f t="shared" ca="1" si="12"/>
        <v>31.246469198783196</v>
      </c>
      <c r="AY42" s="438">
        <f t="shared" ca="1" si="23"/>
        <v>12.15164934122744</v>
      </c>
      <c r="AZ42" s="443"/>
      <c r="BA42" s="433" t="str">
        <f t="shared" si="24"/>
        <v>CEE Tier 2 Clothes Washer - Any DHW, Any Dryer - 31% ENERGY STAR Baseline</v>
      </c>
      <c r="BB42" s="433" t="s">
        <v>25</v>
      </c>
      <c r="BC42" s="438">
        <f t="shared" ca="1" si="25"/>
        <v>27.014567548943358</v>
      </c>
      <c r="BD42" s="438">
        <f>SFAssumptions!$C$7</f>
        <v>14</v>
      </c>
      <c r="BE42" s="444">
        <f t="shared" ca="1" si="26"/>
        <v>224.76652220844369</v>
      </c>
      <c r="BF42" s="433"/>
      <c r="BG42" s="432" t="s">
        <v>157</v>
      </c>
      <c r="BH42" s="445">
        <f t="shared" ca="1" si="27"/>
        <v>12.15164934122744</v>
      </c>
      <c r="BI42" s="433"/>
      <c r="BJ42" s="433"/>
      <c r="BK42" s="433"/>
      <c r="BL42" s="433"/>
      <c r="BM42" s="433"/>
      <c r="BN42" s="433"/>
      <c r="BO42" s="446">
        <f t="shared" ca="1" si="28"/>
        <v>0.74901008643546374</v>
      </c>
      <c r="BP42" s="433" t="s">
        <v>158</v>
      </c>
    </row>
    <row r="43" spans="1:68" s="414" customFormat="1">
      <c r="A43" s="433">
        <f t="shared" si="29"/>
        <v>26</v>
      </c>
      <c r="B43" s="433">
        <f t="shared" si="3"/>
        <v>1</v>
      </c>
      <c r="C43" s="433">
        <f t="shared" si="4"/>
        <v>26</v>
      </c>
      <c r="D43" s="433">
        <f t="shared" si="5"/>
        <v>6</v>
      </c>
      <c r="E43" s="433">
        <f t="shared" si="6"/>
        <v>1</v>
      </c>
      <c r="F43" s="433"/>
      <c r="G43" s="433" t="str">
        <f t="shared" si="13"/>
        <v>Current Practice Baseline Using 31% ENERGY STAR Penetration</v>
      </c>
      <c r="H43" s="433" t="str">
        <f t="shared" si="14"/>
        <v>CEE Tier 3</v>
      </c>
      <c r="I43" s="433" t="str">
        <f t="shared" si="7"/>
        <v>Electric DHW, Electric Dryer</v>
      </c>
      <c r="J43" s="433" t="str">
        <f t="shared" si="8"/>
        <v>Electric DHW</v>
      </c>
      <c r="K43" s="433" t="str">
        <f t="shared" si="9"/>
        <v>Electric Dryer</v>
      </c>
      <c r="L43" s="434">
        <f>VLOOKUP(J43,SFAssumptions!$A$14:$B$16,2,FALSE)</f>
        <v>1</v>
      </c>
      <c r="M43" s="435">
        <f>VLOOKUP(K43,SFAssumptions!$A$18:$B$20,2,FALSE)</f>
        <v>1</v>
      </c>
      <c r="N43" s="436">
        <f ca="1">HLOOKUP($G43,'MFBaselines and Measures'!$C$3:$V$33,7,FALSE)</f>
        <v>4047.8861059902265</v>
      </c>
      <c r="O43" s="437">
        <f ca="1">HLOOKUP($G43,'MFBaselines and Measures'!$C$3:$V$33,8,FALSE)</f>
        <v>776.31603614450796</v>
      </c>
      <c r="P43" s="438">
        <f ca="1">HLOOKUP($G43,'MFBaselines and Measures'!$C$3:$V$33,25,FALSE)</f>
        <v>53.065837949637434</v>
      </c>
      <c r="Q43" s="438"/>
      <c r="R43" s="438">
        <f ca="1">HLOOKUP($G43,'MFBaselines and Measures'!$C$3:$V$33,27,FALSE)</f>
        <v>98.059847487163822</v>
      </c>
      <c r="S43" s="439">
        <f>HLOOKUP($G43,'MFBaselines and Measures'!$C$3:$V$33,29,FALSE)</f>
        <v>0</v>
      </c>
      <c r="T43" s="439"/>
      <c r="U43" s="439">
        <f ca="1">HLOOKUP($G43,'MFBaselines and Measures'!$C$3:$V$33,31,FALSE)</f>
        <v>4.4623767929825346</v>
      </c>
      <c r="V43" s="440">
        <f ca="1">HLOOKUP($G43,'MFBaselines and Measures'!$C$3:$V$33,9,FALSE)</f>
        <v>42.82176814392561</v>
      </c>
      <c r="W43" s="441"/>
      <c r="X43" s="436">
        <f ca="1">HLOOKUP($H43,'MFBaselines and Measures'!$C$2:$V$33,8,FALSE)</f>
        <v>2874.3796688857838</v>
      </c>
      <c r="Y43" s="437">
        <f ca="1">HLOOKUP($H43,'MFBaselines and Measures'!$C$2:$V$33,9,FALSE)</f>
        <v>996.04811179834417</v>
      </c>
      <c r="Z43" s="438">
        <f ca="1">HLOOKUP($H43,'MFBaselines and Measures'!$C$2:$V$33,26,FALSE)</f>
        <v>45.680149907295046</v>
      </c>
      <c r="AA43" s="438"/>
      <c r="AB43" s="438">
        <f ca="1">HLOOKUP($H43,'MFBaselines and Measures'!$C$2:$V$33,28,FALSE)</f>
        <v>59.940388764387578</v>
      </c>
      <c r="AC43" s="439">
        <f>HLOOKUP($H43,'MFBaselines and Measures'!$C$2:$V$33,30,FALSE)</f>
        <v>0</v>
      </c>
      <c r="AD43" s="439"/>
      <c r="AE43" s="439">
        <f ca="1">HLOOKUP($H43,'MFBaselines and Measures'!$C$2:$V$33,32,FALSE)</f>
        <v>2.7276872913713976</v>
      </c>
      <c r="AF43" s="440">
        <f ca="1">HLOOKUP($H43,'MFBaselines and Measures'!$C$2:$V$33,10,FALSE)</f>
        <v>30.407480970497947</v>
      </c>
      <c r="AG43" s="441"/>
      <c r="AH43" s="436">
        <f t="shared" ca="1" si="15"/>
        <v>1173.5064371044427</v>
      </c>
      <c r="AI43" s="437">
        <f t="shared" ca="1" si="16"/>
        <v>219.7320756538362</v>
      </c>
      <c r="AJ43" s="438">
        <f t="shared" ca="1" si="10"/>
        <v>7.3856880423423874</v>
      </c>
      <c r="AK43" s="438"/>
      <c r="AL43" s="438">
        <f t="shared" ca="1" si="30"/>
        <v>38.119458722776244</v>
      </c>
      <c r="AM43" s="439">
        <f t="shared" si="30"/>
        <v>0</v>
      </c>
      <c r="AN43" s="439"/>
      <c r="AO43" s="439">
        <f t="shared" ca="1" si="31"/>
        <v>1.734689501611137</v>
      </c>
      <c r="AP43" s="442">
        <f t="shared" ca="1" si="31"/>
        <v>12.414287173427663</v>
      </c>
      <c r="AQ43" s="443"/>
      <c r="AR43" s="435" t="str">
        <f t="shared" si="18"/>
        <v>CEE Tier 3 Clothes Washer - Electric DHW, Electric Dryer - 31% ENERGY STAR Baseline</v>
      </c>
      <c r="AS43" s="437">
        <f t="shared" ca="1" si="19"/>
        <v>219.7320756538362</v>
      </c>
      <c r="AT43" s="438">
        <f t="shared" ca="1" si="20"/>
        <v>45.505146765118631</v>
      </c>
      <c r="AU43" s="439">
        <f t="shared" ca="1" si="21"/>
        <v>0</v>
      </c>
      <c r="AV43" s="439">
        <f t="shared" ca="1" si="22"/>
        <v>1173.5064371044427</v>
      </c>
      <c r="AW43" s="439"/>
      <c r="AX43" s="438">
        <f t="shared" ca="1" si="12"/>
        <v>49.828513980182407</v>
      </c>
      <c r="AY43" s="438">
        <f t="shared" ca="1" si="23"/>
        <v>12.414287173427663</v>
      </c>
      <c r="AZ43" s="443"/>
      <c r="BA43" s="433" t="str">
        <f t="shared" si="24"/>
        <v>CEE Tier 3 Clothes Washer - Electric DHW, Electric Dryer - 31% ENERGY STAR Baseline</v>
      </c>
      <c r="BB43" s="433" t="s">
        <v>25</v>
      </c>
      <c r="BC43" s="438">
        <f t="shared" ca="1" si="25"/>
        <v>45.505146765118631</v>
      </c>
      <c r="BD43" s="438">
        <f>SFAssumptions!$C$7</f>
        <v>14</v>
      </c>
      <c r="BE43" s="444">
        <f t="shared" ca="1" si="26"/>
        <v>219.7320756538362</v>
      </c>
      <c r="BF43" s="433"/>
      <c r="BG43" s="432" t="s">
        <v>157</v>
      </c>
      <c r="BH43" s="445">
        <f t="shared" ca="1" si="27"/>
        <v>12.414287173427663</v>
      </c>
      <c r="BI43" s="433"/>
      <c r="BJ43" s="433"/>
      <c r="BK43" s="433"/>
      <c r="BL43" s="433"/>
      <c r="BM43" s="433"/>
      <c r="BN43" s="433"/>
      <c r="BO43" s="446">
        <f t="shared" ca="1" si="28"/>
        <v>0</v>
      </c>
      <c r="BP43" s="433" t="s">
        <v>158</v>
      </c>
    </row>
    <row r="44" spans="1:68" s="414" customFormat="1">
      <c r="A44" s="433">
        <f t="shared" si="29"/>
        <v>27</v>
      </c>
      <c r="B44" s="433">
        <f t="shared" si="3"/>
        <v>1</v>
      </c>
      <c r="C44" s="433">
        <f t="shared" si="4"/>
        <v>27</v>
      </c>
      <c r="D44" s="433">
        <f t="shared" si="5"/>
        <v>6</v>
      </c>
      <c r="E44" s="433">
        <f t="shared" si="6"/>
        <v>2</v>
      </c>
      <c r="F44" s="433"/>
      <c r="G44" s="433" t="str">
        <f t="shared" si="13"/>
        <v>Current Practice Baseline Using 31% ENERGY STAR Penetration</v>
      </c>
      <c r="H44" s="433" t="str">
        <f t="shared" si="14"/>
        <v>CEE Tier 3</v>
      </c>
      <c r="I44" s="433" t="str">
        <f t="shared" si="7"/>
        <v>Electric DHW, Gas Dryer</v>
      </c>
      <c r="J44" s="433" t="str">
        <f t="shared" si="8"/>
        <v>Electric DHW</v>
      </c>
      <c r="K44" s="433" t="str">
        <f t="shared" si="9"/>
        <v>Gas Dryer</v>
      </c>
      <c r="L44" s="434">
        <f>VLOOKUP(J44,SFAssumptions!$A$14:$B$16,2,FALSE)</f>
        <v>1</v>
      </c>
      <c r="M44" s="435">
        <f>VLOOKUP(K44,SFAssumptions!$A$18:$B$20,2,FALSE)</f>
        <v>0</v>
      </c>
      <c r="N44" s="436">
        <f ca="1">HLOOKUP($G44,'MFBaselines and Measures'!$C$3:$V$33,7,FALSE)</f>
        <v>4047.8861059902265</v>
      </c>
      <c r="O44" s="437">
        <f ca="1">HLOOKUP($G44,'MFBaselines and Measures'!$C$3:$V$33,8,FALSE)</f>
        <v>776.31603614450796</v>
      </c>
      <c r="P44" s="438">
        <f ca="1">HLOOKUP($G44,'MFBaselines and Measures'!$C$3:$V$33,25,FALSE)</f>
        <v>53.065837949637434</v>
      </c>
      <c r="Q44" s="438"/>
      <c r="R44" s="438">
        <f ca="1">HLOOKUP($G44,'MFBaselines and Measures'!$C$3:$V$33,27,FALSE)</f>
        <v>98.059847487163822</v>
      </c>
      <c r="S44" s="439">
        <f>HLOOKUP($G44,'MFBaselines and Measures'!$C$3:$V$33,29,FALSE)</f>
        <v>0</v>
      </c>
      <c r="T44" s="439"/>
      <c r="U44" s="439">
        <f ca="1">HLOOKUP($G44,'MFBaselines and Measures'!$C$3:$V$33,31,FALSE)</f>
        <v>4.4623767929825346</v>
      </c>
      <c r="V44" s="440">
        <f ca="1">HLOOKUP($G44,'MFBaselines and Measures'!$C$3:$V$33,9,FALSE)</f>
        <v>42.82176814392561</v>
      </c>
      <c r="W44" s="441"/>
      <c r="X44" s="436">
        <f ca="1">HLOOKUP($H44,'MFBaselines and Measures'!$C$2:$V$33,8,FALSE)</f>
        <v>2874.3796688857838</v>
      </c>
      <c r="Y44" s="437">
        <f ca="1">HLOOKUP($H44,'MFBaselines and Measures'!$C$2:$V$33,9,FALSE)</f>
        <v>996.04811179834417</v>
      </c>
      <c r="Z44" s="438">
        <f ca="1">HLOOKUP($H44,'MFBaselines and Measures'!$C$2:$V$33,26,FALSE)</f>
        <v>45.680149907295046</v>
      </c>
      <c r="AA44" s="438"/>
      <c r="AB44" s="438">
        <f ca="1">HLOOKUP($H44,'MFBaselines and Measures'!$C$2:$V$33,28,FALSE)</f>
        <v>59.940388764387578</v>
      </c>
      <c r="AC44" s="439">
        <f>HLOOKUP($H44,'MFBaselines and Measures'!$C$2:$V$33,30,FALSE)</f>
        <v>0</v>
      </c>
      <c r="AD44" s="439"/>
      <c r="AE44" s="439">
        <f ca="1">HLOOKUP($H44,'MFBaselines and Measures'!$C$2:$V$33,32,FALSE)</f>
        <v>2.7276872913713976</v>
      </c>
      <c r="AF44" s="440">
        <f ca="1">HLOOKUP($H44,'MFBaselines and Measures'!$C$2:$V$33,10,FALSE)</f>
        <v>30.407480970497947</v>
      </c>
      <c r="AG44" s="441"/>
      <c r="AH44" s="436">
        <f t="shared" ca="1" si="15"/>
        <v>1173.5064371044427</v>
      </c>
      <c r="AI44" s="437">
        <f t="shared" ca="1" si="16"/>
        <v>219.7320756538362</v>
      </c>
      <c r="AJ44" s="438">
        <f t="shared" ca="1" si="10"/>
        <v>7.3856880423423874</v>
      </c>
      <c r="AK44" s="438"/>
      <c r="AL44" s="438">
        <f t="shared" ca="1" si="30"/>
        <v>38.119458722776244</v>
      </c>
      <c r="AM44" s="439">
        <f t="shared" si="30"/>
        <v>0</v>
      </c>
      <c r="AN44" s="439"/>
      <c r="AO44" s="439">
        <f t="shared" ca="1" si="31"/>
        <v>1.734689501611137</v>
      </c>
      <c r="AP44" s="442">
        <f t="shared" ca="1" si="31"/>
        <v>12.414287173427663</v>
      </c>
      <c r="AQ44" s="443"/>
      <c r="AR44" s="435" t="str">
        <f t="shared" si="18"/>
        <v>CEE Tier 3 Clothes Washer - Electric DHW, Gas Dryer - 31% ENERGY STAR Baseline</v>
      </c>
      <c r="AS44" s="437">
        <f t="shared" ca="1" si="19"/>
        <v>219.7320756538362</v>
      </c>
      <c r="AT44" s="438">
        <f t="shared" ca="1" si="20"/>
        <v>45.505146765118631</v>
      </c>
      <c r="AU44" s="439">
        <f t="shared" ca="1" si="21"/>
        <v>0</v>
      </c>
      <c r="AV44" s="439">
        <f t="shared" ca="1" si="22"/>
        <v>1173.5064371044427</v>
      </c>
      <c r="AW44" s="439"/>
      <c r="AX44" s="438">
        <f t="shared" ca="1" si="12"/>
        <v>49.828513980182407</v>
      </c>
      <c r="AY44" s="438">
        <f t="shared" ca="1" si="23"/>
        <v>12.414287173427663</v>
      </c>
      <c r="AZ44" s="443"/>
      <c r="BA44" s="433" t="str">
        <f t="shared" si="24"/>
        <v>CEE Tier 3 Clothes Washer - Electric DHW, Gas Dryer - 31% ENERGY STAR Baseline</v>
      </c>
      <c r="BB44" s="433" t="s">
        <v>25</v>
      </c>
      <c r="BC44" s="438">
        <f t="shared" ca="1" si="25"/>
        <v>45.505146765118631</v>
      </c>
      <c r="BD44" s="438">
        <f>SFAssumptions!$C$7</f>
        <v>14</v>
      </c>
      <c r="BE44" s="444">
        <f t="shared" ca="1" si="26"/>
        <v>219.7320756538362</v>
      </c>
      <c r="BF44" s="433"/>
      <c r="BG44" s="432" t="s">
        <v>157</v>
      </c>
      <c r="BH44" s="445">
        <f t="shared" ca="1" si="27"/>
        <v>12.414287173427663</v>
      </c>
      <c r="BI44" s="433"/>
      <c r="BJ44" s="433"/>
      <c r="BK44" s="433"/>
      <c r="BL44" s="433"/>
      <c r="BM44" s="433"/>
      <c r="BN44" s="433"/>
      <c r="BO44" s="446">
        <f t="shared" ca="1" si="28"/>
        <v>0</v>
      </c>
      <c r="BP44" s="433" t="s">
        <v>158</v>
      </c>
    </row>
    <row r="45" spans="1:68" s="414" customFormat="1">
      <c r="A45" s="433">
        <f t="shared" si="29"/>
        <v>28</v>
      </c>
      <c r="B45" s="433">
        <f t="shared" si="3"/>
        <v>1</v>
      </c>
      <c r="C45" s="433">
        <f t="shared" si="4"/>
        <v>28</v>
      </c>
      <c r="D45" s="433">
        <f t="shared" si="5"/>
        <v>6</v>
      </c>
      <c r="E45" s="433">
        <f t="shared" si="6"/>
        <v>3</v>
      </c>
      <c r="F45" s="433"/>
      <c r="G45" s="433" t="str">
        <f t="shared" si="13"/>
        <v>Current Practice Baseline Using 31% ENERGY STAR Penetration</v>
      </c>
      <c r="H45" s="433" t="str">
        <f t="shared" si="14"/>
        <v>CEE Tier 3</v>
      </c>
      <c r="I45" s="433" t="str">
        <f t="shared" si="7"/>
        <v>Gas DHW, Electric Dryer</v>
      </c>
      <c r="J45" s="433" t="str">
        <f t="shared" si="8"/>
        <v>Gas DHW</v>
      </c>
      <c r="K45" s="433" t="str">
        <f t="shared" si="9"/>
        <v>Electric Dryer</v>
      </c>
      <c r="L45" s="434">
        <f>VLOOKUP(J45,SFAssumptions!$A$14:$B$16,2,FALSE)</f>
        <v>0</v>
      </c>
      <c r="M45" s="435">
        <f>VLOOKUP(K45,SFAssumptions!$A$18:$B$20,2,FALSE)</f>
        <v>1</v>
      </c>
      <c r="N45" s="436">
        <f ca="1">HLOOKUP($G45,'MFBaselines and Measures'!$C$3:$V$33,7,FALSE)</f>
        <v>4047.8861059902265</v>
      </c>
      <c r="O45" s="437">
        <f ca="1">HLOOKUP($G45,'MFBaselines and Measures'!$C$3:$V$33,8,FALSE)</f>
        <v>776.31603614450796</v>
      </c>
      <c r="P45" s="438">
        <f ca="1">HLOOKUP($G45,'MFBaselines and Measures'!$C$3:$V$33,25,FALSE)</f>
        <v>53.065837949637434</v>
      </c>
      <c r="Q45" s="438"/>
      <c r="R45" s="438">
        <f ca="1">HLOOKUP($G45,'MFBaselines and Measures'!$C$3:$V$33,27,FALSE)</f>
        <v>98.059847487163822</v>
      </c>
      <c r="S45" s="439">
        <f>HLOOKUP($G45,'MFBaselines and Measures'!$C$3:$V$33,29,FALSE)</f>
        <v>0</v>
      </c>
      <c r="T45" s="439"/>
      <c r="U45" s="439">
        <f ca="1">HLOOKUP($G45,'MFBaselines and Measures'!$C$3:$V$33,31,FALSE)</f>
        <v>4.4623767929825346</v>
      </c>
      <c r="V45" s="440">
        <f ca="1">HLOOKUP($G45,'MFBaselines and Measures'!$C$3:$V$33,9,FALSE)</f>
        <v>42.82176814392561</v>
      </c>
      <c r="W45" s="441"/>
      <c r="X45" s="436">
        <f ca="1">HLOOKUP($H45,'MFBaselines and Measures'!$C$2:$V$33,8,FALSE)</f>
        <v>2874.3796688857838</v>
      </c>
      <c r="Y45" s="437">
        <f ca="1">HLOOKUP($H45,'MFBaselines and Measures'!$C$2:$V$33,9,FALSE)</f>
        <v>996.04811179834417</v>
      </c>
      <c r="Z45" s="438">
        <f ca="1">HLOOKUP($H45,'MFBaselines and Measures'!$C$2:$V$33,26,FALSE)</f>
        <v>45.680149907295046</v>
      </c>
      <c r="AA45" s="438"/>
      <c r="AB45" s="438">
        <f ca="1">HLOOKUP($H45,'MFBaselines and Measures'!$C$2:$V$33,28,FALSE)</f>
        <v>59.940388764387578</v>
      </c>
      <c r="AC45" s="439">
        <f>HLOOKUP($H45,'MFBaselines and Measures'!$C$2:$V$33,30,FALSE)</f>
        <v>0</v>
      </c>
      <c r="AD45" s="439"/>
      <c r="AE45" s="439">
        <f ca="1">HLOOKUP($H45,'MFBaselines and Measures'!$C$2:$V$33,32,FALSE)</f>
        <v>2.7276872913713976</v>
      </c>
      <c r="AF45" s="440">
        <f ca="1">HLOOKUP($H45,'MFBaselines and Measures'!$C$2:$V$33,10,FALSE)</f>
        <v>30.407480970497947</v>
      </c>
      <c r="AG45" s="441"/>
      <c r="AH45" s="436">
        <f t="shared" ca="1" si="15"/>
        <v>1173.5064371044427</v>
      </c>
      <c r="AI45" s="437">
        <f t="shared" ca="1" si="16"/>
        <v>219.7320756538362</v>
      </c>
      <c r="AJ45" s="438">
        <f t="shared" ca="1" si="10"/>
        <v>7.3856880423423874</v>
      </c>
      <c r="AK45" s="438"/>
      <c r="AL45" s="438">
        <f t="shared" ca="1" si="30"/>
        <v>38.119458722776244</v>
      </c>
      <c r="AM45" s="439">
        <f t="shared" si="30"/>
        <v>0</v>
      </c>
      <c r="AN45" s="439"/>
      <c r="AO45" s="439">
        <f t="shared" ca="1" si="31"/>
        <v>1.734689501611137</v>
      </c>
      <c r="AP45" s="442">
        <f t="shared" ca="1" si="31"/>
        <v>12.414287173427663</v>
      </c>
      <c r="AQ45" s="443"/>
      <c r="AR45" s="435" t="str">
        <f t="shared" si="18"/>
        <v>CEE Tier 3 Clothes Washer - Gas DHW, Electric Dryer - 31% ENERGY STAR Baseline</v>
      </c>
      <c r="AS45" s="437">
        <f t="shared" ca="1" si="19"/>
        <v>219.7320756538362</v>
      </c>
      <c r="AT45" s="438">
        <f t="shared" ca="1" si="20"/>
        <v>7.3856880423423874</v>
      </c>
      <c r="AU45" s="439">
        <f t="shared" ca="1" si="21"/>
        <v>1.734689501611137</v>
      </c>
      <c r="AV45" s="439">
        <f t="shared" ca="1" si="22"/>
        <v>1173.5064371044427</v>
      </c>
      <c r="AW45" s="439"/>
      <c r="AX45" s="438">
        <f t="shared" ca="1" si="12"/>
        <v>11.709055257406163</v>
      </c>
      <c r="AY45" s="438">
        <f t="shared" ca="1" si="23"/>
        <v>12.414287173427663</v>
      </c>
      <c r="AZ45" s="443"/>
      <c r="BA45" s="433" t="str">
        <f t="shared" si="24"/>
        <v>CEE Tier 3 Clothes Washer - Gas DHW, Electric Dryer - 31% ENERGY STAR Baseline</v>
      </c>
      <c r="BB45" s="433" t="s">
        <v>25</v>
      </c>
      <c r="BC45" s="438">
        <f t="shared" ca="1" si="25"/>
        <v>7.3856880423423874</v>
      </c>
      <c r="BD45" s="438">
        <f>SFAssumptions!$C$7</f>
        <v>14</v>
      </c>
      <c r="BE45" s="444">
        <f t="shared" ca="1" si="26"/>
        <v>219.7320756538362</v>
      </c>
      <c r="BF45" s="433"/>
      <c r="BG45" s="432" t="s">
        <v>157</v>
      </c>
      <c r="BH45" s="445">
        <f t="shared" ca="1" si="27"/>
        <v>12.414287173427663</v>
      </c>
      <c r="BI45" s="433"/>
      <c r="BJ45" s="433"/>
      <c r="BK45" s="433"/>
      <c r="BL45" s="433"/>
      <c r="BM45" s="433"/>
      <c r="BN45" s="433"/>
      <c r="BO45" s="446">
        <f t="shared" ca="1" si="28"/>
        <v>1.734689501611137</v>
      </c>
      <c r="BP45" s="433" t="s">
        <v>158</v>
      </c>
    </row>
    <row r="46" spans="1:68" s="414" customFormat="1">
      <c r="A46" s="433">
        <f t="shared" si="29"/>
        <v>29</v>
      </c>
      <c r="B46" s="433">
        <f t="shared" si="3"/>
        <v>1</v>
      </c>
      <c r="C46" s="433">
        <f t="shared" si="4"/>
        <v>29</v>
      </c>
      <c r="D46" s="433">
        <f t="shared" si="5"/>
        <v>6</v>
      </c>
      <c r="E46" s="433">
        <f t="shared" si="6"/>
        <v>4</v>
      </c>
      <c r="F46" s="433"/>
      <c r="G46" s="433" t="str">
        <f t="shared" si="13"/>
        <v>Current Practice Baseline Using 31% ENERGY STAR Penetration</v>
      </c>
      <c r="H46" s="433" t="str">
        <f t="shared" si="14"/>
        <v>CEE Tier 3</v>
      </c>
      <c r="I46" s="433" t="str">
        <f t="shared" si="7"/>
        <v>Gas DHW, Gas Dryer</v>
      </c>
      <c r="J46" s="433" t="str">
        <f t="shared" si="8"/>
        <v>Gas DHW</v>
      </c>
      <c r="K46" s="433" t="str">
        <f t="shared" si="9"/>
        <v>Gas Dryer</v>
      </c>
      <c r="L46" s="434">
        <f>VLOOKUP(J46,SFAssumptions!$A$14:$B$16,2,FALSE)</f>
        <v>0</v>
      </c>
      <c r="M46" s="435">
        <f>VLOOKUP(K46,SFAssumptions!$A$18:$B$20,2,FALSE)</f>
        <v>0</v>
      </c>
      <c r="N46" s="436">
        <f ca="1">HLOOKUP($G46,'MFBaselines and Measures'!$C$3:$V$33,7,FALSE)</f>
        <v>4047.8861059902265</v>
      </c>
      <c r="O46" s="437">
        <f ca="1">HLOOKUP($G46,'MFBaselines and Measures'!$C$3:$V$33,8,FALSE)</f>
        <v>776.31603614450796</v>
      </c>
      <c r="P46" s="438">
        <f ca="1">HLOOKUP($G46,'MFBaselines and Measures'!$C$3:$V$33,25,FALSE)</f>
        <v>53.065837949637434</v>
      </c>
      <c r="Q46" s="438"/>
      <c r="R46" s="438">
        <f ca="1">HLOOKUP($G46,'MFBaselines and Measures'!$C$3:$V$33,27,FALSE)</f>
        <v>98.059847487163822</v>
      </c>
      <c r="S46" s="439">
        <f>HLOOKUP($G46,'MFBaselines and Measures'!$C$3:$V$33,29,FALSE)</f>
        <v>0</v>
      </c>
      <c r="T46" s="439"/>
      <c r="U46" s="439">
        <f ca="1">HLOOKUP($G46,'MFBaselines and Measures'!$C$3:$V$33,31,FALSE)</f>
        <v>4.4623767929825346</v>
      </c>
      <c r="V46" s="440">
        <f ca="1">HLOOKUP($G46,'MFBaselines and Measures'!$C$3:$V$33,9,FALSE)</f>
        <v>42.82176814392561</v>
      </c>
      <c r="W46" s="441"/>
      <c r="X46" s="436">
        <f ca="1">HLOOKUP($H46,'MFBaselines and Measures'!$C$2:$V$33,8,FALSE)</f>
        <v>2874.3796688857838</v>
      </c>
      <c r="Y46" s="437">
        <f ca="1">HLOOKUP($H46,'MFBaselines and Measures'!$C$2:$V$33,9,FALSE)</f>
        <v>996.04811179834417</v>
      </c>
      <c r="Z46" s="438">
        <f ca="1">HLOOKUP($H46,'MFBaselines and Measures'!$C$2:$V$33,26,FALSE)</f>
        <v>45.680149907295046</v>
      </c>
      <c r="AA46" s="438"/>
      <c r="AB46" s="438">
        <f ca="1">HLOOKUP($H46,'MFBaselines and Measures'!$C$2:$V$33,28,FALSE)</f>
        <v>59.940388764387578</v>
      </c>
      <c r="AC46" s="439">
        <f>HLOOKUP($H46,'MFBaselines and Measures'!$C$2:$V$33,30,FALSE)</f>
        <v>0</v>
      </c>
      <c r="AD46" s="439"/>
      <c r="AE46" s="439">
        <f ca="1">HLOOKUP($H46,'MFBaselines and Measures'!$C$2:$V$33,32,FALSE)</f>
        <v>2.7276872913713976</v>
      </c>
      <c r="AF46" s="440">
        <f ca="1">HLOOKUP($H46,'MFBaselines and Measures'!$C$2:$V$33,10,FALSE)</f>
        <v>30.407480970497947</v>
      </c>
      <c r="AG46" s="441"/>
      <c r="AH46" s="436">
        <f t="shared" ca="1" si="15"/>
        <v>1173.5064371044427</v>
      </c>
      <c r="AI46" s="437">
        <f t="shared" ca="1" si="16"/>
        <v>219.7320756538362</v>
      </c>
      <c r="AJ46" s="438">
        <f t="shared" ca="1" si="10"/>
        <v>7.3856880423423874</v>
      </c>
      <c r="AK46" s="438"/>
      <c r="AL46" s="438">
        <f t="shared" ca="1" si="30"/>
        <v>38.119458722776244</v>
      </c>
      <c r="AM46" s="439">
        <f t="shared" si="30"/>
        <v>0</v>
      </c>
      <c r="AN46" s="439"/>
      <c r="AO46" s="439">
        <f t="shared" ca="1" si="31"/>
        <v>1.734689501611137</v>
      </c>
      <c r="AP46" s="442">
        <f t="shared" ca="1" si="31"/>
        <v>12.414287173427663</v>
      </c>
      <c r="AQ46" s="443"/>
      <c r="AR46" s="435" t="str">
        <f t="shared" si="18"/>
        <v>CEE Tier 3 Clothes Washer - Gas DHW, Gas Dryer - 31% ENERGY STAR Baseline</v>
      </c>
      <c r="AS46" s="437">
        <f t="shared" ca="1" si="19"/>
        <v>219.7320756538362</v>
      </c>
      <c r="AT46" s="438">
        <f t="shared" ca="1" si="20"/>
        <v>7.3856880423423874</v>
      </c>
      <c r="AU46" s="439">
        <f t="shared" ca="1" si="21"/>
        <v>1.734689501611137</v>
      </c>
      <c r="AV46" s="439">
        <f t="shared" ca="1" si="22"/>
        <v>1173.5064371044427</v>
      </c>
      <c r="AW46" s="439"/>
      <c r="AX46" s="438">
        <f t="shared" ca="1" si="12"/>
        <v>11.709055257406163</v>
      </c>
      <c r="AY46" s="438">
        <f t="shared" ca="1" si="23"/>
        <v>12.414287173427663</v>
      </c>
      <c r="AZ46" s="443"/>
      <c r="BA46" s="433" t="str">
        <f t="shared" si="24"/>
        <v>CEE Tier 3 Clothes Washer - Gas DHW, Gas Dryer - 31% ENERGY STAR Baseline</v>
      </c>
      <c r="BB46" s="433" t="s">
        <v>25</v>
      </c>
      <c r="BC46" s="438">
        <f t="shared" ca="1" si="25"/>
        <v>7.3856880423423874</v>
      </c>
      <c r="BD46" s="438">
        <f>SFAssumptions!$C$7</f>
        <v>14</v>
      </c>
      <c r="BE46" s="444">
        <f t="shared" ca="1" si="26"/>
        <v>219.7320756538362</v>
      </c>
      <c r="BF46" s="433"/>
      <c r="BG46" s="432" t="s">
        <v>157</v>
      </c>
      <c r="BH46" s="445">
        <f t="shared" ca="1" si="27"/>
        <v>12.414287173427663</v>
      </c>
      <c r="BI46" s="433"/>
      <c r="BJ46" s="433"/>
      <c r="BK46" s="433"/>
      <c r="BL46" s="433"/>
      <c r="BM46" s="433"/>
      <c r="BN46" s="433"/>
      <c r="BO46" s="446">
        <f t="shared" ca="1" si="28"/>
        <v>1.734689501611137</v>
      </c>
      <c r="BP46" s="433" t="s">
        <v>158</v>
      </c>
    </row>
    <row r="47" spans="1:68" s="414" customFormat="1">
      <c r="A47" s="433">
        <f t="shared" si="29"/>
        <v>30</v>
      </c>
      <c r="B47" s="433">
        <f t="shared" si="3"/>
        <v>1</v>
      </c>
      <c r="C47" s="433">
        <f t="shared" si="4"/>
        <v>30</v>
      </c>
      <c r="D47" s="433">
        <f t="shared" si="5"/>
        <v>6</v>
      </c>
      <c r="E47" s="433">
        <f t="shared" si="6"/>
        <v>5</v>
      </c>
      <c r="F47" s="433"/>
      <c r="G47" s="433" t="str">
        <f t="shared" si="13"/>
        <v>Current Practice Baseline Using 31% ENERGY STAR Penetration</v>
      </c>
      <c r="H47" s="433" t="str">
        <f t="shared" si="14"/>
        <v>CEE Tier 3</v>
      </c>
      <c r="I47" s="433" t="str">
        <f t="shared" si="7"/>
        <v>Any DHW, Any Dryer</v>
      </c>
      <c r="J47" s="433" t="str">
        <f t="shared" si="8"/>
        <v>Any DHW</v>
      </c>
      <c r="K47" s="433" t="str">
        <f t="shared" si="9"/>
        <v>Any Dryer</v>
      </c>
      <c r="L47" s="434">
        <f>VLOOKUP(J47,SFAssumptions!$A$14:$B$16,2,FALSE)</f>
        <v>0.55200000000000005</v>
      </c>
      <c r="M47" s="435">
        <f>VLOOKUP(K47,SFAssumptions!$A$18:$B$20,2,FALSE)</f>
        <v>0.95</v>
      </c>
      <c r="N47" s="436">
        <f ca="1">HLOOKUP($G47,'MFBaselines and Measures'!$C$3:$V$33,7,FALSE)</f>
        <v>4047.8861059902265</v>
      </c>
      <c r="O47" s="437">
        <f ca="1">HLOOKUP($G47,'MFBaselines and Measures'!$C$3:$V$33,8,FALSE)</f>
        <v>776.31603614450796</v>
      </c>
      <c r="P47" s="438">
        <f ca="1">HLOOKUP($G47,'MFBaselines and Measures'!$C$3:$V$33,25,FALSE)</f>
        <v>53.065837949637434</v>
      </c>
      <c r="Q47" s="438"/>
      <c r="R47" s="438">
        <f ca="1">HLOOKUP($G47,'MFBaselines and Measures'!$C$3:$V$33,27,FALSE)</f>
        <v>98.059847487163822</v>
      </c>
      <c r="S47" s="439">
        <f>HLOOKUP($G47,'MFBaselines and Measures'!$C$3:$V$33,29,FALSE)</f>
        <v>0</v>
      </c>
      <c r="T47" s="439"/>
      <c r="U47" s="439">
        <f ca="1">HLOOKUP($G47,'MFBaselines and Measures'!$C$3:$V$33,31,FALSE)</f>
        <v>4.4623767929825346</v>
      </c>
      <c r="V47" s="440">
        <f ca="1">HLOOKUP($G47,'MFBaselines and Measures'!$C$3:$V$33,9,FALSE)</f>
        <v>42.82176814392561</v>
      </c>
      <c r="W47" s="441"/>
      <c r="X47" s="436">
        <f ca="1">HLOOKUP($H47,'MFBaselines and Measures'!$C$2:$V$33,8,FALSE)</f>
        <v>2874.3796688857838</v>
      </c>
      <c r="Y47" s="437">
        <f ca="1">HLOOKUP($H47,'MFBaselines and Measures'!$C$2:$V$33,9,FALSE)</f>
        <v>996.04811179834417</v>
      </c>
      <c r="Z47" s="438">
        <f ca="1">HLOOKUP($H47,'MFBaselines and Measures'!$C$2:$V$33,26,FALSE)</f>
        <v>45.680149907295046</v>
      </c>
      <c r="AA47" s="438"/>
      <c r="AB47" s="438">
        <f ca="1">HLOOKUP($H47,'MFBaselines and Measures'!$C$2:$V$33,28,FALSE)</f>
        <v>59.940388764387578</v>
      </c>
      <c r="AC47" s="439">
        <f>HLOOKUP($H47,'MFBaselines and Measures'!$C$2:$V$33,30,FALSE)</f>
        <v>0</v>
      </c>
      <c r="AD47" s="439"/>
      <c r="AE47" s="439">
        <f ca="1">HLOOKUP($H47,'MFBaselines and Measures'!$C$2:$V$33,32,FALSE)</f>
        <v>2.7276872913713976</v>
      </c>
      <c r="AF47" s="440">
        <f ca="1">HLOOKUP($H47,'MFBaselines and Measures'!$C$2:$V$33,10,FALSE)</f>
        <v>30.407480970497947</v>
      </c>
      <c r="AG47" s="441"/>
      <c r="AH47" s="436">
        <f t="shared" ca="1" si="15"/>
        <v>1173.5064371044427</v>
      </c>
      <c r="AI47" s="437">
        <f t="shared" ca="1" si="16"/>
        <v>219.7320756538362</v>
      </c>
      <c r="AJ47" s="438">
        <f t="shared" ca="1" si="10"/>
        <v>7.3856880423423874</v>
      </c>
      <c r="AK47" s="438"/>
      <c r="AL47" s="438">
        <f t="shared" ca="1" si="30"/>
        <v>38.119458722776244</v>
      </c>
      <c r="AM47" s="439">
        <f t="shared" si="30"/>
        <v>0</v>
      </c>
      <c r="AN47" s="439"/>
      <c r="AO47" s="439">
        <f t="shared" ca="1" si="31"/>
        <v>1.734689501611137</v>
      </c>
      <c r="AP47" s="442">
        <f t="shared" ca="1" si="31"/>
        <v>12.414287173427663</v>
      </c>
      <c r="AQ47" s="443"/>
      <c r="AR47" s="435" t="str">
        <f t="shared" si="18"/>
        <v>CEE Tier 3 Clothes Washer - Any DHW, Any Dryer - 31% ENERGY STAR Baseline</v>
      </c>
      <c r="AS47" s="437">
        <f t="shared" ca="1" si="19"/>
        <v>219.7320756538362</v>
      </c>
      <c r="AT47" s="438">
        <f t="shared" ca="1" si="20"/>
        <v>28.427629257314877</v>
      </c>
      <c r="AU47" s="439">
        <f t="shared" ca="1" si="21"/>
        <v>0.77714089672178932</v>
      </c>
      <c r="AV47" s="439">
        <f t="shared" ca="1" si="22"/>
        <v>1173.5064371044427</v>
      </c>
      <c r="AW47" s="439"/>
      <c r="AX47" s="438">
        <f t="shared" ca="1" si="12"/>
        <v>32.750996472378652</v>
      </c>
      <c r="AY47" s="438">
        <f t="shared" ca="1" si="23"/>
        <v>12.414287173427663</v>
      </c>
      <c r="AZ47" s="443"/>
      <c r="BA47" s="433" t="str">
        <f t="shared" si="24"/>
        <v>CEE Tier 3 Clothes Washer - Any DHW, Any Dryer - 31% ENERGY STAR Baseline</v>
      </c>
      <c r="BB47" s="433" t="s">
        <v>25</v>
      </c>
      <c r="BC47" s="438">
        <f t="shared" ca="1" si="25"/>
        <v>28.427629257314877</v>
      </c>
      <c r="BD47" s="438">
        <f>SFAssumptions!$C$7</f>
        <v>14</v>
      </c>
      <c r="BE47" s="444">
        <f t="shared" ca="1" si="26"/>
        <v>219.7320756538362</v>
      </c>
      <c r="BF47" s="433"/>
      <c r="BG47" s="432" t="s">
        <v>157</v>
      </c>
      <c r="BH47" s="445">
        <f t="shared" ca="1" si="27"/>
        <v>12.414287173427663</v>
      </c>
      <c r="BI47" s="433"/>
      <c r="BJ47" s="433"/>
      <c r="BK47" s="433"/>
      <c r="BL47" s="433"/>
      <c r="BM47" s="433"/>
      <c r="BN47" s="433"/>
      <c r="BO47" s="446">
        <f t="shared" ca="1" si="28"/>
        <v>0.77714089672178932</v>
      </c>
      <c r="BP47" s="433" t="s">
        <v>158</v>
      </c>
    </row>
    <row r="48" spans="1:68" s="414" customFormat="1">
      <c r="A48" s="433">
        <f t="shared" si="29"/>
        <v>31</v>
      </c>
      <c r="B48" s="433">
        <f t="shared" si="3"/>
        <v>2</v>
      </c>
      <c r="C48" s="433">
        <f t="shared" si="4"/>
        <v>1</v>
      </c>
      <c r="D48" s="433">
        <f t="shared" si="5"/>
        <v>1</v>
      </c>
      <c r="E48" s="433">
        <f t="shared" si="6"/>
        <v>1</v>
      </c>
      <c r="F48" s="433"/>
      <c r="G48" s="433" t="str">
        <f t="shared" si="13"/>
        <v>Current Practice Baseline Using 54% ENERGY STAR Penetration</v>
      </c>
      <c r="H48" s="433" t="str">
        <f t="shared" si="14"/>
        <v>ENERGY STAR - Top-Load</v>
      </c>
      <c r="I48" s="433" t="str">
        <f t="shared" si="7"/>
        <v>Electric DHW, Electric Dryer</v>
      </c>
      <c r="J48" s="433" t="str">
        <f t="shared" si="8"/>
        <v>Electric DHW</v>
      </c>
      <c r="K48" s="433" t="str">
        <f t="shared" si="9"/>
        <v>Electric Dryer</v>
      </c>
      <c r="L48" s="434">
        <f>VLOOKUP(J48,SFAssumptions!$A$14:$B$16,2,FALSE)</f>
        <v>1</v>
      </c>
      <c r="M48" s="435">
        <f>VLOOKUP(K48,SFAssumptions!$A$18:$B$20,2,FALSE)</f>
        <v>1</v>
      </c>
      <c r="N48" s="436">
        <f ca="1">HLOOKUP($G48,'MFBaselines and Measures'!$C$3:$V$33,7,FALSE)</f>
        <v>3802.5240664273615</v>
      </c>
      <c r="O48" s="437">
        <f ca="1">HLOOKUP($G48,'MFBaselines and Measures'!$C$3:$V$33,8,FALSE)</f>
        <v>825.23457500176619</v>
      </c>
      <c r="P48" s="438">
        <f ca="1">HLOOKUP($G48,'MFBaselines and Measures'!$C$3:$V$33,25,FALSE)</f>
        <v>51.688606307059544</v>
      </c>
      <c r="Q48" s="438"/>
      <c r="R48" s="438">
        <f ca="1">HLOOKUP($G48,'MFBaselines and Measures'!$C$3:$V$33,27,FALSE)</f>
        <v>89.725253978913926</v>
      </c>
      <c r="S48" s="439">
        <f>HLOOKUP($G48,'MFBaselines and Measures'!$C$3:$V$33,29,FALSE)</f>
        <v>0</v>
      </c>
      <c r="T48" s="439"/>
      <c r="U48" s="439">
        <f ca="1">HLOOKUP($G48,'MFBaselines and Measures'!$C$3:$V$33,31,FALSE)</f>
        <v>4.0830972244004426</v>
      </c>
      <c r="V48" s="440">
        <f ca="1">HLOOKUP($G48,'MFBaselines and Measures'!$C$3:$V$33,9,FALSE)</f>
        <v>40.226132769221465</v>
      </c>
      <c r="W48" s="441"/>
      <c r="X48" s="436">
        <f ca="1">HLOOKUP($H48,'MFBaselines and Measures'!$C$2:$V$33,8,FALSE)</f>
        <v>3967.88847049284</v>
      </c>
      <c r="Y48" s="437">
        <f ca="1">HLOOKUP($H48,'MFBaselines and Measures'!$C$2:$V$33,9,FALSE)</f>
        <v>754.7360149776722</v>
      </c>
      <c r="Z48" s="438">
        <f ca="1">HLOOKUP($H48,'MFBaselines and Measures'!$C$2:$V$33,26,FALSE)</f>
        <v>50.610787625654815</v>
      </c>
      <c r="AA48" s="438"/>
      <c r="AB48" s="438">
        <f ca="1">HLOOKUP($H48,'MFBaselines and Measures'!$C$2:$V$33,28,FALSE)</f>
        <v>91.674902155254372</v>
      </c>
      <c r="AC48" s="439">
        <f>HLOOKUP($H48,'MFBaselines and Measures'!$C$2:$V$33,30,FALSE)</f>
        <v>0</v>
      </c>
      <c r="AD48" s="439"/>
      <c r="AE48" s="439">
        <f ca="1">HLOOKUP($H48,'MFBaselines and Measures'!$C$2:$V$33,32,FALSE)</f>
        <v>4.1718192140784423</v>
      </c>
      <c r="AF48" s="440">
        <f ca="1">HLOOKUP($H48,'MFBaselines and Measures'!$C$2:$V$33,10,FALSE)</f>
        <v>41.97548934318025</v>
      </c>
      <c r="AG48" s="441"/>
      <c r="AH48" s="436">
        <f t="shared" ca="1" si="15"/>
        <v>-165.36440406547854</v>
      </c>
      <c r="AI48" s="437">
        <f t="shared" ca="1" si="16"/>
        <v>-70.49856002409399</v>
      </c>
      <c r="AJ48" s="438">
        <f t="shared" ca="1" si="10"/>
        <v>1.0778186814047288</v>
      </c>
      <c r="AK48" s="438"/>
      <c r="AL48" s="438">
        <f t="shared" ca="1" si="30"/>
        <v>-1.9496481763404461</v>
      </c>
      <c r="AM48" s="439">
        <f t="shared" si="30"/>
        <v>0</v>
      </c>
      <c r="AN48" s="439"/>
      <c r="AO48" s="439">
        <f t="shared" ca="1" si="31"/>
        <v>-8.8721989677999602E-2</v>
      </c>
      <c r="AP48" s="442">
        <f t="shared" ca="1" si="31"/>
        <v>-1.7493565739587851</v>
      </c>
      <c r="AQ48" s="443"/>
      <c r="AR48" s="435" t="str">
        <f t="shared" si="18"/>
        <v>ENERGY STAR - Top-Load Clothes Washer - Electric DHW, Electric Dryer - 54% ENERGY STAR Baseline</v>
      </c>
      <c r="AS48" s="437">
        <f t="shared" ca="1" si="19"/>
        <v>-70.49856002409399</v>
      </c>
      <c r="AT48" s="438">
        <f t="shared" ca="1" si="20"/>
        <v>-0.87182949493571726</v>
      </c>
      <c r="AU48" s="439">
        <f t="shared" ca="1" si="21"/>
        <v>0</v>
      </c>
      <c r="AV48" s="439">
        <f t="shared" ca="1" si="22"/>
        <v>-165.36440406547854</v>
      </c>
      <c r="AW48" s="439"/>
      <c r="AX48" s="438">
        <f t="shared" ca="1" si="12"/>
        <v>-1.4810558446771798</v>
      </c>
      <c r="AY48" s="438">
        <f t="shared" ca="1" si="23"/>
        <v>-1.7493565739587851</v>
      </c>
      <c r="AZ48" s="443"/>
      <c r="BA48" s="433" t="str">
        <f>CONCATENATE(H48," Clothes Washer - ",I48," - 54% ENERGY STAR Baseline")</f>
        <v>ENERGY STAR - Top-Load Clothes Washer - Electric DHW, Electric Dryer - 54% ENERGY STAR Baseline</v>
      </c>
      <c r="BB48" s="433" t="s">
        <v>25</v>
      </c>
      <c r="BC48" s="438">
        <f t="shared" ca="1" si="25"/>
        <v>-0.87182949493571726</v>
      </c>
      <c r="BD48" s="438">
        <f>SFAssumptions!$C$7</f>
        <v>14</v>
      </c>
      <c r="BE48" s="444">
        <f t="shared" ca="1" si="26"/>
        <v>-70.49856002409399</v>
      </c>
      <c r="BF48" s="433"/>
      <c r="BG48" s="432" t="s">
        <v>157</v>
      </c>
      <c r="BH48" s="445">
        <f t="shared" ca="1" si="27"/>
        <v>-1.7493565739587851</v>
      </c>
      <c r="BI48" s="433"/>
      <c r="BJ48" s="433"/>
      <c r="BK48" s="433"/>
      <c r="BL48" s="433"/>
      <c r="BM48" s="433"/>
      <c r="BN48" s="433"/>
      <c r="BO48" s="446">
        <f t="shared" ca="1" si="28"/>
        <v>0</v>
      </c>
      <c r="BP48" s="433" t="s">
        <v>158</v>
      </c>
    </row>
    <row r="49" spans="1:68" s="414" customFormat="1">
      <c r="A49" s="433">
        <f t="shared" si="29"/>
        <v>32</v>
      </c>
      <c r="B49" s="433">
        <f t="shared" si="3"/>
        <v>2</v>
      </c>
      <c r="C49" s="433">
        <f t="shared" si="4"/>
        <v>2</v>
      </c>
      <c r="D49" s="433">
        <f t="shared" si="5"/>
        <v>1</v>
      </c>
      <c r="E49" s="433">
        <f t="shared" si="6"/>
        <v>2</v>
      </c>
      <c r="F49" s="433"/>
      <c r="G49" s="433" t="str">
        <f t="shared" si="13"/>
        <v>Current Practice Baseline Using 54% ENERGY STAR Penetration</v>
      </c>
      <c r="H49" s="433" t="str">
        <f t="shared" si="14"/>
        <v>ENERGY STAR - Top-Load</v>
      </c>
      <c r="I49" s="433" t="str">
        <f t="shared" si="7"/>
        <v>Electric DHW, Gas Dryer</v>
      </c>
      <c r="J49" s="433" t="str">
        <f t="shared" si="8"/>
        <v>Electric DHW</v>
      </c>
      <c r="K49" s="433" t="str">
        <f t="shared" si="9"/>
        <v>Gas Dryer</v>
      </c>
      <c r="L49" s="434">
        <f>VLOOKUP(J49,SFAssumptions!$A$14:$B$16,2,FALSE)</f>
        <v>1</v>
      </c>
      <c r="M49" s="435">
        <f>VLOOKUP(K49,SFAssumptions!$A$18:$B$20,2,FALSE)</f>
        <v>0</v>
      </c>
      <c r="N49" s="436">
        <f ca="1">HLOOKUP($G49,'MFBaselines and Measures'!$C$3:$V$33,7,FALSE)</f>
        <v>3802.5240664273615</v>
      </c>
      <c r="O49" s="437">
        <f ca="1">HLOOKUP($G49,'MFBaselines and Measures'!$C$3:$V$33,8,FALSE)</f>
        <v>825.23457500176619</v>
      </c>
      <c r="P49" s="438">
        <f ca="1">HLOOKUP($G49,'MFBaselines and Measures'!$C$3:$V$33,25,FALSE)</f>
        <v>51.688606307059544</v>
      </c>
      <c r="Q49" s="438"/>
      <c r="R49" s="438">
        <f ca="1">HLOOKUP($G49,'MFBaselines and Measures'!$C$3:$V$33,27,FALSE)</f>
        <v>89.725253978913926</v>
      </c>
      <c r="S49" s="439">
        <f>HLOOKUP($G49,'MFBaselines and Measures'!$C$3:$V$33,29,FALSE)</f>
        <v>0</v>
      </c>
      <c r="T49" s="439"/>
      <c r="U49" s="439">
        <f ca="1">HLOOKUP($G49,'MFBaselines and Measures'!$C$3:$V$33,31,FALSE)</f>
        <v>4.0830972244004426</v>
      </c>
      <c r="V49" s="440">
        <f ca="1">HLOOKUP($G49,'MFBaselines and Measures'!$C$3:$V$33,9,FALSE)</f>
        <v>40.226132769221465</v>
      </c>
      <c r="W49" s="441"/>
      <c r="X49" s="436">
        <f ca="1">HLOOKUP($H49,'MFBaselines and Measures'!$C$2:$V$33,8,FALSE)</f>
        <v>3967.88847049284</v>
      </c>
      <c r="Y49" s="437">
        <f ca="1">HLOOKUP($H49,'MFBaselines and Measures'!$C$2:$V$33,9,FALSE)</f>
        <v>754.7360149776722</v>
      </c>
      <c r="Z49" s="438">
        <f ca="1">HLOOKUP($H49,'MFBaselines and Measures'!$C$2:$V$33,26,FALSE)</f>
        <v>50.610787625654815</v>
      </c>
      <c r="AA49" s="438"/>
      <c r="AB49" s="438">
        <f ca="1">HLOOKUP($H49,'MFBaselines and Measures'!$C$2:$V$33,28,FALSE)</f>
        <v>91.674902155254372</v>
      </c>
      <c r="AC49" s="439">
        <f>HLOOKUP($H49,'MFBaselines and Measures'!$C$2:$V$33,30,FALSE)</f>
        <v>0</v>
      </c>
      <c r="AD49" s="439"/>
      <c r="AE49" s="439">
        <f ca="1">HLOOKUP($H49,'MFBaselines and Measures'!$C$2:$V$33,32,FALSE)</f>
        <v>4.1718192140784423</v>
      </c>
      <c r="AF49" s="440">
        <f ca="1">HLOOKUP($H49,'MFBaselines and Measures'!$C$2:$V$33,10,FALSE)</f>
        <v>41.97548934318025</v>
      </c>
      <c r="AG49" s="441"/>
      <c r="AH49" s="436">
        <f t="shared" ca="1" si="15"/>
        <v>-165.36440406547854</v>
      </c>
      <c r="AI49" s="437">
        <f t="shared" ca="1" si="16"/>
        <v>-70.49856002409399</v>
      </c>
      <c r="AJ49" s="438">
        <f t="shared" ca="1" si="10"/>
        <v>1.0778186814047288</v>
      </c>
      <c r="AK49" s="438"/>
      <c r="AL49" s="438">
        <f t="shared" ca="1" si="30"/>
        <v>-1.9496481763404461</v>
      </c>
      <c r="AM49" s="439">
        <f t="shared" si="30"/>
        <v>0</v>
      </c>
      <c r="AN49" s="439"/>
      <c r="AO49" s="439">
        <f t="shared" ca="1" si="31"/>
        <v>-8.8721989677999602E-2</v>
      </c>
      <c r="AP49" s="442">
        <f t="shared" ca="1" si="31"/>
        <v>-1.7493565739587851</v>
      </c>
      <c r="AQ49" s="443"/>
      <c r="AR49" s="435" t="str">
        <f t="shared" si="18"/>
        <v>ENERGY STAR - Top-Load Clothes Washer - Electric DHW, Gas Dryer - 54% ENERGY STAR Baseline</v>
      </c>
      <c r="AS49" s="437">
        <f t="shared" ca="1" si="19"/>
        <v>-70.49856002409399</v>
      </c>
      <c r="AT49" s="438">
        <f t="shared" ca="1" si="20"/>
        <v>-0.87182949493571726</v>
      </c>
      <c r="AU49" s="439">
        <f t="shared" ca="1" si="21"/>
        <v>0</v>
      </c>
      <c r="AV49" s="439">
        <f t="shared" ca="1" si="22"/>
        <v>-165.36440406547854</v>
      </c>
      <c r="AW49" s="439"/>
      <c r="AX49" s="438">
        <f t="shared" ca="1" si="12"/>
        <v>-1.4810558446771798</v>
      </c>
      <c r="AY49" s="438">
        <f t="shared" ca="1" si="23"/>
        <v>-1.7493565739587851</v>
      </c>
      <c r="AZ49" s="443"/>
      <c r="BA49" s="433" t="str">
        <f t="shared" ref="BA49:BA77" si="32">CONCATENATE(H49," Clothes Washer - ",I49," - 54% ENERGY STAR Baseline")</f>
        <v>ENERGY STAR - Top-Load Clothes Washer - Electric DHW, Gas Dryer - 54% ENERGY STAR Baseline</v>
      </c>
      <c r="BB49" s="433" t="s">
        <v>25</v>
      </c>
      <c r="BC49" s="438">
        <f t="shared" ca="1" si="25"/>
        <v>-0.87182949493571726</v>
      </c>
      <c r="BD49" s="438">
        <f>SFAssumptions!$C$7</f>
        <v>14</v>
      </c>
      <c r="BE49" s="444">
        <f t="shared" ca="1" si="26"/>
        <v>-70.49856002409399</v>
      </c>
      <c r="BF49" s="433"/>
      <c r="BG49" s="432" t="s">
        <v>157</v>
      </c>
      <c r="BH49" s="445">
        <f t="shared" ca="1" si="27"/>
        <v>-1.7493565739587851</v>
      </c>
      <c r="BI49" s="433"/>
      <c r="BJ49" s="433"/>
      <c r="BK49" s="433"/>
      <c r="BL49" s="433"/>
      <c r="BM49" s="433"/>
      <c r="BN49" s="433"/>
      <c r="BO49" s="446">
        <f t="shared" ca="1" si="28"/>
        <v>0</v>
      </c>
      <c r="BP49" s="433" t="s">
        <v>158</v>
      </c>
    </row>
    <row r="50" spans="1:68" s="414" customFormat="1">
      <c r="A50" s="433">
        <f t="shared" si="29"/>
        <v>33</v>
      </c>
      <c r="B50" s="433">
        <f t="shared" si="3"/>
        <v>2</v>
      </c>
      <c r="C50" s="433">
        <f t="shared" si="4"/>
        <v>3</v>
      </c>
      <c r="D50" s="433">
        <f t="shared" si="5"/>
        <v>1</v>
      </c>
      <c r="E50" s="433">
        <f t="shared" si="6"/>
        <v>3</v>
      </c>
      <c r="F50" s="433"/>
      <c r="G50" s="433" t="str">
        <f t="shared" si="13"/>
        <v>Current Practice Baseline Using 54% ENERGY STAR Penetration</v>
      </c>
      <c r="H50" s="433" t="str">
        <f t="shared" si="14"/>
        <v>ENERGY STAR - Top-Load</v>
      </c>
      <c r="I50" s="433" t="str">
        <f t="shared" si="7"/>
        <v>Gas DHW, Electric Dryer</v>
      </c>
      <c r="J50" s="433" t="str">
        <f t="shared" si="8"/>
        <v>Gas DHW</v>
      </c>
      <c r="K50" s="433" t="str">
        <f t="shared" si="9"/>
        <v>Electric Dryer</v>
      </c>
      <c r="L50" s="434">
        <f>VLOOKUP(J50,SFAssumptions!$A$14:$B$16,2,FALSE)</f>
        <v>0</v>
      </c>
      <c r="M50" s="435">
        <f>VLOOKUP(K50,SFAssumptions!$A$18:$B$20,2,FALSE)</f>
        <v>1</v>
      </c>
      <c r="N50" s="436">
        <f ca="1">HLOOKUP($G50,'MFBaselines and Measures'!$C$3:$V$33,7,FALSE)</f>
        <v>3802.5240664273615</v>
      </c>
      <c r="O50" s="437">
        <f ca="1">HLOOKUP($G50,'MFBaselines and Measures'!$C$3:$V$33,8,FALSE)</f>
        <v>825.23457500176619</v>
      </c>
      <c r="P50" s="438">
        <f ca="1">HLOOKUP($G50,'MFBaselines and Measures'!$C$3:$V$33,25,FALSE)</f>
        <v>51.688606307059544</v>
      </c>
      <c r="Q50" s="438"/>
      <c r="R50" s="438">
        <f ca="1">HLOOKUP($G50,'MFBaselines and Measures'!$C$3:$V$33,27,FALSE)</f>
        <v>89.725253978913926</v>
      </c>
      <c r="S50" s="439">
        <f>HLOOKUP($G50,'MFBaselines and Measures'!$C$3:$V$33,29,FALSE)</f>
        <v>0</v>
      </c>
      <c r="T50" s="439"/>
      <c r="U50" s="439">
        <f ca="1">HLOOKUP($G50,'MFBaselines and Measures'!$C$3:$V$33,31,FALSE)</f>
        <v>4.0830972244004426</v>
      </c>
      <c r="V50" s="440">
        <f ca="1">HLOOKUP($G50,'MFBaselines and Measures'!$C$3:$V$33,9,FALSE)</f>
        <v>40.226132769221465</v>
      </c>
      <c r="W50" s="441"/>
      <c r="X50" s="436">
        <f ca="1">HLOOKUP($H50,'MFBaselines and Measures'!$C$2:$V$33,8,FALSE)</f>
        <v>3967.88847049284</v>
      </c>
      <c r="Y50" s="437">
        <f ca="1">HLOOKUP($H50,'MFBaselines and Measures'!$C$2:$V$33,9,FALSE)</f>
        <v>754.7360149776722</v>
      </c>
      <c r="Z50" s="438">
        <f ca="1">HLOOKUP($H50,'MFBaselines and Measures'!$C$2:$V$33,26,FALSE)</f>
        <v>50.610787625654815</v>
      </c>
      <c r="AA50" s="438"/>
      <c r="AB50" s="438">
        <f ca="1">HLOOKUP($H50,'MFBaselines and Measures'!$C$2:$V$33,28,FALSE)</f>
        <v>91.674902155254372</v>
      </c>
      <c r="AC50" s="439">
        <f>HLOOKUP($H50,'MFBaselines and Measures'!$C$2:$V$33,30,FALSE)</f>
        <v>0</v>
      </c>
      <c r="AD50" s="439"/>
      <c r="AE50" s="439">
        <f ca="1">HLOOKUP($H50,'MFBaselines and Measures'!$C$2:$V$33,32,FALSE)</f>
        <v>4.1718192140784423</v>
      </c>
      <c r="AF50" s="440">
        <f ca="1">HLOOKUP($H50,'MFBaselines and Measures'!$C$2:$V$33,10,FALSE)</f>
        <v>41.97548934318025</v>
      </c>
      <c r="AG50" s="441"/>
      <c r="AH50" s="436">
        <f t="shared" ca="1" si="15"/>
        <v>-165.36440406547854</v>
      </c>
      <c r="AI50" s="437">
        <f t="shared" ca="1" si="16"/>
        <v>-70.49856002409399</v>
      </c>
      <c r="AJ50" s="438">
        <f t="shared" ca="1" si="10"/>
        <v>1.0778186814047288</v>
      </c>
      <c r="AK50" s="438"/>
      <c r="AL50" s="438">
        <f t="shared" ref="AL50:AM77" ca="1" si="33">R50-AB50</f>
        <v>-1.9496481763404461</v>
      </c>
      <c r="AM50" s="439">
        <f t="shared" si="33"/>
        <v>0</v>
      </c>
      <c r="AN50" s="439"/>
      <c r="AO50" s="439">
        <f t="shared" ca="1" si="31"/>
        <v>-8.8721989677999602E-2</v>
      </c>
      <c r="AP50" s="442">
        <f t="shared" ca="1" si="31"/>
        <v>-1.7493565739587851</v>
      </c>
      <c r="AQ50" s="443"/>
      <c r="AR50" s="435" t="str">
        <f t="shared" si="18"/>
        <v>ENERGY STAR - Top-Load Clothes Washer - Gas DHW, Electric Dryer - 54% ENERGY STAR Baseline</v>
      </c>
      <c r="AS50" s="437">
        <f t="shared" ca="1" si="19"/>
        <v>-70.49856002409399</v>
      </c>
      <c r="AT50" s="438">
        <f t="shared" ca="1" si="20"/>
        <v>1.0778186814047288</v>
      </c>
      <c r="AU50" s="439">
        <f t="shared" ca="1" si="21"/>
        <v>-8.8721989677999602E-2</v>
      </c>
      <c r="AV50" s="439">
        <f t="shared" ca="1" si="22"/>
        <v>-165.36440406547854</v>
      </c>
      <c r="AW50" s="439"/>
      <c r="AX50" s="438">
        <f t="shared" ca="1" si="12"/>
        <v>0.46859233166326619</v>
      </c>
      <c r="AY50" s="438">
        <f t="shared" ca="1" si="23"/>
        <v>-1.7493565739587851</v>
      </c>
      <c r="AZ50" s="443"/>
      <c r="BA50" s="433" t="str">
        <f t="shared" si="32"/>
        <v>ENERGY STAR - Top-Load Clothes Washer - Gas DHW, Electric Dryer - 54% ENERGY STAR Baseline</v>
      </c>
      <c r="BB50" s="433" t="s">
        <v>25</v>
      </c>
      <c r="BC50" s="438">
        <f t="shared" ca="1" si="25"/>
        <v>1.0778186814047288</v>
      </c>
      <c r="BD50" s="438">
        <f>SFAssumptions!$C$7</f>
        <v>14</v>
      </c>
      <c r="BE50" s="444">
        <f t="shared" ca="1" si="26"/>
        <v>-70.49856002409399</v>
      </c>
      <c r="BF50" s="433"/>
      <c r="BG50" s="432" t="s">
        <v>157</v>
      </c>
      <c r="BH50" s="445">
        <f t="shared" ca="1" si="27"/>
        <v>-1.7493565739587851</v>
      </c>
      <c r="BI50" s="433"/>
      <c r="BJ50" s="433"/>
      <c r="BK50" s="433"/>
      <c r="BL50" s="433"/>
      <c r="BM50" s="433"/>
      <c r="BN50" s="433"/>
      <c r="BO50" s="446">
        <f t="shared" ca="1" si="28"/>
        <v>-8.8721989677999602E-2</v>
      </c>
      <c r="BP50" s="433" t="s">
        <v>158</v>
      </c>
    </row>
    <row r="51" spans="1:68" s="414" customFormat="1">
      <c r="A51" s="433">
        <f t="shared" si="29"/>
        <v>34</v>
      </c>
      <c r="B51" s="433">
        <f t="shared" si="3"/>
        <v>2</v>
      </c>
      <c r="C51" s="433">
        <f t="shared" si="4"/>
        <v>4</v>
      </c>
      <c r="D51" s="433">
        <f t="shared" si="5"/>
        <v>1</v>
      </c>
      <c r="E51" s="433">
        <f t="shared" si="6"/>
        <v>4</v>
      </c>
      <c r="F51" s="433"/>
      <c r="G51" s="433" t="str">
        <f t="shared" si="13"/>
        <v>Current Practice Baseline Using 54% ENERGY STAR Penetration</v>
      </c>
      <c r="H51" s="433" t="str">
        <f t="shared" si="14"/>
        <v>ENERGY STAR - Top-Load</v>
      </c>
      <c r="I51" s="433" t="str">
        <f t="shared" si="7"/>
        <v>Gas DHW, Gas Dryer</v>
      </c>
      <c r="J51" s="433" t="str">
        <f t="shared" si="8"/>
        <v>Gas DHW</v>
      </c>
      <c r="K51" s="433" t="str">
        <f t="shared" si="9"/>
        <v>Gas Dryer</v>
      </c>
      <c r="L51" s="434">
        <f>VLOOKUP(J51,SFAssumptions!$A$14:$B$16,2,FALSE)</f>
        <v>0</v>
      </c>
      <c r="M51" s="435">
        <f>VLOOKUP(K51,SFAssumptions!$A$18:$B$20,2,FALSE)</f>
        <v>0</v>
      </c>
      <c r="N51" s="436">
        <f ca="1">HLOOKUP($G51,'MFBaselines and Measures'!$C$3:$V$33,7,FALSE)</f>
        <v>3802.5240664273615</v>
      </c>
      <c r="O51" s="437">
        <f ca="1">HLOOKUP($G51,'MFBaselines and Measures'!$C$3:$V$33,8,FALSE)</f>
        <v>825.23457500176619</v>
      </c>
      <c r="P51" s="438">
        <f ca="1">HLOOKUP($G51,'MFBaselines and Measures'!$C$3:$V$33,25,FALSE)</f>
        <v>51.688606307059544</v>
      </c>
      <c r="Q51" s="438"/>
      <c r="R51" s="438">
        <f ca="1">HLOOKUP($G51,'MFBaselines and Measures'!$C$3:$V$33,27,FALSE)</f>
        <v>89.725253978913926</v>
      </c>
      <c r="S51" s="439">
        <f>HLOOKUP($G51,'MFBaselines and Measures'!$C$3:$V$33,29,FALSE)</f>
        <v>0</v>
      </c>
      <c r="T51" s="439"/>
      <c r="U51" s="439">
        <f ca="1">HLOOKUP($G51,'MFBaselines and Measures'!$C$3:$V$33,31,FALSE)</f>
        <v>4.0830972244004426</v>
      </c>
      <c r="V51" s="440">
        <f ca="1">HLOOKUP($G51,'MFBaselines and Measures'!$C$3:$V$33,9,FALSE)</f>
        <v>40.226132769221465</v>
      </c>
      <c r="W51" s="441"/>
      <c r="X51" s="436">
        <f ca="1">HLOOKUP($H51,'MFBaselines and Measures'!$C$2:$V$33,8,FALSE)</f>
        <v>3967.88847049284</v>
      </c>
      <c r="Y51" s="437">
        <f ca="1">HLOOKUP($H51,'MFBaselines and Measures'!$C$2:$V$33,9,FALSE)</f>
        <v>754.7360149776722</v>
      </c>
      <c r="Z51" s="438">
        <f ca="1">HLOOKUP($H51,'MFBaselines and Measures'!$C$2:$V$33,26,FALSE)</f>
        <v>50.610787625654815</v>
      </c>
      <c r="AA51" s="438"/>
      <c r="AB51" s="438">
        <f ca="1">HLOOKUP($H51,'MFBaselines and Measures'!$C$2:$V$33,28,FALSE)</f>
        <v>91.674902155254372</v>
      </c>
      <c r="AC51" s="439">
        <f>HLOOKUP($H51,'MFBaselines and Measures'!$C$2:$V$33,30,FALSE)</f>
        <v>0</v>
      </c>
      <c r="AD51" s="439"/>
      <c r="AE51" s="439">
        <f ca="1">HLOOKUP($H51,'MFBaselines and Measures'!$C$2:$V$33,32,FALSE)</f>
        <v>4.1718192140784423</v>
      </c>
      <c r="AF51" s="440">
        <f ca="1">HLOOKUP($H51,'MFBaselines and Measures'!$C$2:$V$33,10,FALSE)</f>
        <v>41.97548934318025</v>
      </c>
      <c r="AG51" s="441"/>
      <c r="AH51" s="436">
        <f t="shared" ca="1" si="15"/>
        <v>-165.36440406547854</v>
      </c>
      <c r="AI51" s="437">
        <f t="shared" ca="1" si="16"/>
        <v>-70.49856002409399</v>
      </c>
      <c r="AJ51" s="438">
        <f t="shared" ca="1" si="10"/>
        <v>1.0778186814047288</v>
      </c>
      <c r="AK51" s="438"/>
      <c r="AL51" s="438">
        <f t="shared" ca="1" si="33"/>
        <v>-1.9496481763404461</v>
      </c>
      <c r="AM51" s="439">
        <f t="shared" si="33"/>
        <v>0</v>
      </c>
      <c r="AN51" s="439"/>
      <c r="AO51" s="439">
        <f t="shared" ref="AO51:AP77" ca="1" si="34">U51-AE51</f>
        <v>-8.8721989677999602E-2</v>
      </c>
      <c r="AP51" s="442">
        <f t="shared" ca="1" si="34"/>
        <v>-1.7493565739587851</v>
      </c>
      <c r="AQ51" s="443"/>
      <c r="AR51" s="435" t="str">
        <f t="shared" si="18"/>
        <v>ENERGY STAR - Top-Load Clothes Washer - Gas DHW, Gas Dryer - 54% ENERGY STAR Baseline</v>
      </c>
      <c r="AS51" s="437">
        <f t="shared" ca="1" si="19"/>
        <v>-70.49856002409399</v>
      </c>
      <c r="AT51" s="438">
        <f t="shared" ca="1" si="20"/>
        <v>1.0778186814047288</v>
      </c>
      <c r="AU51" s="439">
        <f t="shared" ca="1" si="21"/>
        <v>-8.8721989677999602E-2</v>
      </c>
      <c r="AV51" s="439">
        <f t="shared" ca="1" si="22"/>
        <v>-165.36440406547854</v>
      </c>
      <c r="AW51" s="439"/>
      <c r="AX51" s="438">
        <f t="shared" ca="1" si="12"/>
        <v>0.46859233166326619</v>
      </c>
      <c r="AY51" s="438">
        <f t="shared" ca="1" si="23"/>
        <v>-1.7493565739587851</v>
      </c>
      <c r="AZ51" s="443"/>
      <c r="BA51" s="433" t="str">
        <f t="shared" si="32"/>
        <v>ENERGY STAR - Top-Load Clothes Washer - Gas DHW, Gas Dryer - 54% ENERGY STAR Baseline</v>
      </c>
      <c r="BB51" s="433" t="s">
        <v>25</v>
      </c>
      <c r="BC51" s="438">
        <f t="shared" ca="1" si="25"/>
        <v>1.0778186814047288</v>
      </c>
      <c r="BD51" s="438">
        <f>SFAssumptions!$C$7</f>
        <v>14</v>
      </c>
      <c r="BE51" s="444">
        <f t="shared" ca="1" si="26"/>
        <v>-70.49856002409399</v>
      </c>
      <c r="BF51" s="433"/>
      <c r="BG51" s="432" t="s">
        <v>157</v>
      </c>
      <c r="BH51" s="445">
        <f t="shared" ca="1" si="27"/>
        <v>-1.7493565739587851</v>
      </c>
      <c r="BI51" s="433"/>
      <c r="BJ51" s="433"/>
      <c r="BK51" s="433"/>
      <c r="BL51" s="433"/>
      <c r="BM51" s="433"/>
      <c r="BN51" s="433"/>
      <c r="BO51" s="446">
        <f t="shared" ca="1" si="28"/>
        <v>-8.8721989677999602E-2</v>
      </c>
      <c r="BP51" s="433" t="s">
        <v>158</v>
      </c>
    </row>
    <row r="52" spans="1:68" s="414" customFormat="1">
      <c r="A52" s="433">
        <f t="shared" si="29"/>
        <v>35</v>
      </c>
      <c r="B52" s="433">
        <f t="shared" si="3"/>
        <v>2</v>
      </c>
      <c r="C52" s="433">
        <f t="shared" si="4"/>
        <v>5</v>
      </c>
      <c r="D52" s="433">
        <f t="shared" si="5"/>
        <v>1</v>
      </c>
      <c r="E52" s="433">
        <f t="shared" si="6"/>
        <v>5</v>
      </c>
      <c r="F52" s="433"/>
      <c r="G52" s="433" t="str">
        <f t="shared" si="13"/>
        <v>Current Practice Baseline Using 54% ENERGY STAR Penetration</v>
      </c>
      <c r="H52" s="433" t="str">
        <f t="shared" si="14"/>
        <v>ENERGY STAR - Top-Load</v>
      </c>
      <c r="I52" s="433" t="str">
        <f t="shared" si="7"/>
        <v>Any DHW, Any Dryer</v>
      </c>
      <c r="J52" s="433" t="str">
        <f t="shared" si="8"/>
        <v>Any DHW</v>
      </c>
      <c r="K52" s="433" t="str">
        <f t="shared" si="9"/>
        <v>Any Dryer</v>
      </c>
      <c r="L52" s="434">
        <f>VLOOKUP(J52,SFAssumptions!$A$14:$B$16,2,FALSE)</f>
        <v>0.55200000000000005</v>
      </c>
      <c r="M52" s="435">
        <f>VLOOKUP(K52,SFAssumptions!$A$18:$B$20,2,FALSE)</f>
        <v>0.95</v>
      </c>
      <c r="N52" s="436">
        <f ca="1">HLOOKUP($G52,'MFBaselines and Measures'!$C$3:$V$33,7,FALSE)</f>
        <v>3802.5240664273615</v>
      </c>
      <c r="O52" s="437">
        <f ca="1">HLOOKUP($G52,'MFBaselines and Measures'!$C$3:$V$33,8,FALSE)</f>
        <v>825.23457500176619</v>
      </c>
      <c r="P52" s="438">
        <f ca="1">HLOOKUP($G52,'MFBaselines and Measures'!$C$3:$V$33,25,FALSE)</f>
        <v>51.688606307059544</v>
      </c>
      <c r="Q52" s="438"/>
      <c r="R52" s="438">
        <f ca="1">HLOOKUP($G52,'MFBaselines and Measures'!$C$3:$V$33,27,FALSE)</f>
        <v>89.725253978913926</v>
      </c>
      <c r="S52" s="439">
        <f>HLOOKUP($G52,'MFBaselines and Measures'!$C$3:$V$33,29,FALSE)</f>
        <v>0</v>
      </c>
      <c r="T52" s="439"/>
      <c r="U52" s="439">
        <f ca="1">HLOOKUP($G52,'MFBaselines and Measures'!$C$3:$V$33,31,FALSE)</f>
        <v>4.0830972244004426</v>
      </c>
      <c r="V52" s="440">
        <f ca="1">HLOOKUP($G52,'MFBaselines and Measures'!$C$3:$V$33,9,FALSE)</f>
        <v>40.226132769221465</v>
      </c>
      <c r="W52" s="441"/>
      <c r="X52" s="436">
        <f ca="1">HLOOKUP($H52,'MFBaselines and Measures'!$C$2:$V$33,8,FALSE)</f>
        <v>3967.88847049284</v>
      </c>
      <c r="Y52" s="437">
        <f ca="1">HLOOKUP($H52,'MFBaselines and Measures'!$C$2:$V$33,9,FALSE)</f>
        <v>754.7360149776722</v>
      </c>
      <c r="Z52" s="438">
        <f ca="1">HLOOKUP($H52,'MFBaselines and Measures'!$C$2:$V$33,26,FALSE)</f>
        <v>50.610787625654815</v>
      </c>
      <c r="AA52" s="438"/>
      <c r="AB52" s="438">
        <f ca="1">HLOOKUP($H52,'MFBaselines and Measures'!$C$2:$V$33,28,FALSE)</f>
        <v>91.674902155254372</v>
      </c>
      <c r="AC52" s="439">
        <f>HLOOKUP($H52,'MFBaselines and Measures'!$C$2:$V$33,30,FALSE)</f>
        <v>0</v>
      </c>
      <c r="AD52" s="439"/>
      <c r="AE52" s="439">
        <f ca="1">HLOOKUP($H52,'MFBaselines and Measures'!$C$2:$V$33,32,FALSE)</f>
        <v>4.1718192140784423</v>
      </c>
      <c r="AF52" s="440">
        <f ca="1">HLOOKUP($H52,'MFBaselines and Measures'!$C$2:$V$33,10,FALSE)</f>
        <v>41.97548934318025</v>
      </c>
      <c r="AG52" s="441"/>
      <c r="AH52" s="436">
        <f t="shared" ca="1" si="15"/>
        <v>-165.36440406547854</v>
      </c>
      <c r="AI52" s="437">
        <f t="shared" ca="1" si="16"/>
        <v>-70.49856002409399</v>
      </c>
      <c r="AJ52" s="438">
        <f t="shared" ca="1" si="10"/>
        <v>1.0778186814047288</v>
      </c>
      <c r="AK52" s="438"/>
      <c r="AL52" s="438">
        <f t="shared" ca="1" si="33"/>
        <v>-1.9496481763404461</v>
      </c>
      <c r="AM52" s="439">
        <f t="shared" si="33"/>
        <v>0</v>
      </c>
      <c r="AN52" s="439"/>
      <c r="AO52" s="439">
        <f t="shared" ca="1" si="34"/>
        <v>-8.8721989677999602E-2</v>
      </c>
      <c r="AP52" s="442">
        <f t="shared" ca="1" si="34"/>
        <v>-1.7493565739587851</v>
      </c>
      <c r="AQ52" s="443"/>
      <c r="AR52" s="435" t="str">
        <f t="shared" si="18"/>
        <v>ENERGY STAR - Top-Load Clothes Washer - Any DHW, Any Dryer - 54% ENERGY STAR Baseline</v>
      </c>
      <c r="AS52" s="437">
        <f t="shared" ca="1" si="19"/>
        <v>-70.49856002409399</v>
      </c>
      <c r="AT52" s="438">
        <f t="shared" ca="1" si="20"/>
        <v>1.6128880648025312E-3</v>
      </c>
      <c r="AU52" s="439">
        <f t="shared" ca="1" si="21"/>
        <v>-3.9747451375743814E-2</v>
      </c>
      <c r="AV52" s="439">
        <f t="shared" ca="1" si="22"/>
        <v>-165.36440406547854</v>
      </c>
      <c r="AW52" s="439"/>
      <c r="AX52" s="438">
        <f t="shared" ca="1" si="12"/>
        <v>-0.60761346167666008</v>
      </c>
      <c r="AY52" s="438">
        <f t="shared" ca="1" si="23"/>
        <v>-1.7493565739587851</v>
      </c>
      <c r="AZ52" s="443"/>
      <c r="BA52" s="433" t="str">
        <f t="shared" si="32"/>
        <v>ENERGY STAR - Top-Load Clothes Washer - Any DHW, Any Dryer - 54% ENERGY STAR Baseline</v>
      </c>
      <c r="BB52" s="433" t="s">
        <v>25</v>
      </c>
      <c r="BC52" s="438">
        <f t="shared" ca="1" si="25"/>
        <v>1.6128880648025312E-3</v>
      </c>
      <c r="BD52" s="438">
        <f>SFAssumptions!$C$7</f>
        <v>14</v>
      </c>
      <c r="BE52" s="444">
        <f t="shared" ca="1" si="26"/>
        <v>-70.49856002409399</v>
      </c>
      <c r="BF52" s="433"/>
      <c r="BG52" s="432" t="s">
        <v>157</v>
      </c>
      <c r="BH52" s="445">
        <f t="shared" ca="1" si="27"/>
        <v>-1.7493565739587851</v>
      </c>
      <c r="BI52" s="433"/>
      <c r="BJ52" s="433"/>
      <c r="BK52" s="433"/>
      <c r="BL52" s="433"/>
      <c r="BM52" s="433"/>
      <c r="BN52" s="433"/>
      <c r="BO52" s="446">
        <f t="shared" ca="1" si="28"/>
        <v>-3.9747451375743814E-2</v>
      </c>
      <c r="BP52" s="433" t="s">
        <v>158</v>
      </c>
    </row>
    <row r="53" spans="1:68" s="414" customFormat="1">
      <c r="A53" s="433">
        <f t="shared" si="29"/>
        <v>36</v>
      </c>
      <c r="B53" s="433">
        <f t="shared" si="3"/>
        <v>2</v>
      </c>
      <c r="C53" s="433">
        <f t="shared" si="4"/>
        <v>6</v>
      </c>
      <c r="D53" s="433">
        <f t="shared" si="5"/>
        <v>2</v>
      </c>
      <c r="E53" s="433">
        <f t="shared" si="6"/>
        <v>1</v>
      </c>
      <c r="F53" s="433"/>
      <c r="G53" s="433" t="str">
        <f t="shared" si="13"/>
        <v>Current Practice Baseline Using 54% ENERGY STAR Penetration</v>
      </c>
      <c r="H53" s="433" t="str">
        <f t="shared" si="14"/>
        <v>ENERGY STAR - Front-Load</v>
      </c>
      <c r="I53" s="433" t="str">
        <f t="shared" si="7"/>
        <v>Electric DHW, Electric Dryer</v>
      </c>
      <c r="J53" s="433" t="str">
        <f t="shared" si="8"/>
        <v>Electric DHW</v>
      </c>
      <c r="K53" s="433" t="str">
        <f t="shared" si="9"/>
        <v>Electric Dryer</v>
      </c>
      <c r="L53" s="434">
        <f>VLOOKUP(J53,SFAssumptions!$A$14:$B$16,2,FALSE)</f>
        <v>1</v>
      </c>
      <c r="M53" s="435">
        <f>VLOOKUP(K53,SFAssumptions!$A$18:$B$20,2,FALSE)</f>
        <v>1</v>
      </c>
      <c r="N53" s="436">
        <f ca="1">HLOOKUP($G53,'MFBaselines and Measures'!$C$3:$V$33,7,FALSE)</f>
        <v>3802.5240664273615</v>
      </c>
      <c r="O53" s="437">
        <f ca="1">HLOOKUP($G53,'MFBaselines and Measures'!$C$3:$V$33,8,FALSE)</f>
        <v>825.23457500176619</v>
      </c>
      <c r="P53" s="438">
        <f ca="1">HLOOKUP($G53,'MFBaselines and Measures'!$C$3:$V$33,25,FALSE)</f>
        <v>51.688606307059544</v>
      </c>
      <c r="Q53" s="438"/>
      <c r="R53" s="438">
        <f ca="1">HLOOKUP($G53,'MFBaselines and Measures'!$C$3:$V$33,27,FALSE)</f>
        <v>89.725253978913926</v>
      </c>
      <c r="S53" s="439">
        <f>HLOOKUP($G53,'MFBaselines and Measures'!$C$3:$V$33,29,FALSE)</f>
        <v>0</v>
      </c>
      <c r="T53" s="439"/>
      <c r="U53" s="439">
        <f ca="1">HLOOKUP($G53,'MFBaselines and Measures'!$C$3:$V$33,31,FALSE)</f>
        <v>4.0830972244004426</v>
      </c>
      <c r="V53" s="440">
        <f ca="1">HLOOKUP($G53,'MFBaselines and Measures'!$C$3:$V$33,9,FALSE)</f>
        <v>40.226132769221465</v>
      </c>
      <c r="W53" s="441"/>
      <c r="X53" s="436">
        <f ca="1">HLOOKUP($H53,'MFBaselines and Measures'!$C$2:$V$33,8,FALSE)</f>
        <v>3066.8078198141188</v>
      </c>
      <c r="Y53" s="437">
        <f ca="1">HLOOKUP($H53,'MFBaselines and Measures'!$C$2:$V$33,9,FALSE)</f>
        <v>969.81887509547198</v>
      </c>
      <c r="Z53" s="438">
        <f ca="1">HLOOKUP($H53,'MFBaselines and Measures'!$C$2:$V$33,26,FALSE)</f>
        <v>47.704390673629995</v>
      </c>
      <c r="AA53" s="438"/>
      <c r="AB53" s="438">
        <f ca="1">HLOOKUP($H53,'MFBaselines and Measures'!$C$2:$V$33,28,FALSE)</f>
        <v>66.787135586846006</v>
      </c>
      <c r="AC53" s="439">
        <f>HLOOKUP($H53,'MFBaselines and Measures'!$C$2:$V$33,30,FALSE)</f>
        <v>0</v>
      </c>
      <c r="AD53" s="439"/>
      <c r="AE53" s="439">
        <f ca="1">HLOOKUP($H53,'MFBaselines and Measures'!$C$2:$V$33,32,FALSE)</f>
        <v>3.0392599167720724</v>
      </c>
      <c r="AF53" s="440">
        <f ca="1">HLOOKUP($H53,'MFBaselines and Measures'!$C$2:$V$33,10,FALSE)</f>
        <v>32.443139446961354</v>
      </c>
      <c r="AG53" s="441"/>
      <c r="AH53" s="436">
        <f t="shared" ca="1" si="15"/>
        <v>735.71624661324267</v>
      </c>
      <c r="AI53" s="437">
        <f t="shared" ca="1" si="16"/>
        <v>144.58430009370579</v>
      </c>
      <c r="AJ53" s="438">
        <f t="shared" ca="1" si="10"/>
        <v>3.9842156334295495</v>
      </c>
      <c r="AK53" s="438"/>
      <c r="AL53" s="438">
        <f t="shared" ca="1" si="33"/>
        <v>22.938118392067921</v>
      </c>
      <c r="AM53" s="439">
        <f t="shared" si="33"/>
        <v>0</v>
      </c>
      <c r="AN53" s="439"/>
      <c r="AO53" s="439">
        <f t="shared" ca="1" si="34"/>
        <v>1.0438373076283702</v>
      </c>
      <c r="AP53" s="442">
        <f t="shared" ca="1" si="34"/>
        <v>7.7829933222601113</v>
      </c>
      <c r="AQ53" s="443"/>
      <c r="AR53" s="435" t="str">
        <f t="shared" si="18"/>
        <v>ENERGY STAR - Front-Load Clothes Washer - Electric DHW, Electric Dryer - 54% ENERGY STAR Baseline</v>
      </c>
      <c r="AS53" s="437">
        <f t="shared" ca="1" si="19"/>
        <v>144.58430009370579</v>
      </c>
      <c r="AT53" s="438">
        <f t="shared" ca="1" si="20"/>
        <v>26.92233402549747</v>
      </c>
      <c r="AU53" s="439">
        <f t="shared" ca="1" si="21"/>
        <v>0</v>
      </c>
      <c r="AV53" s="439">
        <f t="shared" ca="1" si="22"/>
        <v>735.71624661324267</v>
      </c>
      <c r="AW53" s="439"/>
      <c r="AX53" s="438">
        <f t="shared" ca="1" si="12"/>
        <v>29.632818944562622</v>
      </c>
      <c r="AY53" s="438">
        <f t="shared" ca="1" si="23"/>
        <v>7.7829933222601113</v>
      </c>
      <c r="AZ53" s="443"/>
      <c r="BA53" s="433" t="str">
        <f t="shared" si="32"/>
        <v>ENERGY STAR - Front-Load Clothes Washer - Electric DHW, Electric Dryer - 54% ENERGY STAR Baseline</v>
      </c>
      <c r="BB53" s="433" t="s">
        <v>25</v>
      </c>
      <c r="BC53" s="438">
        <f t="shared" ca="1" si="25"/>
        <v>26.92233402549747</v>
      </c>
      <c r="BD53" s="438">
        <f>SFAssumptions!$C$7</f>
        <v>14</v>
      </c>
      <c r="BE53" s="444">
        <f t="shared" ca="1" si="26"/>
        <v>144.58430009370579</v>
      </c>
      <c r="BF53" s="433"/>
      <c r="BG53" s="432" t="s">
        <v>157</v>
      </c>
      <c r="BH53" s="445">
        <f t="shared" ca="1" si="27"/>
        <v>7.7829933222601113</v>
      </c>
      <c r="BI53" s="433"/>
      <c r="BJ53" s="433"/>
      <c r="BK53" s="433"/>
      <c r="BL53" s="433"/>
      <c r="BM53" s="433"/>
      <c r="BN53" s="433"/>
      <c r="BO53" s="446">
        <f t="shared" ca="1" si="28"/>
        <v>0</v>
      </c>
      <c r="BP53" s="433" t="s">
        <v>158</v>
      </c>
    </row>
    <row r="54" spans="1:68" s="414" customFormat="1">
      <c r="A54" s="433">
        <f t="shared" si="29"/>
        <v>37</v>
      </c>
      <c r="B54" s="433">
        <f t="shared" si="3"/>
        <v>2</v>
      </c>
      <c r="C54" s="433">
        <f t="shared" si="4"/>
        <v>7</v>
      </c>
      <c r="D54" s="433">
        <f t="shared" si="5"/>
        <v>2</v>
      </c>
      <c r="E54" s="433">
        <f t="shared" si="6"/>
        <v>2</v>
      </c>
      <c r="F54" s="433"/>
      <c r="G54" s="433" t="str">
        <f t="shared" si="13"/>
        <v>Current Practice Baseline Using 54% ENERGY STAR Penetration</v>
      </c>
      <c r="H54" s="433" t="str">
        <f t="shared" si="14"/>
        <v>ENERGY STAR - Front-Load</v>
      </c>
      <c r="I54" s="433" t="str">
        <f t="shared" si="7"/>
        <v>Electric DHW, Gas Dryer</v>
      </c>
      <c r="J54" s="433" t="str">
        <f t="shared" si="8"/>
        <v>Electric DHW</v>
      </c>
      <c r="K54" s="433" t="str">
        <f t="shared" si="9"/>
        <v>Gas Dryer</v>
      </c>
      <c r="L54" s="434">
        <f>VLOOKUP(J54,SFAssumptions!$A$14:$B$16,2,FALSE)</f>
        <v>1</v>
      </c>
      <c r="M54" s="435">
        <f>VLOOKUP(K54,SFAssumptions!$A$18:$B$20,2,FALSE)</f>
        <v>0</v>
      </c>
      <c r="N54" s="436">
        <f ca="1">HLOOKUP($G54,'MFBaselines and Measures'!$C$3:$V$33,7,FALSE)</f>
        <v>3802.5240664273615</v>
      </c>
      <c r="O54" s="437">
        <f ca="1">HLOOKUP($G54,'MFBaselines and Measures'!$C$3:$V$33,8,FALSE)</f>
        <v>825.23457500176619</v>
      </c>
      <c r="P54" s="438">
        <f ca="1">HLOOKUP($G54,'MFBaselines and Measures'!$C$3:$V$33,25,FALSE)</f>
        <v>51.688606307059544</v>
      </c>
      <c r="Q54" s="438"/>
      <c r="R54" s="438">
        <f ca="1">HLOOKUP($G54,'MFBaselines and Measures'!$C$3:$V$33,27,FALSE)</f>
        <v>89.725253978913926</v>
      </c>
      <c r="S54" s="439">
        <f>HLOOKUP($G54,'MFBaselines and Measures'!$C$3:$V$33,29,FALSE)</f>
        <v>0</v>
      </c>
      <c r="T54" s="439"/>
      <c r="U54" s="439">
        <f ca="1">HLOOKUP($G54,'MFBaselines and Measures'!$C$3:$V$33,31,FALSE)</f>
        <v>4.0830972244004426</v>
      </c>
      <c r="V54" s="440">
        <f ca="1">HLOOKUP($G54,'MFBaselines and Measures'!$C$3:$V$33,9,FALSE)</f>
        <v>40.226132769221465</v>
      </c>
      <c r="W54" s="441"/>
      <c r="X54" s="436">
        <f ca="1">HLOOKUP($H54,'MFBaselines and Measures'!$C$2:$V$33,8,FALSE)</f>
        <v>3066.8078198141188</v>
      </c>
      <c r="Y54" s="437">
        <f ca="1">HLOOKUP($H54,'MFBaselines and Measures'!$C$2:$V$33,9,FALSE)</f>
        <v>969.81887509547198</v>
      </c>
      <c r="Z54" s="438">
        <f ca="1">HLOOKUP($H54,'MFBaselines and Measures'!$C$2:$V$33,26,FALSE)</f>
        <v>47.704390673629995</v>
      </c>
      <c r="AA54" s="438"/>
      <c r="AB54" s="438">
        <f ca="1">HLOOKUP($H54,'MFBaselines and Measures'!$C$2:$V$33,28,FALSE)</f>
        <v>66.787135586846006</v>
      </c>
      <c r="AC54" s="439">
        <f>HLOOKUP($H54,'MFBaselines and Measures'!$C$2:$V$33,30,FALSE)</f>
        <v>0</v>
      </c>
      <c r="AD54" s="439"/>
      <c r="AE54" s="439">
        <f ca="1">HLOOKUP($H54,'MFBaselines and Measures'!$C$2:$V$33,32,FALSE)</f>
        <v>3.0392599167720724</v>
      </c>
      <c r="AF54" s="440">
        <f ca="1">HLOOKUP($H54,'MFBaselines and Measures'!$C$2:$V$33,10,FALSE)</f>
        <v>32.443139446961354</v>
      </c>
      <c r="AG54" s="441"/>
      <c r="AH54" s="436">
        <f t="shared" ca="1" si="15"/>
        <v>735.71624661324267</v>
      </c>
      <c r="AI54" s="437">
        <f t="shared" ca="1" si="16"/>
        <v>144.58430009370579</v>
      </c>
      <c r="AJ54" s="438">
        <f t="shared" ca="1" si="10"/>
        <v>3.9842156334295495</v>
      </c>
      <c r="AK54" s="438"/>
      <c r="AL54" s="438">
        <f t="shared" ca="1" si="33"/>
        <v>22.938118392067921</v>
      </c>
      <c r="AM54" s="439">
        <f t="shared" si="33"/>
        <v>0</v>
      </c>
      <c r="AN54" s="439"/>
      <c r="AO54" s="439">
        <f t="shared" ca="1" si="34"/>
        <v>1.0438373076283702</v>
      </c>
      <c r="AP54" s="442">
        <f t="shared" ca="1" si="34"/>
        <v>7.7829933222601113</v>
      </c>
      <c r="AQ54" s="443"/>
      <c r="AR54" s="435" t="str">
        <f t="shared" si="18"/>
        <v>ENERGY STAR - Front-Load Clothes Washer - Electric DHW, Gas Dryer - 54% ENERGY STAR Baseline</v>
      </c>
      <c r="AS54" s="437">
        <f t="shared" ca="1" si="19"/>
        <v>144.58430009370579</v>
      </c>
      <c r="AT54" s="438">
        <f t="shared" ca="1" si="20"/>
        <v>26.92233402549747</v>
      </c>
      <c r="AU54" s="439">
        <f t="shared" ca="1" si="21"/>
        <v>0</v>
      </c>
      <c r="AV54" s="439">
        <f t="shared" ca="1" si="22"/>
        <v>735.71624661324267</v>
      </c>
      <c r="AW54" s="439"/>
      <c r="AX54" s="438">
        <f t="shared" ca="1" si="12"/>
        <v>29.632818944562622</v>
      </c>
      <c r="AY54" s="438">
        <f t="shared" ca="1" si="23"/>
        <v>7.7829933222601113</v>
      </c>
      <c r="AZ54" s="443"/>
      <c r="BA54" s="433" t="str">
        <f t="shared" si="32"/>
        <v>ENERGY STAR - Front-Load Clothes Washer - Electric DHW, Gas Dryer - 54% ENERGY STAR Baseline</v>
      </c>
      <c r="BB54" s="433" t="s">
        <v>25</v>
      </c>
      <c r="BC54" s="438">
        <f t="shared" ca="1" si="25"/>
        <v>26.92233402549747</v>
      </c>
      <c r="BD54" s="438">
        <f>SFAssumptions!$C$7</f>
        <v>14</v>
      </c>
      <c r="BE54" s="444">
        <f t="shared" ca="1" si="26"/>
        <v>144.58430009370579</v>
      </c>
      <c r="BF54" s="433"/>
      <c r="BG54" s="432" t="s">
        <v>157</v>
      </c>
      <c r="BH54" s="445">
        <f t="shared" ca="1" si="27"/>
        <v>7.7829933222601113</v>
      </c>
      <c r="BI54" s="433"/>
      <c r="BJ54" s="433"/>
      <c r="BK54" s="433"/>
      <c r="BL54" s="433"/>
      <c r="BM54" s="433"/>
      <c r="BN54" s="433"/>
      <c r="BO54" s="446">
        <f t="shared" ca="1" si="28"/>
        <v>0</v>
      </c>
      <c r="BP54" s="433" t="s">
        <v>158</v>
      </c>
    </row>
    <row r="55" spans="1:68" s="414" customFormat="1">
      <c r="A55" s="433">
        <f t="shared" si="29"/>
        <v>38</v>
      </c>
      <c r="B55" s="433">
        <f t="shared" si="3"/>
        <v>2</v>
      </c>
      <c r="C55" s="433">
        <f t="shared" si="4"/>
        <v>8</v>
      </c>
      <c r="D55" s="433">
        <f t="shared" si="5"/>
        <v>2</v>
      </c>
      <c r="E55" s="433">
        <f t="shared" si="6"/>
        <v>3</v>
      </c>
      <c r="F55" s="433"/>
      <c r="G55" s="433" t="str">
        <f t="shared" si="13"/>
        <v>Current Practice Baseline Using 54% ENERGY STAR Penetration</v>
      </c>
      <c r="H55" s="433" t="str">
        <f t="shared" si="14"/>
        <v>ENERGY STAR - Front-Load</v>
      </c>
      <c r="I55" s="433" t="str">
        <f t="shared" si="7"/>
        <v>Gas DHW, Electric Dryer</v>
      </c>
      <c r="J55" s="433" t="str">
        <f t="shared" si="8"/>
        <v>Gas DHW</v>
      </c>
      <c r="K55" s="433" t="str">
        <f t="shared" si="9"/>
        <v>Electric Dryer</v>
      </c>
      <c r="L55" s="434">
        <f>VLOOKUP(J55,SFAssumptions!$A$14:$B$16,2,FALSE)</f>
        <v>0</v>
      </c>
      <c r="M55" s="435">
        <f>VLOOKUP(K55,SFAssumptions!$A$18:$B$20,2,FALSE)</f>
        <v>1</v>
      </c>
      <c r="N55" s="436">
        <f ca="1">HLOOKUP($G55,'MFBaselines and Measures'!$C$3:$V$33,7,FALSE)</f>
        <v>3802.5240664273615</v>
      </c>
      <c r="O55" s="437">
        <f ca="1">HLOOKUP($G55,'MFBaselines and Measures'!$C$3:$V$33,8,FALSE)</f>
        <v>825.23457500176619</v>
      </c>
      <c r="P55" s="438">
        <f ca="1">HLOOKUP($G55,'MFBaselines and Measures'!$C$3:$V$33,25,FALSE)</f>
        <v>51.688606307059544</v>
      </c>
      <c r="Q55" s="438"/>
      <c r="R55" s="438">
        <f ca="1">HLOOKUP($G55,'MFBaselines and Measures'!$C$3:$V$33,27,FALSE)</f>
        <v>89.725253978913926</v>
      </c>
      <c r="S55" s="439">
        <f>HLOOKUP($G55,'MFBaselines and Measures'!$C$3:$V$33,29,FALSE)</f>
        <v>0</v>
      </c>
      <c r="T55" s="439"/>
      <c r="U55" s="439">
        <f ca="1">HLOOKUP($G55,'MFBaselines and Measures'!$C$3:$V$33,31,FALSE)</f>
        <v>4.0830972244004426</v>
      </c>
      <c r="V55" s="440">
        <f ca="1">HLOOKUP($G55,'MFBaselines and Measures'!$C$3:$V$33,9,FALSE)</f>
        <v>40.226132769221465</v>
      </c>
      <c r="W55" s="441"/>
      <c r="X55" s="436">
        <f ca="1">HLOOKUP($H55,'MFBaselines and Measures'!$C$2:$V$33,8,FALSE)</f>
        <v>3066.8078198141188</v>
      </c>
      <c r="Y55" s="437">
        <f ca="1">HLOOKUP($H55,'MFBaselines and Measures'!$C$2:$V$33,9,FALSE)</f>
        <v>969.81887509547198</v>
      </c>
      <c r="Z55" s="438">
        <f ca="1">HLOOKUP($H55,'MFBaselines and Measures'!$C$2:$V$33,26,FALSE)</f>
        <v>47.704390673629995</v>
      </c>
      <c r="AA55" s="438"/>
      <c r="AB55" s="438">
        <f ca="1">HLOOKUP($H55,'MFBaselines and Measures'!$C$2:$V$33,28,FALSE)</f>
        <v>66.787135586846006</v>
      </c>
      <c r="AC55" s="439">
        <f>HLOOKUP($H55,'MFBaselines and Measures'!$C$2:$V$33,30,FALSE)</f>
        <v>0</v>
      </c>
      <c r="AD55" s="439"/>
      <c r="AE55" s="439">
        <f ca="1">HLOOKUP($H55,'MFBaselines and Measures'!$C$2:$V$33,32,FALSE)</f>
        <v>3.0392599167720724</v>
      </c>
      <c r="AF55" s="440">
        <f ca="1">HLOOKUP($H55,'MFBaselines and Measures'!$C$2:$V$33,10,FALSE)</f>
        <v>32.443139446961354</v>
      </c>
      <c r="AG55" s="441"/>
      <c r="AH55" s="436">
        <f t="shared" ca="1" si="15"/>
        <v>735.71624661324267</v>
      </c>
      <c r="AI55" s="437">
        <f t="shared" ca="1" si="16"/>
        <v>144.58430009370579</v>
      </c>
      <c r="AJ55" s="438">
        <f t="shared" ca="1" si="10"/>
        <v>3.9842156334295495</v>
      </c>
      <c r="AK55" s="438"/>
      <c r="AL55" s="438">
        <f t="shared" ca="1" si="33"/>
        <v>22.938118392067921</v>
      </c>
      <c r="AM55" s="439">
        <f t="shared" si="33"/>
        <v>0</v>
      </c>
      <c r="AN55" s="439"/>
      <c r="AO55" s="439">
        <f t="shared" ca="1" si="34"/>
        <v>1.0438373076283702</v>
      </c>
      <c r="AP55" s="442">
        <f t="shared" ca="1" si="34"/>
        <v>7.7829933222601113</v>
      </c>
      <c r="AQ55" s="443"/>
      <c r="AR55" s="435" t="str">
        <f t="shared" si="18"/>
        <v>ENERGY STAR - Front-Load Clothes Washer - Gas DHW, Electric Dryer - 54% ENERGY STAR Baseline</v>
      </c>
      <c r="AS55" s="437">
        <f t="shared" ca="1" si="19"/>
        <v>144.58430009370579</v>
      </c>
      <c r="AT55" s="438">
        <f t="shared" ca="1" si="20"/>
        <v>3.9842156334295495</v>
      </c>
      <c r="AU55" s="439">
        <f t="shared" ca="1" si="21"/>
        <v>1.0438373076283702</v>
      </c>
      <c r="AV55" s="439">
        <f t="shared" ca="1" si="22"/>
        <v>735.71624661324267</v>
      </c>
      <c r="AW55" s="439"/>
      <c r="AX55" s="438">
        <f t="shared" ca="1" si="12"/>
        <v>6.6947005524946999</v>
      </c>
      <c r="AY55" s="438">
        <f t="shared" ca="1" si="23"/>
        <v>7.7829933222601113</v>
      </c>
      <c r="AZ55" s="443"/>
      <c r="BA55" s="433" t="str">
        <f t="shared" si="32"/>
        <v>ENERGY STAR - Front-Load Clothes Washer - Gas DHW, Electric Dryer - 54% ENERGY STAR Baseline</v>
      </c>
      <c r="BB55" s="433" t="s">
        <v>25</v>
      </c>
      <c r="BC55" s="438">
        <f t="shared" ca="1" si="25"/>
        <v>3.9842156334295495</v>
      </c>
      <c r="BD55" s="438">
        <f>SFAssumptions!$C$7</f>
        <v>14</v>
      </c>
      <c r="BE55" s="444">
        <f t="shared" ca="1" si="26"/>
        <v>144.58430009370579</v>
      </c>
      <c r="BF55" s="433"/>
      <c r="BG55" s="432" t="s">
        <v>157</v>
      </c>
      <c r="BH55" s="445">
        <f t="shared" ca="1" si="27"/>
        <v>7.7829933222601113</v>
      </c>
      <c r="BI55" s="433"/>
      <c r="BJ55" s="433"/>
      <c r="BK55" s="433"/>
      <c r="BL55" s="433"/>
      <c r="BM55" s="433"/>
      <c r="BN55" s="433"/>
      <c r="BO55" s="446">
        <f t="shared" ca="1" si="28"/>
        <v>1.0438373076283702</v>
      </c>
      <c r="BP55" s="433" t="s">
        <v>158</v>
      </c>
    </row>
    <row r="56" spans="1:68" s="414" customFormat="1">
      <c r="A56" s="433">
        <f t="shared" si="29"/>
        <v>39</v>
      </c>
      <c r="B56" s="433">
        <f t="shared" si="3"/>
        <v>2</v>
      </c>
      <c r="C56" s="433">
        <f t="shared" si="4"/>
        <v>9</v>
      </c>
      <c r="D56" s="433">
        <f t="shared" si="5"/>
        <v>2</v>
      </c>
      <c r="E56" s="433">
        <f t="shared" si="6"/>
        <v>4</v>
      </c>
      <c r="F56" s="433"/>
      <c r="G56" s="433" t="str">
        <f t="shared" si="13"/>
        <v>Current Practice Baseline Using 54% ENERGY STAR Penetration</v>
      </c>
      <c r="H56" s="433" t="str">
        <f t="shared" si="14"/>
        <v>ENERGY STAR - Front-Load</v>
      </c>
      <c r="I56" s="433" t="str">
        <f t="shared" si="7"/>
        <v>Gas DHW, Gas Dryer</v>
      </c>
      <c r="J56" s="433" t="str">
        <f t="shared" si="8"/>
        <v>Gas DHW</v>
      </c>
      <c r="K56" s="433" t="str">
        <f t="shared" si="9"/>
        <v>Gas Dryer</v>
      </c>
      <c r="L56" s="434">
        <f>VLOOKUP(J56,SFAssumptions!$A$14:$B$16,2,FALSE)</f>
        <v>0</v>
      </c>
      <c r="M56" s="435">
        <f>VLOOKUP(K56,SFAssumptions!$A$18:$B$20,2,FALSE)</f>
        <v>0</v>
      </c>
      <c r="N56" s="436">
        <f ca="1">HLOOKUP($G56,'MFBaselines and Measures'!$C$3:$V$33,7,FALSE)</f>
        <v>3802.5240664273615</v>
      </c>
      <c r="O56" s="437">
        <f ca="1">HLOOKUP($G56,'MFBaselines and Measures'!$C$3:$V$33,8,FALSE)</f>
        <v>825.23457500176619</v>
      </c>
      <c r="P56" s="438">
        <f ca="1">HLOOKUP($G56,'MFBaselines and Measures'!$C$3:$V$33,25,FALSE)</f>
        <v>51.688606307059544</v>
      </c>
      <c r="Q56" s="438"/>
      <c r="R56" s="438">
        <f ca="1">HLOOKUP($G56,'MFBaselines and Measures'!$C$3:$V$33,27,FALSE)</f>
        <v>89.725253978913926</v>
      </c>
      <c r="S56" s="439">
        <f>HLOOKUP($G56,'MFBaselines and Measures'!$C$3:$V$33,29,FALSE)</f>
        <v>0</v>
      </c>
      <c r="T56" s="439"/>
      <c r="U56" s="439">
        <f ca="1">HLOOKUP($G56,'MFBaselines and Measures'!$C$3:$V$33,31,FALSE)</f>
        <v>4.0830972244004426</v>
      </c>
      <c r="V56" s="440">
        <f ca="1">HLOOKUP($G56,'MFBaselines and Measures'!$C$3:$V$33,9,FALSE)</f>
        <v>40.226132769221465</v>
      </c>
      <c r="W56" s="441"/>
      <c r="X56" s="436">
        <f ca="1">HLOOKUP($H56,'MFBaselines and Measures'!$C$2:$V$33,8,FALSE)</f>
        <v>3066.8078198141188</v>
      </c>
      <c r="Y56" s="437">
        <f ca="1">HLOOKUP($H56,'MFBaselines and Measures'!$C$2:$V$33,9,FALSE)</f>
        <v>969.81887509547198</v>
      </c>
      <c r="Z56" s="438">
        <f ca="1">HLOOKUP($H56,'MFBaselines and Measures'!$C$2:$V$33,26,FALSE)</f>
        <v>47.704390673629995</v>
      </c>
      <c r="AA56" s="438"/>
      <c r="AB56" s="438">
        <f ca="1">HLOOKUP($H56,'MFBaselines and Measures'!$C$2:$V$33,28,FALSE)</f>
        <v>66.787135586846006</v>
      </c>
      <c r="AC56" s="439">
        <f>HLOOKUP($H56,'MFBaselines and Measures'!$C$2:$V$33,30,FALSE)</f>
        <v>0</v>
      </c>
      <c r="AD56" s="439"/>
      <c r="AE56" s="439">
        <f ca="1">HLOOKUP($H56,'MFBaselines and Measures'!$C$2:$V$33,32,FALSE)</f>
        <v>3.0392599167720724</v>
      </c>
      <c r="AF56" s="440">
        <f ca="1">HLOOKUP($H56,'MFBaselines and Measures'!$C$2:$V$33,10,FALSE)</f>
        <v>32.443139446961354</v>
      </c>
      <c r="AG56" s="441"/>
      <c r="AH56" s="436">
        <f t="shared" ca="1" si="15"/>
        <v>735.71624661324267</v>
      </c>
      <c r="AI56" s="437">
        <f t="shared" ca="1" si="16"/>
        <v>144.58430009370579</v>
      </c>
      <c r="AJ56" s="438">
        <f t="shared" ca="1" si="10"/>
        <v>3.9842156334295495</v>
      </c>
      <c r="AK56" s="438"/>
      <c r="AL56" s="438">
        <f t="shared" ca="1" si="33"/>
        <v>22.938118392067921</v>
      </c>
      <c r="AM56" s="439">
        <f t="shared" si="33"/>
        <v>0</v>
      </c>
      <c r="AN56" s="439"/>
      <c r="AO56" s="439">
        <f t="shared" ca="1" si="34"/>
        <v>1.0438373076283702</v>
      </c>
      <c r="AP56" s="442">
        <f t="shared" ca="1" si="34"/>
        <v>7.7829933222601113</v>
      </c>
      <c r="AQ56" s="443"/>
      <c r="AR56" s="435" t="str">
        <f t="shared" si="18"/>
        <v>ENERGY STAR - Front-Load Clothes Washer - Gas DHW, Gas Dryer - 54% ENERGY STAR Baseline</v>
      </c>
      <c r="AS56" s="437">
        <f t="shared" ca="1" si="19"/>
        <v>144.58430009370579</v>
      </c>
      <c r="AT56" s="438">
        <f t="shared" ca="1" si="20"/>
        <v>3.9842156334295495</v>
      </c>
      <c r="AU56" s="439">
        <f t="shared" ca="1" si="21"/>
        <v>1.0438373076283702</v>
      </c>
      <c r="AV56" s="439">
        <f t="shared" ca="1" si="22"/>
        <v>735.71624661324267</v>
      </c>
      <c r="AW56" s="439"/>
      <c r="AX56" s="438">
        <f t="shared" ca="1" si="12"/>
        <v>6.6947005524946999</v>
      </c>
      <c r="AY56" s="438">
        <f t="shared" ca="1" si="23"/>
        <v>7.7829933222601113</v>
      </c>
      <c r="AZ56" s="443"/>
      <c r="BA56" s="433" t="str">
        <f t="shared" si="32"/>
        <v>ENERGY STAR - Front-Load Clothes Washer - Gas DHW, Gas Dryer - 54% ENERGY STAR Baseline</v>
      </c>
      <c r="BB56" s="433" t="s">
        <v>25</v>
      </c>
      <c r="BC56" s="438">
        <f t="shared" ca="1" si="25"/>
        <v>3.9842156334295495</v>
      </c>
      <c r="BD56" s="438">
        <f>SFAssumptions!$C$7</f>
        <v>14</v>
      </c>
      <c r="BE56" s="444">
        <f t="shared" ca="1" si="26"/>
        <v>144.58430009370579</v>
      </c>
      <c r="BF56" s="433"/>
      <c r="BG56" s="432" t="s">
        <v>157</v>
      </c>
      <c r="BH56" s="445">
        <f t="shared" ca="1" si="27"/>
        <v>7.7829933222601113</v>
      </c>
      <c r="BI56" s="433"/>
      <c r="BJ56" s="433"/>
      <c r="BK56" s="433"/>
      <c r="BL56" s="433"/>
      <c r="BM56" s="433"/>
      <c r="BN56" s="433"/>
      <c r="BO56" s="446">
        <f t="shared" ca="1" si="28"/>
        <v>1.0438373076283702</v>
      </c>
      <c r="BP56" s="433" t="s">
        <v>158</v>
      </c>
    </row>
    <row r="57" spans="1:68" s="414" customFormat="1">
      <c r="A57" s="433">
        <f t="shared" si="29"/>
        <v>40</v>
      </c>
      <c r="B57" s="433">
        <f t="shared" si="3"/>
        <v>2</v>
      </c>
      <c r="C57" s="433">
        <f t="shared" si="4"/>
        <v>10</v>
      </c>
      <c r="D57" s="433">
        <f t="shared" si="5"/>
        <v>2</v>
      </c>
      <c r="E57" s="433">
        <f t="shared" si="6"/>
        <v>5</v>
      </c>
      <c r="F57" s="433"/>
      <c r="G57" s="433" t="str">
        <f t="shared" si="13"/>
        <v>Current Practice Baseline Using 54% ENERGY STAR Penetration</v>
      </c>
      <c r="H57" s="433" t="str">
        <f t="shared" si="14"/>
        <v>ENERGY STAR - Front-Load</v>
      </c>
      <c r="I57" s="433" t="str">
        <f t="shared" si="7"/>
        <v>Any DHW, Any Dryer</v>
      </c>
      <c r="J57" s="433" t="str">
        <f t="shared" si="8"/>
        <v>Any DHW</v>
      </c>
      <c r="K57" s="433" t="str">
        <f t="shared" si="9"/>
        <v>Any Dryer</v>
      </c>
      <c r="L57" s="434">
        <f>VLOOKUP(J57,SFAssumptions!$A$14:$B$16,2,FALSE)</f>
        <v>0.55200000000000005</v>
      </c>
      <c r="M57" s="435">
        <f>VLOOKUP(K57,SFAssumptions!$A$18:$B$20,2,FALSE)</f>
        <v>0.95</v>
      </c>
      <c r="N57" s="436">
        <f ca="1">HLOOKUP($G57,'MFBaselines and Measures'!$C$3:$V$33,7,FALSE)</f>
        <v>3802.5240664273615</v>
      </c>
      <c r="O57" s="437">
        <f ca="1">HLOOKUP($G57,'MFBaselines and Measures'!$C$3:$V$33,8,FALSE)</f>
        <v>825.23457500176619</v>
      </c>
      <c r="P57" s="438">
        <f ca="1">HLOOKUP($G57,'MFBaselines and Measures'!$C$3:$V$33,25,FALSE)</f>
        <v>51.688606307059544</v>
      </c>
      <c r="Q57" s="438"/>
      <c r="R57" s="438">
        <f ca="1">HLOOKUP($G57,'MFBaselines and Measures'!$C$3:$V$33,27,FALSE)</f>
        <v>89.725253978913926</v>
      </c>
      <c r="S57" s="439">
        <f>HLOOKUP($G57,'MFBaselines and Measures'!$C$3:$V$33,29,FALSE)</f>
        <v>0</v>
      </c>
      <c r="T57" s="439"/>
      <c r="U57" s="439">
        <f ca="1">HLOOKUP($G57,'MFBaselines and Measures'!$C$3:$V$33,31,FALSE)</f>
        <v>4.0830972244004426</v>
      </c>
      <c r="V57" s="440">
        <f ca="1">HLOOKUP($G57,'MFBaselines and Measures'!$C$3:$V$33,9,FALSE)</f>
        <v>40.226132769221465</v>
      </c>
      <c r="W57" s="441"/>
      <c r="X57" s="436">
        <f ca="1">HLOOKUP($H57,'MFBaselines and Measures'!$C$2:$V$33,8,FALSE)</f>
        <v>3066.8078198141188</v>
      </c>
      <c r="Y57" s="437">
        <f ca="1">HLOOKUP($H57,'MFBaselines and Measures'!$C$2:$V$33,9,FALSE)</f>
        <v>969.81887509547198</v>
      </c>
      <c r="Z57" s="438">
        <f ca="1">HLOOKUP($H57,'MFBaselines and Measures'!$C$2:$V$33,26,FALSE)</f>
        <v>47.704390673629995</v>
      </c>
      <c r="AA57" s="438"/>
      <c r="AB57" s="438">
        <f ca="1">HLOOKUP($H57,'MFBaselines and Measures'!$C$2:$V$33,28,FALSE)</f>
        <v>66.787135586846006</v>
      </c>
      <c r="AC57" s="439">
        <f>HLOOKUP($H57,'MFBaselines and Measures'!$C$2:$V$33,30,FALSE)</f>
        <v>0</v>
      </c>
      <c r="AD57" s="439"/>
      <c r="AE57" s="439">
        <f ca="1">HLOOKUP($H57,'MFBaselines and Measures'!$C$2:$V$33,32,FALSE)</f>
        <v>3.0392599167720724</v>
      </c>
      <c r="AF57" s="440">
        <f ca="1">HLOOKUP($H57,'MFBaselines and Measures'!$C$2:$V$33,10,FALSE)</f>
        <v>32.443139446961354</v>
      </c>
      <c r="AG57" s="441"/>
      <c r="AH57" s="436">
        <f t="shared" ca="1" si="15"/>
        <v>735.71624661324267</v>
      </c>
      <c r="AI57" s="437">
        <f t="shared" ca="1" si="16"/>
        <v>144.58430009370579</v>
      </c>
      <c r="AJ57" s="438">
        <f t="shared" ca="1" si="10"/>
        <v>3.9842156334295495</v>
      </c>
      <c r="AK57" s="438"/>
      <c r="AL57" s="438">
        <f t="shared" ca="1" si="33"/>
        <v>22.938118392067921</v>
      </c>
      <c r="AM57" s="439">
        <f t="shared" si="33"/>
        <v>0</v>
      </c>
      <c r="AN57" s="439"/>
      <c r="AO57" s="439">
        <f t="shared" ca="1" si="34"/>
        <v>1.0438373076283702</v>
      </c>
      <c r="AP57" s="442">
        <f t="shared" ca="1" si="34"/>
        <v>7.7829933222601113</v>
      </c>
      <c r="AQ57" s="443"/>
      <c r="AR57" s="435" t="str">
        <f t="shared" si="18"/>
        <v>ENERGY STAR - Front-Load Clothes Washer - Any DHW, Any Dryer - 54% ENERGY STAR Baseline</v>
      </c>
      <c r="AS57" s="437">
        <f t="shared" ca="1" si="19"/>
        <v>144.58430009370579</v>
      </c>
      <c r="AT57" s="438">
        <f t="shared" ca="1" si="20"/>
        <v>16.646056985851043</v>
      </c>
      <c r="AU57" s="439">
        <f t="shared" ca="1" si="21"/>
        <v>0.46763911381750983</v>
      </c>
      <c r="AV57" s="439">
        <f t="shared" ca="1" si="22"/>
        <v>735.71624661324267</v>
      </c>
      <c r="AW57" s="439"/>
      <c r="AX57" s="438">
        <f t="shared" ca="1" si="12"/>
        <v>19.356541904916195</v>
      </c>
      <c r="AY57" s="438">
        <f t="shared" ca="1" si="23"/>
        <v>7.7829933222601113</v>
      </c>
      <c r="AZ57" s="443"/>
      <c r="BA57" s="433" t="str">
        <f t="shared" si="32"/>
        <v>ENERGY STAR - Front-Load Clothes Washer - Any DHW, Any Dryer - 54% ENERGY STAR Baseline</v>
      </c>
      <c r="BB57" s="433" t="s">
        <v>25</v>
      </c>
      <c r="BC57" s="438">
        <f t="shared" ca="1" si="25"/>
        <v>16.646056985851043</v>
      </c>
      <c r="BD57" s="438">
        <f>SFAssumptions!$C$7</f>
        <v>14</v>
      </c>
      <c r="BE57" s="444">
        <f t="shared" ca="1" si="26"/>
        <v>144.58430009370579</v>
      </c>
      <c r="BF57" s="433"/>
      <c r="BG57" s="432" t="s">
        <v>157</v>
      </c>
      <c r="BH57" s="445">
        <f t="shared" ca="1" si="27"/>
        <v>7.7829933222601113</v>
      </c>
      <c r="BI57" s="433"/>
      <c r="BJ57" s="433"/>
      <c r="BK57" s="433"/>
      <c r="BL57" s="433"/>
      <c r="BM57" s="433"/>
      <c r="BN57" s="433"/>
      <c r="BO57" s="446">
        <f t="shared" ca="1" si="28"/>
        <v>0.46763911381750983</v>
      </c>
      <c r="BP57" s="433" t="s">
        <v>158</v>
      </c>
    </row>
    <row r="58" spans="1:68" s="414" customFormat="1">
      <c r="A58" s="433">
        <f t="shared" si="29"/>
        <v>41</v>
      </c>
      <c r="B58" s="433">
        <f t="shared" si="3"/>
        <v>2</v>
      </c>
      <c r="C58" s="433">
        <f t="shared" si="4"/>
        <v>11</v>
      </c>
      <c r="D58" s="433">
        <f t="shared" si="5"/>
        <v>3</v>
      </c>
      <c r="E58" s="433">
        <f t="shared" si="6"/>
        <v>1</v>
      </c>
      <c r="F58" s="433"/>
      <c r="G58" s="433" t="str">
        <f t="shared" si="13"/>
        <v>Current Practice Baseline Using 54% ENERGY STAR Penetration</v>
      </c>
      <c r="H58" s="433" t="str">
        <f t="shared" si="14"/>
        <v>Any ENERGY STAR (Top- or Front-Load)</v>
      </c>
      <c r="I58" s="433" t="str">
        <f t="shared" si="7"/>
        <v>Electric DHW, Electric Dryer</v>
      </c>
      <c r="J58" s="433" t="str">
        <f t="shared" si="8"/>
        <v>Electric DHW</v>
      </c>
      <c r="K58" s="433" t="str">
        <f t="shared" si="9"/>
        <v>Electric Dryer</v>
      </c>
      <c r="L58" s="434">
        <f>VLOOKUP(J58,SFAssumptions!$A$14:$B$16,2,FALSE)</f>
        <v>1</v>
      </c>
      <c r="M58" s="435">
        <f>VLOOKUP(K58,SFAssumptions!$A$18:$B$20,2,FALSE)</f>
        <v>1</v>
      </c>
      <c r="N58" s="436">
        <f ca="1">HLOOKUP($G58,'MFBaselines and Measures'!$C$3:$V$33,7,FALSE)</f>
        <v>3802.5240664273615</v>
      </c>
      <c r="O58" s="437">
        <f ca="1">HLOOKUP($G58,'MFBaselines and Measures'!$C$3:$V$33,8,FALSE)</f>
        <v>825.23457500176619</v>
      </c>
      <c r="P58" s="438">
        <f ca="1">HLOOKUP($G58,'MFBaselines and Measures'!$C$3:$V$33,25,FALSE)</f>
        <v>51.688606307059544</v>
      </c>
      <c r="Q58" s="438"/>
      <c r="R58" s="438">
        <f ca="1">HLOOKUP($G58,'MFBaselines and Measures'!$C$3:$V$33,27,FALSE)</f>
        <v>89.725253978913926</v>
      </c>
      <c r="S58" s="439">
        <f>HLOOKUP($G58,'MFBaselines and Measures'!$C$3:$V$33,29,FALSE)</f>
        <v>0</v>
      </c>
      <c r="T58" s="439"/>
      <c r="U58" s="439">
        <f ca="1">HLOOKUP($G58,'MFBaselines and Measures'!$C$3:$V$33,31,FALSE)</f>
        <v>4.0830972244004426</v>
      </c>
      <c r="V58" s="440">
        <f ca="1">HLOOKUP($G58,'MFBaselines and Measures'!$C$3:$V$33,9,FALSE)</f>
        <v>40.226132769221465</v>
      </c>
      <c r="W58" s="441"/>
      <c r="X58" s="436">
        <f ca="1">HLOOKUP($H58,'MFBaselines and Measures'!$C$2:$V$33,8,FALSE)</f>
        <v>3321.230591770463</v>
      </c>
      <c r="Y58" s="437">
        <f ca="1">HLOOKUP($H58,'MFBaselines and Measures'!$C$2:$V$33,9,FALSE)</f>
        <v>921.19144585144784</v>
      </c>
      <c r="Z58" s="438">
        <f ca="1">HLOOKUP($H58,'MFBaselines and Measures'!$C$2:$V$33,26,FALSE)</f>
        <v>48.668256432345743</v>
      </c>
      <c r="AA58" s="438"/>
      <c r="AB58" s="438">
        <f ca="1">HLOOKUP($H58,'MFBaselines and Measures'!$C$2:$V$33,28,FALSE)</f>
        <v>73.789186055570553</v>
      </c>
      <c r="AC58" s="439">
        <f>HLOOKUP($H58,'MFBaselines and Measures'!$C$2:$V$33,30,FALSE)</f>
        <v>0</v>
      </c>
      <c r="AD58" s="439"/>
      <c r="AE58" s="439">
        <f ca="1">HLOOKUP($H58,'MFBaselines and Measures'!$C$2:$V$33,32,FALSE)</f>
        <v>3.3578998934354973</v>
      </c>
      <c r="AF58" s="440">
        <f ca="1">HLOOKUP($H58,'MFBaselines and Measures'!$C$2:$V$33,10,FALSE)</f>
        <v>35.134626476481984</v>
      </c>
      <c r="AG58" s="441"/>
      <c r="AH58" s="436">
        <f t="shared" ca="1" si="15"/>
        <v>481.29347465689852</v>
      </c>
      <c r="AI58" s="437">
        <f t="shared" ca="1" si="16"/>
        <v>95.95687084968165</v>
      </c>
      <c r="AJ58" s="438">
        <f t="shared" ca="1" si="10"/>
        <v>3.0203498747138013</v>
      </c>
      <c r="AK58" s="438"/>
      <c r="AL58" s="438">
        <f t="shared" ca="1" si="33"/>
        <v>15.936067923343373</v>
      </c>
      <c r="AM58" s="439">
        <f t="shared" si="33"/>
        <v>0</v>
      </c>
      <c r="AN58" s="439"/>
      <c r="AO58" s="439">
        <f t="shared" ca="1" si="34"/>
        <v>0.72519733096494532</v>
      </c>
      <c r="AP58" s="442">
        <f t="shared" ca="1" si="34"/>
        <v>5.0915062927394814</v>
      </c>
      <c r="AQ58" s="443"/>
      <c r="AR58" s="435" t="str">
        <f t="shared" si="18"/>
        <v>Any ENERGY STAR (Top- or Front-Load) Clothes Washer - Electric DHW, Electric Dryer - 54% ENERGY STAR Baseline</v>
      </c>
      <c r="AS58" s="437">
        <f t="shared" ca="1" si="19"/>
        <v>95.95687084968165</v>
      </c>
      <c r="AT58" s="438">
        <f t="shared" ca="1" si="20"/>
        <v>18.956417798057174</v>
      </c>
      <c r="AU58" s="439">
        <f t="shared" ca="1" si="21"/>
        <v>0</v>
      </c>
      <c r="AV58" s="439">
        <f t="shared" ca="1" si="22"/>
        <v>481.29347465689852</v>
      </c>
      <c r="AW58" s="439"/>
      <c r="AX58" s="438">
        <f t="shared" ca="1" si="12"/>
        <v>20.729572476518108</v>
      </c>
      <c r="AY58" s="438">
        <f t="shared" ca="1" si="23"/>
        <v>5.0915062927394814</v>
      </c>
      <c r="AZ58" s="443"/>
      <c r="BA58" s="433" t="str">
        <f t="shared" si="32"/>
        <v>Any ENERGY STAR (Top- or Front-Load) Clothes Washer - Electric DHW, Electric Dryer - 54% ENERGY STAR Baseline</v>
      </c>
      <c r="BB58" s="433" t="s">
        <v>25</v>
      </c>
      <c r="BC58" s="438">
        <f t="shared" ca="1" si="25"/>
        <v>18.956417798057174</v>
      </c>
      <c r="BD58" s="438">
        <f>SFAssumptions!$C$7</f>
        <v>14</v>
      </c>
      <c r="BE58" s="444">
        <f t="shared" ca="1" si="26"/>
        <v>95.95687084968165</v>
      </c>
      <c r="BF58" s="433"/>
      <c r="BG58" s="432" t="s">
        <v>157</v>
      </c>
      <c r="BH58" s="445">
        <f t="shared" ca="1" si="27"/>
        <v>5.0915062927394814</v>
      </c>
      <c r="BI58" s="433"/>
      <c r="BJ58" s="433"/>
      <c r="BK58" s="433"/>
      <c r="BL58" s="433"/>
      <c r="BM58" s="433"/>
      <c r="BN58" s="433"/>
      <c r="BO58" s="446">
        <f t="shared" ca="1" si="28"/>
        <v>0</v>
      </c>
      <c r="BP58" s="433" t="s">
        <v>158</v>
      </c>
    </row>
    <row r="59" spans="1:68" s="414" customFormat="1">
      <c r="A59" s="433">
        <f t="shared" si="29"/>
        <v>42</v>
      </c>
      <c r="B59" s="433">
        <f t="shared" si="3"/>
        <v>2</v>
      </c>
      <c r="C59" s="433">
        <f t="shared" si="4"/>
        <v>12</v>
      </c>
      <c r="D59" s="433">
        <f t="shared" si="5"/>
        <v>3</v>
      </c>
      <c r="E59" s="433">
        <f t="shared" si="6"/>
        <v>2</v>
      </c>
      <c r="F59" s="433"/>
      <c r="G59" s="433" t="str">
        <f t="shared" si="13"/>
        <v>Current Practice Baseline Using 54% ENERGY STAR Penetration</v>
      </c>
      <c r="H59" s="433" t="str">
        <f t="shared" si="14"/>
        <v>Any ENERGY STAR (Top- or Front-Load)</v>
      </c>
      <c r="I59" s="433" t="str">
        <f t="shared" si="7"/>
        <v>Electric DHW, Gas Dryer</v>
      </c>
      <c r="J59" s="433" t="str">
        <f t="shared" si="8"/>
        <v>Electric DHW</v>
      </c>
      <c r="K59" s="433" t="str">
        <f t="shared" si="9"/>
        <v>Gas Dryer</v>
      </c>
      <c r="L59" s="434">
        <f>VLOOKUP(J59,SFAssumptions!$A$14:$B$16,2,FALSE)</f>
        <v>1</v>
      </c>
      <c r="M59" s="435">
        <f>VLOOKUP(K59,SFAssumptions!$A$18:$B$20,2,FALSE)</f>
        <v>0</v>
      </c>
      <c r="N59" s="436">
        <f ca="1">HLOOKUP($G59,'MFBaselines and Measures'!$C$3:$V$33,7,FALSE)</f>
        <v>3802.5240664273615</v>
      </c>
      <c r="O59" s="437">
        <f ca="1">HLOOKUP($G59,'MFBaselines and Measures'!$C$3:$V$33,8,FALSE)</f>
        <v>825.23457500176619</v>
      </c>
      <c r="P59" s="438">
        <f ca="1">HLOOKUP($G59,'MFBaselines and Measures'!$C$3:$V$33,25,FALSE)</f>
        <v>51.688606307059544</v>
      </c>
      <c r="Q59" s="438"/>
      <c r="R59" s="438">
        <f ca="1">HLOOKUP($G59,'MFBaselines and Measures'!$C$3:$V$33,27,FALSE)</f>
        <v>89.725253978913926</v>
      </c>
      <c r="S59" s="439">
        <f>HLOOKUP($G59,'MFBaselines and Measures'!$C$3:$V$33,29,FALSE)</f>
        <v>0</v>
      </c>
      <c r="T59" s="439"/>
      <c r="U59" s="439">
        <f ca="1">HLOOKUP($G59,'MFBaselines and Measures'!$C$3:$V$33,31,FALSE)</f>
        <v>4.0830972244004426</v>
      </c>
      <c r="V59" s="440">
        <f ca="1">HLOOKUP($G59,'MFBaselines and Measures'!$C$3:$V$33,9,FALSE)</f>
        <v>40.226132769221465</v>
      </c>
      <c r="W59" s="441"/>
      <c r="X59" s="436">
        <f ca="1">HLOOKUP($H59,'MFBaselines and Measures'!$C$2:$V$33,8,FALSE)</f>
        <v>3321.230591770463</v>
      </c>
      <c r="Y59" s="437">
        <f ca="1">HLOOKUP($H59,'MFBaselines and Measures'!$C$2:$V$33,9,FALSE)</f>
        <v>921.19144585144784</v>
      </c>
      <c r="Z59" s="438">
        <f ca="1">HLOOKUP($H59,'MFBaselines and Measures'!$C$2:$V$33,26,FALSE)</f>
        <v>48.668256432345743</v>
      </c>
      <c r="AA59" s="438"/>
      <c r="AB59" s="438">
        <f ca="1">HLOOKUP($H59,'MFBaselines and Measures'!$C$2:$V$33,28,FALSE)</f>
        <v>73.789186055570553</v>
      </c>
      <c r="AC59" s="439">
        <f>HLOOKUP($H59,'MFBaselines and Measures'!$C$2:$V$33,30,FALSE)</f>
        <v>0</v>
      </c>
      <c r="AD59" s="439"/>
      <c r="AE59" s="439">
        <f ca="1">HLOOKUP($H59,'MFBaselines and Measures'!$C$2:$V$33,32,FALSE)</f>
        <v>3.3578998934354973</v>
      </c>
      <c r="AF59" s="440">
        <f ca="1">HLOOKUP($H59,'MFBaselines and Measures'!$C$2:$V$33,10,FALSE)</f>
        <v>35.134626476481984</v>
      </c>
      <c r="AG59" s="441"/>
      <c r="AH59" s="436">
        <f t="shared" ca="1" si="15"/>
        <v>481.29347465689852</v>
      </c>
      <c r="AI59" s="437">
        <f t="shared" ca="1" si="16"/>
        <v>95.95687084968165</v>
      </c>
      <c r="AJ59" s="438">
        <f t="shared" ca="1" si="10"/>
        <v>3.0203498747138013</v>
      </c>
      <c r="AK59" s="438"/>
      <c r="AL59" s="438">
        <f t="shared" ca="1" si="33"/>
        <v>15.936067923343373</v>
      </c>
      <c r="AM59" s="439">
        <f t="shared" si="33"/>
        <v>0</v>
      </c>
      <c r="AN59" s="439"/>
      <c r="AO59" s="439">
        <f t="shared" ca="1" si="34"/>
        <v>0.72519733096494532</v>
      </c>
      <c r="AP59" s="442">
        <f t="shared" ca="1" si="34"/>
        <v>5.0915062927394814</v>
      </c>
      <c r="AQ59" s="443"/>
      <c r="AR59" s="435" t="str">
        <f t="shared" si="18"/>
        <v>Any ENERGY STAR (Top- or Front-Load) Clothes Washer - Electric DHW, Gas Dryer - 54% ENERGY STAR Baseline</v>
      </c>
      <c r="AS59" s="437">
        <f t="shared" ca="1" si="19"/>
        <v>95.95687084968165</v>
      </c>
      <c r="AT59" s="438">
        <f t="shared" ca="1" si="20"/>
        <v>18.956417798057174</v>
      </c>
      <c r="AU59" s="439">
        <f t="shared" ca="1" si="21"/>
        <v>0</v>
      </c>
      <c r="AV59" s="439">
        <f t="shared" ca="1" si="22"/>
        <v>481.29347465689852</v>
      </c>
      <c r="AW59" s="439"/>
      <c r="AX59" s="438">
        <f t="shared" ca="1" si="12"/>
        <v>20.729572476518108</v>
      </c>
      <c r="AY59" s="438">
        <f t="shared" ca="1" si="23"/>
        <v>5.0915062927394814</v>
      </c>
      <c r="AZ59" s="443"/>
      <c r="BA59" s="433" t="str">
        <f t="shared" si="32"/>
        <v>Any ENERGY STAR (Top- or Front-Load) Clothes Washer - Electric DHW, Gas Dryer - 54% ENERGY STAR Baseline</v>
      </c>
      <c r="BB59" s="433" t="s">
        <v>25</v>
      </c>
      <c r="BC59" s="438">
        <f t="shared" ca="1" si="25"/>
        <v>18.956417798057174</v>
      </c>
      <c r="BD59" s="438">
        <f>SFAssumptions!$C$7</f>
        <v>14</v>
      </c>
      <c r="BE59" s="444">
        <f t="shared" ca="1" si="26"/>
        <v>95.95687084968165</v>
      </c>
      <c r="BF59" s="433"/>
      <c r="BG59" s="432" t="s">
        <v>157</v>
      </c>
      <c r="BH59" s="445">
        <f t="shared" ca="1" si="27"/>
        <v>5.0915062927394814</v>
      </c>
      <c r="BI59" s="433"/>
      <c r="BJ59" s="433"/>
      <c r="BK59" s="433"/>
      <c r="BL59" s="433"/>
      <c r="BM59" s="433"/>
      <c r="BN59" s="433"/>
      <c r="BO59" s="446">
        <f t="shared" ca="1" si="28"/>
        <v>0</v>
      </c>
      <c r="BP59" s="433" t="s">
        <v>158</v>
      </c>
    </row>
    <row r="60" spans="1:68" s="414" customFormat="1">
      <c r="A60" s="433">
        <f t="shared" si="29"/>
        <v>43</v>
      </c>
      <c r="B60" s="433">
        <f t="shared" si="3"/>
        <v>2</v>
      </c>
      <c r="C60" s="433">
        <f t="shared" si="4"/>
        <v>13</v>
      </c>
      <c r="D60" s="433">
        <f t="shared" si="5"/>
        <v>3</v>
      </c>
      <c r="E60" s="433">
        <f t="shared" si="6"/>
        <v>3</v>
      </c>
      <c r="F60" s="433"/>
      <c r="G60" s="433" t="str">
        <f t="shared" si="13"/>
        <v>Current Practice Baseline Using 54% ENERGY STAR Penetration</v>
      </c>
      <c r="H60" s="433" t="str">
        <f t="shared" si="14"/>
        <v>Any ENERGY STAR (Top- or Front-Load)</v>
      </c>
      <c r="I60" s="433" t="str">
        <f t="shared" si="7"/>
        <v>Gas DHW, Electric Dryer</v>
      </c>
      <c r="J60" s="433" t="str">
        <f t="shared" si="8"/>
        <v>Gas DHW</v>
      </c>
      <c r="K60" s="433" t="str">
        <f t="shared" si="9"/>
        <v>Electric Dryer</v>
      </c>
      <c r="L60" s="434">
        <f>VLOOKUP(J60,SFAssumptions!$A$14:$B$16,2,FALSE)</f>
        <v>0</v>
      </c>
      <c r="M60" s="435">
        <f>VLOOKUP(K60,SFAssumptions!$A$18:$B$20,2,FALSE)</f>
        <v>1</v>
      </c>
      <c r="N60" s="436">
        <f ca="1">HLOOKUP($G60,'MFBaselines and Measures'!$C$3:$V$33,7,FALSE)</f>
        <v>3802.5240664273615</v>
      </c>
      <c r="O60" s="437">
        <f ca="1">HLOOKUP($G60,'MFBaselines and Measures'!$C$3:$V$33,8,FALSE)</f>
        <v>825.23457500176619</v>
      </c>
      <c r="P60" s="438">
        <f ca="1">HLOOKUP($G60,'MFBaselines and Measures'!$C$3:$V$33,25,FALSE)</f>
        <v>51.688606307059544</v>
      </c>
      <c r="Q60" s="438"/>
      <c r="R60" s="438">
        <f ca="1">HLOOKUP($G60,'MFBaselines and Measures'!$C$3:$V$33,27,FALSE)</f>
        <v>89.725253978913926</v>
      </c>
      <c r="S60" s="439">
        <f>HLOOKUP($G60,'MFBaselines and Measures'!$C$3:$V$33,29,FALSE)</f>
        <v>0</v>
      </c>
      <c r="T60" s="439"/>
      <c r="U60" s="439">
        <f ca="1">HLOOKUP($G60,'MFBaselines and Measures'!$C$3:$V$33,31,FALSE)</f>
        <v>4.0830972244004426</v>
      </c>
      <c r="V60" s="440">
        <f ca="1">HLOOKUP($G60,'MFBaselines and Measures'!$C$3:$V$33,9,FALSE)</f>
        <v>40.226132769221465</v>
      </c>
      <c r="W60" s="441"/>
      <c r="X60" s="436">
        <f ca="1">HLOOKUP($H60,'MFBaselines and Measures'!$C$2:$V$33,8,FALSE)</f>
        <v>3321.230591770463</v>
      </c>
      <c r="Y60" s="437">
        <f ca="1">HLOOKUP($H60,'MFBaselines and Measures'!$C$2:$V$33,9,FALSE)</f>
        <v>921.19144585144784</v>
      </c>
      <c r="Z60" s="438">
        <f ca="1">HLOOKUP($H60,'MFBaselines and Measures'!$C$2:$V$33,26,FALSE)</f>
        <v>48.668256432345743</v>
      </c>
      <c r="AA60" s="438"/>
      <c r="AB60" s="438">
        <f ca="1">HLOOKUP($H60,'MFBaselines and Measures'!$C$2:$V$33,28,FALSE)</f>
        <v>73.789186055570553</v>
      </c>
      <c r="AC60" s="439">
        <f>HLOOKUP($H60,'MFBaselines and Measures'!$C$2:$V$33,30,FALSE)</f>
        <v>0</v>
      </c>
      <c r="AD60" s="439"/>
      <c r="AE60" s="439">
        <f ca="1">HLOOKUP($H60,'MFBaselines and Measures'!$C$2:$V$33,32,FALSE)</f>
        <v>3.3578998934354973</v>
      </c>
      <c r="AF60" s="440">
        <f ca="1">HLOOKUP($H60,'MFBaselines and Measures'!$C$2:$V$33,10,FALSE)</f>
        <v>35.134626476481984</v>
      </c>
      <c r="AG60" s="441"/>
      <c r="AH60" s="436">
        <f t="shared" ca="1" si="15"/>
        <v>481.29347465689852</v>
      </c>
      <c r="AI60" s="437">
        <f t="shared" ca="1" si="16"/>
        <v>95.95687084968165</v>
      </c>
      <c r="AJ60" s="438">
        <f t="shared" ca="1" si="10"/>
        <v>3.0203498747138013</v>
      </c>
      <c r="AK60" s="438"/>
      <c r="AL60" s="438">
        <f t="shared" ca="1" si="33"/>
        <v>15.936067923343373</v>
      </c>
      <c r="AM60" s="439">
        <f t="shared" si="33"/>
        <v>0</v>
      </c>
      <c r="AN60" s="439"/>
      <c r="AO60" s="439">
        <f t="shared" ca="1" si="34"/>
        <v>0.72519733096494532</v>
      </c>
      <c r="AP60" s="442">
        <f t="shared" ca="1" si="34"/>
        <v>5.0915062927394814</v>
      </c>
      <c r="AQ60" s="443"/>
      <c r="AR60" s="435" t="str">
        <f t="shared" si="18"/>
        <v>Any ENERGY STAR (Top- or Front-Load) Clothes Washer - Gas DHW, Electric Dryer - 54% ENERGY STAR Baseline</v>
      </c>
      <c r="AS60" s="437">
        <f t="shared" ca="1" si="19"/>
        <v>95.95687084968165</v>
      </c>
      <c r="AT60" s="438">
        <f t="shared" ca="1" si="20"/>
        <v>3.0203498747138013</v>
      </c>
      <c r="AU60" s="439">
        <f t="shared" ca="1" si="21"/>
        <v>0.72519733096494532</v>
      </c>
      <c r="AV60" s="439">
        <f t="shared" ca="1" si="22"/>
        <v>481.29347465689852</v>
      </c>
      <c r="AW60" s="439"/>
      <c r="AX60" s="438">
        <f t="shared" ca="1" si="12"/>
        <v>4.7935045531747349</v>
      </c>
      <c r="AY60" s="438">
        <f t="shared" ca="1" si="23"/>
        <v>5.0915062927394814</v>
      </c>
      <c r="AZ60" s="443"/>
      <c r="BA60" s="433" t="str">
        <f t="shared" si="32"/>
        <v>Any ENERGY STAR (Top- or Front-Load) Clothes Washer - Gas DHW, Electric Dryer - 54% ENERGY STAR Baseline</v>
      </c>
      <c r="BB60" s="433" t="s">
        <v>25</v>
      </c>
      <c r="BC60" s="438">
        <f t="shared" ca="1" si="25"/>
        <v>3.0203498747138013</v>
      </c>
      <c r="BD60" s="438">
        <f>SFAssumptions!$C$7</f>
        <v>14</v>
      </c>
      <c r="BE60" s="444">
        <f t="shared" ca="1" si="26"/>
        <v>95.95687084968165</v>
      </c>
      <c r="BF60" s="433"/>
      <c r="BG60" s="432" t="s">
        <v>157</v>
      </c>
      <c r="BH60" s="445">
        <f t="shared" ca="1" si="27"/>
        <v>5.0915062927394814</v>
      </c>
      <c r="BI60" s="433"/>
      <c r="BJ60" s="433"/>
      <c r="BK60" s="433"/>
      <c r="BL60" s="433"/>
      <c r="BM60" s="433"/>
      <c r="BN60" s="433"/>
      <c r="BO60" s="446">
        <f t="shared" ca="1" si="28"/>
        <v>0.72519733096494532</v>
      </c>
      <c r="BP60" s="433" t="s">
        <v>158</v>
      </c>
    </row>
    <row r="61" spans="1:68" s="414" customFormat="1">
      <c r="A61" s="433">
        <f t="shared" si="29"/>
        <v>44</v>
      </c>
      <c r="B61" s="433">
        <f t="shared" si="3"/>
        <v>2</v>
      </c>
      <c r="C61" s="433">
        <f t="shared" si="4"/>
        <v>14</v>
      </c>
      <c r="D61" s="433">
        <f t="shared" si="5"/>
        <v>3</v>
      </c>
      <c r="E61" s="433">
        <f t="shared" si="6"/>
        <v>4</v>
      </c>
      <c r="F61" s="433"/>
      <c r="G61" s="433" t="str">
        <f t="shared" si="13"/>
        <v>Current Practice Baseline Using 54% ENERGY STAR Penetration</v>
      </c>
      <c r="H61" s="433" t="str">
        <f t="shared" si="14"/>
        <v>Any ENERGY STAR (Top- or Front-Load)</v>
      </c>
      <c r="I61" s="433" t="str">
        <f t="shared" si="7"/>
        <v>Gas DHW, Gas Dryer</v>
      </c>
      <c r="J61" s="433" t="str">
        <f t="shared" si="8"/>
        <v>Gas DHW</v>
      </c>
      <c r="K61" s="433" t="str">
        <f t="shared" si="9"/>
        <v>Gas Dryer</v>
      </c>
      <c r="L61" s="434">
        <f>VLOOKUP(J61,SFAssumptions!$A$14:$B$16,2,FALSE)</f>
        <v>0</v>
      </c>
      <c r="M61" s="435">
        <f>VLOOKUP(K61,SFAssumptions!$A$18:$B$20,2,FALSE)</f>
        <v>0</v>
      </c>
      <c r="N61" s="436">
        <f ca="1">HLOOKUP($G61,'MFBaselines and Measures'!$C$3:$V$33,7,FALSE)</f>
        <v>3802.5240664273615</v>
      </c>
      <c r="O61" s="437">
        <f ca="1">HLOOKUP($G61,'MFBaselines and Measures'!$C$3:$V$33,8,FALSE)</f>
        <v>825.23457500176619</v>
      </c>
      <c r="P61" s="438">
        <f ca="1">HLOOKUP($G61,'MFBaselines and Measures'!$C$3:$V$33,25,FALSE)</f>
        <v>51.688606307059544</v>
      </c>
      <c r="Q61" s="438"/>
      <c r="R61" s="438">
        <f ca="1">HLOOKUP($G61,'MFBaselines and Measures'!$C$3:$V$33,27,FALSE)</f>
        <v>89.725253978913926</v>
      </c>
      <c r="S61" s="439">
        <f>HLOOKUP($G61,'MFBaselines and Measures'!$C$3:$V$33,29,FALSE)</f>
        <v>0</v>
      </c>
      <c r="T61" s="439"/>
      <c r="U61" s="439">
        <f ca="1">HLOOKUP($G61,'MFBaselines and Measures'!$C$3:$V$33,31,FALSE)</f>
        <v>4.0830972244004426</v>
      </c>
      <c r="V61" s="440">
        <f ca="1">HLOOKUP($G61,'MFBaselines and Measures'!$C$3:$V$33,9,FALSE)</f>
        <v>40.226132769221465</v>
      </c>
      <c r="W61" s="441"/>
      <c r="X61" s="436">
        <f ca="1">HLOOKUP($H61,'MFBaselines and Measures'!$C$2:$V$33,8,FALSE)</f>
        <v>3321.230591770463</v>
      </c>
      <c r="Y61" s="437">
        <f ca="1">HLOOKUP($H61,'MFBaselines and Measures'!$C$2:$V$33,9,FALSE)</f>
        <v>921.19144585144784</v>
      </c>
      <c r="Z61" s="438">
        <f ca="1">HLOOKUP($H61,'MFBaselines and Measures'!$C$2:$V$33,26,FALSE)</f>
        <v>48.668256432345743</v>
      </c>
      <c r="AA61" s="438"/>
      <c r="AB61" s="438">
        <f ca="1">HLOOKUP($H61,'MFBaselines and Measures'!$C$2:$V$33,28,FALSE)</f>
        <v>73.789186055570553</v>
      </c>
      <c r="AC61" s="439">
        <f>HLOOKUP($H61,'MFBaselines and Measures'!$C$2:$V$33,30,FALSE)</f>
        <v>0</v>
      </c>
      <c r="AD61" s="439"/>
      <c r="AE61" s="439">
        <f ca="1">HLOOKUP($H61,'MFBaselines and Measures'!$C$2:$V$33,32,FALSE)</f>
        <v>3.3578998934354973</v>
      </c>
      <c r="AF61" s="440">
        <f ca="1">HLOOKUP($H61,'MFBaselines and Measures'!$C$2:$V$33,10,FALSE)</f>
        <v>35.134626476481984</v>
      </c>
      <c r="AG61" s="441"/>
      <c r="AH61" s="436">
        <f t="shared" ca="1" si="15"/>
        <v>481.29347465689852</v>
      </c>
      <c r="AI61" s="437">
        <f t="shared" ca="1" si="16"/>
        <v>95.95687084968165</v>
      </c>
      <c r="AJ61" s="438">
        <f t="shared" ca="1" si="10"/>
        <v>3.0203498747138013</v>
      </c>
      <c r="AK61" s="438"/>
      <c r="AL61" s="438">
        <f t="shared" ca="1" si="33"/>
        <v>15.936067923343373</v>
      </c>
      <c r="AM61" s="439">
        <f t="shared" si="33"/>
        <v>0</v>
      </c>
      <c r="AN61" s="439"/>
      <c r="AO61" s="439">
        <f t="shared" ca="1" si="34"/>
        <v>0.72519733096494532</v>
      </c>
      <c r="AP61" s="442">
        <f t="shared" ca="1" si="34"/>
        <v>5.0915062927394814</v>
      </c>
      <c r="AQ61" s="443"/>
      <c r="AR61" s="435" t="str">
        <f t="shared" si="18"/>
        <v>Any ENERGY STAR (Top- or Front-Load) Clothes Washer - Gas DHW, Gas Dryer - 54% ENERGY STAR Baseline</v>
      </c>
      <c r="AS61" s="437">
        <f t="shared" ca="1" si="19"/>
        <v>95.95687084968165</v>
      </c>
      <c r="AT61" s="438">
        <f t="shared" ca="1" si="20"/>
        <v>3.0203498747138013</v>
      </c>
      <c r="AU61" s="439">
        <f t="shared" ca="1" si="21"/>
        <v>0.72519733096494532</v>
      </c>
      <c r="AV61" s="439">
        <f t="shared" ca="1" si="22"/>
        <v>481.29347465689852</v>
      </c>
      <c r="AW61" s="439"/>
      <c r="AX61" s="438">
        <f t="shared" ca="1" si="12"/>
        <v>4.7935045531747349</v>
      </c>
      <c r="AY61" s="438">
        <f t="shared" ca="1" si="23"/>
        <v>5.0915062927394814</v>
      </c>
      <c r="AZ61" s="443"/>
      <c r="BA61" s="433" t="str">
        <f t="shared" si="32"/>
        <v>Any ENERGY STAR (Top- or Front-Load) Clothes Washer - Gas DHW, Gas Dryer - 54% ENERGY STAR Baseline</v>
      </c>
      <c r="BB61" s="433" t="s">
        <v>25</v>
      </c>
      <c r="BC61" s="438">
        <f t="shared" ca="1" si="25"/>
        <v>3.0203498747138013</v>
      </c>
      <c r="BD61" s="438">
        <f>SFAssumptions!$C$7</f>
        <v>14</v>
      </c>
      <c r="BE61" s="444">
        <f t="shared" ca="1" si="26"/>
        <v>95.95687084968165</v>
      </c>
      <c r="BF61" s="433"/>
      <c r="BG61" s="432" t="s">
        <v>157</v>
      </c>
      <c r="BH61" s="445">
        <f t="shared" ca="1" si="27"/>
        <v>5.0915062927394814</v>
      </c>
      <c r="BI61" s="433"/>
      <c r="BJ61" s="433"/>
      <c r="BK61" s="433"/>
      <c r="BL61" s="433"/>
      <c r="BM61" s="433"/>
      <c r="BN61" s="433"/>
      <c r="BO61" s="446">
        <f t="shared" ca="1" si="28"/>
        <v>0.72519733096494532</v>
      </c>
      <c r="BP61" s="433" t="s">
        <v>158</v>
      </c>
    </row>
    <row r="62" spans="1:68" s="414" customFormat="1">
      <c r="A62" s="433">
        <f t="shared" si="29"/>
        <v>45</v>
      </c>
      <c r="B62" s="433">
        <f t="shared" si="3"/>
        <v>2</v>
      </c>
      <c r="C62" s="433">
        <f t="shared" si="4"/>
        <v>15</v>
      </c>
      <c r="D62" s="433">
        <f t="shared" si="5"/>
        <v>3</v>
      </c>
      <c r="E62" s="433">
        <f t="shared" si="6"/>
        <v>5</v>
      </c>
      <c r="F62" s="433"/>
      <c r="G62" s="433" t="str">
        <f t="shared" si="13"/>
        <v>Current Practice Baseline Using 54% ENERGY STAR Penetration</v>
      </c>
      <c r="H62" s="433" t="str">
        <f t="shared" si="14"/>
        <v>Any ENERGY STAR (Top- or Front-Load)</v>
      </c>
      <c r="I62" s="433" t="str">
        <f t="shared" si="7"/>
        <v>Any DHW, Any Dryer</v>
      </c>
      <c r="J62" s="433" t="str">
        <f t="shared" si="8"/>
        <v>Any DHW</v>
      </c>
      <c r="K62" s="433" t="str">
        <f t="shared" si="9"/>
        <v>Any Dryer</v>
      </c>
      <c r="L62" s="434">
        <f>VLOOKUP(J62,SFAssumptions!$A$14:$B$16,2,FALSE)</f>
        <v>0.55200000000000005</v>
      </c>
      <c r="M62" s="435">
        <f>VLOOKUP(K62,SFAssumptions!$A$18:$B$20,2,FALSE)</f>
        <v>0.95</v>
      </c>
      <c r="N62" s="436">
        <f ca="1">HLOOKUP($G62,'MFBaselines and Measures'!$C$3:$V$33,7,FALSE)</f>
        <v>3802.5240664273615</v>
      </c>
      <c r="O62" s="437">
        <f ca="1">HLOOKUP($G62,'MFBaselines and Measures'!$C$3:$V$33,8,FALSE)</f>
        <v>825.23457500176619</v>
      </c>
      <c r="P62" s="438">
        <f ca="1">HLOOKUP($G62,'MFBaselines and Measures'!$C$3:$V$33,25,FALSE)</f>
        <v>51.688606307059544</v>
      </c>
      <c r="Q62" s="438"/>
      <c r="R62" s="438">
        <f ca="1">HLOOKUP($G62,'MFBaselines and Measures'!$C$3:$V$33,27,FALSE)</f>
        <v>89.725253978913926</v>
      </c>
      <c r="S62" s="439">
        <f>HLOOKUP($G62,'MFBaselines and Measures'!$C$3:$V$33,29,FALSE)</f>
        <v>0</v>
      </c>
      <c r="T62" s="439"/>
      <c r="U62" s="439">
        <f ca="1">HLOOKUP($G62,'MFBaselines and Measures'!$C$3:$V$33,31,FALSE)</f>
        <v>4.0830972244004426</v>
      </c>
      <c r="V62" s="440">
        <f ca="1">HLOOKUP($G62,'MFBaselines and Measures'!$C$3:$V$33,9,FALSE)</f>
        <v>40.226132769221465</v>
      </c>
      <c r="W62" s="441"/>
      <c r="X62" s="436">
        <f ca="1">HLOOKUP($H62,'MFBaselines and Measures'!$C$2:$V$33,8,FALSE)</f>
        <v>3321.230591770463</v>
      </c>
      <c r="Y62" s="437">
        <f ca="1">HLOOKUP($H62,'MFBaselines and Measures'!$C$2:$V$33,9,FALSE)</f>
        <v>921.19144585144784</v>
      </c>
      <c r="Z62" s="438">
        <f ca="1">HLOOKUP($H62,'MFBaselines and Measures'!$C$2:$V$33,26,FALSE)</f>
        <v>48.668256432345743</v>
      </c>
      <c r="AA62" s="438"/>
      <c r="AB62" s="438">
        <f ca="1">HLOOKUP($H62,'MFBaselines and Measures'!$C$2:$V$33,28,FALSE)</f>
        <v>73.789186055570553</v>
      </c>
      <c r="AC62" s="439">
        <f>HLOOKUP($H62,'MFBaselines and Measures'!$C$2:$V$33,30,FALSE)</f>
        <v>0</v>
      </c>
      <c r="AD62" s="439"/>
      <c r="AE62" s="439">
        <f ca="1">HLOOKUP($H62,'MFBaselines and Measures'!$C$2:$V$33,32,FALSE)</f>
        <v>3.3578998934354973</v>
      </c>
      <c r="AF62" s="440">
        <f ca="1">HLOOKUP($H62,'MFBaselines and Measures'!$C$2:$V$33,10,FALSE)</f>
        <v>35.134626476481984</v>
      </c>
      <c r="AG62" s="441"/>
      <c r="AH62" s="436">
        <f t="shared" ca="1" si="15"/>
        <v>481.29347465689852</v>
      </c>
      <c r="AI62" s="437">
        <f t="shared" ca="1" si="16"/>
        <v>95.95687084968165</v>
      </c>
      <c r="AJ62" s="438">
        <f t="shared" ca="1" si="10"/>
        <v>3.0203498747138013</v>
      </c>
      <c r="AK62" s="438"/>
      <c r="AL62" s="438">
        <f t="shared" ca="1" si="33"/>
        <v>15.936067923343373</v>
      </c>
      <c r="AM62" s="439">
        <f t="shared" si="33"/>
        <v>0</v>
      </c>
      <c r="AN62" s="439"/>
      <c r="AO62" s="439">
        <f t="shared" ca="1" si="34"/>
        <v>0.72519733096494532</v>
      </c>
      <c r="AP62" s="442">
        <f t="shared" ca="1" si="34"/>
        <v>5.0915062927394814</v>
      </c>
      <c r="AQ62" s="443"/>
      <c r="AR62" s="435" t="str">
        <f t="shared" si="18"/>
        <v>Any ENERGY STAR (Top- or Front-Load) Clothes Washer - Any DHW, Any Dryer - 54% ENERGY STAR Baseline</v>
      </c>
      <c r="AS62" s="437">
        <f t="shared" ca="1" si="19"/>
        <v>95.95687084968165</v>
      </c>
      <c r="AT62" s="438">
        <f t="shared" ca="1" si="20"/>
        <v>11.817059368399343</v>
      </c>
      <c r="AU62" s="439">
        <f t="shared" ca="1" si="21"/>
        <v>0.32488840427229548</v>
      </c>
      <c r="AV62" s="439">
        <f t="shared" ca="1" si="22"/>
        <v>481.29347465689852</v>
      </c>
      <c r="AW62" s="439"/>
      <c r="AX62" s="438">
        <f t="shared" ca="1" si="12"/>
        <v>13.590214046860277</v>
      </c>
      <c r="AY62" s="438">
        <f t="shared" ca="1" si="23"/>
        <v>5.0915062927394814</v>
      </c>
      <c r="AZ62" s="443"/>
      <c r="BA62" s="433" t="str">
        <f t="shared" si="32"/>
        <v>Any ENERGY STAR (Top- or Front-Load) Clothes Washer - Any DHW, Any Dryer - 54% ENERGY STAR Baseline</v>
      </c>
      <c r="BB62" s="433" t="s">
        <v>25</v>
      </c>
      <c r="BC62" s="438">
        <f t="shared" ca="1" si="25"/>
        <v>11.817059368399343</v>
      </c>
      <c r="BD62" s="438">
        <f>SFAssumptions!$C$7</f>
        <v>14</v>
      </c>
      <c r="BE62" s="444">
        <f t="shared" ca="1" si="26"/>
        <v>95.95687084968165</v>
      </c>
      <c r="BF62" s="433"/>
      <c r="BG62" s="432" t="s">
        <v>157</v>
      </c>
      <c r="BH62" s="445">
        <f t="shared" ca="1" si="27"/>
        <v>5.0915062927394814</v>
      </c>
      <c r="BI62" s="433"/>
      <c r="BJ62" s="433"/>
      <c r="BK62" s="433"/>
      <c r="BL62" s="433"/>
      <c r="BM62" s="433"/>
      <c r="BN62" s="433"/>
      <c r="BO62" s="446">
        <f t="shared" ca="1" si="28"/>
        <v>0.32488840427229548</v>
      </c>
      <c r="BP62" s="433" t="s">
        <v>158</v>
      </c>
    </row>
    <row r="63" spans="1:68" s="414" customFormat="1">
      <c r="A63" s="433">
        <f t="shared" si="29"/>
        <v>46</v>
      </c>
      <c r="B63" s="433">
        <f t="shared" si="3"/>
        <v>2</v>
      </c>
      <c r="C63" s="433">
        <f t="shared" si="4"/>
        <v>16</v>
      </c>
      <c r="D63" s="433">
        <f t="shared" si="5"/>
        <v>4</v>
      </c>
      <c r="E63" s="433">
        <f t="shared" si="6"/>
        <v>1</v>
      </c>
      <c r="F63" s="433"/>
      <c r="G63" s="433" t="str">
        <f t="shared" si="13"/>
        <v>Current Practice Baseline Using 54% ENERGY STAR Penetration</v>
      </c>
      <c r="H63" s="433" t="str">
        <f t="shared" si="14"/>
        <v>CEE Tier 1</v>
      </c>
      <c r="I63" s="433" t="str">
        <f t="shared" si="7"/>
        <v>Electric DHW, Electric Dryer</v>
      </c>
      <c r="J63" s="433" t="str">
        <f t="shared" si="8"/>
        <v>Electric DHW</v>
      </c>
      <c r="K63" s="433" t="str">
        <f t="shared" si="9"/>
        <v>Electric Dryer</v>
      </c>
      <c r="L63" s="434">
        <f>VLOOKUP(J63,SFAssumptions!$A$14:$B$16,2,FALSE)</f>
        <v>1</v>
      </c>
      <c r="M63" s="435">
        <f>VLOOKUP(K63,SFAssumptions!$A$18:$B$20,2,FALSE)</f>
        <v>1</v>
      </c>
      <c r="N63" s="436">
        <f ca="1">HLOOKUP($G63,'MFBaselines and Measures'!$C$3:$V$33,7,FALSE)</f>
        <v>3802.5240664273615</v>
      </c>
      <c r="O63" s="437">
        <f ca="1">HLOOKUP($G63,'MFBaselines and Measures'!$C$3:$V$33,8,FALSE)</f>
        <v>825.23457500176619</v>
      </c>
      <c r="P63" s="438">
        <f ca="1">HLOOKUP($G63,'MFBaselines and Measures'!$C$3:$V$33,25,FALSE)</f>
        <v>51.688606307059544</v>
      </c>
      <c r="Q63" s="438"/>
      <c r="R63" s="438">
        <f ca="1">HLOOKUP($G63,'MFBaselines and Measures'!$C$3:$V$33,27,FALSE)</f>
        <v>89.725253978913926</v>
      </c>
      <c r="S63" s="439">
        <f>HLOOKUP($G63,'MFBaselines and Measures'!$C$3:$V$33,29,FALSE)</f>
        <v>0</v>
      </c>
      <c r="T63" s="439"/>
      <c r="U63" s="439">
        <f ca="1">HLOOKUP($G63,'MFBaselines and Measures'!$C$3:$V$33,31,FALSE)</f>
        <v>4.0830972244004426</v>
      </c>
      <c r="V63" s="440">
        <f ca="1">HLOOKUP($G63,'MFBaselines and Measures'!$C$3:$V$33,9,FALSE)</f>
        <v>40.226132769221465</v>
      </c>
      <c r="W63" s="441"/>
      <c r="X63" s="436">
        <f ca="1">HLOOKUP($H63,'MFBaselines and Measures'!$C$2:$V$33,8,FALSE)</f>
        <v>3186.6458062683578</v>
      </c>
      <c r="Y63" s="437">
        <f ca="1">HLOOKUP($H63,'MFBaselines and Measures'!$C$2:$V$33,9,FALSE)</f>
        <v>951.49912384722427</v>
      </c>
      <c r="Z63" s="438">
        <f ca="1">HLOOKUP($H63,'MFBaselines and Measures'!$C$2:$V$33,26,FALSE)</f>
        <v>48.694377064929483</v>
      </c>
      <c r="AA63" s="438"/>
      <c r="AB63" s="438">
        <f ca="1">HLOOKUP($H63,'MFBaselines and Measures'!$C$2:$V$33,28,FALSE)</f>
        <v>70.837057308188136</v>
      </c>
      <c r="AC63" s="439">
        <f>HLOOKUP($H63,'MFBaselines and Measures'!$C$2:$V$33,30,FALSE)</f>
        <v>0</v>
      </c>
      <c r="AD63" s="439"/>
      <c r="AE63" s="439">
        <f ca="1">HLOOKUP($H63,'MFBaselines and Measures'!$C$2:$V$33,32,FALSE)</f>
        <v>3.2235583545712814</v>
      </c>
      <c r="AF63" s="440">
        <f ca="1">HLOOKUP($H63,'MFBaselines and Measures'!$C$2:$V$33,10,FALSE)</f>
        <v>33.710881259949694</v>
      </c>
      <c r="AG63" s="441"/>
      <c r="AH63" s="436">
        <f t="shared" ca="1" si="15"/>
        <v>615.87826015900373</v>
      </c>
      <c r="AI63" s="437">
        <f t="shared" ca="1" si="16"/>
        <v>126.26454884545808</v>
      </c>
      <c r="AJ63" s="438">
        <f t="shared" ca="1" si="10"/>
        <v>2.9942292421300607</v>
      </c>
      <c r="AK63" s="438"/>
      <c r="AL63" s="438">
        <f t="shared" ca="1" si="33"/>
        <v>18.88819667072579</v>
      </c>
      <c r="AM63" s="439">
        <f t="shared" si="33"/>
        <v>0</v>
      </c>
      <c r="AN63" s="439"/>
      <c r="AO63" s="439">
        <f t="shared" ca="1" si="34"/>
        <v>0.85953886982916128</v>
      </c>
      <c r="AP63" s="442">
        <f t="shared" ca="1" si="34"/>
        <v>6.5152515092717707</v>
      </c>
      <c r="AQ63" s="443"/>
      <c r="AR63" s="435" t="str">
        <f t="shared" si="18"/>
        <v>CEE Tier 1 Clothes Washer - Electric DHW, Electric Dryer - 54% ENERGY STAR Baseline</v>
      </c>
      <c r="AS63" s="437">
        <f t="shared" ca="1" si="19"/>
        <v>126.26454884545808</v>
      </c>
      <c r="AT63" s="438">
        <f t="shared" ca="1" si="20"/>
        <v>21.882425912855851</v>
      </c>
      <c r="AU63" s="439">
        <f t="shared" ca="1" si="21"/>
        <v>0</v>
      </c>
      <c r="AV63" s="439">
        <f t="shared" ca="1" si="22"/>
        <v>615.87826015900373</v>
      </c>
      <c r="AW63" s="439"/>
      <c r="AX63" s="438">
        <f t="shared" ca="1" si="12"/>
        <v>24.151410380475756</v>
      </c>
      <c r="AY63" s="438">
        <f t="shared" ca="1" si="23"/>
        <v>6.5152515092717707</v>
      </c>
      <c r="AZ63" s="443"/>
      <c r="BA63" s="433" t="str">
        <f t="shared" si="32"/>
        <v>CEE Tier 1 Clothes Washer - Electric DHW, Electric Dryer - 54% ENERGY STAR Baseline</v>
      </c>
      <c r="BB63" s="433" t="s">
        <v>25</v>
      </c>
      <c r="BC63" s="438">
        <f t="shared" ca="1" si="25"/>
        <v>21.882425912855851</v>
      </c>
      <c r="BD63" s="438">
        <f>SFAssumptions!$C$7</f>
        <v>14</v>
      </c>
      <c r="BE63" s="444">
        <f t="shared" ca="1" si="26"/>
        <v>126.26454884545808</v>
      </c>
      <c r="BF63" s="433"/>
      <c r="BG63" s="432" t="s">
        <v>157</v>
      </c>
      <c r="BH63" s="445">
        <f t="shared" ca="1" si="27"/>
        <v>6.5152515092717707</v>
      </c>
      <c r="BI63" s="433"/>
      <c r="BJ63" s="433"/>
      <c r="BK63" s="433"/>
      <c r="BL63" s="433"/>
      <c r="BM63" s="433"/>
      <c r="BN63" s="433"/>
      <c r="BO63" s="446">
        <f t="shared" ca="1" si="28"/>
        <v>0</v>
      </c>
      <c r="BP63" s="433" t="s">
        <v>158</v>
      </c>
    </row>
    <row r="64" spans="1:68" s="414" customFormat="1">
      <c r="A64" s="433">
        <f t="shared" si="29"/>
        <v>47</v>
      </c>
      <c r="B64" s="433">
        <f t="shared" si="3"/>
        <v>2</v>
      </c>
      <c r="C64" s="433">
        <f t="shared" si="4"/>
        <v>17</v>
      </c>
      <c r="D64" s="433">
        <f t="shared" si="5"/>
        <v>4</v>
      </c>
      <c r="E64" s="433">
        <f t="shared" si="6"/>
        <v>2</v>
      </c>
      <c r="F64" s="433"/>
      <c r="G64" s="433" t="str">
        <f t="shared" si="13"/>
        <v>Current Practice Baseline Using 54% ENERGY STAR Penetration</v>
      </c>
      <c r="H64" s="433" t="str">
        <f t="shared" si="14"/>
        <v>CEE Tier 1</v>
      </c>
      <c r="I64" s="433" t="str">
        <f t="shared" si="7"/>
        <v>Electric DHW, Gas Dryer</v>
      </c>
      <c r="J64" s="433" t="str">
        <f t="shared" si="8"/>
        <v>Electric DHW</v>
      </c>
      <c r="K64" s="433" t="str">
        <f t="shared" si="9"/>
        <v>Gas Dryer</v>
      </c>
      <c r="L64" s="434">
        <f>VLOOKUP(J64,SFAssumptions!$A$14:$B$16,2,FALSE)</f>
        <v>1</v>
      </c>
      <c r="M64" s="435">
        <f>VLOOKUP(K64,SFAssumptions!$A$18:$B$20,2,FALSE)</f>
        <v>0</v>
      </c>
      <c r="N64" s="436">
        <f ca="1">HLOOKUP($G64,'MFBaselines and Measures'!$C$3:$V$33,7,FALSE)</f>
        <v>3802.5240664273615</v>
      </c>
      <c r="O64" s="437">
        <f ca="1">HLOOKUP($G64,'MFBaselines and Measures'!$C$3:$V$33,8,FALSE)</f>
        <v>825.23457500176619</v>
      </c>
      <c r="P64" s="438">
        <f ca="1">HLOOKUP($G64,'MFBaselines and Measures'!$C$3:$V$33,25,FALSE)</f>
        <v>51.688606307059544</v>
      </c>
      <c r="Q64" s="438"/>
      <c r="R64" s="438">
        <f ca="1">HLOOKUP($G64,'MFBaselines and Measures'!$C$3:$V$33,27,FALSE)</f>
        <v>89.725253978913926</v>
      </c>
      <c r="S64" s="439">
        <f>HLOOKUP($G64,'MFBaselines and Measures'!$C$3:$V$33,29,FALSE)</f>
        <v>0</v>
      </c>
      <c r="T64" s="439"/>
      <c r="U64" s="439">
        <f ca="1">HLOOKUP($G64,'MFBaselines and Measures'!$C$3:$V$33,31,FALSE)</f>
        <v>4.0830972244004426</v>
      </c>
      <c r="V64" s="440">
        <f ca="1">HLOOKUP($G64,'MFBaselines and Measures'!$C$3:$V$33,9,FALSE)</f>
        <v>40.226132769221465</v>
      </c>
      <c r="W64" s="441"/>
      <c r="X64" s="436">
        <f ca="1">HLOOKUP($H64,'MFBaselines and Measures'!$C$2:$V$33,8,FALSE)</f>
        <v>3186.6458062683578</v>
      </c>
      <c r="Y64" s="437">
        <f ca="1">HLOOKUP($H64,'MFBaselines and Measures'!$C$2:$V$33,9,FALSE)</f>
        <v>951.49912384722427</v>
      </c>
      <c r="Z64" s="438">
        <f ca="1">HLOOKUP($H64,'MFBaselines and Measures'!$C$2:$V$33,26,FALSE)</f>
        <v>48.694377064929483</v>
      </c>
      <c r="AA64" s="438"/>
      <c r="AB64" s="438">
        <f ca="1">HLOOKUP($H64,'MFBaselines and Measures'!$C$2:$V$33,28,FALSE)</f>
        <v>70.837057308188136</v>
      </c>
      <c r="AC64" s="439">
        <f>HLOOKUP($H64,'MFBaselines and Measures'!$C$2:$V$33,30,FALSE)</f>
        <v>0</v>
      </c>
      <c r="AD64" s="439"/>
      <c r="AE64" s="439">
        <f ca="1">HLOOKUP($H64,'MFBaselines and Measures'!$C$2:$V$33,32,FALSE)</f>
        <v>3.2235583545712814</v>
      </c>
      <c r="AF64" s="440">
        <f ca="1">HLOOKUP($H64,'MFBaselines and Measures'!$C$2:$V$33,10,FALSE)</f>
        <v>33.710881259949694</v>
      </c>
      <c r="AG64" s="441"/>
      <c r="AH64" s="436">
        <f t="shared" ca="1" si="15"/>
        <v>615.87826015900373</v>
      </c>
      <c r="AI64" s="437">
        <f t="shared" ca="1" si="16"/>
        <v>126.26454884545808</v>
      </c>
      <c r="AJ64" s="438">
        <f t="shared" ca="1" si="10"/>
        <v>2.9942292421300607</v>
      </c>
      <c r="AK64" s="438"/>
      <c r="AL64" s="438">
        <f t="shared" ca="1" si="33"/>
        <v>18.88819667072579</v>
      </c>
      <c r="AM64" s="439">
        <f t="shared" si="33"/>
        <v>0</v>
      </c>
      <c r="AN64" s="439"/>
      <c r="AO64" s="439">
        <f t="shared" ca="1" si="34"/>
        <v>0.85953886982916128</v>
      </c>
      <c r="AP64" s="442">
        <f t="shared" ca="1" si="34"/>
        <v>6.5152515092717707</v>
      </c>
      <c r="AQ64" s="443"/>
      <c r="AR64" s="435" t="str">
        <f t="shared" si="18"/>
        <v>CEE Tier 1 Clothes Washer - Electric DHW, Gas Dryer - 54% ENERGY STAR Baseline</v>
      </c>
      <c r="AS64" s="437">
        <f t="shared" ca="1" si="19"/>
        <v>126.26454884545808</v>
      </c>
      <c r="AT64" s="438">
        <f t="shared" ca="1" si="20"/>
        <v>21.882425912855851</v>
      </c>
      <c r="AU64" s="439">
        <f t="shared" ca="1" si="21"/>
        <v>0</v>
      </c>
      <c r="AV64" s="439">
        <f t="shared" ca="1" si="22"/>
        <v>615.87826015900373</v>
      </c>
      <c r="AW64" s="439"/>
      <c r="AX64" s="438">
        <f t="shared" ca="1" si="12"/>
        <v>24.151410380475756</v>
      </c>
      <c r="AY64" s="438">
        <f t="shared" ca="1" si="23"/>
        <v>6.5152515092717707</v>
      </c>
      <c r="AZ64" s="443"/>
      <c r="BA64" s="433" t="str">
        <f t="shared" si="32"/>
        <v>CEE Tier 1 Clothes Washer - Electric DHW, Gas Dryer - 54% ENERGY STAR Baseline</v>
      </c>
      <c r="BB64" s="433" t="s">
        <v>25</v>
      </c>
      <c r="BC64" s="438">
        <f t="shared" ca="1" si="25"/>
        <v>21.882425912855851</v>
      </c>
      <c r="BD64" s="438">
        <f>SFAssumptions!$C$7</f>
        <v>14</v>
      </c>
      <c r="BE64" s="444">
        <f t="shared" ca="1" si="26"/>
        <v>126.26454884545808</v>
      </c>
      <c r="BF64" s="433"/>
      <c r="BG64" s="432" t="s">
        <v>157</v>
      </c>
      <c r="BH64" s="445">
        <f t="shared" ca="1" si="27"/>
        <v>6.5152515092717707</v>
      </c>
      <c r="BI64" s="433"/>
      <c r="BJ64" s="433"/>
      <c r="BK64" s="433"/>
      <c r="BL64" s="433"/>
      <c r="BM64" s="433"/>
      <c r="BN64" s="433"/>
      <c r="BO64" s="446">
        <f t="shared" ca="1" si="28"/>
        <v>0</v>
      </c>
      <c r="BP64" s="433" t="s">
        <v>158</v>
      </c>
    </row>
    <row r="65" spans="1:68" s="414" customFormat="1">
      <c r="A65" s="433">
        <f t="shared" si="29"/>
        <v>48</v>
      </c>
      <c r="B65" s="433">
        <f t="shared" si="3"/>
        <v>2</v>
      </c>
      <c r="C65" s="433">
        <f t="shared" si="4"/>
        <v>18</v>
      </c>
      <c r="D65" s="433">
        <f t="shared" si="5"/>
        <v>4</v>
      </c>
      <c r="E65" s="433">
        <f t="shared" si="6"/>
        <v>3</v>
      </c>
      <c r="F65" s="433"/>
      <c r="G65" s="433" t="str">
        <f t="shared" si="13"/>
        <v>Current Practice Baseline Using 54% ENERGY STAR Penetration</v>
      </c>
      <c r="H65" s="433" t="str">
        <f t="shared" si="14"/>
        <v>CEE Tier 1</v>
      </c>
      <c r="I65" s="433" t="str">
        <f t="shared" si="7"/>
        <v>Gas DHW, Electric Dryer</v>
      </c>
      <c r="J65" s="433" t="str">
        <f t="shared" si="8"/>
        <v>Gas DHW</v>
      </c>
      <c r="K65" s="433" t="str">
        <f t="shared" si="9"/>
        <v>Electric Dryer</v>
      </c>
      <c r="L65" s="434">
        <f>VLOOKUP(J65,SFAssumptions!$A$14:$B$16,2,FALSE)</f>
        <v>0</v>
      </c>
      <c r="M65" s="435">
        <f>VLOOKUP(K65,SFAssumptions!$A$18:$B$20,2,FALSE)</f>
        <v>1</v>
      </c>
      <c r="N65" s="436">
        <f ca="1">HLOOKUP($G65,'MFBaselines and Measures'!$C$3:$V$33,7,FALSE)</f>
        <v>3802.5240664273615</v>
      </c>
      <c r="O65" s="437">
        <f ca="1">HLOOKUP($G65,'MFBaselines and Measures'!$C$3:$V$33,8,FALSE)</f>
        <v>825.23457500176619</v>
      </c>
      <c r="P65" s="438">
        <f ca="1">HLOOKUP($G65,'MFBaselines and Measures'!$C$3:$V$33,25,FALSE)</f>
        <v>51.688606307059544</v>
      </c>
      <c r="Q65" s="438"/>
      <c r="R65" s="438">
        <f ca="1">HLOOKUP($G65,'MFBaselines and Measures'!$C$3:$V$33,27,FALSE)</f>
        <v>89.725253978913926</v>
      </c>
      <c r="S65" s="439">
        <f>HLOOKUP($G65,'MFBaselines and Measures'!$C$3:$V$33,29,FALSE)</f>
        <v>0</v>
      </c>
      <c r="T65" s="439"/>
      <c r="U65" s="439">
        <f ca="1">HLOOKUP($G65,'MFBaselines and Measures'!$C$3:$V$33,31,FALSE)</f>
        <v>4.0830972244004426</v>
      </c>
      <c r="V65" s="440">
        <f ca="1">HLOOKUP($G65,'MFBaselines and Measures'!$C$3:$V$33,9,FALSE)</f>
        <v>40.226132769221465</v>
      </c>
      <c r="W65" s="441"/>
      <c r="X65" s="436">
        <f ca="1">HLOOKUP($H65,'MFBaselines and Measures'!$C$2:$V$33,8,FALSE)</f>
        <v>3186.6458062683578</v>
      </c>
      <c r="Y65" s="437">
        <f ca="1">HLOOKUP($H65,'MFBaselines and Measures'!$C$2:$V$33,9,FALSE)</f>
        <v>951.49912384722427</v>
      </c>
      <c r="Z65" s="438">
        <f ca="1">HLOOKUP($H65,'MFBaselines and Measures'!$C$2:$V$33,26,FALSE)</f>
        <v>48.694377064929483</v>
      </c>
      <c r="AA65" s="438"/>
      <c r="AB65" s="438">
        <f ca="1">HLOOKUP($H65,'MFBaselines and Measures'!$C$2:$V$33,28,FALSE)</f>
        <v>70.837057308188136</v>
      </c>
      <c r="AC65" s="439">
        <f>HLOOKUP($H65,'MFBaselines and Measures'!$C$2:$V$33,30,FALSE)</f>
        <v>0</v>
      </c>
      <c r="AD65" s="439"/>
      <c r="AE65" s="439">
        <f ca="1">HLOOKUP($H65,'MFBaselines and Measures'!$C$2:$V$33,32,FALSE)</f>
        <v>3.2235583545712814</v>
      </c>
      <c r="AF65" s="440">
        <f ca="1">HLOOKUP($H65,'MFBaselines and Measures'!$C$2:$V$33,10,FALSE)</f>
        <v>33.710881259949694</v>
      </c>
      <c r="AG65" s="441"/>
      <c r="AH65" s="436">
        <f t="shared" ca="1" si="15"/>
        <v>615.87826015900373</v>
      </c>
      <c r="AI65" s="437">
        <f t="shared" ca="1" si="16"/>
        <v>126.26454884545808</v>
      </c>
      <c r="AJ65" s="438">
        <f t="shared" ca="1" si="10"/>
        <v>2.9942292421300607</v>
      </c>
      <c r="AK65" s="438"/>
      <c r="AL65" s="438">
        <f t="shared" ca="1" si="33"/>
        <v>18.88819667072579</v>
      </c>
      <c r="AM65" s="439">
        <f t="shared" si="33"/>
        <v>0</v>
      </c>
      <c r="AN65" s="439"/>
      <c r="AO65" s="439">
        <f t="shared" ca="1" si="34"/>
        <v>0.85953886982916128</v>
      </c>
      <c r="AP65" s="442">
        <f t="shared" ca="1" si="34"/>
        <v>6.5152515092717707</v>
      </c>
      <c r="AQ65" s="443"/>
      <c r="AR65" s="435" t="str">
        <f t="shared" si="18"/>
        <v>CEE Tier 1 Clothes Washer - Gas DHW, Electric Dryer - 54% ENERGY STAR Baseline</v>
      </c>
      <c r="AS65" s="437">
        <f t="shared" ca="1" si="19"/>
        <v>126.26454884545808</v>
      </c>
      <c r="AT65" s="438">
        <f t="shared" ca="1" si="20"/>
        <v>2.9942292421300607</v>
      </c>
      <c r="AU65" s="439">
        <f t="shared" ca="1" si="21"/>
        <v>0.85953886982916128</v>
      </c>
      <c r="AV65" s="439">
        <f t="shared" ca="1" si="22"/>
        <v>615.87826015900373</v>
      </c>
      <c r="AW65" s="439"/>
      <c r="AX65" s="438">
        <f t="shared" ca="1" si="12"/>
        <v>5.2632137097499658</v>
      </c>
      <c r="AY65" s="438">
        <f t="shared" ca="1" si="23"/>
        <v>6.5152515092717707</v>
      </c>
      <c r="AZ65" s="443"/>
      <c r="BA65" s="433" t="str">
        <f t="shared" si="32"/>
        <v>CEE Tier 1 Clothes Washer - Gas DHW, Electric Dryer - 54% ENERGY STAR Baseline</v>
      </c>
      <c r="BB65" s="433" t="s">
        <v>25</v>
      </c>
      <c r="BC65" s="438">
        <f t="shared" ca="1" si="25"/>
        <v>2.9942292421300607</v>
      </c>
      <c r="BD65" s="438">
        <f>SFAssumptions!$C$7</f>
        <v>14</v>
      </c>
      <c r="BE65" s="444">
        <f t="shared" ca="1" si="26"/>
        <v>126.26454884545808</v>
      </c>
      <c r="BF65" s="433"/>
      <c r="BG65" s="432" t="s">
        <v>157</v>
      </c>
      <c r="BH65" s="445">
        <f t="shared" ca="1" si="27"/>
        <v>6.5152515092717707</v>
      </c>
      <c r="BI65" s="433"/>
      <c r="BJ65" s="433"/>
      <c r="BK65" s="433"/>
      <c r="BL65" s="433"/>
      <c r="BM65" s="433"/>
      <c r="BN65" s="433"/>
      <c r="BO65" s="446">
        <f t="shared" ca="1" si="28"/>
        <v>0.85953886982916128</v>
      </c>
      <c r="BP65" s="433" t="s">
        <v>158</v>
      </c>
    </row>
    <row r="66" spans="1:68" s="414" customFormat="1">
      <c r="A66" s="433">
        <f t="shared" si="29"/>
        <v>49</v>
      </c>
      <c r="B66" s="433">
        <f t="shared" si="3"/>
        <v>2</v>
      </c>
      <c r="C66" s="433">
        <f t="shared" si="4"/>
        <v>19</v>
      </c>
      <c r="D66" s="433">
        <f t="shared" si="5"/>
        <v>4</v>
      </c>
      <c r="E66" s="433">
        <f t="shared" si="6"/>
        <v>4</v>
      </c>
      <c r="F66" s="433"/>
      <c r="G66" s="433" t="str">
        <f t="shared" si="13"/>
        <v>Current Practice Baseline Using 54% ENERGY STAR Penetration</v>
      </c>
      <c r="H66" s="433" t="str">
        <f t="shared" si="14"/>
        <v>CEE Tier 1</v>
      </c>
      <c r="I66" s="433" t="str">
        <f t="shared" si="7"/>
        <v>Gas DHW, Gas Dryer</v>
      </c>
      <c r="J66" s="433" t="str">
        <f t="shared" si="8"/>
        <v>Gas DHW</v>
      </c>
      <c r="K66" s="433" t="str">
        <f t="shared" si="9"/>
        <v>Gas Dryer</v>
      </c>
      <c r="L66" s="434">
        <f>VLOOKUP(J66,SFAssumptions!$A$14:$B$16,2,FALSE)</f>
        <v>0</v>
      </c>
      <c r="M66" s="435">
        <f>VLOOKUP(K66,SFAssumptions!$A$18:$B$20,2,FALSE)</f>
        <v>0</v>
      </c>
      <c r="N66" s="436">
        <f ca="1">HLOOKUP($G66,'MFBaselines and Measures'!$C$3:$V$33,7,FALSE)</f>
        <v>3802.5240664273615</v>
      </c>
      <c r="O66" s="437">
        <f ca="1">HLOOKUP($G66,'MFBaselines and Measures'!$C$3:$V$33,8,FALSE)</f>
        <v>825.23457500176619</v>
      </c>
      <c r="P66" s="438">
        <f ca="1">HLOOKUP($G66,'MFBaselines and Measures'!$C$3:$V$33,25,FALSE)</f>
        <v>51.688606307059544</v>
      </c>
      <c r="Q66" s="438"/>
      <c r="R66" s="438">
        <f ca="1">HLOOKUP($G66,'MFBaselines and Measures'!$C$3:$V$33,27,FALSE)</f>
        <v>89.725253978913926</v>
      </c>
      <c r="S66" s="439">
        <f>HLOOKUP($G66,'MFBaselines and Measures'!$C$3:$V$33,29,FALSE)</f>
        <v>0</v>
      </c>
      <c r="T66" s="439"/>
      <c r="U66" s="439">
        <f ca="1">HLOOKUP($G66,'MFBaselines and Measures'!$C$3:$V$33,31,FALSE)</f>
        <v>4.0830972244004426</v>
      </c>
      <c r="V66" s="440">
        <f ca="1">HLOOKUP($G66,'MFBaselines and Measures'!$C$3:$V$33,9,FALSE)</f>
        <v>40.226132769221465</v>
      </c>
      <c r="W66" s="441"/>
      <c r="X66" s="436">
        <f ca="1">HLOOKUP($H66,'MFBaselines and Measures'!$C$2:$V$33,8,FALSE)</f>
        <v>3186.6458062683578</v>
      </c>
      <c r="Y66" s="437">
        <f ca="1">HLOOKUP($H66,'MFBaselines and Measures'!$C$2:$V$33,9,FALSE)</f>
        <v>951.49912384722427</v>
      </c>
      <c r="Z66" s="438">
        <f ca="1">HLOOKUP($H66,'MFBaselines and Measures'!$C$2:$V$33,26,FALSE)</f>
        <v>48.694377064929483</v>
      </c>
      <c r="AA66" s="438"/>
      <c r="AB66" s="438">
        <f ca="1">HLOOKUP($H66,'MFBaselines and Measures'!$C$2:$V$33,28,FALSE)</f>
        <v>70.837057308188136</v>
      </c>
      <c r="AC66" s="439">
        <f>HLOOKUP($H66,'MFBaselines and Measures'!$C$2:$V$33,30,FALSE)</f>
        <v>0</v>
      </c>
      <c r="AD66" s="439"/>
      <c r="AE66" s="439">
        <f ca="1">HLOOKUP($H66,'MFBaselines and Measures'!$C$2:$V$33,32,FALSE)</f>
        <v>3.2235583545712814</v>
      </c>
      <c r="AF66" s="440">
        <f ca="1">HLOOKUP($H66,'MFBaselines and Measures'!$C$2:$V$33,10,FALSE)</f>
        <v>33.710881259949694</v>
      </c>
      <c r="AG66" s="441"/>
      <c r="AH66" s="436">
        <f t="shared" ca="1" si="15"/>
        <v>615.87826015900373</v>
      </c>
      <c r="AI66" s="437">
        <f t="shared" ca="1" si="16"/>
        <v>126.26454884545808</v>
      </c>
      <c r="AJ66" s="438">
        <f t="shared" ca="1" si="10"/>
        <v>2.9942292421300607</v>
      </c>
      <c r="AK66" s="438"/>
      <c r="AL66" s="438">
        <f t="shared" ca="1" si="33"/>
        <v>18.88819667072579</v>
      </c>
      <c r="AM66" s="439">
        <f t="shared" si="33"/>
        <v>0</v>
      </c>
      <c r="AN66" s="439"/>
      <c r="AO66" s="439">
        <f t="shared" ca="1" si="34"/>
        <v>0.85953886982916128</v>
      </c>
      <c r="AP66" s="442">
        <f t="shared" ca="1" si="34"/>
        <v>6.5152515092717707</v>
      </c>
      <c r="AQ66" s="443"/>
      <c r="AR66" s="435" t="str">
        <f t="shared" si="18"/>
        <v>CEE Tier 1 Clothes Washer - Gas DHW, Gas Dryer - 54% ENERGY STAR Baseline</v>
      </c>
      <c r="AS66" s="437">
        <f t="shared" ca="1" si="19"/>
        <v>126.26454884545808</v>
      </c>
      <c r="AT66" s="438">
        <f t="shared" ca="1" si="20"/>
        <v>2.9942292421300607</v>
      </c>
      <c r="AU66" s="439">
        <f t="shared" ca="1" si="21"/>
        <v>0.85953886982916128</v>
      </c>
      <c r="AV66" s="439">
        <f t="shared" ca="1" si="22"/>
        <v>615.87826015900373</v>
      </c>
      <c r="AW66" s="439"/>
      <c r="AX66" s="438">
        <f t="shared" ca="1" si="12"/>
        <v>5.2632137097499658</v>
      </c>
      <c r="AY66" s="438">
        <f t="shared" ca="1" si="23"/>
        <v>6.5152515092717707</v>
      </c>
      <c r="AZ66" s="443"/>
      <c r="BA66" s="433" t="str">
        <f t="shared" si="32"/>
        <v>CEE Tier 1 Clothes Washer - Gas DHW, Gas Dryer - 54% ENERGY STAR Baseline</v>
      </c>
      <c r="BB66" s="433" t="s">
        <v>25</v>
      </c>
      <c r="BC66" s="438">
        <f t="shared" ca="1" si="25"/>
        <v>2.9942292421300607</v>
      </c>
      <c r="BD66" s="438">
        <f>SFAssumptions!$C$7</f>
        <v>14</v>
      </c>
      <c r="BE66" s="444">
        <f t="shared" ca="1" si="26"/>
        <v>126.26454884545808</v>
      </c>
      <c r="BF66" s="433"/>
      <c r="BG66" s="432" t="s">
        <v>157</v>
      </c>
      <c r="BH66" s="445">
        <f t="shared" ca="1" si="27"/>
        <v>6.5152515092717707</v>
      </c>
      <c r="BI66" s="433"/>
      <c r="BJ66" s="433"/>
      <c r="BK66" s="433"/>
      <c r="BL66" s="433"/>
      <c r="BM66" s="433"/>
      <c r="BN66" s="433"/>
      <c r="BO66" s="446">
        <f t="shared" ca="1" si="28"/>
        <v>0.85953886982916128</v>
      </c>
      <c r="BP66" s="433" t="s">
        <v>158</v>
      </c>
    </row>
    <row r="67" spans="1:68" s="414" customFormat="1">
      <c r="A67" s="433">
        <f t="shared" si="29"/>
        <v>50</v>
      </c>
      <c r="B67" s="433">
        <f t="shared" si="3"/>
        <v>2</v>
      </c>
      <c r="C67" s="433">
        <f t="shared" si="4"/>
        <v>20</v>
      </c>
      <c r="D67" s="433">
        <f t="shared" si="5"/>
        <v>4</v>
      </c>
      <c r="E67" s="433">
        <f t="shared" si="6"/>
        <v>5</v>
      </c>
      <c r="F67" s="433"/>
      <c r="G67" s="433" t="str">
        <f t="shared" si="13"/>
        <v>Current Practice Baseline Using 54% ENERGY STAR Penetration</v>
      </c>
      <c r="H67" s="433" t="str">
        <f t="shared" si="14"/>
        <v>CEE Tier 1</v>
      </c>
      <c r="I67" s="433" t="str">
        <f t="shared" si="7"/>
        <v>Any DHW, Any Dryer</v>
      </c>
      <c r="J67" s="433" t="str">
        <f t="shared" si="8"/>
        <v>Any DHW</v>
      </c>
      <c r="K67" s="433" t="str">
        <f t="shared" si="9"/>
        <v>Any Dryer</v>
      </c>
      <c r="L67" s="434">
        <f>VLOOKUP(J67,SFAssumptions!$A$14:$B$16,2,FALSE)</f>
        <v>0.55200000000000005</v>
      </c>
      <c r="M67" s="435">
        <f>VLOOKUP(K67,SFAssumptions!$A$18:$B$20,2,FALSE)</f>
        <v>0.95</v>
      </c>
      <c r="N67" s="436">
        <f ca="1">HLOOKUP($G67,'MFBaselines and Measures'!$C$3:$V$33,7,FALSE)</f>
        <v>3802.5240664273615</v>
      </c>
      <c r="O67" s="437">
        <f ca="1">HLOOKUP($G67,'MFBaselines and Measures'!$C$3:$V$33,8,FALSE)</f>
        <v>825.23457500176619</v>
      </c>
      <c r="P67" s="438">
        <f ca="1">HLOOKUP($G67,'MFBaselines and Measures'!$C$3:$V$33,25,FALSE)</f>
        <v>51.688606307059544</v>
      </c>
      <c r="Q67" s="438"/>
      <c r="R67" s="438">
        <f ca="1">HLOOKUP($G67,'MFBaselines and Measures'!$C$3:$V$33,27,FALSE)</f>
        <v>89.725253978913926</v>
      </c>
      <c r="S67" s="439">
        <f>HLOOKUP($G67,'MFBaselines and Measures'!$C$3:$V$33,29,FALSE)</f>
        <v>0</v>
      </c>
      <c r="T67" s="439"/>
      <c r="U67" s="439">
        <f ca="1">HLOOKUP($G67,'MFBaselines and Measures'!$C$3:$V$33,31,FALSE)</f>
        <v>4.0830972244004426</v>
      </c>
      <c r="V67" s="440">
        <f ca="1">HLOOKUP($G67,'MFBaselines and Measures'!$C$3:$V$33,9,FALSE)</f>
        <v>40.226132769221465</v>
      </c>
      <c r="W67" s="441"/>
      <c r="X67" s="436">
        <f ca="1">HLOOKUP($H67,'MFBaselines and Measures'!$C$2:$V$33,8,FALSE)</f>
        <v>3186.6458062683578</v>
      </c>
      <c r="Y67" s="437">
        <f ca="1">HLOOKUP($H67,'MFBaselines and Measures'!$C$2:$V$33,9,FALSE)</f>
        <v>951.49912384722427</v>
      </c>
      <c r="Z67" s="438">
        <f ca="1">HLOOKUP($H67,'MFBaselines and Measures'!$C$2:$V$33,26,FALSE)</f>
        <v>48.694377064929483</v>
      </c>
      <c r="AA67" s="438"/>
      <c r="AB67" s="438">
        <f ca="1">HLOOKUP($H67,'MFBaselines and Measures'!$C$2:$V$33,28,FALSE)</f>
        <v>70.837057308188136</v>
      </c>
      <c r="AC67" s="439">
        <f>HLOOKUP($H67,'MFBaselines and Measures'!$C$2:$V$33,30,FALSE)</f>
        <v>0</v>
      </c>
      <c r="AD67" s="439"/>
      <c r="AE67" s="439">
        <f ca="1">HLOOKUP($H67,'MFBaselines and Measures'!$C$2:$V$33,32,FALSE)</f>
        <v>3.2235583545712814</v>
      </c>
      <c r="AF67" s="440">
        <f ca="1">HLOOKUP($H67,'MFBaselines and Measures'!$C$2:$V$33,10,FALSE)</f>
        <v>33.710881259949694</v>
      </c>
      <c r="AG67" s="441"/>
      <c r="AH67" s="436">
        <f t="shared" ca="1" si="15"/>
        <v>615.87826015900373</v>
      </c>
      <c r="AI67" s="437">
        <f t="shared" ca="1" si="16"/>
        <v>126.26454884545808</v>
      </c>
      <c r="AJ67" s="438">
        <f t="shared" ca="1" si="10"/>
        <v>2.9942292421300607</v>
      </c>
      <c r="AK67" s="438"/>
      <c r="AL67" s="438">
        <f t="shared" ca="1" si="33"/>
        <v>18.88819667072579</v>
      </c>
      <c r="AM67" s="439">
        <f t="shared" si="33"/>
        <v>0</v>
      </c>
      <c r="AN67" s="439"/>
      <c r="AO67" s="439">
        <f t="shared" ca="1" si="34"/>
        <v>0.85953886982916128</v>
      </c>
      <c r="AP67" s="442">
        <f t="shared" ca="1" si="34"/>
        <v>6.5152515092717707</v>
      </c>
      <c r="AQ67" s="443"/>
      <c r="AR67" s="435" t="str">
        <f t="shared" si="18"/>
        <v>CEE Tier 1 Clothes Washer - Any DHW, Any Dryer - 54% ENERGY STAR Baseline</v>
      </c>
      <c r="AS67" s="437">
        <f t="shared" ca="1" si="19"/>
        <v>126.26454884545808</v>
      </c>
      <c r="AT67" s="438">
        <f t="shared" ca="1" si="20"/>
        <v>13.420513804370698</v>
      </c>
      <c r="AU67" s="439">
        <f t="shared" ca="1" si="21"/>
        <v>0.38507341368346421</v>
      </c>
      <c r="AV67" s="439">
        <f t="shared" ca="1" si="22"/>
        <v>615.87826015900373</v>
      </c>
      <c r="AW67" s="439"/>
      <c r="AX67" s="438">
        <f t="shared" ca="1" si="12"/>
        <v>15.689498271990603</v>
      </c>
      <c r="AY67" s="438">
        <f t="shared" ca="1" si="23"/>
        <v>6.5152515092717707</v>
      </c>
      <c r="AZ67" s="443"/>
      <c r="BA67" s="433" t="str">
        <f t="shared" si="32"/>
        <v>CEE Tier 1 Clothes Washer - Any DHW, Any Dryer - 54% ENERGY STAR Baseline</v>
      </c>
      <c r="BB67" s="433" t="s">
        <v>25</v>
      </c>
      <c r="BC67" s="438">
        <f t="shared" ca="1" si="25"/>
        <v>13.420513804370698</v>
      </c>
      <c r="BD67" s="438">
        <f>SFAssumptions!$C$7</f>
        <v>14</v>
      </c>
      <c r="BE67" s="444">
        <f t="shared" ca="1" si="26"/>
        <v>126.26454884545808</v>
      </c>
      <c r="BF67" s="433"/>
      <c r="BG67" s="432" t="s">
        <v>157</v>
      </c>
      <c r="BH67" s="445">
        <f t="shared" ca="1" si="27"/>
        <v>6.5152515092717707</v>
      </c>
      <c r="BI67" s="433"/>
      <c r="BJ67" s="433"/>
      <c r="BK67" s="433"/>
      <c r="BL67" s="433"/>
      <c r="BM67" s="433"/>
      <c r="BN67" s="433"/>
      <c r="BO67" s="446">
        <f t="shared" ca="1" si="28"/>
        <v>0.38507341368346421</v>
      </c>
      <c r="BP67" s="433" t="s">
        <v>158</v>
      </c>
    </row>
    <row r="68" spans="1:68" s="414" customFormat="1">
      <c r="A68" s="433">
        <f t="shared" si="29"/>
        <v>51</v>
      </c>
      <c r="B68" s="433">
        <f t="shared" si="3"/>
        <v>2</v>
      </c>
      <c r="C68" s="433">
        <f t="shared" si="4"/>
        <v>21</v>
      </c>
      <c r="D68" s="433">
        <f t="shared" si="5"/>
        <v>5</v>
      </c>
      <c r="E68" s="433">
        <f t="shared" si="6"/>
        <v>1</v>
      </c>
      <c r="F68" s="433"/>
      <c r="G68" s="433" t="str">
        <f t="shared" si="13"/>
        <v>Current Practice Baseline Using 54% ENERGY STAR Penetration</v>
      </c>
      <c r="H68" s="433" t="str">
        <f t="shared" si="14"/>
        <v>CEE Tier 2</v>
      </c>
      <c r="I68" s="433" t="str">
        <f t="shared" si="7"/>
        <v>Electric DHW, Electric Dryer</v>
      </c>
      <c r="J68" s="433" t="str">
        <f t="shared" si="8"/>
        <v>Electric DHW</v>
      </c>
      <c r="K68" s="433" t="str">
        <f t="shared" si="9"/>
        <v>Electric Dryer</v>
      </c>
      <c r="L68" s="434">
        <f>VLOOKUP(J68,SFAssumptions!$A$14:$B$16,2,FALSE)</f>
        <v>1</v>
      </c>
      <c r="M68" s="435">
        <f>VLOOKUP(K68,SFAssumptions!$A$18:$B$20,2,FALSE)</f>
        <v>1</v>
      </c>
      <c r="N68" s="436">
        <f ca="1">HLOOKUP($G68,'MFBaselines and Measures'!$C$3:$V$33,7,FALSE)</f>
        <v>3802.5240664273615</v>
      </c>
      <c r="O68" s="437">
        <f ca="1">HLOOKUP($G68,'MFBaselines and Measures'!$C$3:$V$33,8,FALSE)</f>
        <v>825.23457500176619</v>
      </c>
      <c r="P68" s="438">
        <f ca="1">HLOOKUP($G68,'MFBaselines and Measures'!$C$3:$V$33,25,FALSE)</f>
        <v>51.688606307059544</v>
      </c>
      <c r="Q68" s="438"/>
      <c r="R68" s="438">
        <f ca="1">HLOOKUP($G68,'MFBaselines and Measures'!$C$3:$V$33,27,FALSE)</f>
        <v>89.725253978913926</v>
      </c>
      <c r="S68" s="439">
        <f>HLOOKUP($G68,'MFBaselines and Measures'!$C$3:$V$33,29,FALSE)</f>
        <v>0</v>
      </c>
      <c r="T68" s="439"/>
      <c r="U68" s="439">
        <f ca="1">HLOOKUP($G68,'MFBaselines and Measures'!$C$3:$V$33,31,FALSE)</f>
        <v>4.0830972244004426</v>
      </c>
      <c r="V68" s="440">
        <f ca="1">HLOOKUP($G68,'MFBaselines and Measures'!$C$3:$V$33,9,FALSE)</f>
        <v>40.226132769221465</v>
      </c>
      <c r="W68" s="441"/>
      <c r="X68" s="436">
        <f ca="1">HLOOKUP($H68,'MFBaselines and Measures'!$C$2:$V$33,8,FALSE)</f>
        <v>2899.206481928567</v>
      </c>
      <c r="Y68" s="437">
        <f ca="1">HLOOKUP($H68,'MFBaselines and Measures'!$C$2:$V$33,9,FALSE)</f>
        <v>1001.0825583529517</v>
      </c>
      <c r="Z68" s="438">
        <f ca="1">HLOOKUP($H68,'MFBaselines and Measures'!$C$2:$V$33,26,FALSE)</f>
        <v>46.331539107024525</v>
      </c>
      <c r="AA68" s="438"/>
      <c r="AB68" s="438">
        <f ca="1">HLOOKUP($H68,'MFBaselines and Measures'!$C$2:$V$33,28,FALSE)</f>
        <v>61.320230265550691</v>
      </c>
      <c r="AC68" s="439">
        <f>HLOOKUP($H68,'MFBaselines and Measures'!$C$2:$V$33,30,FALSE)</f>
        <v>0</v>
      </c>
      <c r="AD68" s="439"/>
      <c r="AE68" s="439">
        <f ca="1">HLOOKUP($H68,'MFBaselines and Measures'!$C$2:$V$33,32,FALSE)</f>
        <v>2.79047927861766</v>
      </c>
      <c r="AF68" s="440">
        <f ca="1">HLOOKUP($H68,'MFBaselines and Measures'!$C$2:$V$33,10,FALSE)</f>
        <v>30.67011880269817</v>
      </c>
      <c r="AG68" s="441"/>
      <c r="AH68" s="436">
        <f t="shared" ca="1" si="15"/>
        <v>903.31758449879453</v>
      </c>
      <c r="AI68" s="437">
        <f t="shared" ca="1" si="16"/>
        <v>175.84798335118546</v>
      </c>
      <c r="AJ68" s="438">
        <f t="shared" ca="1" si="10"/>
        <v>5.3570672000350186</v>
      </c>
      <c r="AK68" s="438"/>
      <c r="AL68" s="438">
        <f t="shared" ca="1" si="33"/>
        <v>28.405023713363235</v>
      </c>
      <c r="AM68" s="439">
        <f t="shared" si="33"/>
        <v>0</v>
      </c>
      <c r="AN68" s="439"/>
      <c r="AO68" s="439">
        <f t="shared" ca="1" si="34"/>
        <v>1.2926179457827827</v>
      </c>
      <c r="AP68" s="442">
        <f t="shared" ca="1" si="34"/>
        <v>9.5560139665232953</v>
      </c>
      <c r="AQ68" s="443"/>
      <c r="AR68" s="435" t="str">
        <f t="shared" si="18"/>
        <v>CEE Tier 2 Clothes Washer - Electric DHW, Electric Dryer - 54% ENERGY STAR Baseline</v>
      </c>
      <c r="AS68" s="437">
        <f t="shared" ca="1" si="19"/>
        <v>175.84798335118546</v>
      </c>
      <c r="AT68" s="438">
        <f t="shared" ca="1" si="20"/>
        <v>33.762090913398254</v>
      </c>
      <c r="AU68" s="439">
        <f t="shared" ca="1" si="21"/>
        <v>0</v>
      </c>
      <c r="AV68" s="439">
        <f t="shared" ca="1" si="22"/>
        <v>903.31758449879453</v>
      </c>
      <c r="AW68" s="439"/>
      <c r="AX68" s="438">
        <f t="shared" ca="1" si="12"/>
        <v>37.090043369499789</v>
      </c>
      <c r="AY68" s="438">
        <f t="shared" ca="1" si="23"/>
        <v>9.5560139665232953</v>
      </c>
      <c r="AZ68" s="443"/>
      <c r="BA68" s="433" t="str">
        <f t="shared" si="32"/>
        <v>CEE Tier 2 Clothes Washer - Electric DHW, Electric Dryer - 54% ENERGY STAR Baseline</v>
      </c>
      <c r="BB68" s="433" t="s">
        <v>25</v>
      </c>
      <c r="BC68" s="438">
        <f t="shared" ca="1" si="25"/>
        <v>33.762090913398254</v>
      </c>
      <c r="BD68" s="438">
        <f>SFAssumptions!$C$7</f>
        <v>14</v>
      </c>
      <c r="BE68" s="444">
        <f t="shared" ca="1" si="26"/>
        <v>175.84798335118546</v>
      </c>
      <c r="BF68" s="433"/>
      <c r="BG68" s="432" t="s">
        <v>157</v>
      </c>
      <c r="BH68" s="445">
        <f t="shared" ca="1" si="27"/>
        <v>9.5560139665232953</v>
      </c>
      <c r="BI68" s="433"/>
      <c r="BJ68" s="433"/>
      <c r="BK68" s="433"/>
      <c r="BL68" s="433"/>
      <c r="BM68" s="433"/>
      <c r="BN68" s="433"/>
      <c r="BO68" s="446">
        <f t="shared" ca="1" si="28"/>
        <v>0</v>
      </c>
      <c r="BP68" s="433" t="s">
        <v>158</v>
      </c>
    </row>
    <row r="69" spans="1:68" s="414" customFormat="1">
      <c r="A69" s="433">
        <f t="shared" si="29"/>
        <v>52</v>
      </c>
      <c r="B69" s="433">
        <f t="shared" si="3"/>
        <v>2</v>
      </c>
      <c r="C69" s="433">
        <f t="shared" si="4"/>
        <v>22</v>
      </c>
      <c r="D69" s="433">
        <f t="shared" si="5"/>
        <v>5</v>
      </c>
      <c r="E69" s="433">
        <f t="shared" si="6"/>
        <v>2</v>
      </c>
      <c r="F69" s="433"/>
      <c r="G69" s="433" t="str">
        <f t="shared" si="13"/>
        <v>Current Practice Baseline Using 54% ENERGY STAR Penetration</v>
      </c>
      <c r="H69" s="433" t="str">
        <f t="shared" si="14"/>
        <v>CEE Tier 2</v>
      </c>
      <c r="I69" s="433" t="str">
        <f t="shared" si="7"/>
        <v>Electric DHW, Gas Dryer</v>
      </c>
      <c r="J69" s="433" t="str">
        <f t="shared" si="8"/>
        <v>Electric DHW</v>
      </c>
      <c r="K69" s="433" t="str">
        <f t="shared" si="9"/>
        <v>Gas Dryer</v>
      </c>
      <c r="L69" s="434">
        <f>VLOOKUP(J69,SFAssumptions!$A$14:$B$16,2,FALSE)</f>
        <v>1</v>
      </c>
      <c r="M69" s="435">
        <f>VLOOKUP(K69,SFAssumptions!$A$18:$B$20,2,FALSE)</f>
        <v>0</v>
      </c>
      <c r="N69" s="436">
        <f ca="1">HLOOKUP($G69,'MFBaselines and Measures'!$C$3:$V$33,7,FALSE)</f>
        <v>3802.5240664273615</v>
      </c>
      <c r="O69" s="437">
        <f ca="1">HLOOKUP($G69,'MFBaselines and Measures'!$C$3:$V$33,8,FALSE)</f>
        <v>825.23457500176619</v>
      </c>
      <c r="P69" s="438">
        <f ca="1">HLOOKUP($G69,'MFBaselines and Measures'!$C$3:$V$33,25,FALSE)</f>
        <v>51.688606307059544</v>
      </c>
      <c r="Q69" s="438"/>
      <c r="R69" s="438">
        <f ca="1">HLOOKUP($G69,'MFBaselines and Measures'!$C$3:$V$33,27,FALSE)</f>
        <v>89.725253978913926</v>
      </c>
      <c r="S69" s="439">
        <f>HLOOKUP($G69,'MFBaselines and Measures'!$C$3:$V$33,29,FALSE)</f>
        <v>0</v>
      </c>
      <c r="T69" s="439"/>
      <c r="U69" s="439">
        <f ca="1">HLOOKUP($G69,'MFBaselines and Measures'!$C$3:$V$33,31,FALSE)</f>
        <v>4.0830972244004426</v>
      </c>
      <c r="V69" s="440">
        <f ca="1">HLOOKUP($G69,'MFBaselines and Measures'!$C$3:$V$33,9,FALSE)</f>
        <v>40.226132769221465</v>
      </c>
      <c r="W69" s="441"/>
      <c r="X69" s="436">
        <f ca="1">HLOOKUP($H69,'MFBaselines and Measures'!$C$2:$V$33,8,FALSE)</f>
        <v>2899.206481928567</v>
      </c>
      <c r="Y69" s="437">
        <f ca="1">HLOOKUP($H69,'MFBaselines and Measures'!$C$2:$V$33,9,FALSE)</f>
        <v>1001.0825583529517</v>
      </c>
      <c r="Z69" s="438">
        <f ca="1">HLOOKUP($H69,'MFBaselines and Measures'!$C$2:$V$33,26,FALSE)</f>
        <v>46.331539107024525</v>
      </c>
      <c r="AA69" s="438"/>
      <c r="AB69" s="438">
        <f ca="1">HLOOKUP($H69,'MFBaselines and Measures'!$C$2:$V$33,28,FALSE)</f>
        <v>61.320230265550691</v>
      </c>
      <c r="AC69" s="439">
        <f>HLOOKUP($H69,'MFBaselines and Measures'!$C$2:$V$33,30,FALSE)</f>
        <v>0</v>
      </c>
      <c r="AD69" s="439"/>
      <c r="AE69" s="439">
        <f ca="1">HLOOKUP($H69,'MFBaselines and Measures'!$C$2:$V$33,32,FALSE)</f>
        <v>2.79047927861766</v>
      </c>
      <c r="AF69" s="440">
        <f ca="1">HLOOKUP($H69,'MFBaselines and Measures'!$C$2:$V$33,10,FALSE)</f>
        <v>30.67011880269817</v>
      </c>
      <c r="AG69" s="441"/>
      <c r="AH69" s="436">
        <f t="shared" ca="1" si="15"/>
        <v>903.31758449879453</v>
      </c>
      <c r="AI69" s="437">
        <f t="shared" ca="1" si="16"/>
        <v>175.84798335118546</v>
      </c>
      <c r="AJ69" s="438">
        <f t="shared" ca="1" si="10"/>
        <v>5.3570672000350186</v>
      </c>
      <c r="AK69" s="438"/>
      <c r="AL69" s="438">
        <f t="shared" ca="1" si="33"/>
        <v>28.405023713363235</v>
      </c>
      <c r="AM69" s="439">
        <f t="shared" si="33"/>
        <v>0</v>
      </c>
      <c r="AN69" s="439"/>
      <c r="AO69" s="439">
        <f t="shared" ca="1" si="34"/>
        <v>1.2926179457827827</v>
      </c>
      <c r="AP69" s="442">
        <f t="shared" ca="1" si="34"/>
        <v>9.5560139665232953</v>
      </c>
      <c r="AQ69" s="443"/>
      <c r="AR69" s="435" t="str">
        <f t="shared" si="18"/>
        <v>CEE Tier 2 Clothes Washer - Electric DHW, Gas Dryer - 54% ENERGY STAR Baseline</v>
      </c>
      <c r="AS69" s="437">
        <f t="shared" ca="1" si="19"/>
        <v>175.84798335118546</v>
      </c>
      <c r="AT69" s="438">
        <f t="shared" ca="1" si="20"/>
        <v>33.762090913398254</v>
      </c>
      <c r="AU69" s="439">
        <f t="shared" ca="1" si="21"/>
        <v>0</v>
      </c>
      <c r="AV69" s="439">
        <f t="shared" ca="1" si="22"/>
        <v>903.31758449879453</v>
      </c>
      <c r="AW69" s="439"/>
      <c r="AX69" s="438">
        <f t="shared" ca="1" si="12"/>
        <v>37.090043369499789</v>
      </c>
      <c r="AY69" s="438">
        <f t="shared" ca="1" si="23"/>
        <v>9.5560139665232953</v>
      </c>
      <c r="AZ69" s="443"/>
      <c r="BA69" s="433" t="str">
        <f t="shared" si="32"/>
        <v>CEE Tier 2 Clothes Washer - Electric DHW, Gas Dryer - 54% ENERGY STAR Baseline</v>
      </c>
      <c r="BB69" s="433" t="s">
        <v>25</v>
      </c>
      <c r="BC69" s="438">
        <f t="shared" ca="1" si="25"/>
        <v>33.762090913398254</v>
      </c>
      <c r="BD69" s="438">
        <f>SFAssumptions!$C$7</f>
        <v>14</v>
      </c>
      <c r="BE69" s="444">
        <f t="shared" ca="1" si="26"/>
        <v>175.84798335118546</v>
      </c>
      <c r="BF69" s="433"/>
      <c r="BG69" s="432" t="s">
        <v>157</v>
      </c>
      <c r="BH69" s="445">
        <f t="shared" ca="1" si="27"/>
        <v>9.5560139665232953</v>
      </c>
      <c r="BI69" s="433"/>
      <c r="BJ69" s="433"/>
      <c r="BK69" s="433"/>
      <c r="BL69" s="433"/>
      <c r="BM69" s="433"/>
      <c r="BN69" s="433"/>
      <c r="BO69" s="446">
        <f t="shared" ca="1" si="28"/>
        <v>0</v>
      </c>
      <c r="BP69" s="433" t="s">
        <v>158</v>
      </c>
    </row>
    <row r="70" spans="1:68" s="414" customFormat="1">
      <c r="A70" s="433">
        <f t="shared" si="29"/>
        <v>53</v>
      </c>
      <c r="B70" s="433">
        <f t="shared" si="3"/>
        <v>2</v>
      </c>
      <c r="C70" s="433">
        <f t="shared" si="4"/>
        <v>23</v>
      </c>
      <c r="D70" s="433">
        <f t="shared" si="5"/>
        <v>5</v>
      </c>
      <c r="E70" s="433">
        <f t="shared" si="6"/>
        <v>3</v>
      </c>
      <c r="F70" s="433"/>
      <c r="G70" s="433" t="str">
        <f t="shared" si="13"/>
        <v>Current Practice Baseline Using 54% ENERGY STAR Penetration</v>
      </c>
      <c r="H70" s="433" t="str">
        <f t="shared" si="14"/>
        <v>CEE Tier 2</v>
      </c>
      <c r="I70" s="433" t="str">
        <f t="shared" si="7"/>
        <v>Gas DHW, Electric Dryer</v>
      </c>
      <c r="J70" s="433" t="str">
        <f t="shared" si="8"/>
        <v>Gas DHW</v>
      </c>
      <c r="K70" s="433" t="str">
        <f t="shared" si="9"/>
        <v>Electric Dryer</v>
      </c>
      <c r="L70" s="434">
        <f>VLOOKUP(J70,SFAssumptions!$A$14:$B$16,2,FALSE)</f>
        <v>0</v>
      </c>
      <c r="M70" s="435">
        <f>VLOOKUP(K70,SFAssumptions!$A$18:$B$20,2,FALSE)</f>
        <v>1</v>
      </c>
      <c r="N70" s="436">
        <f ca="1">HLOOKUP($G70,'MFBaselines and Measures'!$C$3:$V$33,7,FALSE)</f>
        <v>3802.5240664273615</v>
      </c>
      <c r="O70" s="437">
        <f ca="1">HLOOKUP($G70,'MFBaselines and Measures'!$C$3:$V$33,8,FALSE)</f>
        <v>825.23457500176619</v>
      </c>
      <c r="P70" s="438">
        <f ca="1">HLOOKUP($G70,'MFBaselines and Measures'!$C$3:$V$33,25,FALSE)</f>
        <v>51.688606307059544</v>
      </c>
      <c r="Q70" s="438"/>
      <c r="R70" s="438">
        <f ca="1">HLOOKUP($G70,'MFBaselines and Measures'!$C$3:$V$33,27,FALSE)</f>
        <v>89.725253978913926</v>
      </c>
      <c r="S70" s="439">
        <f>HLOOKUP($G70,'MFBaselines and Measures'!$C$3:$V$33,29,FALSE)</f>
        <v>0</v>
      </c>
      <c r="T70" s="439"/>
      <c r="U70" s="439">
        <f ca="1">HLOOKUP($G70,'MFBaselines and Measures'!$C$3:$V$33,31,FALSE)</f>
        <v>4.0830972244004426</v>
      </c>
      <c r="V70" s="440">
        <f ca="1">HLOOKUP($G70,'MFBaselines and Measures'!$C$3:$V$33,9,FALSE)</f>
        <v>40.226132769221465</v>
      </c>
      <c r="W70" s="441"/>
      <c r="X70" s="436">
        <f ca="1">HLOOKUP($H70,'MFBaselines and Measures'!$C$2:$V$33,8,FALSE)</f>
        <v>2899.206481928567</v>
      </c>
      <c r="Y70" s="437">
        <f ca="1">HLOOKUP($H70,'MFBaselines and Measures'!$C$2:$V$33,9,FALSE)</f>
        <v>1001.0825583529517</v>
      </c>
      <c r="Z70" s="438">
        <f ca="1">HLOOKUP($H70,'MFBaselines and Measures'!$C$2:$V$33,26,FALSE)</f>
        <v>46.331539107024525</v>
      </c>
      <c r="AA70" s="438"/>
      <c r="AB70" s="438">
        <f ca="1">HLOOKUP($H70,'MFBaselines and Measures'!$C$2:$V$33,28,FALSE)</f>
        <v>61.320230265550691</v>
      </c>
      <c r="AC70" s="439">
        <f>HLOOKUP($H70,'MFBaselines and Measures'!$C$2:$V$33,30,FALSE)</f>
        <v>0</v>
      </c>
      <c r="AD70" s="439"/>
      <c r="AE70" s="439">
        <f ca="1">HLOOKUP($H70,'MFBaselines and Measures'!$C$2:$V$33,32,FALSE)</f>
        <v>2.79047927861766</v>
      </c>
      <c r="AF70" s="440">
        <f ca="1">HLOOKUP($H70,'MFBaselines and Measures'!$C$2:$V$33,10,FALSE)</f>
        <v>30.67011880269817</v>
      </c>
      <c r="AG70" s="441"/>
      <c r="AH70" s="436">
        <f t="shared" ca="1" si="15"/>
        <v>903.31758449879453</v>
      </c>
      <c r="AI70" s="437">
        <f t="shared" ca="1" si="16"/>
        <v>175.84798335118546</v>
      </c>
      <c r="AJ70" s="438">
        <f t="shared" ca="1" si="10"/>
        <v>5.3570672000350186</v>
      </c>
      <c r="AK70" s="438"/>
      <c r="AL70" s="438">
        <f t="shared" ca="1" si="33"/>
        <v>28.405023713363235</v>
      </c>
      <c r="AM70" s="439">
        <f t="shared" si="33"/>
        <v>0</v>
      </c>
      <c r="AN70" s="439"/>
      <c r="AO70" s="439">
        <f t="shared" ca="1" si="34"/>
        <v>1.2926179457827827</v>
      </c>
      <c r="AP70" s="442">
        <f t="shared" ca="1" si="34"/>
        <v>9.5560139665232953</v>
      </c>
      <c r="AQ70" s="443"/>
      <c r="AR70" s="435" t="str">
        <f t="shared" si="18"/>
        <v>CEE Tier 2 Clothes Washer - Gas DHW, Electric Dryer - 54% ENERGY STAR Baseline</v>
      </c>
      <c r="AS70" s="437">
        <f t="shared" ca="1" si="19"/>
        <v>175.84798335118546</v>
      </c>
      <c r="AT70" s="438">
        <f t="shared" ca="1" si="20"/>
        <v>5.3570672000350186</v>
      </c>
      <c r="AU70" s="439">
        <f t="shared" ca="1" si="21"/>
        <v>1.2926179457827827</v>
      </c>
      <c r="AV70" s="439">
        <f t="shared" ca="1" si="22"/>
        <v>903.31758449879453</v>
      </c>
      <c r="AW70" s="439"/>
      <c r="AX70" s="438">
        <f t="shared" ca="1" si="12"/>
        <v>8.6850196561365518</v>
      </c>
      <c r="AY70" s="438">
        <f t="shared" ca="1" si="23"/>
        <v>9.5560139665232953</v>
      </c>
      <c r="AZ70" s="443"/>
      <c r="BA70" s="433" t="str">
        <f t="shared" si="32"/>
        <v>CEE Tier 2 Clothes Washer - Gas DHW, Electric Dryer - 54% ENERGY STAR Baseline</v>
      </c>
      <c r="BB70" s="433" t="s">
        <v>25</v>
      </c>
      <c r="BC70" s="438">
        <f t="shared" ca="1" si="25"/>
        <v>5.3570672000350186</v>
      </c>
      <c r="BD70" s="438">
        <f>SFAssumptions!$C$7</f>
        <v>14</v>
      </c>
      <c r="BE70" s="444">
        <f t="shared" ca="1" si="26"/>
        <v>175.84798335118546</v>
      </c>
      <c r="BF70" s="433"/>
      <c r="BG70" s="432" t="s">
        <v>157</v>
      </c>
      <c r="BH70" s="445">
        <f t="shared" ca="1" si="27"/>
        <v>9.5560139665232953</v>
      </c>
      <c r="BI70" s="433"/>
      <c r="BJ70" s="433"/>
      <c r="BK70" s="433"/>
      <c r="BL70" s="433"/>
      <c r="BM70" s="433"/>
      <c r="BN70" s="433"/>
      <c r="BO70" s="446">
        <f t="shared" ca="1" si="28"/>
        <v>1.2926179457827827</v>
      </c>
      <c r="BP70" s="433" t="s">
        <v>158</v>
      </c>
    </row>
    <row r="71" spans="1:68" s="414" customFormat="1">
      <c r="A71" s="433">
        <f t="shared" si="29"/>
        <v>54</v>
      </c>
      <c r="B71" s="433">
        <f t="shared" si="3"/>
        <v>2</v>
      </c>
      <c r="C71" s="433">
        <f t="shared" si="4"/>
        <v>24</v>
      </c>
      <c r="D71" s="433">
        <f t="shared" si="5"/>
        <v>5</v>
      </c>
      <c r="E71" s="433">
        <f t="shared" si="6"/>
        <v>4</v>
      </c>
      <c r="F71" s="433"/>
      <c r="G71" s="433" t="str">
        <f t="shared" si="13"/>
        <v>Current Practice Baseline Using 54% ENERGY STAR Penetration</v>
      </c>
      <c r="H71" s="433" t="str">
        <f t="shared" si="14"/>
        <v>CEE Tier 2</v>
      </c>
      <c r="I71" s="433" t="str">
        <f t="shared" si="7"/>
        <v>Gas DHW, Gas Dryer</v>
      </c>
      <c r="J71" s="433" t="str">
        <f t="shared" si="8"/>
        <v>Gas DHW</v>
      </c>
      <c r="K71" s="433" t="str">
        <f t="shared" si="9"/>
        <v>Gas Dryer</v>
      </c>
      <c r="L71" s="434">
        <f>VLOOKUP(J71,SFAssumptions!$A$14:$B$16,2,FALSE)</f>
        <v>0</v>
      </c>
      <c r="M71" s="435">
        <f>VLOOKUP(K71,SFAssumptions!$A$18:$B$20,2,FALSE)</f>
        <v>0</v>
      </c>
      <c r="N71" s="436">
        <f ca="1">HLOOKUP($G71,'MFBaselines and Measures'!$C$3:$V$33,7,FALSE)</f>
        <v>3802.5240664273615</v>
      </c>
      <c r="O71" s="437">
        <f ca="1">HLOOKUP($G71,'MFBaselines and Measures'!$C$3:$V$33,8,FALSE)</f>
        <v>825.23457500176619</v>
      </c>
      <c r="P71" s="438">
        <f ca="1">HLOOKUP($G71,'MFBaselines and Measures'!$C$3:$V$33,25,FALSE)</f>
        <v>51.688606307059544</v>
      </c>
      <c r="Q71" s="438"/>
      <c r="R71" s="438">
        <f ca="1">HLOOKUP($G71,'MFBaselines and Measures'!$C$3:$V$33,27,FALSE)</f>
        <v>89.725253978913926</v>
      </c>
      <c r="S71" s="439">
        <f>HLOOKUP($G71,'MFBaselines and Measures'!$C$3:$V$33,29,FALSE)</f>
        <v>0</v>
      </c>
      <c r="T71" s="439"/>
      <c r="U71" s="439">
        <f ca="1">HLOOKUP($G71,'MFBaselines and Measures'!$C$3:$V$33,31,FALSE)</f>
        <v>4.0830972244004426</v>
      </c>
      <c r="V71" s="440">
        <f ca="1">HLOOKUP($G71,'MFBaselines and Measures'!$C$3:$V$33,9,FALSE)</f>
        <v>40.226132769221465</v>
      </c>
      <c r="W71" s="441"/>
      <c r="X71" s="436">
        <f ca="1">HLOOKUP($H71,'MFBaselines and Measures'!$C$2:$V$33,8,FALSE)</f>
        <v>2899.206481928567</v>
      </c>
      <c r="Y71" s="437">
        <f ca="1">HLOOKUP($H71,'MFBaselines and Measures'!$C$2:$V$33,9,FALSE)</f>
        <v>1001.0825583529517</v>
      </c>
      <c r="Z71" s="438">
        <f ca="1">HLOOKUP($H71,'MFBaselines and Measures'!$C$2:$V$33,26,FALSE)</f>
        <v>46.331539107024525</v>
      </c>
      <c r="AA71" s="438"/>
      <c r="AB71" s="438">
        <f ca="1">HLOOKUP($H71,'MFBaselines and Measures'!$C$2:$V$33,28,FALSE)</f>
        <v>61.320230265550691</v>
      </c>
      <c r="AC71" s="439">
        <f>HLOOKUP($H71,'MFBaselines and Measures'!$C$2:$V$33,30,FALSE)</f>
        <v>0</v>
      </c>
      <c r="AD71" s="439"/>
      <c r="AE71" s="439">
        <f ca="1">HLOOKUP($H71,'MFBaselines and Measures'!$C$2:$V$33,32,FALSE)</f>
        <v>2.79047927861766</v>
      </c>
      <c r="AF71" s="440">
        <f ca="1">HLOOKUP($H71,'MFBaselines and Measures'!$C$2:$V$33,10,FALSE)</f>
        <v>30.67011880269817</v>
      </c>
      <c r="AG71" s="441"/>
      <c r="AH71" s="436">
        <f t="shared" ca="1" si="15"/>
        <v>903.31758449879453</v>
      </c>
      <c r="AI71" s="437">
        <f t="shared" ca="1" si="16"/>
        <v>175.84798335118546</v>
      </c>
      <c r="AJ71" s="438">
        <f t="shared" ca="1" si="10"/>
        <v>5.3570672000350186</v>
      </c>
      <c r="AK71" s="438"/>
      <c r="AL71" s="438">
        <f t="shared" ca="1" si="33"/>
        <v>28.405023713363235</v>
      </c>
      <c r="AM71" s="439">
        <f t="shared" si="33"/>
        <v>0</v>
      </c>
      <c r="AN71" s="439"/>
      <c r="AO71" s="439">
        <f t="shared" ca="1" si="34"/>
        <v>1.2926179457827827</v>
      </c>
      <c r="AP71" s="442">
        <f t="shared" ca="1" si="34"/>
        <v>9.5560139665232953</v>
      </c>
      <c r="AQ71" s="443"/>
      <c r="AR71" s="435" t="str">
        <f t="shared" si="18"/>
        <v>CEE Tier 2 Clothes Washer - Gas DHW, Gas Dryer - 54% ENERGY STAR Baseline</v>
      </c>
      <c r="AS71" s="437">
        <f t="shared" ca="1" si="19"/>
        <v>175.84798335118546</v>
      </c>
      <c r="AT71" s="438">
        <f t="shared" ca="1" si="20"/>
        <v>5.3570672000350186</v>
      </c>
      <c r="AU71" s="439">
        <f t="shared" ca="1" si="21"/>
        <v>1.2926179457827827</v>
      </c>
      <c r="AV71" s="439">
        <f t="shared" ca="1" si="22"/>
        <v>903.31758449879453</v>
      </c>
      <c r="AW71" s="439"/>
      <c r="AX71" s="438">
        <f t="shared" ca="1" si="12"/>
        <v>8.6850196561365518</v>
      </c>
      <c r="AY71" s="438">
        <f t="shared" ca="1" si="23"/>
        <v>9.5560139665232953</v>
      </c>
      <c r="AZ71" s="443"/>
      <c r="BA71" s="433" t="str">
        <f t="shared" si="32"/>
        <v>CEE Tier 2 Clothes Washer - Gas DHW, Gas Dryer - 54% ENERGY STAR Baseline</v>
      </c>
      <c r="BB71" s="433" t="s">
        <v>25</v>
      </c>
      <c r="BC71" s="438">
        <f t="shared" ca="1" si="25"/>
        <v>5.3570672000350186</v>
      </c>
      <c r="BD71" s="438">
        <f>SFAssumptions!$C$7</f>
        <v>14</v>
      </c>
      <c r="BE71" s="444">
        <f t="shared" ca="1" si="26"/>
        <v>175.84798335118546</v>
      </c>
      <c r="BF71" s="433"/>
      <c r="BG71" s="432" t="s">
        <v>157</v>
      </c>
      <c r="BH71" s="445">
        <f t="shared" ca="1" si="27"/>
        <v>9.5560139665232953</v>
      </c>
      <c r="BI71" s="433"/>
      <c r="BJ71" s="433"/>
      <c r="BK71" s="433"/>
      <c r="BL71" s="433"/>
      <c r="BM71" s="433"/>
      <c r="BN71" s="433"/>
      <c r="BO71" s="446">
        <f t="shared" ca="1" si="28"/>
        <v>1.2926179457827827</v>
      </c>
      <c r="BP71" s="433" t="s">
        <v>158</v>
      </c>
    </row>
    <row r="72" spans="1:68" s="414" customFormat="1">
      <c r="A72" s="433">
        <f t="shared" si="29"/>
        <v>55</v>
      </c>
      <c r="B72" s="433">
        <f t="shared" si="3"/>
        <v>2</v>
      </c>
      <c r="C72" s="433">
        <f t="shared" si="4"/>
        <v>25</v>
      </c>
      <c r="D72" s="433">
        <f t="shared" si="5"/>
        <v>5</v>
      </c>
      <c r="E72" s="433">
        <f t="shared" si="6"/>
        <v>5</v>
      </c>
      <c r="F72" s="433"/>
      <c r="G72" s="433" t="str">
        <f t="shared" si="13"/>
        <v>Current Practice Baseline Using 54% ENERGY STAR Penetration</v>
      </c>
      <c r="H72" s="433" t="str">
        <f t="shared" si="14"/>
        <v>CEE Tier 2</v>
      </c>
      <c r="I72" s="433" t="str">
        <f t="shared" si="7"/>
        <v>Any DHW, Any Dryer</v>
      </c>
      <c r="J72" s="433" t="str">
        <f t="shared" si="8"/>
        <v>Any DHW</v>
      </c>
      <c r="K72" s="433" t="str">
        <f t="shared" si="9"/>
        <v>Any Dryer</v>
      </c>
      <c r="L72" s="434">
        <f>VLOOKUP(J72,SFAssumptions!$A$14:$B$16,2,FALSE)</f>
        <v>0.55200000000000005</v>
      </c>
      <c r="M72" s="435">
        <f>VLOOKUP(K72,SFAssumptions!$A$18:$B$20,2,FALSE)</f>
        <v>0.95</v>
      </c>
      <c r="N72" s="436">
        <f ca="1">HLOOKUP($G72,'MFBaselines and Measures'!$C$3:$V$33,7,FALSE)</f>
        <v>3802.5240664273615</v>
      </c>
      <c r="O72" s="437">
        <f ca="1">HLOOKUP($G72,'MFBaselines and Measures'!$C$3:$V$33,8,FALSE)</f>
        <v>825.23457500176619</v>
      </c>
      <c r="P72" s="438">
        <f ca="1">HLOOKUP($G72,'MFBaselines and Measures'!$C$3:$V$33,25,FALSE)</f>
        <v>51.688606307059544</v>
      </c>
      <c r="Q72" s="438"/>
      <c r="R72" s="438">
        <f ca="1">HLOOKUP($G72,'MFBaselines and Measures'!$C$3:$V$33,27,FALSE)</f>
        <v>89.725253978913926</v>
      </c>
      <c r="S72" s="439">
        <f>HLOOKUP($G72,'MFBaselines and Measures'!$C$3:$V$33,29,FALSE)</f>
        <v>0</v>
      </c>
      <c r="T72" s="439"/>
      <c r="U72" s="439">
        <f ca="1">HLOOKUP($G72,'MFBaselines and Measures'!$C$3:$V$33,31,FALSE)</f>
        <v>4.0830972244004426</v>
      </c>
      <c r="V72" s="440">
        <f ca="1">HLOOKUP($G72,'MFBaselines and Measures'!$C$3:$V$33,9,FALSE)</f>
        <v>40.226132769221465</v>
      </c>
      <c r="W72" s="441"/>
      <c r="X72" s="436">
        <f ca="1">HLOOKUP($H72,'MFBaselines and Measures'!$C$2:$V$33,8,FALSE)</f>
        <v>2899.206481928567</v>
      </c>
      <c r="Y72" s="437">
        <f ca="1">HLOOKUP($H72,'MFBaselines and Measures'!$C$2:$V$33,9,FALSE)</f>
        <v>1001.0825583529517</v>
      </c>
      <c r="Z72" s="438">
        <f ca="1">HLOOKUP($H72,'MFBaselines and Measures'!$C$2:$V$33,26,FALSE)</f>
        <v>46.331539107024525</v>
      </c>
      <c r="AA72" s="438"/>
      <c r="AB72" s="438">
        <f ca="1">HLOOKUP($H72,'MFBaselines and Measures'!$C$2:$V$33,28,FALSE)</f>
        <v>61.320230265550691</v>
      </c>
      <c r="AC72" s="439">
        <f>HLOOKUP($H72,'MFBaselines and Measures'!$C$2:$V$33,30,FALSE)</f>
        <v>0</v>
      </c>
      <c r="AD72" s="439"/>
      <c r="AE72" s="439">
        <f ca="1">HLOOKUP($H72,'MFBaselines and Measures'!$C$2:$V$33,32,FALSE)</f>
        <v>2.79047927861766</v>
      </c>
      <c r="AF72" s="440">
        <f ca="1">HLOOKUP($H72,'MFBaselines and Measures'!$C$2:$V$33,10,FALSE)</f>
        <v>30.67011880269817</v>
      </c>
      <c r="AG72" s="441"/>
      <c r="AH72" s="436">
        <f t="shared" ca="1" si="15"/>
        <v>903.31758449879453</v>
      </c>
      <c r="AI72" s="437">
        <f t="shared" ca="1" si="16"/>
        <v>175.84798335118546</v>
      </c>
      <c r="AJ72" s="438">
        <f t="shared" ca="1" si="10"/>
        <v>5.3570672000350186</v>
      </c>
      <c r="AK72" s="438"/>
      <c r="AL72" s="438">
        <f t="shared" ca="1" si="33"/>
        <v>28.405023713363235</v>
      </c>
      <c r="AM72" s="439">
        <f t="shared" si="33"/>
        <v>0</v>
      </c>
      <c r="AN72" s="439"/>
      <c r="AO72" s="439">
        <f t="shared" ca="1" si="34"/>
        <v>1.2926179457827827</v>
      </c>
      <c r="AP72" s="442">
        <f t="shared" ca="1" si="34"/>
        <v>9.5560139665232953</v>
      </c>
      <c r="AQ72" s="443"/>
      <c r="AR72" s="435" t="str">
        <f t="shared" si="18"/>
        <v>CEE Tier 2 Clothes Washer - Any DHW, Any Dryer - 54% ENERGY STAR Baseline</v>
      </c>
      <c r="AS72" s="437">
        <f t="shared" ca="1" si="19"/>
        <v>175.84798335118546</v>
      </c>
      <c r="AT72" s="438">
        <f t="shared" ca="1" si="20"/>
        <v>21.036640289811526</v>
      </c>
      <c r="AU72" s="439">
        <f t="shared" ca="1" si="21"/>
        <v>0.57909283971068659</v>
      </c>
      <c r="AV72" s="439">
        <f t="shared" ca="1" si="22"/>
        <v>903.31758449879453</v>
      </c>
      <c r="AW72" s="439"/>
      <c r="AX72" s="438">
        <f t="shared" ca="1" si="12"/>
        <v>24.364592745913061</v>
      </c>
      <c r="AY72" s="438">
        <f t="shared" ca="1" si="23"/>
        <v>9.5560139665232953</v>
      </c>
      <c r="AZ72" s="443"/>
      <c r="BA72" s="433" t="str">
        <f t="shared" si="32"/>
        <v>CEE Tier 2 Clothes Washer - Any DHW, Any Dryer - 54% ENERGY STAR Baseline</v>
      </c>
      <c r="BB72" s="433" t="s">
        <v>25</v>
      </c>
      <c r="BC72" s="438">
        <f t="shared" ca="1" si="25"/>
        <v>21.036640289811526</v>
      </c>
      <c r="BD72" s="438">
        <f>SFAssumptions!$C$7</f>
        <v>14</v>
      </c>
      <c r="BE72" s="444">
        <f t="shared" ca="1" si="26"/>
        <v>175.84798335118546</v>
      </c>
      <c r="BF72" s="433"/>
      <c r="BG72" s="432" t="s">
        <v>157</v>
      </c>
      <c r="BH72" s="445">
        <f t="shared" ca="1" si="27"/>
        <v>9.5560139665232953</v>
      </c>
      <c r="BI72" s="433"/>
      <c r="BJ72" s="433"/>
      <c r="BK72" s="433"/>
      <c r="BL72" s="433"/>
      <c r="BM72" s="433"/>
      <c r="BN72" s="433"/>
      <c r="BO72" s="446">
        <f t="shared" ca="1" si="28"/>
        <v>0.57909283971068659</v>
      </c>
      <c r="BP72" s="433" t="s">
        <v>158</v>
      </c>
    </row>
    <row r="73" spans="1:68" s="414" customFormat="1">
      <c r="A73" s="433">
        <f t="shared" si="29"/>
        <v>56</v>
      </c>
      <c r="B73" s="433">
        <f t="shared" si="3"/>
        <v>2</v>
      </c>
      <c r="C73" s="433">
        <f t="shared" si="4"/>
        <v>26</v>
      </c>
      <c r="D73" s="433">
        <f t="shared" si="5"/>
        <v>6</v>
      </c>
      <c r="E73" s="433">
        <f t="shared" si="6"/>
        <v>1</v>
      </c>
      <c r="F73" s="433"/>
      <c r="G73" s="433" t="str">
        <f t="shared" si="13"/>
        <v>Current Practice Baseline Using 54% ENERGY STAR Penetration</v>
      </c>
      <c r="H73" s="433" t="str">
        <f t="shared" si="14"/>
        <v>CEE Tier 3</v>
      </c>
      <c r="I73" s="433" t="str">
        <f t="shared" si="7"/>
        <v>Electric DHW, Electric Dryer</v>
      </c>
      <c r="J73" s="433" t="str">
        <f t="shared" si="8"/>
        <v>Electric DHW</v>
      </c>
      <c r="K73" s="433" t="str">
        <f t="shared" si="9"/>
        <v>Electric Dryer</v>
      </c>
      <c r="L73" s="434">
        <f>VLOOKUP(J73,SFAssumptions!$A$14:$B$16,2,FALSE)</f>
        <v>1</v>
      </c>
      <c r="M73" s="435">
        <f>VLOOKUP(K73,SFAssumptions!$A$18:$B$20,2,FALSE)</f>
        <v>1</v>
      </c>
      <c r="N73" s="436">
        <f ca="1">HLOOKUP($G73,'MFBaselines and Measures'!$C$3:$V$33,7,FALSE)</f>
        <v>3802.5240664273615</v>
      </c>
      <c r="O73" s="437">
        <f ca="1">HLOOKUP($G73,'MFBaselines and Measures'!$C$3:$V$33,8,FALSE)</f>
        <v>825.23457500176619</v>
      </c>
      <c r="P73" s="438">
        <f ca="1">HLOOKUP($G73,'MFBaselines and Measures'!$C$3:$V$33,25,FALSE)</f>
        <v>51.688606307059544</v>
      </c>
      <c r="Q73" s="438"/>
      <c r="R73" s="438">
        <f ca="1">HLOOKUP($G73,'MFBaselines and Measures'!$C$3:$V$33,27,FALSE)</f>
        <v>89.725253978913926</v>
      </c>
      <c r="S73" s="439">
        <f>HLOOKUP($G73,'MFBaselines and Measures'!$C$3:$V$33,29,FALSE)</f>
        <v>0</v>
      </c>
      <c r="T73" s="439"/>
      <c r="U73" s="439">
        <f ca="1">HLOOKUP($G73,'MFBaselines and Measures'!$C$3:$V$33,31,FALSE)</f>
        <v>4.0830972244004426</v>
      </c>
      <c r="V73" s="440">
        <f ca="1">HLOOKUP($G73,'MFBaselines and Measures'!$C$3:$V$33,9,FALSE)</f>
        <v>40.226132769221465</v>
      </c>
      <c r="W73" s="441"/>
      <c r="X73" s="436">
        <f ca="1">HLOOKUP($H73,'MFBaselines and Measures'!$C$2:$V$33,8,FALSE)</f>
        <v>2874.3796688857838</v>
      </c>
      <c r="Y73" s="437">
        <f ca="1">HLOOKUP($H73,'MFBaselines and Measures'!$C$2:$V$33,9,FALSE)</f>
        <v>996.04811179834417</v>
      </c>
      <c r="Z73" s="438">
        <f ca="1">HLOOKUP($H73,'MFBaselines and Measures'!$C$2:$V$33,26,FALSE)</f>
        <v>45.680149907295046</v>
      </c>
      <c r="AA73" s="438"/>
      <c r="AB73" s="438">
        <f ca="1">HLOOKUP($H73,'MFBaselines and Measures'!$C$2:$V$33,28,FALSE)</f>
        <v>59.940388764387578</v>
      </c>
      <c r="AC73" s="439">
        <f>HLOOKUP($H73,'MFBaselines and Measures'!$C$2:$V$33,30,FALSE)</f>
        <v>0</v>
      </c>
      <c r="AD73" s="439"/>
      <c r="AE73" s="439">
        <f ca="1">HLOOKUP($H73,'MFBaselines and Measures'!$C$2:$V$33,32,FALSE)</f>
        <v>2.7276872913713976</v>
      </c>
      <c r="AF73" s="440">
        <f ca="1">HLOOKUP($H73,'MFBaselines and Measures'!$C$2:$V$33,10,FALSE)</f>
        <v>30.407480970497947</v>
      </c>
      <c r="AG73" s="441"/>
      <c r="AH73" s="436">
        <f t="shared" ca="1" si="15"/>
        <v>928.14439754157775</v>
      </c>
      <c r="AI73" s="437">
        <f t="shared" ca="1" si="16"/>
        <v>170.81353679657798</v>
      </c>
      <c r="AJ73" s="438">
        <f t="shared" ca="1" si="10"/>
        <v>6.0084563997644977</v>
      </c>
      <c r="AK73" s="438"/>
      <c r="AL73" s="438">
        <f t="shared" ca="1" si="33"/>
        <v>29.784865214526349</v>
      </c>
      <c r="AM73" s="439">
        <f t="shared" si="33"/>
        <v>0</v>
      </c>
      <c r="AN73" s="439"/>
      <c r="AO73" s="439">
        <f t="shared" ca="1" si="34"/>
        <v>1.355409933029045</v>
      </c>
      <c r="AP73" s="442">
        <f t="shared" ca="1" si="34"/>
        <v>9.8186517987235185</v>
      </c>
      <c r="AQ73" s="443"/>
      <c r="AR73" s="435" t="str">
        <f t="shared" si="18"/>
        <v>CEE Tier 3 Clothes Washer - Electric DHW, Electric Dryer - 54% ENERGY STAR Baseline</v>
      </c>
      <c r="AS73" s="437">
        <f t="shared" ca="1" si="19"/>
        <v>170.81353679657798</v>
      </c>
      <c r="AT73" s="438">
        <f t="shared" ca="1" si="20"/>
        <v>35.793321614290846</v>
      </c>
      <c r="AU73" s="439">
        <f t="shared" ca="1" si="21"/>
        <v>0</v>
      </c>
      <c r="AV73" s="439">
        <f t="shared" ca="1" si="22"/>
        <v>928.14439754157775</v>
      </c>
      <c r="AW73" s="439"/>
      <c r="AX73" s="438">
        <f t="shared" ca="1" si="12"/>
        <v>39.212739635616316</v>
      </c>
      <c r="AY73" s="438">
        <f t="shared" ca="1" si="23"/>
        <v>9.8186517987235185</v>
      </c>
      <c r="AZ73" s="443"/>
      <c r="BA73" s="433" t="str">
        <f t="shared" si="32"/>
        <v>CEE Tier 3 Clothes Washer - Electric DHW, Electric Dryer - 54% ENERGY STAR Baseline</v>
      </c>
      <c r="BB73" s="433" t="s">
        <v>25</v>
      </c>
      <c r="BC73" s="438">
        <f t="shared" ca="1" si="25"/>
        <v>35.793321614290846</v>
      </c>
      <c r="BD73" s="438">
        <f>SFAssumptions!$C$7</f>
        <v>14</v>
      </c>
      <c r="BE73" s="444">
        <f t="shared" ca="1" si="26"/>
        <v>170.81353679657798</v>
      </c>
      <c r="BF73" s="433"/>
      <c r="BG73" s="432" t="s">
        <v>157</v>
      </c>
      <c r="BH73" s="445">
        <f t="shared" ca="1" si="27"/>
        <v>9.8186517987235185</v>
      </c>
      <c r="BI73" s="433"/>
      <c r="BJ73" s="433"/>
      <c r="BK73" s="433"/>
      <c r="BL73" s="433"/>
      <c r="BM73" s="433"/>
      <c r="BN73" s="433"/>
      <c r="BO73" s="446">
        <f t="shared" ca="1" si="28"/>
        <v>0</v>
      </c>
      <c r="BP73" s="433" t="s">
        <v>158</v>
      </c>
    </row>
    <row r="74" spans="1:68" s="414" customFormat="1">
      <c r="A74" s="433">
        <f t="shared" si="29"/>
        <v>57</v>
      </c>
      <c r="B74" s="433">
        <f t="shared" si="3"/>
        <v>2</v>
      </c>
      <c r="C74" s="433">
        <f t="shared" si="4"/>
        <v>27</v>
      </c>
      <c r="D74" s="433">
        <f t="shared" si="5"/>
        <v>6</v>
      </c>
      <c r="E74" s="433">
        <f t="shared" si="6"/>
        <v>2</v>
      </c>
      <c r="F74" s="433"/>
      <c r="G74" s="433" t="str">
        <f t="shared" si="13"/>
        <v>Current Practice Baseline Using 54% ENERGY STAR Penetration</v>
      </c>
      <c r="H74" s="433" t="str">
        <f t="shared" si="14"/>
        <v>CEE Tier 3</v>
      </c>
      <c r="I74" s="433" t="str">
        <f t="shared" si="7"/>
        <v>Electric DHW, Gas Dryer</v>
      </c>
      <c r="J74" s="433" t="str">
        <f t="shared" si="8"/>
        <v>Electric DHW</v>
      </c>
      <c r="K74" s="433" t="str">
        <f t="shared" si="9"/>
        <v>Gas Dryer</v>
      </c>
      <c r="L74" s="434">
        <f>VLOOKUP(J74,SFAssumptions!$A$14:$B$16,2,FALSE)</f>
        <v>1</v>
      </c>
      <c r="M74" s="435">
        <f>VLOOKUP(K74,SFAssumptions!$A$18:$B$20,2,FALSE)</f>
        <v>0</v>
      </c>
      <c r="N74" s="436">
        <f ca="1">HLOOKUP($G74,'MFBaselines and Measures'!$C$3:$V$33,7,FALSE)</f>
        <v>3802.5240664273615</v>
      </c>
      <c r="O74" s="437">
        <f ca="1">HLOOKUP($G74,'MFBaselines and Measures'!$C$3:$V$33,8,FALSE)</f>
        <v>825.23457500176619</v>
      </c>
      <c r="P74" s="438">
        <f ca="1">HLOOKUP($G74,'MFBaselines and Measures'!$C$3:$V$33,25,FALSE)</f>
        <v>51.688606307059544</v>
      </c>
      <c r="Q74" s="438"/>
      <c r="R74" s="438">
        <f ca="1">HLOOKUP($G74,'MFBaselines and Measures'!$C$3:$V$33,27,FALSE)</f>
        <v>89.725253978913926</v>
      </c>
      <c r="S74" s="439">
        <f>HLOOKUP($G74,'MFBaselines and Measures'!$C$3:$V$33,29,FALSE)</f>
        <v>0</v>
      </c>
      <c r="T74" s="439"/>
      <c r="U74" s="439">
        <f ca="1">HLOOKUP($G74,'MFBaselines and Measures'!$C$3:$V$33,31,FALSE)</f>
        <v>4.0830972244004426</v>
      </c>
      <c r="V74" s="440">
        <f ca="1">HLOOKUP($G74,'MFBaselines and Measures'!$C$3:$V$33,9,FALSE)</f>
        <v>40.226132769221465</v>
      </c>
      <c r="W74" s="441"/>
      <c r="X74" s="436">
        <f ca="1">HLOOKUP($H74,'MFBaselines and Measures'!$C$2:$V$33,8,FALSE)</f>
        <v>2874.3796688857838</v>
      </c>
      <c r="Y74" s="437">
        <f ca="1">HLOOKUP($H74,'MFBaselines and Measures'!$C$2:$V$33,9,FALSE)</f>
        <v>996.04811179834417</v>
      </c>
      <c r="Z74" s="438">
        <f ca="1">HLOOKUP($H74,'MFBaselines and Measures'!$C$2:$V$33,26,FALSE)</f>
        <v>45.680149907295046</v>
      </c>
      <c r="AA74" s="438"/>
      <c r="AB74" s="438">
        <f ca="1">HLOOKUP($H74,'MFBaselines and Measures'!$C$2:$V$33,28,FALSE)</f>
        <v>59.940388764387578</v>
      </c>
      <c r="AC74" s="439">
        <f>HLOOKUP($H74,'MFBaselines and Measures'!$C$2:$V$33,30,FALSE)</f>
        <v>0</v>
      </c>
      <c r="AD74" s="439"/>
      <c r="AE74" s="439">
        <f ca="1">HLOOKUP($H74,'MFBaselines and Measures'!$C$2:$V$33,32,FALSE)</f>
        <v>2.7276872913713976</v>
      </c>
      <c r="AF74" s="440">
        <f ca="1">HLOOKUP($H74,'MFBaselines and Measures'!$C$2:$V$33,10,FALSE)</f>
        <v>30.407480970497947</v>
      </c>
      <c r="AG74" s="441"/>
      <c r="AH74" s="436">
        <f t="shared" ca="1" si="15"/>
        <v>928.14439754157775</v>
      </c>
      <c r="AI74" s="437">
        <f t="shared" ca="1" si="16"/>
        <v>170.81353679657798</v>
      </c>
      <c r="AJ74" s="438">
        <f t="shared" ca="1" si="10"/>
        <v>6.0084563997644977</v>
      </c>
      <c r="AK74" s="438"/>
      <c r="AL74" s="438">
        <f t="shared" ca="1" si="33"/>
        <v>29.784865214526349</v>
      </c>
      <c r="AM74" s="439">
        <f t="shared" si="33"/>
        <v>0</v>
      </c>
      <c r="AN74" s="439"/>
      <c r="AO74" s="439">
        <f t="shared" ca="1" si="34"/>
        <v>1.355409933029045</v>
      </c>
      <c r="AP74" s="442">
        <f t="shared" ca="1" si="34"/>
        <v>9.8186517987235185</v>
      </c>
      <c r="AQ74" s="443"/>
      <c r="AR74" s="435" t="str">
        <f t="shared" si="18"/>
        <v>CEE Tier 3 Clothes Washer - Electric DHW, Gas Dryer - 54% ENERGY STAR Baseline</v>
      </c>
      <c r="AS74" s="437">
        <f t="shared" ca="1" si="19"/>
        <v>170.81353679657798</v>
      </c>
      <c r="AT74" s="438">
        <f t="shared" ca="1" si="20"/>
        <v>35.793321614290846</v>
      </c>
      <c r="AU74" s="439">
        <f t="shared" ca="1" si="21"/>
        <v>0</v>
      </c>
      <c r="AV74" s="439">
        <f t="shared" ca="1" si="22"/>
        <v>928.14439754157775</v>
      </c>
      <c r="AW74" s="439"/>
      <c r="AX74" s="438">
        <f t="shared" ca="1" si="12"/>
        <v>39.212739635616316</v>
      </c>
      <c r="AY74" s="438">
        <f t="shared" ca="1" si="23"/>
        <v>9.8186517987235185</v>
      </c>
      <c r="AZ74" s="443"/>
      <c r="BA74" s="433" t="str">
        <f t="shared" si="32"/>
        <v>CEE Tier 3 Clothes Washer - Electric DHW, Gas Dryer - 54% ENERGY STAR Baseline</v>
      </c>
      <c r="BB74" s="433" t="s">
        <v>25</v>
      </c>
      <c r="BC74" s="438">
        <f t="shared" ca="1" si="25"/>
        <v>35.793321614290846</v>
      </c>
      <c r="BD74" s="438">
        <f>SFAssumptions!$C$7</f>
        <v>14</v>
      </c>
      <c r="BE74" s="444">
        <f t="shared" ca="1" si="26"/>
        <v>170.81353679657798</v>
      </c>
      <c r="BF74" s="433"/>
      <c r="BG74" s="432" t="s">
        <v>157</v>
      </c>
      <c r="BH74" s="445">
        <f t="shared" ca="1" si="27"/>
        <v>9.8186517987235185</v>
      </c>
      <c r="BI74" s="433"/>
      <c r="BJ74" s="433"/>
      <c r="BK74" s="433"/>
      <c r="BL74" s="433"/>
      <c r="BM74" s="433"/>
      <c r="BN74" s="433"/>
      <c r="BO74" s="446">
        <f t="shared" ca="1" si="28"/>
        <v>0</v>
      </c>
      <c r="BP74" s="433" t="s">
        <v>158</v>
      </c>
    </row>
    <row r="75" spans="1:68" s="414" customFormat="1">
      <c r="A75" s="433">
        <f t="shared" si="29"/>
        <v>58</v>
      </c>
      <c r="B75" s="433">
        <f t="shared" si="3"/>
        <v>2</v>
      </c>
      <c r="C75" s="433">
        <f t="shared" si="4"/>
        <v>28</v>
      </c>
      <c r="D75" s="433">
        <f t="shared" si="5"/>
        <v>6</v>
      </c>
      <c r="E75" s="433">
        <f t="shared" si="6"/>
        <v>3</v>
      </c>
      <c r="F75" s="433"/>
      <c r="G75" s="433" t="str">
        <f t="shared" si="13"/>
        <v>Current Practice Baseline Using 54% ENERGY STAR Penetration</v>
      </c>
      <c r="H75" s="433" t="str">
        <f t="shared" si="14"/>
        <v>CEE Tier 3</v>
      </c>
      <c r="I75" s="433" t="str">
        <f t="shared" si="7"/>
        <v>Gas DHW, Electric Dryer</v>
      </c>
      <c r="J75" s="433" t="str">
        <f t="shared" si="8"/>
        <v>Gas DHW</v>
      </c>
      <c r="K75" s="433" t="str">
        <f t="shared" si="9"/>
        <v>Electric Dryer</v>
      </c>
      <c r="L75" s="434">
        <f>VLOOKUP(J75,SFAssumptions!$A$14:$B$16,2,FALSE)</f>
        <v>0</v>
      </c>
      <c r="M75" s="435">
        <f>VLOOKUP(K75,SFAssumptions!$A$18:$B$20,2,FALSE)</f>
        <v>1</v>
      </c>
      <c r="N75" s="436">
        <f ca="1">HLOOKUP($G75,'MFBaselines and Measures'!$C$3:$V$33,7,FALSE)</f>
        <v>3802.5240664273615</v>
      </c>
      <c r="O75" s="437">
        <f ca="1">HLOOKUP($G75,'MFBaselines and Measures'!$C$3:$V$33,8,FALSE)</f>
        <v>825.23457500176619</v>
      </c>
      <c r="P75" s="438">
        <f ca="1">HLOOKUP($G75,'MFBaselines and Measures'!$C$3:$V$33,25,FALSE)</f>
        <v>51.688606307059544</v>
      </c>
      <c r="Q75" s="438"/>
      <c r="R75" s="438">
        <f ca="1">HLOOKUP($G75,'MFBaselines and Measures'!$C$3:$V$33,27,FALSE)</f>
        <v>89.725253978913926</v>
      </c>
      <c r="S75" s="439">
        <f>HLOOKUP($G75,'MFBaselines and Measures'!$C$3:$V$33,29,FALSE)</f>
        <v>0</v>
      </c>
      <c r="T75" s="439"/>
      <c r="U75" s="439">
        <f ca="1">HLOOKUP($G75,'MFBaselines and Measures'!$C$3:$V$33,31,FALSE)</f>
        <v>4.0830972244004426</v>
      </c>
      <c r="V75" s="440">
        <f ca="1">HLOOKUP($G75,'MFBaselines and Measures'!$C$3:$V$33,9,FALSE)</f>
        <v>40.226132769221465</v>
      </c>
      <c r="W75" s="441"/>
      <c r="X75" s="436">
        <f ca="1">HLOOKUP($H75,'MFBaselines and Measures'!$C$2:$V$33,8,FALSE)</f>
        <v>2874.3796688857838</v>
      </c>
      <c r="Y75" s="437">
        <f ca="1">HLOOKUP($H75,'MFBaselines and Measures'!$C$2:$V$33,9,FALSE)</f>
        <v>996.04811179834417</v>
      </c>
      <c r="Z75" s="438">
        <f ca="1">HLOOKUP($H75,'MFBaselines and Measures'!$C$2:$V$33,26,FALSE)</f>
        <v>45.680149907295046</v>
      </c>
      <c r="AA75" s="438"/>
      <c r="AB75" s="438">
        <f ca="1">HLOOKUP($H75,'MFBaselines and Measures'!$C$2:$V$33,28,FALSE)</f>
        <v>59.940388764387578</v>
      </c>
      <c r="AC75" s="439">
        <f>HLOOKUP($H75,'MFBaselines and Measures'!$C$2:$V$33,30,FALSE)</f>
        <v>0</v>
      </c>
      <c r="AD75" s="439"/>
      <c r="AE75" s="439">
        <f ca="1">HLOOKUP($H75,'MFBaselines and Measures'!$C$2:$V$33,32,FALSE)</f>
        <v>2.7276872913713976</v>
      </c>
      <c r="AF75" s="440">
        <f ca="1">HLOOKUP($H75,'MFBaselines and Measures'!$C$2:$V$33,10,FALSE)</f>
        <v>30.407480970497947</v>
      </c>
      <c r="AG75" s="441"/>
      <c r="AH75" s="436">
        <f t="shared" ca="1" si="15"/>
        <v>928.14439754157775</v>
      </c>
      <c r="AI75" s="437">
        <f t="shared" ca="1" si="16"/>
        <v>170.81353679657798</v>
      </c>
      <c r="AJ75" s="438">
        <f t="shared" ca="1" si="10"/>
        <v>6.0084563997644977</v>
      </c>
      <c r="AK75" s="438"/>
      <c r="AL75" s="438">
        <f t="shared" ca="1" si="33"/>
        <v>29.784865214526349</v>
      </c>
      <c r="AM75" s="439">
        <f t="shared" si="33"/>
        <v>0</v>
      </c>
      <c r="AN75" s="439"/>
      <c r="AO75" s="439">
        <f t="shared" ca="1" si="34"/>
        <v>1.355409933029045</v>
      </c>
      <c r="AP75" s="442">
        <f t="shared" ca="1" si="34"/>
        <v>9.8186517987235185</v>
      </c>
      <c r="AQ75" s="443"/>
      <c r="AR75" s="435" t="str">
        <f t="shared" si="18"/>
        <v>CEE Tier 3 Clothes Washer - Gas DHW, Electric Dryer - 54% ENERGY STAR Baseline</v>
      </c>
      <c r="AS75" s="437">
        <f t="shared" ca="1" si="19"/>
        <v>170.81353679657798</v>
      </c>
      <c r="AT75" s="438">
        <f t="shared" ca="1" si="20"/>
        <v>6.0084563997644977</v>
      </c>
      <c r="AU75" s="439">
        <f t="shared" ca="1" si="21"/>
        <v>1.355409933029045</v>
      </c>
      <c r="AV75" s="439">
        <f t="shared" ca="1" si="22"/>
        <v>928.14439754157775</v>
      </c>
      <c r="AW75" s="439"/>
      <c r="AX75" s="438">
        <f t="shared" ca="1" si="12"/>
        <v>9.4278744210899692</v>
      </c>
      <c r="AY75" s="438">
        <f t="shared" ca="1" si="23"/>
        <v>9.8186517987235185</v>
      </c>
      <c r="AZ75" s="443"/>
      <c r="BA75" s="433" t="str">
        <f t="shared" si="32"/>
        <v>CEE Tier 3 Clothes Washer - Gas DHW, Electric Dryer - 54% ENERGY STAR Baseline</v>
      </c>
      <c r="BB75" s="433" t="s">
        <v>25</v>
      </c>
      <c r="BC75" s="438">
        <f t="shared" ca="1" si="25"/>
        <v>6.0084563997644977</v>
      </c>
      <c r="BD75" s="438">
        <f>SFAssumptions!$C$7</f>
        <v>14</v>
      </c>
      <c r="BE75" s="444">
        <f t="shared" ca="1" si="26"/>
        <v>170.81353679657798</v>
      </c>
      <c r="BF75" s="433"/>
      <c r="BG75" s="432" t="s">
        <v>157</v>
      </c>
      <c r="BH75" s="445">
        <f t="shared" ca="1" si="27"/>
        <v>9.8186517987235185</v>
      </c>
      <c r="BI75" s="433"/>
      <c r="BJ75" s="433"/>
      <c r="BK75" s="433"/>
      <c r="BL75" s="433"/>
      <c r="BM75" s="433"/>
      <c r="BN75" s="433"/>
      <c r="BO75" s="446">
        <f t="shared" ca="1" si="28"/>
        <v>1.355409933029045</v>
      </c>
      <c r="BP75" s="433" t="s">
        <v>158</v>
      </c>
    </row>
    <row r="76" spans="1:68" s="414" customFormat="1">
      <c r="A76" s="433">
        <f t="shared" si="29"/>
        <v>59</v>
      </c>
      <c r="B76" s="433">
        <f t="shared" si="3"/>
        <v>2</v>
      </c>
      <c r="C76" s="433">
        <f t="shared" si="4"/>
        <v>29</v>
      </c>
      <c r="D76" s="433">
        <f t="shared" si="5"/>
        <v>6</v>
      </c>
      <c r="E76" s="433">
        <f t="shared" si="6"/>
        <v>4</v>
      </c>
      <c r="F76" s="433"/>
      <c r="G76" s="433" t="str">
        <f t="shared" si="13"/>
        <v>Current Practice Baseline Using 54% ENERGY STAR Penetration</v>
      </c>
      <c r="H76" s="433" t="str">
        <f t="shared" si="14"/>
        <v>CEE Tier 3</v>
      </c>
      <c r="I76" s="433" t="str">
        <f t="shared" si="7"/>
        <v>Gas DHW, Gas Dryer</v>
      </c>
      <c r="J76" s="433" t="str">
        <f t="shared" si="8"/>
        <v>Gas DHW</v>
      </c>
      <c r="K76" s="433" t="str">
        <f t="shared" si="9"/>
        <v>Gas Dryer</v>
      </c>
      <c r="L76" s="434">
        <f>VLOOKUP(J76,SFAssumptions!$A$14:$B$16,2,FALSE)</f>
        <v>0</v>
      </c>
      <c r="M76" s="435">
        <f>VLOOKUP(K76,SFAssumptions!$A$18:$B$20,2,FALSE)</f>
        <v>0</v>
      </c>
      <c r="N76" s="436">
        <f ca="1">HLOOKUP($G76,'MFBaselines and Measures'!$C$3:$V$33,7,FALSE)</f>
        <v>3802.5240664273615</v>
      </c>
      <c r="O76" s="437">
        <f ca="1">HLOOKUP($G76,'MFBaselines and Measures'!$C$3:$V$33,8,FALSE)</f>
        <v>825.23457500176619</v>
      </c>
      <c r="P76" s="438">
        <f ca="1">HLOOKUP($G76,'MFBaselines and Measures'!$C$3:$V$33,25,FALSE)</f>
        <v>51.688606307059544</v>
      </c>
      <c r="Q76" s="438"/>
      <c r="R76" s="438">
        <f ca="1">HLOOKUP($G76,'MFBaselines and Measures'!$C$3:$V$33,27,FALSE)</f>
        <v>89.725253978913926</v>
      </c>
      <c r="S76" s="439">
        <f>HLOOKUP($G76,'MFBaselines and Measures'!$C$3:$V$33,29,FALSE)</f>
        <v>0</v>
      </c>
      <c r="T76" s="439"/>
      <c r="U76" s="439">
        <f ca="1">HLOOKUP($G76,'MFBaselines and Measures'!$C$3:$V$33,31,FALSE)</f>
        <v>4.0830972244004426</v>
      </c>
      <c r="V76" s="440">
        <f ca="1">HLOOKUP($G76,'MFBaselines and Measures'!$C$3:$V$33,9,FALSE)</f>
        <v>40.226132769221465</v>
      </c>
      <c r="W76" s="441"/>
      <c r="X76" s="436">
        <f ca="1">HLOOKUP($H76,'MFBaselines and Measures'!$C$2:$V$33,8,FALSE)</f>
        <v>2874.3796688857838</v>
      </c>
      <c r="Y76" s="437">
        <f ca="1">HLOOKUP($H76,'MFBaselines and Measures'!$C$2:$V$33,9,FALSE)</f>
        <v>996.04811179834417</v>
      </c>
      <c r="Z76" s="438">
        <f ca="1">HLOOKUP($H76,'MFBaselines and Measures'!$C$2:$V$33,26,FALSE)</f>
        <v>45.680149907295046</v>
      </c>
      <c r="AA76" s="438"/>
      <c r="AB76" s="438">
        <f ca="1">HLOOKUP($H76,'MFBaselines and Measures'!$C$2:$V$33,28,FALSE)</f>
        <v>59.940388764387578</v>
      </c>
      <c r="AC76" s="439">
        <f>HLOOKUP($H76,'MFBaselines and Measures'!$C$2:$V$33,30,FALSE)</f>
        <v>0</v>
      </c>
      <c r="AD76" s="439"/>
      <c r="AE76" s="439">
        <f ca="1">HLOOKUP($H76,'MFBaselines and Measures'!$C$2:$V$33,32,FALSE)</f>
        <v>2.7276872913713976</v>
      </c>
      <c r="AF76" s="440">
        <f ca="1">HLOOKUP($H76,'MFBaselines and Measures'!$C$2:$V$33,10,FALSE)</f>
        <v>30.407480970497947</v>
      </c>
      <c r="AG76" s="441"/>
      <c r="AH76" s="436">
        <f t="shared" ca="1" si="15"/>
        <v>928.14439754157775</v>
      </c>
      <c r="AI76" s="437">
        <f t="shared" ca="1" si="16"/>
        <v>170.81353679657798</v>
      </c>
      <c r="AJ76" s="438">
        <f t="shared" ca="1" si="10"/>
        <v>6.0084563997644977</v>
      </c>
      <c r="AK76" s="438"/>
      <c r="AL76" s="438">
        <f t="shared" ca="1" si="33"/>
        <v>29.784865214526349</v>
      </c>
      <c r="AM76" s="439">
        <f t="shared" si="33"/>
        <v>0</v>
      </c>
      <c r="AN76" s="439"/>
      <c r="AO76" s="439">
        <f t="shared" ca="1" si="34"/>
        <v>1.355409933029045</v>
      </c>
      <c r="AP76" s="442">
        <f t="shared" ca="1" si="34"/>
        <v>9.8186517987235185</v>
      </c>
      <c r="AQ76" s="443"/>
      <c r="AR76" s="435" t="str">
        <f t="shared" si="18"/>
        <v>CEE Tier 3 Clothes Washer - Gas DHW, Gas Dryer - 54% ENERGY STAR Baseline</v>
      </c>
      <c r="AS76" s="437">
        <f t="shared" ca="1" si="19"/>
        <v>170.81353679657798</v>
      </c>
      <c r="AT76" s="438">
        <f t="shared" ca="1" si="20"/>
        <v>6.0084563997644977</v>
      </c>
      <c r="AU76" s="439">
        <f t="shared" ca="1" si="21"/>
        <v>1.355409933029045</v>
      </c>
      <c r="AV76" s="439">
        <f t="shared" ca="1" si="22"/>
        <v>928.14439754157775</v>
      </c>
      <c r="AW76" s="439"/>
      <c r="AX76" s="438">
        <f t="shared" ca="1" si="12"/>
        <v>9.4278744210899692</v>
      </c>
      <c r="AY76" s="438">
        <f t="shared" ca="1" si="23"/>
        <v>9.8186517987235185</v>
      </c>
      <c r="AZ76" s="443"/>
      <c r="BA76" s="433" t="str">
        <f t="shared" si="32"/>
        <v>CEE Tier 3 Clothes Washer - Gas DHW, Gas Dryer - 54% ENERGY STAR Baseline</v>
      </c>
      <c r="BB76" s="433" t="s">
        <v>25</v>
      </c>
      <c r="BC76" s="438">
        <f t="shared" ca="1" si="25"/>
        <v>6.0084563997644977</v>
      </c>
      <c r="BD76" s="438">
        <f>SFAssumptions!$C$7</f>
        <v>14</v>
      </c>
      <c r="BE76" s="444">
        <f t="shared" ca="1" si="26"/>
        <v>170.81353679657798</v>
      </c>
      <c r="BF76" s="433"/>
      <c r="BG76" s="432" t="s">
        <v>157</v>
      </c>
      <c r="BH76" s="445">
        <f t="shared" ca="1" si="27"/>
        <v>9.8186517987235185</v>
      </c>
      <c r="BI76" s="433"/>
      <c r="BJ76" s="433"/>
      <c r="BK76" s="433"/>
      <c r="BL76" s="433"/>
      <c r="BM76" s="433"/>
      <c r="BN76" s="433"/>
      <c r="BO76" s="446">
        <f t="shared" ca="1" si="28"/>
        <v>1.355409933029045</v>
      </c>
      <c r="BP76" s="433" t="s">
        <v>158</v>
      </c>
    </row>
    <row r="77" spans="1:68" s="414" customFormat="1">
      <c r="A77" s="433">
        <f t="shared" si="29"/>
        <v>60</v>
      </c>
      <c r="B77" s="433">
        <f t="shared" si="3"/>
        <v>2</v>
      </c>
      <c r="C77" s="433">
        <f t="shared" si="4"/>
        <v>30</v>
      </c>
      <c r="D77" s="433">
        <f t="shared" si="5"/>
        <v>6</v>
      </c>
      <c r="E77" s="433">
        <f t="shared" si="6"/>
        <v>5</v>
      </c>
      <c r="F77" s="433"/>
      <c r="G77" s="433" t="str">
        <f t="shared" si="13"/>
        <v>Current Practice Baseline Using 54% ENERGY STAR Penetration</v>
      </c>
      <c r="H77" s="433" t="str">
        <f t="shared" si="14"/>
        <v>CEE Tier 3</v>
      </c>
      <c r="I77" s="433" t="str">
        <f t="shared" si="7"/>
        <v>Any DHW, Any Dryer</v>
      </c>
      <c r="J77" s="433" t="str">
        <f t="shared" si="8"/>
        <v>Any DHW</v>
      </c>
      <c r="K77" s="433" t="str">
        <f t="shared" si="9"/>
        <v>Any Dryer</v>
      </c>
      <c r="L77" s="434">
        <f>VLOOKUP(J77,SFAssumptions!$A$14:$B$16,2,FALSE)</f>
        <v>0.55200000000000005</v>
      </c>
      <c r="M77" s="435">
        <f>VLOOKUP(K77,SFAssumptions!$A$18:$B$20,2,FALSE)</f>
        <v>0.95</v>
      </c>
      <c r="N77" s="436">
        <f ca="1">HLOOKUP($G77,'MFBaselines and Measures'!$C$3:$V$33,7,FALSE)</f>
        <v>3802.5240664273615</v>
      </c>
      <c r="O77" s="437">
        <f ca="1">HLOOKUP($G77,'MFBaselines and Measures'!$C$3:$V$33,8,FALSE)</f>
        <v>825.23457500176619</v>
      </c>
      <c r="P77" s="438">
        <f ca="1">HLOOKUP($G77,'MFBaselines and Measures'!$C$3:$V$33,25,FALSE)</f>
        <v>51.688606307059544</v>
      </c>
      <c r="Q77" s="438"/>
      <c r="R77" s="438">
        <f ca="1">HLOOKUP($G77,'MFBaselines and Measures'!$C$3:$V$33,27,FALSE)</f>
        <v>89.725253978913926</v>
      </c>
      <c r="S77" s="439">
        <f>HLOOKUP($G77,'MFBaselines and Measures'!$C$3:$V$33,29,FALSE)</f>
        <v>0</v>
      </c>
      <c r="T77" s="439"/>
      <c r="U77" s="439">
        <f ca="1">HLOOKUP($G77,'MFBaselines and Measures'!$C$3:$V$33,31,FALSE)</f>
        <v>4.0830972244004426</v>
      </c>
      <c r="V77" s="440">
        <f ca="1">HLOOKUP($G77,'MFBaselines and Measures'!$C$3:$V$33,9,FALSE)</f>
        <v>40.226132769221465</v>
      </c>
      <c r="W77" s="441"/>
      <c r="X77" s="436">
        <f ca="1">HLOOKUP($H77,'MFBaselines and Measures'!$C$2:$V$33,8,FALSE)</f>
        <v>2874.3796688857838</v>
      </c>
      <c r="Y77" s="437">
        <f ca="1">HLOOKUP($H77,'MFBaselines and Measures'!$C$2:$V$33,9,FALSE)</f>
        <v>996.04811179834417</v>
      </c>
      <c r="Z77" s="438">
        <f ca="1">HLOOKUP($H77,'MFBaselines and Measures'!$C$2:$V$33,26,FALSE)</f>
        <v>45.680149907295046</v>
      </c>
      <c r="AA77" s="438"/>
      <c r="AB77" s="438">
        <f ca="1">HLOOKUP($H77,'MFBaselines and Measures'!$C$2:$V$33,28,FALSE)</f>
        <v>59.940388764387578</v>
      </c>
      <c r="AC77" s="439">
        <f>HLOOKUP($H77,'MFBaselines and Measures'!$C$2:$V$33,30,FALSE)</f>
        <v>0</v>
      </c>
      <c r="AD77" s="439"/>
      <c r="AE77" s="439">
        <f ca="1">HLOOKUP($H77,'MFBaselines and Measures'!$C$2:$V$33,32,FALSE)</f>
        <v>2.7276872913713976</v>
      </c>
      <c r="AF77" s="440">
        <f ca="1">HLOOKUP($H77,'MFBaselines and Measures'!$C$2:$V$33,10,FALSE)</f>
        <v>30.407480970497947</v>
      </c>
      <c r="AG77" s="441"/>
      <c r="AH77" s="436">
        <f t="shared" ca="1" si="15"/>
        <v>928.14439754157775</v>
      </c>
      <c r="AI77" s="437">
        <f t="shared" ca="1" si="16"/>
        <v>170.81353679657798</v>
      </c>
      <c r="AJ77" s="438">
        <f t="shared" ca="1" si="10"/>
        <v>6.0084563997644977</v>
      </c>
      <c r="AK77" s="438"/>
      <c r="AL77" s="438">
        <f t="shared" ca="1" si="33"/>
        <v>29.784865214526349</v>
      </c>
      <c r="AM77" s="439">
        <f t="shared" si="33"/>
        <v>0</v>
      </c>
      <c r="AN77" s="439"/>
      <c r="AO77" s="439">
        <f t="shared" ca="1" si="34"/>
        <v>1.355409933029045</v>
      </c>
      <c r="AP77" s="442">
        <f t="shared" ca="1" si="34"/>
        <v>9.8186517987235185</v>
      </c>
      <c r="AQ77" s="443"/>
      <c r="AR77" s="435" t="str">
        <f t="shared" si="18"/>
        <v>CEE Tier 3 Clothes Washer - Any DHW, Any Dryer - 54% ENERGY STAR Baseline</v>
      </c>
      <c r="AS77" s="437">
        <f t="shared" ca="1" si="19"/>
        <v>170.81353679657798</v>
      </c>
      <c r="AT77" s="438">
        <f t="shared" ca="1" si="20"/>
        <v>22.449701998183045</v>
      </c>
      <c r="AU77" s="439">
        <f t="shared" ca="1" si="21"/>
        <v>0.60722364999701206</v>
      </c>
      <c r="AV77" s="439">
        <f t="shared" ca="1" si="22"/>
        <v>928.14439754157775</v>
      </c>
      <c r="AW77" s="439"/>
      <c r="AX77" s="438">
        <f t="shared" ca="1" si="12"/>
        <v>25.869120019508514</v>
      </c>
      <c r="AY77" s="438">
        <f t="shared" ca="1" si="23"/>
        <v>9.8186517987235185</v>
      </c>
      <c r="AZ77" s="443"/>
      <c r="BA77" s="433" t="str">
        <f t="shared" si="32"/>
        <v>CEE Tier 3 Clothes Washer - Any DHW, Any Dryer - 54% ENERGY STAR Baseline</v>
      </c>
      <c r="BB77" s="433" t="s">
        <v>25</v>
      </c>
      <c r="BC77" s="438">
        <f t="shared" ca="1" si="25"/>
        <v>22.449701998183045</v>
      </c>
      <c r="BD77" s="438">
        <f>SFAssumptions!$C$7</f>
        <v>14</v>
      </c>
      <c r="BE77" s="444">
        <f t="shared" ca="1" si="26"/>
        <v>170.81353679657798</v>
      </c>
      <c r="BF77" s="433"/>
      <c r="BG77" s="432" t="s">
        <v>157</v>
      </c>
      <c r="BH77" s="445">
        <f t="shared" ca="1" si="27"/>
        <v>9.8186517987235185</v>
      </c>
      <c r="BI77" s="433"/>
      <c r="BJ77" s="433"/>
      <c r="BK77" s="433"/>
      <c r="BL77" s="433"/>
      <c r="BM77" s="433"/>
      <c r="BN77" s="433"/>
      <c r="BO77" s="446">
        <f t="shared" ca="1" si="28"/>
        <v>0.60722364999701206</v>
      </c>
      <c r="BP77" s="433" t="s">
        <v>158</v>
      </c>
    </row>
    <row r="78" spans="1:68" s="309" customFormat="1">
      <c r="A78" s="449">
        <v>1</v>
      </c>
      <c r="B78" s="450">
        <f t="shared" si="3"/>
        <v>1</v>
      </c>
      <c r="C78" s="450">
        <f t="shared" si="4"/>
        <v>1</v>
      </c>
      <c r="D78" s="450">
        <f t="shared" si="5"/>
        <v>1</v>
      </c>
      <c r="E78" s="450">
        <f t="shared" si="6"/>
        <v>1</v>
      </c>
      <c r="F78" s="450"/>
      <c r="G78" s="450" t="str">
        <f t="shared" si="13"/>
        <v>Current Practice Baseline Using 31% ENERGY STAR Penetration</v>
      </c>
      <c r="H78" s="450" t="str">
        <f t="shared" si="14"/>
        <v>ENERGY STAR - Top-Load</v>
      </c>
      <c r="I78" s="450" t="str">
        <f t="shared" si="7"/>
        <v>Electric DHW, Electric Dryer</v>
      </c>
      <c r="J78" s="450" t="str">
        <f t="shared" si="8"/>
        <v>Electric DHW</v>
      </c>
      <c r="K78" s="450" t="str">
        <f t="shared" si="9"/>
        <v>Electric Dryer</v>
      </c>
      <c r="L78" s="451">
        <f>VLOOKUP(J78,SFAssumptions!$A$14:$B$16,2,FALSE)</f>
        <v>1</v>
      </c>
      <c r="M78" s="452">
        <f>VLOOKUP(K78,SFAssumptions!$A$18:$B$20,2,FALSE)</f>
        <v>1</v>
      </c>
      <c r="N78" s="453">
        <f ca="1">HLOOKUP($G78,'MFBaselines and Measures'!$C$3:$V$33,7,FALSE)</f>
        <v>4047.8861059902265</v>
      </c>
      <c r="O78" s="454"/>
      <c r="P78" s="455"/>
      <c r="Q78" s="455">
        <f ca="1">HLOOKUP($G78,'MFBaselines and Measures'!$C$3:$V$33,26,FALSE)</f>
        <v>309.94943453130088</v>
      </c>
      <c r="R78" s="455"/>
      <c r="S78" s="456"/>
      <c r="T78" s="456">
        <f ca="1">HLOOKUP($G78,'MFBaselines and Measures'!$C$3:$V$33,30,FALSE)</f>
        <v>11.848003104619696</v>
      </c>
      <c r="U78" s="456"/>
      <c r="V78" s="456"/>
      <c r="W78" s="457"/>
      <c r="X78" s="453"/>
      <c r="Y78" s="454"/>
      <c r="Z78" s="455"/>
      <c r="AA78" s="455">
        <f ca="1">HLOOKUP($H78,'MFBaselines and Measures'!$C$2:$V$33,27,FALSE)</f>
        <v>280.35877074887253</v>
      </c>
      <c r="AB78" s="455"/>
      <c r="AC78" s="456"/>
      <c r="AD78" s="456">
        <f ca="1">HLOOKUP($H78,'MFBaselines and Measures'!$C$2:$V$33,31,FALSE)</f>
        <v>10.716882227138102</v>
      </c>
      <c r="AE78" s="456"/>
      <c r="AF78" s="456"/>
      <c r="AG78" s="457"/>
      <c r="AH78" s="453"/>
      <c r="AI78" s="454"/>
      <c r="AJ78" s="455"/>
      <c r="AK78" s="455">
        <f t="shared" ref="AK78:AK137" ca="1" si="35">Q78-AA78</f>
        <v>29.590663782428351</v>
      </c>
      <c r="AL78" s="455"/>
      <c r="AM78" s="456"/>
      <c r="AN78" s="456">
        <f t="shared" ref="AN78:AN137" ca="1" si="36">T78-AD78</f>
        <v>1.1311208774815942</v>
      </c>
      <c r="AO78" s="456"/>
      <c r="AP78" s="456"/>
      <c r="AQ78" s="458"/>
      <c r="AR78" s="452" t="str">
        <f t="shared" si="18"/>
        <v>ENERGY STAR - Top-Load Clothes Washer - Electric DHW, Electric Dryer - 31% ENERGY STAR Baseline</v>
      </c>
      <c r="AS78" s="454">
        <f t="shared" si="19"/>
        <v>0</v>
      </c>
      <c r="AT78" s="455">
        <f t="shared" ca="1" si="20"/>
        <v>29.590663782428351</v>
      </c>
      <c r="AU78" s="456">
        <f t="shared" ca="1" si="21"/>
        <v>0</v>
      </c>
      <c r="AV78" s="456">
        <f t="shared" si="22"/>
        <v>0</v>
      </c>
      <c r="AW78" s="456"/>
      <c r="AX78" s="455">
        <f t="shared" ref="AX78:AX122" ca="1" si="37">AT78+BC153</f>
        <v>32.763597443786558</v>
      </c>
      <c r="AY78" s="455"/>
      <c r="AZ78" s="458"/>
      <c r="BA78" s="450" t="str">
        <f>CONCATENATE(H78," Clothes Washer - ",I78," - 31% ENERGY STAR Baseline")</f>
        <v>ENERGY STAR - Top-Load Clothes Washer - Electric DHW, Electric Dryer - 31% ENERGY STAR Baseline</v>
      </c>
      <c r="BB78" s="450" t="s">
        <v>26</v>
      </c>
      <c r="BC78" s="455">
        <f t="shared" ca="1" si="25"/>
        <v>29.590663782428351</v>
      </c>
      <c r="BD78" s="455">
        <f>SFAssumptions!$C$7</f>
        <v>14</v>
      </c>
      <c r="BE78" s="459">
        <f t="shared" si="26"/>
        <v>0</v>
      </c>
      <c r="BF78" s="450"/>
      <c r="BG78" s="449" t="s">
        <v>159</v>
      </c>
      <c r="BH78" s="460"/>
      <c r="BI78" s="450"/>
      <c r="BJ78" s="450"/>
      <c r="BK78" s="450"/>
      <c r="BL78" s="450"/>
      <c r="BM78" s="450"/>
      <c r="BN78" s="450"/>
      <c r="BO78" s="461">
        <f t="shared" ca="1" si="28"/>
        <v>0</v>
      </c>
      <c r="BP78" s="450" t="s">
        <v>159</v>
      </c>
    </row>
    <row r="79" spans="1:68" s="309" customFormat="1">
      <c r="A79" s="450">
        <f>A78+1</f>
        <v>2</v>
      </c>
      <c r="B79" s="450">
        <f t="shared" si="3"/>
        <v>1</v>
      </c>
      <c r="C79" s="450">
        <f t="shared" si="4"/>
        <v>2</v>
      </c>
      <c r="D79" s="450">
        <f t="shared" si="5"/>
        <v>1</v>
      </c>
      <c r="E79" s="450">
        <f t="shared" si="6"/>
        <v>2</v>
      </c>
      <c r="F79" s="450"/>
      <c r="G79" s="450" t="str">
        <f t="shared" si="13"/>
        <v>Current Practice Baseline Using 31% ENERGY STAR Penetration</v>
      </c>
      <c r="H79" s="450" t="str">
        <f t="shared" si="14"/>
        <v>ENERGY STAR - Top-Load</v>
      </c>
      <c r="I79" s="450" t="str">
        <f t="shared" si="7"/>
        <v>Electric DHW, Gas Dryer</v>
      </c>
      <c r="J79" s="450" t="str">
        <f t="shared" si="8"/>
        <v>Electric DHW</v>
      </c>
      <c r="K79" s="450" t="str">
        <f t="shared" si="9"/>
        <v>Gas Dryer</v>
      </c>
      <c r="L79" s="451">
        <f>VLOOKUP(J79,SFAssumptions!$A$14:$B$16,2,FALSE)</f>
        <v>1</v>
      </c>
      <c r="M79" s="452">
        <f>VLOOKUP(K79,SFAssumptions!$A$18:$B$20,2,FALSE)</f>
        <v>0</v>
      </c>
      <c r="N79" s="453">
        <f ca="1">HLOOKUP($G79,'MFBaselines and Measures'!$C$3:$V$33,7,FALSE)</f>
        <v>4047.8861059902265</v>
      </c>
      <c r="O79" s="454"/>
      <c r="P79" s="455"/>
      <c r="Q79" s="455">
        <f ca="1">HLOOKUP($G79,'MFBaselines and Measures'!$C$3:$V$33,26,FALSE)</f>
        <v>309.94943453130088</v>
      </c>
      <c r="R79" s="455"/>
      <c r="S79" s="456"/>
      <c r="T79" s="456">
        <f ca="1">HLOOKUP($G79,'MFBaselines and Measures'!$C$3:$V$33,30,FALSE)</f>
        <v>11.848003104619696</v>
      </c>
      <c r="U79" s="456"/>
      <c r="V79" s="456"/>
      <c r="W79" s="457"/>
      <c r="X79" s="453"/>
      <c r="Y79" s="454"/>
      <c r="Z79" s="455"/>
      <c r="AA79" s="455">
        <f ca="1">HLOOKUP($H79,'MFBaselines and Measures'!$C$2:$V$33,27,FALSE)</f>
        <v>280.35877074887253</v>
      </c>
      <c r="AB79" s="455"/>
      <c r="AC79" s="456"/>
      <c r="AD79" s="456">
        <f ca="1">HLOOKUP($H79,'MFBaselines and Measures'!$C$2:$V$33,31,FALSE)</f>
        <v>10.716882227138102</v>
      </c>
      <c r="AE79" s="456"/>
      <c r="AF79" s="456"/>
      <c r="AG79" s="457"/>
      <c r="AH79" s="453"/>
      <c r="AI79" s="454"/>
      <c r="AJ79" s="455"/>
      <c r="AK79" s="455">
        <f t="shared" ca="1" si="35"/>
        <v>29.590663782428351</v>
      </c>
      <c r="AL79" s="455"/>
      <c r="AM79" s="456"/>
      <c r="AN79" s="456">
        <f t="shared" ca="1" si="36"/>
        <v>1.1311208774815942</v>
      </c>
      <c r="AO79" s="456"/>
      <c r="AP79" s="456"/>
      <c r="AQ79" s="458"/>
      <c r="AR79" s="452" t="str">
        <f t="shared" si="18"/>
        <v>ENERGY STAR - Top-Load Clothes Washer - Electric DHW, Gas Dryer - 31% ENERGY STAR Baseline</v>
      </c>
      <c r="AS79" s="454">
        <f t="shared" si="19"/>
        <v>0</v>
      </c>
      <c r="AT79" s="455">
        <f t="shared" ca="1" si="20"/>
        <v>0</v>
      </c>
      <c r="AU79" s="456">
        <f t="shared" ca="1" si="21"/>
        <v>1.1311208774815942</v>
      </c>
      <c r="AV79" s="456">
        <f t="shared" si="22"/>
        <v>0</v>
      </c>
      <c r="AW79" s="456"/>
      <c r="AX79" s="455">
        <f t="shared" ca="1" si="37"/>
        <v>3.17293366135821</v>
      </c>
      <c r="AY79" s="455"/>
      <c r="AZ79" s="458"/>
      <c r="BA79" s="450" t="str">
        <f t="shared" ref="BA79:BA107" si="38">CONCATENATE(H79," Clothes Washer - ",I79," - 31% ENERGY STAR Baseline")</f>
        <v>ENERGY STAR - Top-Load Clothes Washer - Electric DHW, Gas Dryer - 31% ENERGY STAR Baseline</v>
      </c>
      <c r="BB79" s="450" t="s">
        <v>26</v>
      </c>
      <c r="BC79" s="455">
        <f t="shared" ca="1" si="25"/>
        <v>0</v>
      </c>
      <c r="BD79" s="455">
        <f>SFAssumptions!$C$7</f>
        <v>14</v>
      </c>
      <c r="BE79" s="459">
        <f t="shared" si="26"/>
        <v>0</v>
      </c>
      <c r="BF79" s="450"/>
      <c r="BG79" s="449" t="s">
        <v>159</v>
      </c>
      <c r="BH79" s="460"/>
      <c r="BI79" s="450"/>
      <c r="BJ79" s="450"/>
      <c r="BK79" s="450"/>
      <c r="BL79" s="450"/>
      <c r="BM79" s="450"/>
      <c r="BN79" s="450"/>
      <c r="BO79" s="461">
        <f t="shared" ca="1" si="28"/>
        <v>1.1311208774815942</v>
      </c>
      <c r="BP79" s="450" t="s">
        <v>159</v>
      </c>
    </row>
    <row r="80" spans="1:68" s="309" customFormat="1">
      <c r="A80" s="450">
        <f t="shared" ref="A80:A137" si="39">A79+1</f>
        <v>3</v>
      </c>
      <c r="B80" s="450">
        <f t="shared" si="3"/>
        <v>1</v>
      </c>
      <c r="C80" s="450">
        <f t="shared" si="4"/>
        <v>3</v>
      </c>
      <c r="D80" s="450">
        <f t="shared" si="5"/>
        <v>1</v>
      </c>
      <c r="E80" s="450">
        <f t="shared" si="6"/>
        <v>3</v>
      </c>
      <c r="F80" s="450"/>
      <c r="G80" s="450" t="str">
        <f t="shared" si="13"/>
        <v>Current Practice Baseline Using 31% ENERGY STAR Penetration</v>
      </c>
      <c r="H80" s="450" t="str">
        <f t="shared" si="14"/>
        <v>ENERGY STAR - Top-Load</v>
      </c>
      <c r="I80" s="450" t="str">
        <f t="shared" si="7"/>
        <v>Gas DHW, Electric Dryer</v>
      </c>
      <c r="J80" s="450" t="str">
        <f t="shared" si="8"/>
        <v>Gas DHW</v>
      </c>
      <c r="K80" s="450" t="str">
        <f t="shared" si="9"/>
        <v>Electric Dryer</v>
      </c>
      <c r="L80" s="451">
        <f>VLOOKUP(J80,SFAssumptions!$A$14:$B$16,2,FALSE)</f>
        <v>0</v>
      </c>
      <c r="M80" s="452">
        <f>VLOOKUP(K80,SFAssumptions!$A$18:$B$20,2,FALSE)</f>
        <v>1</v>
      </c>
      <c r="N80" s="453">
        <f ca="1">HLOOKUP($G80,'MFBaselines and Measures'!$C$3:$V$33,7,FALSE)</f>
        <v>4047.8861059902265</v>
      </c>
      <c r="O80" s="454"/>
      <c r="P80" s="455"/>
      <c r="Q80" s="455">
        <f ca="1">HLOOKUP($G80,'MFBaselines and Measures'!$C$3:$V$33,26,FALSE)</f>
        <v>309.94943453130088</v>
      </c>
      <c r="R80" s="455"/>
      <c r="S80" s="456"/>
      <c r="T80" s="456">
        <f ca="1">HLOOKUP($G80,'MFBaselines and Measures'!$C$3:$V$33,30,FALSE)</f>
        <v>11.848003104619696</v>
      </c>
      <c r="U80" s="456"/>
      <c r="V80" s="456"/>
      <c r="W80" s="457"/>
      <c r="X80" s="453"/>
      <c r="Y80" s="454"/>
      <c r="Z80" s="455"/>
      <c r="AA80" s="455">
        <f ca="1">HLOOKUP($H80,'MFBaselines and Measures'!$C$2:$V$33,27,FALSE)</f>
        <v>280.35877074887253</v>
      </c>
      <c r="AB80" s="455"/>
      <c r="AC80" s="456"/>
      <c r="AD80" s="456">
        <f ca="1">HLOOKUP($H80,'MFBaselines and Measures'!$C$2:$V$33,31,FALSE)</f>
        <v>10.716882227138102</v>
      </c>
      <c r="AE80" s="456"/>
      <c r="AF80" s="456"/>
      <c r="AG80" s="457"/>
      <c r="AH80" s="453"/>
      <c r="AI80" s="454"/>
      <c r="AJ80" s="455"/>
      <c r="AK80" s="455">
        <f t="shared" ca="1" si="35"/>
        <v>29.590663782428351</v>
      </c>
      <c r="AL80" s="455"/>
      <c r="AM80" s="456"/>
      <c r="AN80" s="456">
        <f t="shared" ca="1" si="36"/>
        <v>1.1311208774815942</v>
      </c>
      <c r="AO80" s="456"/>
      <c r="AP80" s="456"/>
      <c r="AQ80" s="458"/>
      <c r="AR80" s="452" t="str">
        <f t="shared" si="18"/>
        <v>ENERGY STAR - Top-Load Clothes Washer - Gas DHW, Electric Dryer - 31% ENERGY STAR Baseline</v>
      </c>
      <c r="AS80" s="454">
        <f t="shared" si="19"/>
        <v>0</v>
      </c>
      <c r="AT80" s="455">
        <f t="shared" ca="1" si="20"/>
        <v>29.590663782428351</v>
      </c>
      <c r="AU80" s="456">
        <f t="shared" ca="1" si="21"/>
        <v>0</v>
      </c>
      <c r="AV80" s="456">
        <f t="shared" si="22"/>
        <v>0</v>
      </c>
      <c r="AW80" s="456"/>
      <c r="AX80" s="455">
        <f t="shared" ca="1" si="37"/>
        <v>32.763597443786558</v>
      </c>
      <c r="AY80" s="455"/>
      <c r="AZ80" s="458"/>
      <c r="BA80" s="450" t="str">
        <f t="shared" si="38"/>
        <v>ENERGY STAR - Top-Load Clothes Washer - Gas DHW, Electric Dryer - 31% ENERGY STAR Baseline</v>
      </c>
      <c r="BB80" s="450" t="s">
        <v>26</v>
      </c>
      <c r="BC80" s="455">
        <f t="shared" ca="1" si="25"/>
        <v>29.590663782428351</v>
      </c>
      <c r="BD80" s="455">
        <f>SFAssumptions!$C$7</f>
        <v>14</v>
      </c>
      <c r="BE80" s="459">
        <f t="shared" si="26"/>
        <v>0</v>
      </c>
      <c r="BF80" s="450"/>
      <c r="BG80" s="449" t="s">
        <v>159</v>
      </c>
      <c r="BH80" s="460"/>
      <c r="BI80" s="450"/>
      <c r="BJ80" s="450"/>
      <c r="BK80" s="450"/>
      <c r="BL80" s="450"/>
      <c r="BM80" s="450"/>
      <c r="BN80" s="450"/>
      <c r="BO80" s="461">
        <f t="shared" ca="1" si="28"/>
        <v>0</v>
      </c>
      <c r="BP80" s="450" t="s">
        <v>159</v>
      </c>
    </row>
    <row r="81" spans="1:68" s="309" customFormat="1">
      <c r="A81" s="450">
        <f t="shared" si="39"/>
        <v>4</v>
      </c>
      <c r="B81" s="450">
        <f t="shared" si="3"/>
        <v>1</v>
      </c>
      <c r="C81" s="450">
        <f t="shared" si="4"/>
        <v>4</v>
      </c>
      <c r="D81" s="450">
        <f t="shared" si="5"/>
        <v>1</v>
      </c>
      <c r="E81" s="450">
        <f t="shared" si="6"/>
        <v>4</v>
      </c>
      <c r="F81" s="450"/>
      <c r="G81" s="450" t="str">
        <f t="shared" si="13"/>
        <v>Current Practice Baseline Using 31% ENERGY STAR Penetration</v>
      </c>
      <c r="H81" s="450" t="str">
        <f t="shared" si="14"/>
        <v>ENERGY STAR - Top-Load</v>
      </c>
      <c r="I81" s="450" t="str">
        <f t="shared" si="7"/>
        <v>Gas DHW, Gas Dryer</v>
      </c>
      <c r="J81" s="450" t="str">
        <f t="shared" si="8"/>
        <v>Gas DHW</v>
      </c>
      <c r="K81" s="450" t="str">
        <f t="shared" si="9"/>
        <v>Gas Dryer</v>
      </c>
      <c r="L81" s="451">
        <f>VLOOKUP(J81,SFAssumptions!$A$14:$B$16,2,FALSE)</f>
        <v>0</v>
      </c>
      <c r="M81" s="452">
        <f>VLOOKUP(K81,SFAssumptions!$A$18:$B$20,2,FALSE)</f>
        <v>0</v>
      </c>
      <c r="N81" s="453">
        <f ca="1">HLOOKUP($G81,'MFBaselines and Measures'!$C$3:$V$33,7,FALSE)</f>
        <v>4047.8861059902265</v>
      </c>
      <c r="O81" s="454"/>
      <c r="P81" s="455"/>
      <c r="Q81" s="455">
        <f ca="1">HLOOKUP($G81,'MFBaselines and Measures'!$C$3:$V$33,26,FALSE)</f>
        <v>309.94943453130088</v>
      </c>
      <c r="R81" s="455"/>
      <c r="S81" s="456"/>
      <c r="T81" s="456">
        <f ca="1">HLOOKUP($G81,'MFBaselines and Measures'!$C$3:$V$33,30,FALSE)</f>
        <v>11.848003104619696</v>
      </c>
      <c r="U81" s="456"/>
      <c r="V81" s="456"/>
      <c r="W81" s="457"/>
      <c r="X81" s="453"/>
      <c r="Y81" s="454"/>
      <c r="Z81" s="455"/>
      <c r="AA81" s="455">
        <f ca="1">HLOOKUP($H81,'MFBaselines and Measures'!$C$2:$V$33,27,FALSE)</f>
        <v>280.35877074887253</v>
      </c>
      <c r="AB81" s="455"/>
      <c r="AC81" s="456"/>
      <c r="AD81" s="456">
        <f ca="1">HLOOKUP($H81,'MFBaselines and Measures'!$C$2:$V$33,31,FALSE)</f>
        <v>10.716882227138102</v>
      </c>
      <c r="AE81" s="456"/>
      <c r="AF81" s="456"/>
      <c r="AG81" s="457"/>
      <c r="AH81" s="453"/>
      <c r="AI81" s="454"/>
      <c r="AJ81" s="455"/>
      <c r="AK81" s="455">
        <f t="shared" ca="1" si="35"/>
        <v>29.590663782428351</v>
      </c>
      <c r="AL81" s="455"/>
      <c r="AM81" s="456"/>
      <c r="AN81" s="456">
        <f t="shared" ca="1" si="36"/>
        <v>1.1311208774815942</v>
      </c>
      <c r="AO81" s="456"/>
      <c r="AP81" s="456"/>
      <c r="AQ81" s="458"/>
      <c r="AR81" s="452" t="str">
        <f t="shared" si="18"/>
        <v>ENERGY STAR - Top-Load Clothes Washer - Gas DHW, Gas Dryer - 31% ENERGY STAR Baseline</v>
      </c>
      <c r="AS81" s="454">
        <f t="shared" si="19"/>
        <v>0</v>
      </c>
      <c r="AT81" s="455">
        <f t="shared" ca="1" si="20"/>
        <v>0</v>
      </c>
      <c r="AU81" s="456">
        <f t="shared" ca="1" si="21"/>
        <v>1.1311208774815942</v>
      </c>
      <c r="AV81" s="456">
        <f t="shared" si="22"/>
        <v>0</v>
      </c>
      <c r="AW81" s="456"/>
      <c r="AX81" s="455">
        <f t="shared" ca="1" si="37"/>
        <v>3.17293366135821</v>
      </c>
      <c r="AY81" s="455"/>
      <c r="AZ81" s="458"/>
      <c r="BA81" s="450" t="str">
        <f t="shared" si="38"/>
        <v>ENERGY STAR - Top-Load Clothes Washer - Gas DHW, Gas Dryer - 31% ENERGY STAR Baseline</v>
      </c>
      <c r="BB81" s="450" t="s">
        <v>26</v>
      </c>
      <c r="BC81" s="455">
        <f t="shared" ca="1" si="25"/>
        <v>0</v>
      </c>
      <c r="BD81" s="455">
        <f>SFAssumptions!$C$7</f>
        <v>14</v>
      </c>
      <c r="BE81" s="459">
        <f t="shared" si="26"/>
        <v>0</v>
      </c>
      <c r="BF81" s="450"/>
      <c r="BG81" s="449" t="s">
        <v>159</v>
      </c>
      <c r="BH81" s="460"/>
      <c r="BI81" s="450"/>
      <c r="BJ81" s="450"/>
      <c r="BK81" s="450"/>
      <c r="BL81" s="450"/>
      <c r="BM81" s="450"/>
      <c r="BN81" s="450"/>
      <c r="BO81" s="461">
        <f t="shared" ca="1" si="28"/>
        <v>1.1311208774815942</v>
      </c>
      <c r="BP81" s="450" t="s">
        <v>159</v>
      </c>
    </row>
    <row r="82" spans="1:68" s="309" customFormat="1">
      <c r="A82" s="450">
        <f t="shared" si="39"/>
        <v>5</v>
      </c>
      <c r="B82" s="450">
        <f t="shared" si="3"/>
        <v>1</v>
      </c>
      <c r="C82" s="450">
        <f t="shared" si="4"/>
        <v>5</v>
      </c>
      <c r="D82" s="450">
        <f t="shared" si="5"/>
        <v>1</v>
      </c>
      <c r="E82" s="450">
        <f t="shared" si="6"/>
        <v>5</v>
      </c>
      <c r="F82" s="450"/>
      <c r="G82" s="450" t="str">
        <f t="shared" si="13"/>
        <v>Current Practice Baseline Using 31% ENERGY STAR Penetration</v>
      </c>
      <c r="H82" s="450" t="str">
        <f t="shared" si="14"/>
        <v>ENERGY STAR - Top-Load</v>
      </c>
      <c r="I82" s="450" t="str">
        <f t="shared" si="7"/>
        <v>Any DHW, Any Dryer</v>
      </c>
      <c r="J82" s="450" t="str">
        <f t="shared" si="8"/>
        <v>Any DHW</v>
      </c>
      <c r="K82" s="450" t="str">
        <f t="shared" si="9"/>
        <v>Any Dryer</v>
      </c>
      <c r="L82" s="451">
        <f>VLOOKUP(J82,SFAssumptions!$A$14:$B$16,2,FALSE)</f>
        <v>0.55200000000000005</v>
      </c>
      <c r="M82" s="452">
        <f>VLOOKUP(K82,SFAssumptions!$A$18:$B$20,2,FALSE)</f>
        <v>0.95</v>
      </c>
      <c r="N82" s="453">
        <f ca="1">HLOOKUP($G82,'MFBaselines and Measures'!$C$3:$V$33,7,FALSE)</f>
        <v>4047.8861059902265</v>
      </c>
      <c r="O82" s="454"/>
      <c r="P82" s="455"/>
      <c r="Q82" s="455">
        <f ca="1">HLOOKUP($G82,'MFBaselines and Measures'!$C$3:$V$33,26,FALSE)</f>
        <v>309.94943453130088</v>
      </c>
      <c r="R82" s="455"/>
      <c r="S82" s="456"/>
      <c r="T82" s="456">
        <f ca="1">HLOOKUP($G82,'MFBaselines and Measures'!$C$3:$V$33,30,FALSE)</f>
        <v>11.848003104619696</v>
      </c>
      <c r="U82" s="456"/>
      <c r="V82" s="456"/>
      <c r="W82" s="457"/>
      <c r="X82" s="453"/>
      <c r="Y82" s="454"/>
      <c r="Z82" s="455"/>
      <c r="AA82" s="455">
        <f ca="1">HLOOKUP($H82,'MFBaselines and Measures'!$C$2:$V$33,27,FALSE)</f>
        <v>280.35877074887253</v>
      </c>
      <c r="AB82" s="455"/>
      <c r="AC82" s="456"/>
      <c r="AD82" s="456">
        <f ca="1">HLOOKUP($H82,'MFBaselines and Measures'!$C$2:$V$33,31,FALSE)</f>
        <v>10.716882227138102</v>
      </c>
      <c r="AE82" s="456"/>
      <c r="AF82" s="456"/>
      <c r="AG82" s="457"/>
      <c r="AH82" s="453"/>
      <c r="AI82" s="454"/>
      <c r="AJ82" s="455"/>
      <c r="AK82" s="455">
        <f t="shared" ca="1" si="35"/>
        <v>29.590663782428351</v>
      </c>
      <c r="AL82" s="455"/>
      <c r="AM82" s="456"/>
      <c r="AN82" s="456">
        <f t="shared" ca="1" si="36"/>
        <v>1.1311208774815942</v>
      </c>
      <c r="AO82" s="456"/>
      <c r="AP82" s="456"/>
      <c r="AQ82" s="458"/>
      <c r="AR82" s="452" t="str">
        <f t="shared" si="18"/>
        <v>ENERGY STAR - Top-Load Clothes Washer - Any DHW, Any Dryer - 31% ENERGY STAR Baseline</v>
      </c>
      <c r="AS82" s="454">
        <f t="shared" si="19"/>
        <v>0</v>
      </c>
      <c r="AT82" s="455">
        <f t="shared" ca="1" si="20"/>
        <v>28.111130593306932</v>
      </c>
      <c r="AU82" s="456">
        <f t="shared" ca="1" si="21"/>
        <v>5.655604387407976E-2</v>
      </c>
      <c r="AV82" s="456">
        <f t="shared" si="22"/>
        <v>0</v>
      </c>
      <c r="AW82" s="456"/>
      <c r="AX82" s="455">
        <f t="shared" ca="1" si="37"/>
        <v>31.284064254665143</v>
      </c>
      <c r="AY82" s="455"/>
      <c r="AZ82" s="458"/>
      <c r="BA82" s="450" t="str">
        <f t="shared" si="38"/>
        <v>ENERGY STAR - Top-Load Clothes Washer - Any DHW, Any Dryer - 31% ENERGY STAR Baseline</v>
      </c>
      <c r="BB82" s="450" t="s">
        <v>26</v>
      </c>
      <c r="BC82" s="455">
        <f t="shared" ca="1" si="25"/>
        <v>28.111130593306932</v>
      </c>
      <c r="BD82" s="455">
        <f>SFAssumptions!$C$7</f>
        <v>14</v>
      </c>
      <c r="BE82" s="459">
        <f t="shared" si="26"/>
        <v>0</v>
      </c>
      <c r="BF82" s="450"/>
      <c r="BG82" s="449" t="s">
        <v>159</v>
      </c>
      <c r="BH82" s="460"/>
      <c r="BI82" s="450"/>
      <c r="BJ82" s="450"/>
      <c r="BK82" s="450"/>
      <c r="BL82" s="450"/>
      <c r="BM82" s="450"/>
      <c r="BN82" s="450"/>
      <c r="BO82" s="461">
        <f t="shared" ca="1" si="28"/>
        <v>5.655604387407976E-2</v>
      </c>
      <c r="BP82" s="450" t="s">
        <v>159</v>
      </c>
    </row>
    <row r="83" spans="1:68" s="309" customFormat="1">
      <c r="A83" s="450">
        <f t="shared" si="39"/>
        <v>6</v>
      </c>
      <c r="B83" s="450">
        <f t="shared" si="3"/>
        <v>1</v>
      </c>
      <c r="C83" s="450">
        <f t="shared" si="4"/>
        <v>6</v>
      </c>
      <c r="D83" s="450">
        <f t="shared" si="5"/>
        <v>2</v>
      </c>
      <c r="E83" s="450">
        <f t="shared" si="6"/>
        <v>1</v>
      </c>
      <c r="F83" s="450"/>
      <c r="G83" s="450" t="str">
        <f t="shared" si="13"/>
        <v>Current Practice Baseline Using 31% ENERGY STAR Penetration</v>
      </c>
      <c r="H83" s="450" t="str">
        <f t="shared" ref="H83:H146" si="40">VLOOKUP(D83,$J$2:$O$12,6,FALSE)</f>
        <v>ENERGY STAR - Front-Load</v>
      </c>
      <c r="I83" s="450" t="str">
        <f t="shared" si="7"/>
        <v>Electric DHW, Electric Dryer</v>
      </c>
      <c r="J83" s="450" t="str">
        <f t="shared" si="8"/>
        <v>Electric DHW</v>
      </c>
      <c r="K83" s="450" t="str">
        <f t="shared" si="9"/>
        <v>Electric Dryer</v>
      </c>
      <c r="L83" s="451">
        <f>VLOOKUP(J83,SFAssumptions!$A$14:$B$16,2,FALSE)</f>
        <v>1</v>
      </c>
      <c r="M83" s="452">
        <f>VLOOKUP(K83,SFAssumptions!$A$18:$B$20,2,FALSE)</f>
        <v>1</v>
      </c>
      <c r="N83" s="453">
        <f ca="1">HLOOKUP($G83,'MFBaselines and Measures'!$C$3:$V$33,7,FALSE)</f>
        <v>4047.8861059902265</v>
      </c>
      <c r="O83" s="454"/>
      <c r="P83" s="455"/>
      <c r="Q83" s="455">
        <f ca="1">HLOOKUP($G83,'MFBaselines and Measures'!$C$3:$V$33,26,FALSE)</f>
        <v>309.94943453130088</v>
      </c>
      <c r="R83" s="455"/>
      <c r="S83" s="456"/>
      <c r="T83" s="456">
        <f ca="1">HLOOKUP($G83,'MFBaselines and Measures'!$C$3:$V$33,30,FALSE)</f>
        <v>11.848003104619696</v>
      </c>
      <c r="U83" s="456"/>
      <c r="V83" s="456"/>
      <c r="W83" s="457"/>
      <c r="X83" s="453"/>
      <c r="Y83" s="454"/>
      <c r="Z83" s="455"/>
      <c r="AA83" s="455">
        <f ca="1">HLOOKUP($H83,'MFBaselines and Measures'!$C$2:$V$33,27,FALSE)</f>
        <v>246.26249390348505</v>
      </c>
      <c r="AB83" s="455"/>
      <c r="AC83" s="456"/>
      <c r="AD83" s="456">
        <f ca="1">HLOOKUP($H83,'MFBaselines and Measures'!$C$2:$V$33,31,FALSE)</f>
        <v>9.4135315869570597</v>
      </c>
      <c r="AE83" s="456"/>
      <c r="AF83" s="456"/>
      <c r="AG83" s="457"/>
      <c r="AH83" s="453"/>
      <c r="AI83" s="454"/>
      <c r="AJ83" s="455"/>
      <c r="AK83" s="455">
        <f t="shared" ca="1" si="35"/>
        <v>63.686940627815829</v>
      </c>
      <c r="AL83" s="455"/>
      <c r="AM83" s="456"/>
      <c r="AN83" s="456">
        <f t="shared" ca="1" si="36"/>
        <v>2.4344715176626366</v>
      </c>
      <c r="AO83" s="456"/>
      <c r="AP83" s="456"/>
      <c r="AQ83" s="458"/>
      <c r="AR83" s="452" t="str">
        <f t="shared" ref="AR83:AR137" si="41">BA83</f>
        <v>ENERGY STAR - Front-Load Clothes Washer - Electric DHW, Electric Dryer - 31% ENERGY STAR Baseline</v>
      </c>
      <c r="AS83" s="454">
        <f t="shared" ref="AS83:AS137" si="42">BE83</f>
        <v>0</v>
      </c>
      <c r="AT83" s="455">
        <f t="shared" ref="AT83:AT137" ca="1" si="43">AJ83+AL83*L83+AK83*M83</f>
        <v>63.686940627815829</v>
      </c>
      <c r="AU83" s="456">
        <f t="shared" ref="AU83:AU137" ca="1" si="44">AO83*(1-L83)+AN83*(1-M83)</f>
        <v>0</v>
      </c>
      <c r="AV83" s="456">
        <f t="shared" ref="AV83:AV137" si="45">AH83</f>
        <v>0</v>
      </c>
      <c r="AW83" s="456"/>
      <c r="AX83" s="455">
        <f t="shared" ca="1" si="37"/>
        <v>67.918842277655671</v>
      </c>
      <c r="AY83" s="455"/>
      <c r="AZ83" s="458"/>
      <c r="BA83" s="450" t="str">
        <f t="shared" si="38"/>
        <v>ENERGY STAR - Front-Load Clothes Washer - Electric DHW, Electric Dryer - 31% ENERGY STAR Baseline</v>
      </c>
      <c r="BB83" s="450" t="s">
        <v>26</v>
      </c>
      <c r="BC83" s="455">
        <f t="shared" ref="BC83:BC137" ca="1" si="46">AT83</f>
        <v>63.686940627815829</v>
      </c>
      <c r="BD83" s="455">
        <f>SFAssumptions!$C$7</f>
        <v>14</v>
      </c>
      <c r="BE83" s="459">
        <f t="shared" ref="BE83:BE137" si="47">AI83</f>
        <v>0</v>
      </c>
      <c r="BF83" s="450"/>
      <c r="BG83" s="449" t="s">
        <v>159</v>
      </c>
      <c r="BH83" s="460"/>
      <c r="BI83" s="450"/>
      <c r="BJ83" s="450"/>
      <c r="BK83" s="450"/>
      <c r="BL83" s="450"/>
      <c r="BM83" s="450"/>
      <c r="BN83" s="450"/>
      <c r="BO83" s="461">
        <f t="shared" ref="BO83:BO137" ca="1" si="48">AU83</f>
        <v>0</v>
      </c>
      <c r="BP83" s="450" t="s">
        <v>159</v>
      </c>
    </row>
    <row r="84" spans="1:68" s="309" customFormat="1">
      <c r="A84" s="450">
        <f t="shared" si="39"/>
        <v>7</v>
      </c>
      <c r="B84" s="450">
        <f t="shared" si="3"/>
        <v>1</v>
      </c>
      <c r="C84" s="450">
        <f t="shared" si="4"/>
        <v>7</v>
      </c>
      <c r="D84" s="450">
        <f t="shared" si="5"/>
        <v>2</v>
      </c>
      <c r="E84" s="450">
        <f t="shared" si="6"/>
        <v>2</v>
      </c>
      <c r="F84" s="450"/>
      <c r="G84" s="450" t="str">
        <f t="shared" si="13"/>
        <v>Current Practice Baseline Using 31% ENERGY STAR Penetration</v>
      </c>
      <c r="H84" s="450" t="str">
        <f t="shared" si="40"/>
        <v>ENERGY STAR - Front-Load</v>
      </c>
      <c r="I84" s="450" t="str">
        <f t="shared" si="7"/>
        <v>Electric DHW, Gas Dryer</v>
      </c>
      <c r="J84" s="450" t="str">
        <f t="shared" si="8"/>
        <v>Electric DHW</v>
      </c>
      <c r="K84" s="450" t="str">
        <f t="shared" si="9"/>
        <v>Gas Dryer</v>
      </c>
      <c r="L84" s="451">
        <f>VLOOKUP(J84,SFAssumptions!$A$14:$B$16,2,FALSE)</f>
        <v>1</v>
      </c>
      <c r="M84" s="452">
        <f>VLOOKUP(K84,SFAssumptions!$A$18:$B$20,2,FALSE)</f>
        <v>0</v>
      </c>
      <c r="N84" s="453">
        <f ca="1">HLOOKUP($G84,'MFBaselines and Measures'!$C$3:$V$33,7,FALSE)</f>
        <v>4047.8861059902265</v>
      </c>
      <c r="O84" s="454"/>
      <c r="P84" s="455"/>
      <c r="Q84" s="455">
        <f ca="1">HLOOKUP($G84,'MFBaselines and Measures'!$C$3:$V$33,26,FALSE)</f>
        <v>309.94943453130088</v>
      </c>
      <c r="R84" s="455"/>
      <c r="S84" s="456"/>
      <c r="T84" s="456">
        <f ca="1">HLOOKUP($G84,'MFBaselines and Measures'!$C$3:$V$33,30,FALSE)</f>
        <v>11.848003104619696</v>
      </c>
      <c r="U84" s="456"/>
      <c r="V84" s="456"/>
      <c r="W84" s="457"/>
      <c r="X84" s="453"/>
      <c r="Y84" s="454"/>
      <c r="Z84" s="455"/>
      <c r="AA84" s="455">
        <f ca="1">HLOOKUP($H84,'MFBaselines and Measures'!$C$2:$V$33,27,FALSE)</f>
        <v>246.26249390348505</v>
      </c>
      <c r="AB84" s="455"/>
      <c r="AC84" s="456"/>
      <c r="AD84" s="456">
        <f ca="1">HLOOKUP($H84,'MFBaselines and Measures'!$C$2:$V$33,31,FALSE)</f>
        <v>9.4135315869570597</v>
      </c>
      <c r="AE84" s="456"/>
      <c r="AF84" s="456"/>
      <c r="AG84" s="457"/>
      <c r="AH84" s="453"/>
      <c r="AI84" s="454"/>
      <c r="AJ84" s="455"/>
      <c r="AK84" s="455">
        <f t="shared" ca="1" si="35"/>
        <v>63.686940627815829</v>
      </c>
      <c r="AL84" s="455"/>
      <c r="AM84" s="456"/>
      <c r="AN84" s="456">
        <f t="shared" ca="1" si="36"/>
        <v>2.4344715176626366</v>
      </c>
      <c r="AO84" s="456"/>
      <c r="AP84" s="456"/>
      <c r="AQ84" s="458"/>
      <c r="AR84" s="452" t="str">
        <f t="shared" si="41"/>
        <v>ENERGY STAR - Front-Load Clothes Washer - Electric DHW, Gas Dryer - 31% ENERGY STAR Baseline</v>
      </c>
      <c r="AS84" s="454">
        <f t="shared" si="42"/>
        <v>0</v>
      </c>
      <c r="AT84" s="455">
        <f t="shared" ca="1" si="43"/>
        <v>0</v>
      </c>
      <c r="AU84" s="456">
        <f t="shared" ca="1" si="44"/>
        <v>2.4344715176626366</v>
      </c>
      <c r="AV84" s="456">
        <f t="shared" si="45"/>
        <v>0</v>
      </c>
      <c r="AW84" s="456"/>
      <c r="AX84" s="455">
        <f t="shared" ca="1" si="37"/>
        <v>4.2319016498398385</v>
      </c>
      <c r="AY84" s="455"/>
      <c r="AZ84" s="458"/>
      <c r="BA84" s="450" t="str">
        <f t="shared" si="38"/>
        <v>ENERGY STAR - Front-Load Clothes Washer - Electric DHW, Gas Dryer - 31% ENERGY STAR Baseline</v>
      </c>
      <c r="BB84" s="450" t="s">
        <v>26</v>
      </c>
      <c r="BC84" s="455">
        <f t="shared" ca="1" si="46"/>
        <v>0</v>
      </c>
      <c r="BD84" s="455">
        <f>SFAssumptions!$C$7</f>
        <v>14</v>
      </c>
      <c r="BE84" s="459">
        <f t="shared" si="47"/>
        <v>0</v>
      </c>
      <c r="BF84" s="450"/>
      <c r="BG84" s="449" t="s">
        <v>159</v>
      </c>
      <c r="BH84" s="460"/>
      <c r="BI84" s="450"/>
      <c r="BJ84" s="450"/>
      <c r="BK84" s="450"/>
      <c r="BL84" s="450"/>
      <c r="BM84" s="450"/>
      <c r="BN84" s="450"/>
      <c r="BO84" s="461">
        <f t="shared" ca="1" si="48"/>
        <v>2.4344715176626366</v>
      </c>
      <c r="BP84" s="450" t="s">
        <v>159</v>
      </c>
    </row>
    <row r="85" spans="1:68" s="309" customFormat="1">
      <c r="A85" s="450">
        <f t="shared" si="39"/>
        <v>8</v>
      </c>
      <c r="B85" s="450">
        <f t="shared" si="3"/>
        <v>1</v>
      </c>
      <c r="C85" s="450">
        <f t="shared" si="4"/>
        <v>8</v>
      </c>
      <c r="D85" s="450">
        <f t="shared" si="5"/>
        <v>2</v>
      </c>
      <c r="E85" s="450">
        <f t="shared" si="6"/>
        <v>3</v>
      </c>
      <c r="F85" s="450"/>
      <c r="G85" s="450" t="str">
        <f t="shared" si="13"/>
        <v>Current Practice Baseline Using 31% ENERGY STAR Penetration</v>
      </c>
      <c r="H85" s="450" t="str">
        <f t="shared" si="40"/>
        <v>ENERGY STAR - Front-Load</v>
      </c>
      <c r="I85" s="450" t="str">
        <f t="shared" si="7"/>
        <v>Gas DHW, Electric Dryer</v>
      </c>
      <c r="J85" s="450" t="str">
        <f t="shared" si="8"/>
        <v>Gas DHW</v>
      </c>
      <c r="K85" s="450" t="str">
        <f t="shared" si="9"/>
        <v>Electric Dryer</v>
      </c>
      <c r="L85" s="451">
        <f>VLOOKUP(J85,SFAssumptions!$A$14:$B$16,2,FALSE)</f>
        <v>0</v>
      </c>
      <c r="M85" s="452">
        <f>VLOOKUP(K85,SFAssumptions!$A$18:$B$20,2,FALSE)</f>
        <v>1</v>
      </c>
      <c r="N85" s="453">
        <f ca="1">HLOOKUP($G85,'MFBaselines and Measures'!$C$3:$V$33,7,FALSE)</f>
        <v>4047.8861059902265</v>
      </c>
      <c r="O85" s="454"/>
      <c r="P85" s="455"/>
      <c r="Q85" s="455">
        <f ca="1">HLOOKUP($G85,'MFBaselines and Measures'!$C$3:$V$33,26,FALSE)</f>
        <v>309.94943453130088</v>
      </c>
      <c r="R85" s="455"/>
      <c r="S85" s="456"/>
      <c r="T85" s="456">
        <f ca="1">HLOOKUP($G85,'MFBaselines and Measures'!$C$3:$V$33,30,FALSE)</f>
        <v>11.848003104619696</v>
      </c>
      <c r="U85" s="456"/>
      <c r="V85" s="456"/>
      <c r="W85" s="457"/>
      <c r="X85" s="453"/>
      <c r="Y85" s="454"/>
      <c r="Z85" s="455"/>
      <c r="AA85" s="455">
        <f ca="1">HLOOKUP($H85,'MFBaselines and Measures'!$C$2:$V$33,27,FALSE)</f>
        <v>246.26249390348505</v>
      </c>
      <c r="AB85" s="455"/>
      <c r="AC85" s="456"/>
      <c r="AD85" s="456">
        <f ca="1">HLOOKUP($H85,'MFBaselines and Measures'!$C$2:$V$33,31,FALSE)</f>
        <v>9.4135315869570597</v>
      </c>
      <c r="AE85" s="456"/>
      <c r="AF85" s="456"/>
      <c r="AG85" s="457"/>
      <c r="AH85" s="453"/>
      <c r="AI85" s="454"/>
      <c r="AJ85" s="455"/>
      <c r="AK85" s="455">
        <f t="shared" ca="1" si="35"/>
        <v>63.686940627815829</v>
      </c>
      <c r="AL85" s="455"/>
      <c r="AM85" s="456"/>
      <c r="AN85" s="456">
        <f t="shared" ca="1" si="36"/>
        <v>2.4344715176626366</v>
      </c>
      <c r="AO85" s="456"/>
      <c r="AP85" s="456"/>
      <c r="AQ85" s="458"/>
      <c r="AR85" s="452" t="str">
        <f t="shared" si="41"/>
        <v>ENERGY STAR - Front-Load Clothes Washer - Gas DHW, Electric Dryer - 31% ENERGY STAR Baseline</v>
      </c>
      <c r="AS85" s="454">
        <f t="shared" si="42"/>
        <v>0</v>
      </c>
      <c r="AT85" s="455">
        <f t="shared" ca="1" si="43"/>
        <v>63.686940627815829</v>
      </c>
      <c r="AU85" s="456">
        <f t="shared" ca="1" si="44"/>
        <v>0</v>
      </c>
      <c r="AV85" s="456">
        <f t="shared" si="45"/>
        <v>0</v>
      </c>
      <c r="AW85" s="456"/>
      <c r="AX85" s="455">
        <f t="shared" ca="1" si="37"/>
        <v>67.918842277655671</v>
      </c>
      <c r="AY85" s="455"/>
      <c r="AZ85" s="458"/>
      <c r="BA85" s="450" t="str">
        <f t="shared" si="38"/>
        <v>ENERGY STAR - Front-Load Clothes Washer - Gas DHW, Electric Dryer - 31% ENERGY STAR Baseline</v>
      </c>
      <c r="BB85" s="450" t="s">
        <v>26</v>
      </c>
      <c r="BC85" s="455">
        <f t="shared" ca="1" si="46"/>
        <v>63.686940627815829</v>
      </c>
      <c r="BD85" s="455">
        <f>SFAssumptions!$C$7</f>
        <v>14</v>
      </c>
      <c r="BE85" s="459">
        <f t="shared" si="47"/>
        <v>0</v>
      </c>
      <c r="BF85" s="450"/>
      <c r="BG85" s="449" t="s">
        <v>159</v>
      </c>
      <c r="BH85" s="460"/>
      <c r="BI85" s="450"/>
      <c r="BJ85" s="450"/>
      <c r="BK85" s="450"/>
      <c r="BL85" s="450"/>
      <c r="BM85" s="450"/>
      <c r="BN85" s="450"/>
      <c r="BO85" s="461">
        <f t="shared" ca="1" si="48"/>
        <v>0</v>
      </c>
      <c r="BP85" s="450" t="s">
        <v>159</v>
      </c>
    </row>
    <row r="86" spans="1:68" s="309" customFormat="1">
      <c r="A86" s="450">
        <f t="shared" si="39"/>
        <v>9</v>
      </c>
      <c r="B86" s="450">
        <f t="shared" si="3"/>
        <v>1</v>
      </c>
      <c r="C86" s="450">
        <f t="shared" si="4"/>
        <v>9</v>
      </c>
      <c r="D86" s="450">
        <f t="shared" si="5"/>
        <v>2</v>
      </c>
      <c r="E86" s="450">
        <f t="shared" si="6"/>
        <v>4</v>
      </c>
      <c r="F86" s="450"/>
      <c r="G86" s="450" t="str">
        <f t="shared" si="13"/>
        <v>Current Practice Baseline Using 31% ENERGY STAR Penetration</v>
      </c>
      <c r="H86" s="450" t="str">
        <f t="shared" si="40"/>
        <v>ENERGY STAR - Front-Load</v>
      </c>
      <c r="I86" s="450" t="str">
        <f t="shared" si="7"/>
        <v>Gas DHW, Gas Dryer</v>
      </c>
      <c r="J86" s="450" t="str">
        <f t="shared" si="8"/>
        <v>Gas DHW</v>
      </c>
      <c r="K86" s="450" t="str">
        <f t="shared" si="9"/>
        <v>Gas Dryer</v>
      </c>
      <c r="L86" s="451">
        <f>VLOOKUP(J86,SFAssumptions!$A$14:$B$16,2,FALSE)</f>
        <v>0</v>
      </c>
      <c r="M86" s="452">
        <f>VLOOKUP(K86,SFAssumptions!$A$18:$B$20,2,FALSE)</f>
        <v>0</v>
      </c>
      <c r="N86" s="453">
        <f ca="1">HLOOKUP($G86,'MFBaselines and Measures'!$C$3:$V$33,7,FALSE)</f>
        <v>4047.8861059902265</v>
      </c>
      <c r="O86" s="454"/>
      <c r="P86" s="455"/>
      <c r="Q86" s="455">
        <f ca="1">HLOOKUP($G86,'MFBaselines and Measures'!$C$3:$V$33,26,FALSE)</f>
        <v>309.94943453130088</v>
      </c>
      <c r="R86" s="455"/>
      <c r="S86" s="456"/>
      <c r="T86" s="456">
        <f ca="1">HLOOKUP($G86,'MFBaselines and Measures'!$C$3:$V$33,30,FALSE)</f>
        <v>11.848003104619696</v>
      </c>
      <c r="U86" s="456"/>
      <c r="V86" s="456"/>
      <c r="W86" s="457"/>
      <c r="X86" s="453"/>
      <c r="Y86" s="454"/>
      <c r="Z86" s="455"/>
      <c r="AA86" s="455">
        <f ca="1">HLOOKUP($H86,'MFBaselines and Measures'!$C$2:$V$33,27,FALSE)</f>
        <v>246.26249390348505</v>
      </c>
      <c r="AB86" s="455"/>
      <c r="AC86" s="456"/>
      <c r="AD86" s="456">
        <f ca="1">HLOOKUP($H86,'MFBaselines and Measures'!$C$2:$V$33,31,FALSE)</f>
        <v>9.4135315869570597</v>
      </c>
      <c r="AE86" s="456"/>
      <c r="AF86" s="456"/>
      <c r="AG86" s="457"/>
      <c r="AH86" s="453"/>
      <c r="AI86" s="454"/>
      <c r="AJ86" s="455"/>
      <c r="AK86" s="455">
        <f t="shared" ca="1" si="35"/>
        <v>63.686940627815829</v>
      </c>
      <c r="AL86" s="455"/>
      <c r="AM86" s="456"/>
      <c r="AN86" s="456">
        <f t="shared" ca="1" si="36"/>
        <v>2.4344715176626366</v>
      </c>
      <c r="AO86" s="456"/>
      <c r="AP86" s="456"/>
      <c r="AQ86" s="458"/>
      <c r="AR86" s="452" t="str">
        <f t="shared" si="41"/>
        <v>ENERGY STAR - Front-Load Clothes Washer - Gas DHW, Gas Dryer - 31% ENERGY STAR Baseline</v>
      </c>
      <c r="AS86" s="454">
        <f t="shared" si="42"/>
        <v>0</v>
      </c>
      <c r="AT86" s="455">
        <f t="shared" ca="1" si="43"/>
        <v>0</v>
      </c>
      <c r="AU86" s="456">
        <f t="shared" ca="1" si="44"/>
        <v>2.4344715176626366</v>
      </c>
      <c r="AV86" s="456">
        <f t="shared" si="45"/>
        <v>0</v>
      </c>
      <c r="AW86" s="456"/>
      <c r="AX86" s="455">
        <f t="shared" ca="1" si="37"/>
        <v>4.2319016498398385</v>
      </c>
      <c r="AY86" s="455"/>
      <c r="AZ86" s="458"/>
      <c r="BA86" s="450" t="str">
        <f t="shared" si="38"/>
        <v>ENERGY STAR - Front-Load Clothes Washer - Gas DHW, Gas Dryer - 31% ENERGY STAR Baseline</v>
      </c>
      <c r="BB86" s="450" t="s">
        <v>26</v>
      </c>
      <c r="BC86" s="455">
        <f t="shared" ca="1" si="46"/>
        <v>0</v>
      </c>
      <c r="BD86" s="455">
        <f>SFAssumptions!$C$7</f>
        <v>14</v>
      </c>
      <c r="BE86" s="459">
        <f t="shared" si="47"/>
        <v>0</v>
      </c>
      <c r="BF86" s="450"/>
      <c r="BG86" s="449" t="s">
        <v>159</v>
      </c>
      <c r="BH86" s="460"/>
      <c r="BI86" s="450"/>
      <c r="BJ86" s="450"/>
      <c r="BK86" s="450"/>
      <c r="BL86" s="450"/>
      <c r="BM86" s="450"/>
      <c r="BN86" s="450"/>
      <c r="BO86" s="461">
        <f t="shared" ca="1" si="48"/>
        <v>2.4344715176626366</v>
      </c>
      <c r="BP86" s="450" t="s">
        <v>159</v>
      </c>
    </row>
    <row r="87" spans="1:68" s="309" customFormat="1">
      <c r="A87" s="450">
        <f t="shared" si="39"/>
        <v>10</v>
      </c>
      <c r="B87" s="450">
        <f t="shared" si="3"/>
        <v>1</v>
      </c>
      <c r="C87" s="450">
        <f t="shared" si="4"/>
        <v>10</v>
      </c>
      <c r="D87" s="450">
        <f t="shared" si="5"/>
        <v>2</v>
      </c>
      <c r="E87" s="450">
        <f t="shared" si="6"/>
        <v>5</v>
      </c>
      <c r="F87" s="450"/>
      <c r="G87" s="450" t="str">
        <f t="shared" si="13"/>
        <v>Current Practice Baseline Using 31% ENERGY STAR Penetration</v>
      </c>
      <c r="H87" s="450" t="str">
        <f t="shared" si="40"/>
        <v>ENERGY STAR - Front-Load</v>
      </c>
      <c r="I87" s="450" t="str">
        <f t="shared" si="7"/>
        <v>Any DHW, Any Dryer</v>
      </c>
      <c r="J87" s="450" t="str">
        <f t="shared" si="8"/>
        <v>Any DHW</v>
      </c>
      <c r="K87" s="450" t="str">
        <f t="shared" si="9"/>
        <v>Any Dryer</v>
      </c>
      <c r="L87" s="451">
        <f>VLOOKUP(J87,SFAssumptions!$A$14:$B$16,2,FALSE)</f>
        <v>0.55200000000000005</v>
      </c>
      <c r="M87" s="452">
        <f>VLOOKUP(K87,SFAssumptions!$A$18:$B$20,2,FALSE)</f>
        <v>0.95</v>
      </c>
      <c r="N87" s="453">
        <f ca="1">HLOOKUP($G87,'MFBaselines and Measures'!$C$3:$V$33,7,FALSE)</f>
        <v>4047.8861059902265</v>
      </c>
      <c r="O87" s="454"/>
      <c r="P87" s="455"/>
      <c r="Q87" s="455">
        <f ca="1">HLOOKUP($G87,'MFBaselines and Measures'!$C$3:$V$33,26,FALSE)</f>
        <v>309.94943453130088</v>
      </c>
      <c r="R87" s="455"/>
      <c r="S87" s="456"/>
      <c r="T87" s="456">
        <f ca="1">HLOOKUP($G87,'MFBaselines and Measures'!$C$3:$V$33,30,FALSE)</f>
        <v>11.848003104619696</v>
      </c>
      <c r="U87" s="456"/>
      <c r="V87" s="456"/>
      <c r="W87" s="457"/>
      <c r="X87" s="453"/>
      <c r="Y87" s="454"/>
      <c r="Z87" s="455"/>
      <c r="AA87" s="455">
        <f ca="1">HLOOKUP($H87,'MFBaselines and Measures'!$C$2:$V$33,27,FALSE)</f>
        <v>246.26249390348505</v>
      </c>
      <c r="AB87" s="455"/>
      <c r="AC87" s="456"/>
      <c r="AD87" s="456">
        <f ca="1">HLOOKUP($H87,'MFBaselines and Measures'!$C$2:$V$33,31,FALSE)</f>
        <v>9.4135315869570597</v>
      </c>
      <c r="AE87" s="456"/>
      <c r="AF87" s="456"/>
      <c r="AG87" s="457"/>
      <c r="AH87" s="453"/>
      <c r="AI87" s="454"/>
      <c r="AJ87" s="455"/>
      <c r="AK87" s="455">
        <f t="shared" ca="1" si="35"/>
        <v>63.686940627815829</v>
      </c>
      <c r="AL87" s="455"/>
      <c r="AM87" s="456"/>
      <c r="AN87" s="456">
        <f t="shared" ca="1" si="36"/>
        <v>2.4344715176626366</v>
      </c>
      <c r="AO87" s="456"/>
      <c r="AP87" s="456"/>
      <c r="AQ87" s="458"/>
      <c r="AR87" s="452" t="str">
        <f t="shared" si="41"/>
        <v>ENERGY STAR - Front-Load Clothes Washer - Any DHW, Any Dryer - 31% ENERGY STAR Baseline</v>
      </c>
      <c r="AS87" s="454">
        <f t="shared" si="42"/>
        <v>0</v>
      </c>
      <c r="AT87" s="455">
        <f t="shared" ca="1" si="43"/>
        <v>60.502593596425037</v>
      </c>
      <c r="AU87" s="456">
        <f t="shared" ca="1" si="44"/>
        <v>0.12172357588313194</v>
      </c>
      <c r="AV87" s="456">
        <f t="shared" si="45"/>
        <v>0</v>
      </c>
      <c r="AW87" s="456"/>
      <c r="AX87" s="455">
        <f t="shared" ca="1" si="37"/>
        <v>64.734495246264871</v>
      </c>
      <c r="AY87" s="455"/>
      <c r="AZ87" s="458"/>
      <c r="BA87" s="450" t="str">
        <f t="shared" si="38"/>
        <v>ENERGY STAR - Front-Load Clothes Washer - Any DHW, Any Dryer - 31% ENERGY STAR Baseline</v>
      </c>
      <c r="BB87" s="450" t="s">
        <v>26</v>
      </c>
      <c r="BC87" s="455">
        <f t="shared" ca="1" si="46"/>
        <v>60.502593596425037</v>
      </c>
      <c r="BD87" s="455">
        <f>SFAssumptions!$C$7</f>
        <v>14</v>
      </c>
      <c r="BE87" s="459">
        <f t="shared" si="47"/>
        <v>0</v>
      </c>
      <c r="BF87" s="450"/>
      <c r="BG87" s="449" t="s">
        <v>159</v>
      </c>
      <c r="BH87" s="460"/>
      <c r="BI87" s="450"/>
      <c r="BJ87" s="450"/>
      <c r="BK87" s="450"/>
      <c r="BL87" s="450"/>
      <c r="BM87" s="450"/>
      <c r="BN87" s="450"/>
      <c r="BO87" s="461">
        <f t="shared" ca="1" si="48"/>
        <v>0.12172357588313194</v>
      </c>
      <c r="BP87" s="450" t="s">
        <v>159</v>
      </c>
    </row>
    <row r="88" spans="1:68" s="309" customFormat="1">
      <c r="A88" s="450">
        <f t="shared" si="39"/>
        <v>11</v>
      </c>
      <c r="B88" s="450">
        <f t="shared" si="3"/>
        <v>1</v>
      </c>
      <c r="C88" s="450">
        <f t="shared" si="4"/>
        <v>11</v>
      </c>
      <c r="D88" s="450">
        <f t="shared" si="5"/>
        <v>3</v>
      </c>
      <c r="E88" s="450">
        <f t="shared" si="6"/>
        <v>1</v>
      </c>
      <c r="F88" s="450"/>
      <c r="G88" s="450" t="str">
        <f t="shared" si="13"/>
        <v>Current Practice Baseline Using 31% ENERGY STAR Penetration</v>
      </c>
      <c r="H88" s="450" t="str">
        <f t="shared" si="40"/>
        <v>Any ENERGY STAR (Top- or Front-Load)</v>
      </c>
      <c r="I88" s="450" t="str">
        <f t="shared" si="7"/>
        <v>Electric DHW, Electric Dryer</v>
      </c>
      <c r="J88" s="450" t="str">
        <f t="shared" si="8"/>
        <v>Electric DHW</v>
      </c>
      <c r="K88" s="450" t="str">
        <f t="shared" si="9"/>
        <v>Electric Dryer</v>
      </c>
      <c r="L88" s="451">
        <f>VLOOKUP(J88,SFAssumptions!$A$14:$B$16,2,FALSE)</f>
        <v>1</v>
      </c>
      <c r="M88" s="452">
        <f>VLOOKUP(K88,SFAssumptions!$A$18:$B$20,2,FALSE)</f>
        <v>1</v>
      </c>
      <c r="N88" s="453">
        <f ca="1">HLOOKUP($G88,'MFBaselines and Measures'!$C$3:$V$33,7,FALSE)</f>
        <v>4047.8861059902265</v>
      </c>
      <c r="O88" s="454"/>
      <c r="P88" s="455"/>
      <c r="Q88" s="455">
        <f ca="1">HLOOKUP($G88,'MFBaselines and Measures'!$C$3:$V$33,26,FALSE)</f>
        <v>309.94943453130088</v>
      </c>
      <c r="R88" s="455"/>
      <c r="S88" s="456"/>
      <c r="T88" s="456">
        <f ca="1">HLOOKUP($G88,'MFBaselines and Measures'!$C$3:$V$33,30,FALSE)</f>
        <v>11.848003104619696</v>
      </c>
      <c r="U88" s="456"/>
      <c r="V88" s="456"/>
      <c r="W88" s="457"/>
      <c r="X88" s="453"/>
      <c r="Y88" s="454"/>
      <c r="Z88" s="455"/>
      <c r="AA88" s="455">
        <f ca="1">HLOOKUP($H88,'MFBaselines and Measures'!$C$2:$V$33,27,FALSE)</f>
        <v>255.7715255440412</v>
      </c>
      <c r="AB88" s="455"/>
      <c r="AC88" s="456"/>
      <c r="AD88" s="456">
        <f ca="1">HLOOKUP($H88,'MFBaselines and Measures'!$C$2:$V$33,31,FALSE)</f>
        <v>9.7770200268363023</v>
      </c>
      <c r="AE88" s="456"/>
      <c r="AF88" s="456"/>
      <c r="AG88" s="457"/>
      <c r="AH88" s="453"/>
      <c r="AI88" s="454"/>
      <c r="AJ88" s="455"/>
      <c r="AK88" s="455">
        <f t="shared" ca="1" si="35"/>
        <v>54.177908987259684</v>
      </c>
      <c r="AL88" s="455"/>
      <c r="AM88" s="456"/>
      <c r="AN88" s="456">
        <f t="shared" ca="1" si="36"/>
        <v>2.070983077783394</v>
      </c>
      <c r="AO88" s="456"/>
      <c r="AP88" s="456"/>
      <c r="AQ88" s="458"/>
      <c r="AR88" s="452" t="str">
        <f t="shared" si="41"/>
        <v>Any ENERGY STAR (Top- or Front-Load) Clothes Washer - Electric DHW, Electric Dryer - 31% ENERGY STAR Baseline</v>
      </c>
      <c r="AS88" s="454">
        <f t="shared" si="42"/>
        <v>0</v>
      </c>
      <c r="AT88" s="455">
        <f t="shared" ca="1" si="43"/>
        <v>54.177908987259684</v>
      </c>
      <c r="AU88" s="456">
        <f t="shared" ca="1" si="44"/>
        <v>0</v>
      </c>
      <c r="AV88" s="456">
        <f t="shared" si="45"/>
        <v>0</v>
      </c>
      <c r="AW88" s="456"/>
      <c r="AX88" s="455">
        <f t="shared" ca="1" si="37"/>
        <v>58.50127620232346</v>
      </c>
      <c r="AY88" s="455"/>
      <c r="AZ88" s="458"/>
      <c r="BA88" s="450" t="str">
        <f t="shared" si="38"/>
        <v>Any ENERGY STAR (Top- or Front-Load) Clothes Washer - Electric DHW, Electric Dryer - 31% ENERGY STAR Baseline</v>
      </c>
      <c r="BB88" s="450" t="s">
        <v>26</v>
      </c>
      <c r="BC88" s="455">
        <f t="shared" ca="1" si="46"/>
        <v>54.177908987259684</v>
      </c>
      <c r="BD88" s="455">
        <f>SFAssumptions!$C$7</f>
        <v>14</v>
      </c>
      <c r="BE88" s="459">
        <f t="shared" si="47"/>
        <v>0</v>
      </c>
      <c r="BF88" s="450"/>
      <c r="BG88" s="449" t="s">
        <v>159</v>
      </c>
      <c r="BH88" s="460"/>
      <c r="BI88" s="450"/>
      <c r="BJ88" s="450"/>
      <c r="BK88" s="450"/>
      <c r="BL88" s="450"/>
      <c r="BM88" s="450"/>
      <c r="BN88" s="450"/>
      <c r="BO88" s="461">
        <f t="shared" ca="1" si="48"/>
        <v>0</v>
      </c>
      <c r="BP88" s="450" t="s">
        <v>159</v>
      </c>
    </row>
    <row r="89" spans="1:68" s="309" customFormat="1">
      <c r="A89" s="450">
        <f t="shared" si="39"/>
        <v>12</v>
      </c>
      <c r="B89" s="450">
        <f t="shared" si="3"/>
        <v>1</v>
      </c>
      <c r="C89" s="450">
        <f t="shared" si="4"/>
        <v>12</v>
      </c>
      <c r="D89" s="450">
        <f t="shared" si="5"/>
        <v>3</v>
      </c>
      <c r="E89" s="450">
        <f t="shared" si="6"/>
        <v>2</v>
      </c>
      <c r="F89" s="450"/>
      <c r="G89" s="450" t="str">
        <f t="shared" si="13"/>
        <v>Current Practice Baseline Using 31% ENERGY STAR Penetration</v>
      </c>
      <c r="H89" s="450" t="str">
        <f t="shared" si="40"/>
        <v>Any ENERGY STAR (Top- or Front-Load)</v>
      </c>
      <c r="I89" s="450" t="str">
        <f t="shared" si="7"/>
        <v>Electric DHW, Gas Dryer</v>
      </c>
      <c r="J89" s="450" t="str">
        <f t="shared" si="8"/>
        <v>Electric DHW</v>
      </c>
      <c r="K89" s="450" t="str">
        <f t="shared" si="9"/>
        <v>Gas Dryer</v>
      </c>
      <c r="L89" s="451">
        <f>VLOOKUP(J89,SFAssumptions!$A$14:$B$16,2,FALSE)</f>
        <v>1</v>
      </c>
      <c r="M89" s="452">
        <f>VLOOKUP(K89,SFAssumptions!$A$18:$B$20,2,FALSE)</f>
        <v>0</v>
      </c>
      <c r="N89" s="453">
        <f ca="1">HLOOKUP($G89,'MFBaselines and Measures'!$C$3:$V$33,7,FALSE)</f>
        <v>4047.8861059902265</v>
      </c>
      <c r="O89" s="454"/>
      <c r="P89" s="455"/>
      <c r="Q89" s="455">
        <f ca="1">HLOOKUP($G89,'MFBaselines and Measures'!$C$3:$V$33,26,FALSE)</f>
        <v>309.94943453130088</v>
      </c>
      <c r="R89" s="455"/>
      <c r="S89" s="456"/>
      <c r="T89" s="456">
        <f ca="1">HLOOKUP($G89,'MFBaselines and Measures'!$C$3:$V$33,30,FALSE)</f>
        <v>11.848003104619696</v>
      </c>
      <c r="U89" s="456"/>
      <c r="V89" s="456"/>
      <c r="W89" s="457"/>
      <c r="X89" s="453"/>
      <c r="Y89" s="454"/>
      <c r="Z89" s="455"/>
      <c r="AA89" s="455">
        <f ca="1">HLOOKUP($H89,'MFBaselines and Measures'!$C$2:$V$33,27,FALSE)</f>
        <v>255.7715255440412</v>
      </c>
      <c r="AB89" s="455"/>
      <c r="AC89" s="456"/>
      <c r="AD89" s="456">
        <f ca="1">HLOOKUP($H89,'MFBaselines and Measures'!$C$2:$V$33,31,FALSE)</f>
        <v>9.7770200268363023</v>
      </c>
      <c r="AE89" s="456"/>
      <c r="AF89" s="456"/>
      <c r="AG89" s="457"/>
      <c r="AH89" s="453"/>
      <c r="AI89" s="454"/>
      <c r="AJ89" s="455"/>
      <c r="AK89" s="455">
        <f t="shared" ca="1" si="35"/>
        <v>54.177908987259684</v>
      </c>
      <c r="AL89" s="455"/>
      <c r="AM89" s="456"/>
      <c r="AN89" s="456">
        <f t="shared" ca="1" si="36"/>
        <v>2.070983077783394</v>
      </c>
      <c r="AO89" s="456"/>
      <c r="AP89" s="456"/>
      <c r="AQ89" s="458"/>
      <c r="AR89" s="452" t="str">
        <f t="shared" si="41"/>
        <v>Any ENERGY STAR (Top- or Front-Load) Clothes Washer - Electric DHW, Gas Dryer - 31% ENERGY STAR Baseline</v>
      </c>
      <c r="AS89" s="454">
        <f t="shared" si="42"/>
        <v>0</v>
      </c>
      <c r="AT89" s="455">
        <f t="shared" ca="1" si="43"/>
        <v>0</v>
      </c>
      <c r="AU89" s="456">
        <f t="shared" ca="1" si="44"/>
        <v>2.070983077783394</v>
      </c>
      <c r="AV89" s="456">
        <f t="shared" si="45"/>
        <v>0</v>
      </c>
      <c r="AW89" s="456"/>
      <c r="AX89" s="455">
        <f t="shared" ca="1" si="37"/>
        <v>4.3233672150637759</v>
      </c>
      <c r="AY89" s="455"/>
      <c r="AZ89" s="458"/>
      <c r="BA89" s="450" t="str">
        <f t="shared" si="38"/>
        <v>Any ENERGY STAR (Top- or Front-Load) Clothes Washer - Electric DHW, Gas Dryer - 31% ENERGY STAR Baseline</v>
      </c>
      <c r="BB89" s="450" t="s">
        <v>26</v>
      </c>
      <c r="BC89" s="455">
        <f t="shared" ca="1" si="46"/>
        <v>0</v>
      </c>
      <c r="BD89" s="455">
        <f>SFAssumptions!$C$7</f>
        <v>14</v>
      </c>
      <c r="BE89" s="459">
        <f t="shared" si="47"/>
        <v>0</v>
      </c>
      <c r="BF89" s="450"/>
      <c r="BG89" s="449" t="s">
        <v>159</v>
      </c>
      <c r="BH89" s="460"/>
      <c r="BI89" s="450"/>
      <c r="BJ89" s="450"/>
      <c r="BK89" s="450"/>
      <c r="BL89" s="450"/>
      <c r="BM89" s="450"/>
      <c r="BN89" s="450"/>
      <c r="BO89" s="461">
        <f t="shared" ca="1" si="48"/>
        <v>2.070983077783394</v>
      </c>
      <c r="BP89" s="450" t="s">
        <v>159</v>
      </c>
    </row>
    <row r="90" spans="1:68" s="309" customFormat="1">
      <c r="A90" s="450">
        <f t="shared" si="39"/>
        <v>13</v>
      </c>
      <c r="B90" s="450">
        <f t="shared" si="3"/>
        <v>1</v>
      </c>
      <c r="C90" s="450">
        <f t="shared" si="4"/>
        <v>13</v>
      </c>
      <c r="D90" s="450">
        <f t="shared" si="5"/>
        <v>3</v>
      </c>
      <c r="E90" s="450">
        <f t="shared" si="6"/>
        <v>3</v>
      </c>
      <c r="F90" s="450"/>
      <c r="G90" s="450" t="str">
        <f t="shared" si="13"/>
        <v>Current Practice Baseline Using 31% ENERGY STAR Penetration</v>
      </c>
      <c r="H90" s="450" t="str">
        <f t="shared" si="40"/>
        <v>Any ENERGY STAR (Top- or Front-Load)</v>
      </c>
      <c r="I90" s="450" t="str">
        <f t="shared" si="7"/>
        <v>Gas DHW, Electric Dryer</v>
      </c>
      <c r="J90" s="450" t="str">
        <f t="shared" si="8"/>
        <v>Gas DHW</v>
      </c>
      <c r="K90" s="450" t="str">
        <f t="shared" si="9"/>
        <v>Electric Dryer</v>
      </c>
      <c r="L90" s="451">
        <f>VLOOKUP(J90,SFAssumptions!$A$14:$B$16,2,FALSE)</f>
        <v>0</v>
      </c>
      <c r="M90" s="452">
        <f>VLOOKUP(K90,SFAssumptions!$A$18:$B$20,2,FALSE)</f>
        <v>1</v>
      </c>
      <c r="N90" s="453">
        <f ca="1">HLOOKUP($G90,'MFBaselines and Measures'!$C$3:$V$33,7,FALSE)</f>
        <v>4047.8861059902265</v>
      </c>
      <c r="O90" s="454"/>
      <c r="P90" s="455"/>
      <c r="Q90" s="455">
        <f ca="1">HLOOKUP($G90,'MFBaselines and Measures'!$C$3:$V$33,26,FALSE)</f>
        <v>309.94943453130088</v>
      </c>
      <c r="R90" s="455"/>
      <c r="S90" s="456"/>
      <c r="T90" s="456">
        <f ca="1">HLOOKUP($G90,'MFBaselines and Measures'!$C$3:$V$33,30,FALSE)</f>
        <v>11.848003104619696</v>
      </c>
      <c r="U90" s="456"/>
      <c r="V90" s="456"/>
      <c r="W90" s="457"/>
      <c r="X90" s="453"/>
      <c r="Y90" s="454"/>
      <c r="Z90" s="455"/>
      <c r="AA90" s="455">
        <f ca="1">HLOOKUP($H90,'MFBaselines and Measures'!$C$2:$V$33,27,FALSE)</f>
        <v>255.7715255440412</v>
      </c>
      <c r="AB90" s="455"/>
      <c r="AC90" s="456"/>
      <c r="AD90" s="456">
        <f ca="1">HLOOKUP($H90,'MFBaselines and Measures'!$C$2:$V$33,31,FALSE)</f>
        <v>9.7770200268363023</v>
      </c>
      <c r="AE90" s="456"/>
      <c r="AF90" s="456"/>
      <c r="AG90" s="457"/>
      <c r="AH90" s="453"/>
      <c r="AI90" s="454"/>
      <c r="AJ90" s="455"/>
      <c r="AK90" s="455">
        <f t="shared" ca="1" si="35"/>
        <v>54.177908987259684</v>
      </c>
      <c r="AL90" s="455"/>
      <c r="AM90" s="456"/>
      <c r="AN90" s="456">
        <f t="shared" ca="1" si="36"/>
        <v>2.070983077783394</v>
      </c>
      <c r="AO90" s="456"/>
      <c r="AP90" s="456"/>
      <c r="AQ90" s="458"/>
      <c r="AR90" s="452" t="str">
        <f t="shared" si="41"/>
        <v>Any ENERGY STAR (Top- or Front-Load) Clothes Washer - Gas DHW, Electric Dryer - 31% ENERGY STAR Baseline</v>
      </c>
      <c r="AS90" s="454">
        <f t="shared" si="42"/>
        <v>0</v>
      </c>
      <c r="AT90" s="455">
        <f t="shared" ca="1" si="43"/>
        <v>54.177908987259684</v>
      </c>
      <c r="AU90" s="456">
        <f t="shared" ca="1" si="44"/>
        <v>0</v>
      </c>
      <c r="AV90" s="456">
        <f t="shared" si="45"/>
        <v>0</v>
      </c>
      <c r="AW90" s="456"/>
      <c r="AX90" s="455">
        <f t="shared" ca="1" si="37"/>
        <v>58.50127620232346</v>
      </c>
      <c r="AY90" s="455"/>
      <c r="AZ90" s="458"/>
      <c r="BA90" s="450" t="str">
        <f t="shared" si="38"/>
        <v>Any ENERGY STAR (Top- or Front-Load) Clothes Washer - Gas DHW, Electric Dryer - 31% ENERGY STAR Baseline</v>
      </c>
      <c r="BB90" s="450" t="s">
        <v>26</v>
      </c>
      <c r="BC90" s="455">
        <f t="shared" ca="1" si="46"/>
        <v>54.177908987259684</v>
      </c>
      <c r="BD90" s="455">
        <f>SFAssumptions!$C$7</f>
        <v>14</v>
      </c>
      <c r="BE90" s="459">
        <f t="shared" si="47"/>
        <v>0</v>
      </c>
      <c r="BF90" s="450"/>
      <c r="BG90" s="449" t="s">
        <v>159</v>
      </c>
      <c r="BH90" s="460"/>
      <c r="BI90" s="450"/>
      <c r="BJ90" s="450"/>
      <c r="BK90" s="450"/>
      <c r="BL90" s="450"/>
      <c r="BM90" s="450"/>
      <c r="BN90" s="450"/>
      <c r="BO90" s="461">
        <f t="shared" ca="1" si="48"/>
        <v>0</v>
      </c>
      <c r="BP90" s="450" t="s">
        <v>159</v>
      </c>
    </row>
    <row r="91" spans="1:68" s="309" customFormat="1">
      <c r="A91" s="450">
        <f t="shared" si="39"/>
        <v>14</v>
      </c>
      <c r="B91" s="450">
        <f t="shared" si="3"/>
        <v>1</v>
      </c>
      <c r="C91" s="450">
        <f t="shared" si="4"/>
        <v>14</v>
      </c>
      <c r="D91" s="450">
        <f t="shared" si="5"/>
        <v>3</v>
      </c>
      <c r="E91" s="450">
        <f t="shared" si="6"/>
        <v>4</v>
      </c>
      <c r="F91" s="450"/>
      <c r="G91" s="450" t="str">
        <f t="shared" si="13"/>
        <v>Current Practice Baseline Using 31% ENERGY STAR Penetration</v>
      </c>
      <c r="H91" s="450" t="str">
        <f t="shared" si="40"/>
        <v>Any ENERGY STAR (Top- or Front-Load)</v>
      </c>
      <c r="I91" s="450" t="str">
        <f t="shared" si="7"/>
        <v>Gas DHW, Gas Dryer</v>
      </c>
      <c r="J91" s="450" t="str">
        <f t="shared" si="8"/>
        <v>Gas DHW</v>
      </c>
      <c r="K91" s="450" t="str">
        <f t="shared" si="9"/>
        <v>Gas Dryer</v>
      </c>
      <c r="L91" s="451">
        <f>VLOOKUP(J91,SFAssumptions!$A$14:$B$16,2,FALSE)</f>
        <v>0</v>
      </c>
      <c r="M91" s="452">
        <f>VLOOKUP(K91,SFAssumptions!$A$18:$B$20,2,FALSE)</f>
        <v>0</v>
      </c>
      <c r="N91" s="453">
        <f ca="1">HLOOKUP($G91,'MFBaselines and Measures'!$C$3:$V$33,7,FALSE)</f>
        <v>4047.8861059902265</v>
      </c>
      <c r="O91" s="454"/>
      <c r="P91" s="455"/>
      <c r="Q91" s="455">
        <f ca="1">HLOOKUP($G91,'MFBaselines and Measures'!$C$3:$V$33,26,FALSE)</f>
        <v>309.94943453130088</v>
      </c>
      <c r="R91" s="455"/>
      <c r="S91" s="456"/>
      <c r="T91" s="456">
        <f ca="1">HLOOKUP($G91,'MFBaselines and Measures'!$C$3:$V$33,30,FALSE)</f>
        <v>11.848003104619696</v>
      </c>
      <c r="U91" s="456"/>
      <c r="V91" s="456"/>
      <c r="W91" s="457"/>
      <c r="X91" s="453"/>
      <c r="Y91" s="454"/>
      <c r="Z91" s="455"/>
      <c r="AA91" s="455">
        <f ca="1">HLOOKUP($H91,'MFBaselines and Measures'!$C$2:$V$33,27,FALSE)</f>
        <v>255.7715255440412</v>
      </c>
      <c r="AB91" s="455"/>
      <c r="AC91" s="456"/>
      <c r="AD91" s="456">
        <f ca="1">HLOOKUP($H91,'MFBaselines and Measures'!$C$2:$V$33,31,FALSE)</f>
        <v>9.7770200268363023</v>
      </c>
      <c r="AE91" s="456"/>
      <c r="AF91" s="456"/>
      <c r="AG91" s="457"/>
      <c r="AH91" s="453"/>
      <c r="AI91" s="454"/>
      <c r="AJ91" s="455"/>
      <c r="AK91" s="455">
        <f t="shared" ca="1" si="35"/>
        <v>54.177908987259684</v>
      </c>
      <c r="AL91" s="455"/>
      <c r="AM91" s="456"/>
      <c r="AN91" s="456">
        <f t="shared" ca="1" si="36"/>
        <v>2.070983077783394</v>
      </c>
      <c r="AO91" s="456"/>
      <c r="AP91" s="456"/>
      <c r="AQ91" s="458"/>
      <c r="AR91" s="452" t="str">
        <f t="shared" si="41"/>
        <v>Any ENERGY STAR (Top- or Front-Load) Clothes Washer - Gas DHW, Gas Dryer - 31% ENERGY STAR Baseline</v>
      </c>
      <c r="AS91" s="454">
        <f t="shared" si="42"/>
        <v>0</v>
      </c>
      <c r="AT91" s="455">
        <f t="shared" ca="1" si="43"/>
        <v>0</v>
      </c>
      <c r="AU91" s="456">
        <f t="shared" ca="1" si="44"/>
        <v>2.070983077783394</v>
      </c>
      <c r="AV91" s="456">
        <f t="shared" si="45"/>
        <v>0</v>
      </c>
      <c r="AW91" s="456"/>
      <c r="AX91" s="455">
        <f t="shared" ca="1" si="37"/>
        <v>4.3233672150637759</v>
      </c>
      <c r="AY91" s="455"/>
      <c r="AZ91" s="458"/>
      <c r="BA91" s="450" t="str">
        <f t="shared" si="38"/>
        <v>Any ENERGY STAR (Top- or Front-Load) Clothes Washer - Gas DHW, Gas Dryer - 31% ENERGY STAR Baseline</v>
      </c>
      <c r="BB91" s="450" t="s">
        <v>26</v>
      </c>
      <c r="BC91" s="455">
        <f t="shared" ca="1" si="46"/>
        <v>0</v>
      </c>
      <c r="BD91" s="455">
        <f>SFAssumptions!$C$7</f>
        <v>14</v>
      </c>
      <c r="BE91" s="459">
        <f t="shared" si="47"/>
        <v>0</v>
      </c>
      <c r="BF91" s="450"/>
      <c r="BG91" s="449" t="s">
        <v>159</v>
      </c>
      <c r="BH91" s="460"/>
      <c r="BI91" s="450"/>
      <c r="BJ91" s="450"/>
      <c r="BK91" s="450"/>
      <c r="BL91" s="450"/>
      <c r="BM91" s="450"/>
      <c r="BN91" s="450"/>
      <c r="BO91" s="461">
        <f t="shared" ca="1" si="48"/>
        <v>2.070983077783394</v>
      </c>
      <c r="BP91" s="450" t="s">
        <v>159</v>
      </c>
    </row>
    <row r="92" spans="1:68" s="309" customFormat="1">
      <c r="A92" s="450">
        <f t="shared" si="39"/>
        <v>15</v>
      </c>
      <c r="B92" s="450">
        <f t="shared" si="3"/>
        <v>1</v>
      </c>
      <c r="C92" s="450">
        <f t="shared" si="4"/>
        <v>15</v>
      </c>
      <c r="D92" s="450">
        <f t="shared" si="5"/>
        <v>3</v>
      </c>
      <c r="E92" s="450">
        <f t="shared" si="6"/>
        <v>5</v>
      </c>
      <c r="F92" s="450"/>
      <c r="G92" s="450" t="str">
        <f t="shared" si="13"/>
        <v>Current Practice Baseline Using 31% ENERGY STAR Penetration</v>
      </c>
      <c r="H92" s="450" t="str">
        <f t="shared" si="40"/>
        <v>Any ENERGY STAR (Top- or Front-Load)</v>
      </c>
      <c r="I92" s="450" t="str">
        <f t="shared" si="7"/>
        <v>Any DHW, Any Dryer</v>
      </c>
      <c r="J92" s="450" t="str">
        <f t="shared" si="8"/>
        <v>Any DHW</v>
      </c>
      <c r="K92" s="450" t="str">
        <f t="shared" si="9"/>
        <v>Any Dryer</v>
      </c>
      <c r="L92" s="451">
        <f>VLOOKUP(J92,SFAssumptions!$A$14:$B$16,2,FALSE)</f>
        <v>0.55200000000000005</v>
      </c>
      <c r="M92" s="452">
        <f>VLOOKUP(K92,SFAssumptions!$A$18:$B$20,2,FALSE)</f>
        <v>0.95</v>
      </c>
      <c r="N92" s="453">
        <f ca="1">HLOOKUP($G92,'MFBaselines and Measures'!$C$3:$V$33,7,FALSE)</f>
        <v>4047.8861059902265</v>
      </c>
      <c r="O92" s="454"/>
      <c r="P92" s="455"/>
      <c r="Q92" s="455">
        <f ca="1">HLOOKUP($G92,'MFBaselines and Measures'!$C$3:$V$33,26,FALSE)</f>
        <v>309.94943453130088</v>
      </c>
      <c r="R92" s="455"/>
      <c r="S92" s="456"/>
      <c r="T92" s="456">
        <f ca="1">HLOOKUP($G92,'MFBaselines and Measures'!$C$3:$V$33,30,FALSE)</f>
        <v>11.848003104619696</v>
      </c>
      <c r="U92" s="456"/>
      <c r="V92" s="456"/>
      <c r="W92" s="457"/>
      <c r="X92" s="453"/>
      <c r="Y92" s="454"/>
      <c r="Z92" s="455"/>
      <c r="AA92" s="455">
        <f ca="1">HLOOKUP($H92,'MFBaselines and Measures'!$C$2:$V$33,27,FALSE)</f>
        <v>255.7715255440412</v>
      </c>
      <c r="AB92" s="455"/>
      <c r="AC92" s="456"/>
      <c r="AD92" s="456">
        <f ca="1">HLOOKUP($H92,'MFBaselines and Measures'!$C$2:$V$33,31,FALSE)</f>
        <v>9.7770200268363023</v>
      </c>
      <c r="AE92" s="456"/>
      <c r="AF92" s="456"/>
      <c r="AG92" s="457"/>
      <c r="AH92" s="453"/>
      <c r="AI92" s="454"/>
      <c r="AJ92" s="455"/>
      <c r="AK92" s="455">
        <f t="shared" ca="1" si="35"/>
        <v>54.177908987259684</v>
      </c>
      <c r="AL92" s="455"/>
      <c r="AM92" s="456"/>
      <c r="AN92" s="456">
        <f t="shared" ca="1" si="36"/>
        <v>2.070983077783394</v>
      </c>
      <c r="AO92" s="456"/>
      <c r="AP92" s="456"/>
      <c r="AQ92" s="458"/>
      <c r="AR92" s="452" t="str">
        <f t="shared" si="41"/>
        <v>Any ENERGY STAR (Top- or Front-Load) Clothes Washer - Any DHW, Any Dryer - 31% ENERGY STAR Baseline</v>
      </c>
      <c r="AS92" s="454">
        <f t="shared" si="42"/>
        <v>0</v>
      </c>
      <c r="AT92" s="455">
        <f t="shared" ca="1" si="43"/>
        <v>51.4690135378967</v>
      </c>
      <c r="AU92" s="456">
        <f t="shared" ca="1" si="44"/>
        <v>0.10354915388916978</v>
      </c>
      <c r="AV92" s="456">
        <f t="shared" si="45"/>
        <v>0</v>
      </c>
      <c r="AW92" s="456"/>
      <c r="AX92" s="455">
        <f t="shared" ca="1" si="37"/>
        <v>55.792380752960476</v>
      </c>
      <c r="AY92" s="455"/>
      <c r="AZ92" s="458"/>
      <c r="BA92" s="450" t="str">
        <f t="shared" si="38"/>
        <v>Any ENERGY STAR (Top- or Front-Load) Clothes Washer - Any DHW, Any Dryer - 31% ENERGY STAR Baseline</v>
      </c>
      <c r="BB92" s="450" t="s">
        <v>26</v>
      </c>
      <c r="BC92" s="455">
        <f t="shared" ca="1" si="46"/>
        <v>51.4690135378967</v>
      </c>
      <c r="BD92" s="455">
        <f>SFAssumptions!$C$7</f>
        <v>14</v>
      </c>
      <c r="BE92" s="459">
        <f t="shared" si="47"/>
        <v>0</v>
      </c>
      <c r="BF92" s="450"/>
      <c r="BG92" s="449" t="s">
        <v>159</v>
      </c>
      <c r="BH92" s="460"/>
      <c r="BI92" s="450"/>
      <c r="BJ92" s="450"/>
      <c r="BK92" s="450"/>
      <c r="BL92" s="450"/>
      <c r="BM92" s="450"/>
      <c r="BN92" s="450"/>
      <c r="BO92" s="461">
        <f t="shared" ca="1" si="48"/>
        <v>0.10354915388916978</v>
      </c>
      <c r="BP92" s="450" t="s">
        <v>159</v>
      </c>
    </row>
    <row r="93" spans="1:68" s="309" customFormat="1">
      <c r="A93" s="450">
        <f t="shared" si="39"/>
        <v>16</v>
      </c>
      <c r="B93" s="450">
        <f t="shared" si="3"/>
        <v>1</v>
      </c>
      <c r="C93" s="450">
        <f t="shared" si="4"/>
        <v>16</v>
      </c>
      <c r="D93" s="450">
        <f t="shared" si="5"/>
        <v>4</v>
      </c>
      <c r="E93" s="450">
        <f t="shared" si="6"/>
        <v>1</v>
      </c>
      <c r="F93" s="450"/>
      <c r="G93" s="450" t="str">
        <f t="shared" si="13"/>
        <v>Current Practice Baseline Using 31% ENERGY STAR Penetration</v>
      </c>
      <c r="H93" s="450" t="str">
        <f t="shared" si="40"/>
        <v>CEE Tier 1</v>
      </c>
      <c r="I93" s="450" t="str">
        <f t="shared" si="7"/>
        <v>Electric DHW, Electric Dryer</v>
      </c>
      <c r="J93" s="450" t="str">
        <f t="shared" si="8"/>
        <v>Electric DHW</v>
      </c>
      <c r="K93" s="450" t="str">
        <f t="shared" si="9"/>
        <v>Electric Dryer</v>
      </c>
      <c r="L93" s="451">
        <f>VLOOKUP(J93,SFAssumptions!$A$14:$B$16,2,FALSE)</f>
        <v>1</v>
      </c>
      <c r="M93" s="452">
        <f>VLOOKUP(K93,SFAssumptions!$A$18:$B$20,2,FALSE)</f>
        <v>1</v>
      </c>
      <c r="N93" s="453">
        <f ca="1">HLOOKUP($G93,'MFBaselines and Measures'!$C$3:$V$33,7,FALSE)</f>
        <v>4047.8861059902265</v>
      </c>
      <c r="O93" s="454"/>
      <c r="P93" s="455"/>
      <c r="Q93" s="455">
        <f ca="1">HLOOKUP($G93,'MFBaselines and Measures'!$C$3:$V$33,26,FALSE)</f>
        <v>309.94943453130088</v>
      </c>
      <c r="R93" s="455"/>
      <c r="S93" s="456"/>
      <c r="T93" s="456">
        <f ca="1">HLOOKUP($G93,'MFBaselines and Measures'!$C$3:$V$33,30,FALSE)</f>
        <v>11.848003104619696</v>
      </c>
      <c r="U93" s="456"/>
      <c r="V93" s="456"/>
      <c r="W93" s="457"/>
      <c r="X93" s="453"/>
      <c r="Y93" s="454"/>
      <c r="Z93" s="455"/>
      <c r="AA93" s="455">
        <f ca="1">HLOOKUP($H93,'MFBaselines and Measures'!$C$2:$V$33,27,FALSE)</f>
        <v>256.30334386885011</v>
      </c>
      <c r="AB93" s="455"/>
      <c r="AC93" s="456"/>
      <c r="AD93" s="456">
        <f ca="1">HLOOKUP($H93,'MFBaselines and Measures'!$C$2:$V$33,31,FALSE)</f>
        <v>9.7973491013931167</v>
      </c>
      <c r="AE93" s="456"/>
      <c r="AF93" s="456"/>
      <c r="AG93" s="457"/>
      <c r="AH93" s="453"/>
      <c r="AI93" s="454"/>
      <c r="AJ93" s="455"/>
      <c r="AK93" s="455">
        <f t="shared" ca="1" si="35"/>
        <v>53.646090662450774</v>
      </c>
      <c r="AL93" s="455"/>
      <c r="AM93" s="456"/>
      <c r="AN93" s="456">
        <f t="shared" ca="1" si="36"/>
        <v>2.0506540032265796</v>
      </c>
      <c r="AO93" s="456"/>
      <c r="AP93" s="456"/>
      <c r="AQ93" s="458"/>
      <c r="AR93" s="452" t="str">
        <f t="shared" si="41"/>
        <v>CEE Tier 1 Clothes Washer - Electric DHW, Electric Dryer - 31% ENERGY STAR Baseline</v>
      </c>
      <c r="AS93" s="454">
        <f t="shared" si="42"/>
        <v>0</v>
      </c>
      <c r="AT93" s="455">
        <f t="shared" ca="1" si="43"/>
        <v>53.646090662450774</v>
      </c>
      <c r="AU93" s="456">
        <f t="shared" ca="1" si="44"/>
        <v>0</v>
      </c>
      <c r="AV93" s="456">
        <f t="shared" si="45"/>
        <v>0</v>
      </c>
      <c r="AW93" s="456"/>
      <c r="AX93" s="455">
        <f t="shared" ca="1" si="37"/>
        <v>53.036864312709312</v>
      </c>
      <c r="AY93" s="455"/>
      <c r="AZ93" s="458"/>
      <c r="BA93" s="450" t="str">
        <f t="shared" si="38"/>
        <v>CEE Tier 1 Clothes Washer - Electric DHW, Electric Dryer - 31% ENERGY STAR Baseline</v>
      </c>
      <c r="BB93" s="450" t="s">
        <v>26</v>
      </c>
      <c r="BC93" s="455">
        <f t="shared" ca="1" si="46"/>
        <v>53.646090662450774</v>
      </c>
      <c r="BD93" s="455">
        <f>SFAssumptions!$C$7</f>
        <v>14</v>
      </c>
      <c r="BE93" s="459">
        <f t="shared" si="47"/>
        <v>0</v>
      </c>
      <c r="BF93" s="450"/>
      <c r="BG93" s="449" t="s">
        <v>159</v>
      </c>
      <c r="BH93" s="460"/>
      <c r="BI93" s="450"/>
      <c r="BJ93" s="450"/>
      <c r="BK93" s="450"/>
      <c r="BL93" s="450"/>
      <c r="BM93" s="450"/>
      <c r="BN93" s="450"/>
      <c r="BO93" s="461">
        <f t="shared" ca="1" si="48"/>
        <v>0</v>
      </c>
      <c r="BP93" s="450" t="s">
        <v>159</v>
      </c>
    </row>
    <row r="94" spans="1:68" s="309" customFormat="1">
      <c r="A94" s="450">
        <f t="shared" si="39"/>
        <v>17</v>
      </c>
      <c r="B94" s="450">
        <f t="shared" si="3"/>
        <v>1</v>
      </c>
      <c r="C94" s="450">
        <f t="shared" si="4"/>
        <v>17</v>
      </c>
      <c r="D94" s="450">
        <f t="shared" si="5"/>
        <v>4</v>
      </c>
      <c r="E94" s="450">
        <f t="shared" si="6"/>
        <v>2</v>
      </c>
      <c r="F94" s="450"/>
      <c r="G94" s="450" t="str">
        <f t="shared" si="13"/>
        <v>Current Practice Baseline Using 31% ENERGY STAR Penetration</v>
      </c>
      <c r="H94" s="450" t="str">
        <f t="shared" si="40"/>
        <v>CEE Tier 1</v>
      </c>
      <c r="I94" s="450" t="str">
        <f t="shared" si="7"/>
        <v>Electric DHW, Gas Dryer</v>
      </c>
      <c r="J94" s="450" t="str">
        <f t="shared" si="8"/>
        <v>Electric DHW</v>
      </c>
      <c r="K94" s="450" t="str">
        <f t="shared" si="9"/>
        <v>Gas Dryer</v>
      </c>
      <c r="L94" s="451">
        <f>VLOOKUP(J94,SFAssumptions!$A$14:$B$16,2,FALSE)</f>
        <v>1</v>
      </c>
      <c r="M94" s="452">
        <f>VLOOKUP(K94,SFAssumptions!$A$18:$B$20,2,FALSE)</f>
        <v>0</v>
      </c>
      <c r="N94" s="453">
        <f ca="1">HLOOKUP($G94,'MFBaselines and Measures'!$C$3:$V$33,7,FALSE)</f>
        <v>4047.8861059902265</v>
      </c>
      <c r="O94" s="454"/>
      <c r="P94" s="455"/>
      <c r="Q94" s="455">
        <f ca="1">HLOOKUP($G94,'MFBaselines and Measures'!$C$3:$V$33,26,FALSE)</f>
        <v>309.94943453130088</v>
      </c>
      <c r="R94" s="455"/>
      <c r="S94" s="456"/>
      <c r="T94" s="456">
        <f ca="1">HLOOKUP($G94,'MFBaselines and Measures'!$C$3:$V$33,30,FALSE)</f>
        <v>11.848003104619696</v>
      </c>
      <c r="U94" s="456"/>
      <c r="V94" s="456"/>
      <c r="W94" s="457"/>
      <c r="X94" s="453"/>
      <c r="Y94" s="454"/>
      <c r="Z94" s="455"/>
      <c r="AA94" s="455">
        <f ca="1">HLOOKUP($H94,'MFBaselines and Measures'!$C$2:$V$33,27,FALSE)</f>
        <v>256.30334386885011</v>
      </c>
      <c r="AB94" s="455"/>
      <c r="AC94" s="456"/>
      <c r="AD94" s="456">
        <f ca="1">HLOOKUP($H94,'MFBaselines and Measures'!$C$2:$V$33,31,FALSE)</f>
        <v>9.7973491013931167</v>
      </c>
      <c r="AE94" s="456"/>
      <c r="AF94" s="456"/>
      <c r="AG94" s="457"/>
      <c r="AH94" s="453"/>
      <c r="AI94" s="454"/>
      <c r="AJ94" s="455"/>
      <c r="AK94" s="455">
        <f t="shared" ca="1" si="35"/>
        <v>53.646090662450774</v>
      </c>
      <c r="AL94" s="455"/>
      <c r="AM94" s="456"/>
      <c r="AN94" s="456">
        <f t="shared" ca="1" si="36"/>
        <v>2.0506540032265796</v>
      </c>
      <c r="AO94" s="456"/>
      <c r="AP94" s="456"/>
      <c r="AQ94" s="458"/>
      <c r="AR94" s="452" t="str">
        <f t="shared" si="41"/>
        <v>CEE Tier 1 Clothes Washer - Electric DHW, Gas Dryer - 31% ENERGY STAR Baseline</v>
      </c>
      <c r="AS94" s="454">
        <f t="shared" si="42"/>
        <v>0</v>
      </c>
      <c r="AT94" s="455">
        <f t="shared" ca="1" si="43"/>
        <v>0</v>
      </c>
      <c r="AU94" s="456">
        <f t="shared" ca="1" si="44"/>
        <v>2.0506540032265796</v>
      </c>
      <c r="AV94" s="456">
        <f t="shared" si="45"/>
        <v>0</v>
      </c>
      <c r="AW94" s="456"/>
      <c r="AX94" s="455">
        <f t="shared" ca="1" si="37"/>
        <v>-0.60922634974146261</v>
      </c>
      <c r="AY94" s="455"/>
      <c r="AZ94" s="458"/>
      <c r="BA94" s="450" t="str">
        <f t="shared" si="38"/>
        <v>CEE Tier 1 Clothes Washer - Electric DHW, Gas Dryer - 31% ENERGY STAR Baseline</v>
      </c>
      <c r="BB94" s="450" t="s">
        <v>26</v>
      </c>
      <c r="BC94" s="455">
        <f t="shared" ca="1" si="46"/>
        <v>0</v>
      </c>
      <c r="BD94" s="455">
        <f>SFAssumptions!$C$7</f>
        <v>14</v>
      </c>
      <c r="BE94" s="459">
        <f t="shared" si="47"/>
        <v>0</v>
      </c>
      <c r="BF94" s="450"/>
      <c r="BG94" s="449" t="s">
        <v>159</v>
      </c>
      <c r="BH94" s="460"/>
      <c r="BI94" s="450"/>
      <c r="BJ94" s="450"/>
      <c r="BK94" s="450"/>
      <c r="BL94" s="450"/>
      <c r="BM94" s="450"/>
      <c r="BN94" s="450"/>
      <c r="BO94" s="461">
        <f t="shared" ca="1" si="48"/>
        <v>2.0506540032265796</v>
      </c>
      <c r="BP94" s="450" t="s">
        <v>159</v>
      </c>
    </row>
    <row r="95" spans="1:68" s="309" customFormat="1">
      <c r="A95" s="450">
        <f t="shared" si="39"/>
        <v>18</v>
      </c>
      <c r="B95" s="450">
        <f t="shared" si="3"/>
        <v>1</v>
      </c>
      <c r="C95" s="450">
        <f t="shared" si="4"/>
        <v>18</v>
      </c>
      <c r="D95" s="450">
        <f t="shared" si="5"/>
        <v>4</v>
      </c>
      <c r="E95" s="450">
        <f t="shared" si="6"/>
        <v>3</v>
      </c>
      <c r="F95" s="450"/>
      <c r="G95" s="450" t="str">
        <f t="shared" si="13"/>
        <v>Current Practice Baseline Using 31% ENERGY STAR Penetration</v>
      </c>
      <c r="H95" s="450" t="str">
        <f t="shared" si="40"/>
        <v>CEE Tier 1</v>
      </c>
      <c r="I95" s="450" t="str">
        <f t="shared" si="7"/>
        <v>Gas DHW, Electric Dryer</v>
      </c>
      <c r="J95" s="450" t="str">
        <f t="shared" si="8"/>
        <v>Gas DHW</v>
      </c>
      <c r="K95" s="450" t="str">
        <f t="shared" si="9"/>
        <v>Electric Dryer</v>
      </c>
      <c r="L95" s="451">
        <f>VLOOKUP(J95,SFAssumptions!$A$14:$B$16,2,FALSE)</f>
        <v>0</v>
      </c>
      <c r="M95" s="452">
        <f>VLOOKUP(K95,SFAssumptions!$A$18:$B$20,2,FALSE)</f>
        <v>1</v>
      </c>
      <c r="N95" s="453">
        <f ca="1">HLOOKUP($G95,'MFBaselines and Measures'!$C$3:$V$33,7,FALSE)</f>
        <v>4047.8861059902265</v>
      </c>
      <c r="O95" s="454"/>
      <c r="P95" s="455"/>
      <c r="Q95" s="455">
        <f ca="1">HLOOKUP($G95,'MFBaselines and Measures'!$C$3:$V$33,26,FALSE)</f>
        <v>309.94943453130088</v>
      </c>
      <c r="R95" s="455"/>
      <c r="S95" s="456"/>
      <c r="T95" s="456">
        <f ca="1">HLOOKUP($G95,'MFBaselines and Measures'!$C$3:$V$33,30,FALSE)</f>
        <v>11.848003104619696</v>
      </c>
      <c r="U95" s="456"/>
      <c r="V95" s="456"/>
      <c r="W95" s="457"/>
      <c r="X95" s="453"/>
      <c r="Y95" s="454"/>
      <c r="Z95" s="455"/>
      <c r="AA95" s="455">
        <f ca="1">HLOOKUP($H95,'MFBaselines and Measures'!$C$2:$V$33,27,FALSE)</f>
        <v>256.30334386885011</v>
      </c>
      <c r="AB95" s="455"/>
      <c r="AC95" s="456"/>
      <c r="AD95" s="456">
        <f ca="1">HLOOKUP($H95,'MFBaselines and Measures'!$C$2:$V$33,31,FALSE)</f>
        <v>9.7973491013931167</v>
      </c>
      <c r="AE95" s="456"/>
      <c r="AF95" s="456"/>
      <c r="AG95" s="457"/>
      <c r="AH95" s="453"/>
      <c r="AI95" s="454"/>
      <c r="AJ95" s="455"/>
      <c r="AK95" s="455">
        <f t="shared" ca="1" si="35"/>
        <v>53.646090662450774</v>
      </c>
      <c r="AL95" s="455"/>
      <c r="AM95" s="456"/>
      <c r="AN95" s="456">
        <f t="shared" ca="1" si="36"/>
        <v>2.0506540032265796</v>
      </c>
      <c r="AO95" s="456"/>
      <c r="AP95" s="456"/>
      <c r="AQ95" s="458"/>
      <c r="AR95" s="452" t="str">
        <f t="shared" si="41"/>
        <v>CEE Tier 1 Clothes Washer - Gas DHW, Electric Dryer - 31% ENERGY STAR Baseline</v>
      </c>
      <c r="AS95" s="454">
        <f t="shared" si="42"/>
        <v>0</v>
      </c>
      <c r="AT95" s="455">
        <f t="shared" ca="1" si="43"/>
        <v>53.646090662450774</v>
      </c>
      <c r="AU95" s="456">
        <f t="shared" ca="1" si="44"/>
        <v>0</v>
      </c>
      <c r="AV95" s="456">
        <f t="shared" si="45"/>
        <v>0</v>
      </c>
      <c r="AW95" s="456"/>
      <c r="AX95" s="455">
        <f t="shared" ca="1" si="37"/>
        <v>53.036864312709312</v>
      </c>
      <c r="AY95" s="455"/>
      <c r="AZ95" s="458"/>
      <c r="BA95" s="450" t="str">
        <f t="shared" si="38"/>
        <v>CEE Tier 1 Clothes Washer - Gas DHW, Electric Dryer - 31% ENERGY STAR Baseline</v>
      </c>
      <c r="BB95" s="450" t="s">
        <v>26</v>
      </c>
      <c r="BC95" s="455">
        <f t="shared" ca="1" si="46"/>
        <v>53.646090662450774</v>
      </c>
      <c r="BD95" s="455">
        <f>SFAssumptions!$C$7</f>
        <v>14</v>
      </c>
      <c r="BE95" s="459">
        <f t="shared" si="47"/>
        <v>0</v>
      </c>
      <c r="BF95" s="450"/>
      <c r="BG95" s="449" t="s">
        <v>159</v>
      </c>
      <c r="BH95" s="460"/>
      <c r="BI95" s="450"/>
      <c r="BJ95" s="450"/>
      <c r="BK95" s="450"/>
      <c r="BL95" s="450"/>
      <c r="BM95" s="450"/>
      <c r="BN95" s="450"/>
      <c r="BO95" s="461">
        <f t="shared" ca="1" si="48"/>
        <v>0</v>
      </c>
      <c r="BP95" s="450" t="s">
        <v>159</v>
      </c>
    </row>
    <row r="96" spans="1:68" s="309" customFormat="1">
      <c r="A96" s="450">
        <f t="shared" si="39"/>
        <v>19</v>
      </c>
      <c r="B96" s="450">
        <f t="shared" si="3"/>
        <v>1</v>
      </c>
      <c r="C96" s="450">
        <f t="shared" si="4"/>
        <v>19</v>
      </c>
      <c r="D96" s="450">
        <f t="shared" si="5"/>
        <v>4</v>
      </c>
      <c r="E96" s="450">
        <f t="shared" si="6"/>
        <v>4</v>
      </c>
      <c r="F96" s="450"/>
      <c r="G96" s="450" t="str">
        <f t="shared" si="13"/>
        <v>Current Practice Baseline Using 31% ENERGY STAR Penetration</v>
      </c>
      <c r="H96" s="450" t="str">
        <f t="shared" si="40"/>
        <v>CEE Tier 1</v>
      </c>
      <c r="I96" s="450" t="str">
        <f t="shared" si="7"/>
        <v>Gas DHW, Gas Dryer</v>
      </c>
      <c r="J96" s="450" t="str">
        <f t="shared" si="8"/>
        <v>Gas DHW</v>
      </c>
      <c r="K96" s="450" t="str">
        <f t="shared" si="9"/>
        <v>Gas Dryer</v>
      </c>
      <c r="L96" s="451">
        <f>VLOOKUP(J96,SFAssumptions!$A$14:$B$16,2,FALSE)</f>
        <v>0</v>
      </c>
      <c r="M96" s="452">
        <f>VLOOKUP(K96,SFAssumptions!$A$18:$B$20,2,FALSE)</f>
        <v>0</v>
      </c>
      <c r="N96" s="453">
        <f ca="1">HLOOKUP($G96,'MFBaselines and Measures'!$C$3:$V$33,7,FALSE)</f>
        <v>4047.8861059902265</v>
      </c>
      <c r="O96" s="454"/>
      <c r="P96" s="455"/>
      <c r="Q96" s="455">
        <f ca="1">HLOOKUP($G96,'MFBaselines and Measures'!$C$3:$V$33,26,FALSE)</f>
        <v>309.94943453130088</v>
      </c>
      <c r="R96" s="455"/>
      <c r="S96" s="456"/>
      <c r="T96" s="456">
        <f ca="1">HLOOKUP($G96,'MFBaselines and Measures'!$C$3:$V$33,30,FALSE)</f>
        <v>11.848003104619696</v>
      </c>
      <c r="U96" s="456"/>
      <c r="V96" s="456"/>
      <c r="W96" s="457"/>
      <c r="X96" s="453"/>
      <c r="Y96" s="454"/>
      <c r="Z96" s="455"/>
      <c r="AA96" s="455">
        <f ca="1">HLOOKUP($H96,'MFBaselines and Measures'!$C$2:$V$33,27,FALSE)</f>
        <v>256.30334386885011</v>
      </c>
      <c r="AB96" s="455"/>
      <c r="AC96" s="456"/>
      <c r="AD96" s="456">
        <f ca="1">HLOOKUP($H96,'MFBaselines and Measures'!$C$2:$V$33,31,FALSE)</f>
        <v>9.7973491013931167</v>
      </c>
      <c r="AE96" s="456"/>
      <c r="AF96" s="456"/>
      <c r="AG96" s="457"/>
      <c r="AH96" s="453"/>
      <c r="AI96" s="454"/>
      <c r="AJ96" s="455"/>
      <c r="AK96" s="455">
        <f t="shared" ca="1" si="35"/>
        <v>53.646090662450774</v>
      </c>
      <c r="AL96" s="455"/>
      <c r="AM96" s="456"/>
      <c r="AN96" s="456">
        <f t="shared" ca="1" si="36"/>
        <v>2.0506540032265796</v>
      </c>
      <c r="AO96" s="456"/>
      <c r="AP96" s="456"/>
      <c r="AQ96" s="458"/>
      <c r="AR96" s="452" t="str">
        <f t="shared" si="41"/>
        <v>CEE Tier 1 Clothes Washer - Gas DHW, Gas Dryer - 31% ENERGY STAR Baseline</v>
      </c>
      <c r="AS96" s="454">
        <f t="shared" si="42"/>
        <v>0</v>
      </c>
      <c r="AT96" s="455">
        <f t="shared" ca="1" si="43"/>
        <v>0</v>
      </c>
      <c r="AU96" s="456">
        <f t="shared" ca="1" si="44"/>
        <v>2.0506540032265796</v>
      </c>
      <c r="AV96" s="456">
        <f t="shared" si="45"/>
        <v>0</v>
      </c>
      <c r="AW96" s="456"/>
      <c r="AX96" s="455">
        <f t="shared" ca="1" si="37"/>
        <v>-0.60922634974146261</v>
      </c>
      <c r="AY96" s="455"/>
      <c r="AZ96" s="458"/>
      <c r="BA96" s="450" t="str">
        <f t="shared" si="38"/>
        <v>CEE Tier 1 Clothes Washer - Gas DHW, Gas Dryer - 31% ENERGY STAR Baseline</v>
      </c>
      <c r="BB96" s="450" t="s">
        <v>26</v>
      </c>
      <c r="BC96" s="455">
        <f t="shared" ca="1" si="46"/>
        <v>0</v>
      </c>
      <c r="BD96" s="455">
        <f>SFAssumptions!$C$7</f>
        <v>14</v>
      </c>
      <c r="BE96" s="459">
        <f t="shared" si="47"/>
        <v>0</v>
      </c>
      <c r="BF96" s="450"/>
      <c r="BG96" s="449" t="s">
        <v>159</v>
      </c>
      <c r="BH96" s="460"/>
      <c r="BI96" s="450"/>
      <c r="BJ96" s="450"/>
      <c r="BK96" s="450"/>
      <c r="BL96" s="450"/>
      <c r="BM96" s="450"/>
      <c r="BN96" s="450"/>
      <c r="BO96" s="461">
        <f t="shared" ca="1" si="48"/>
        <v>2.0506540032265796</v>
      </c>
      <c r="BP96" s="450" t="s">
        <v>159</v>
      </c>
    </row>
    <row r="97" spans="1:68" s="309" customFormat="1">
      <c r="A97" s="450">
        <f t="shared" si="39"/>
        <v>20</v>
      </c>
      <c r="B97" s="450">
        <f t="shared" si="3"/>
        <v>1</v>
      </c>
      <c r="C97" s="450">
        <f t="shared" si="4"/>
        <v>20</v>
      </c>
      <c r="D97" s="450">
        <f t="shared" si="5"/>
        <v>4</v>
      </c>
      <c r="E97" s="450">
        <f t="shared" si="6"/>
        <v>5</v>
      </c>
      <c r="F97" s="450"/>
      <c r="G97" s="450" t="str">
        <f t="shared" si="13"/>
        <v>Current Practice Baseline Using 31% ENERGY STAR Penetration</v>
      </c>
      <c r="H97" s="450" t="str">
        <f t="shared" si="40"/>
        <v>CEE Tier 1</v>
      </c>
      <c r="I97" s="450" t="str">
        <f t="shared" si="7"/>
        <v>Any DHW, Any Dryer</v>
      </c>
      <c r="J97" s="450" t="str">
        <f t="shared" si="8"/>
        <v>Any DHW</v>
      </c>
      <c r="K97" s="450" t="str">
        <f t="shared" si="9"/>
        <v>Any Dryer</v>
      </c>
      <c r="L97" s="451">
        <f>VLOOKUP(J97,SFAssumptions!$A$14:$B$16,2,FALSE)</f>
        <v>0.55200000000000005</v>
      </c>
      <c r="M97" s="452">
        <f>VLOOKUP(K97,SFAssumptions!$A$18:$B$20,2,FALSE)</f>
        <v>0.95</v>
      </c>
      <c r="N97" s="453">
        <f ca="1">HLOOKUP($G97,'MFBaselines and Measures'!$C$3:$V$33,7,FALSE)</f>
        <v>4047.8861059902265</v>
      </c>
      <c r="O97" s="454"/>
      <c r="P97" s="455"/>
      <c r="Q97" s="455">
        <f ca="1">HLOOKUP($G97,'MFBaselines and Measures'!$C$3:$V$33,26,FALSE)</f>
        <v>309.94943453130088</v>
      </c>
      <c r="R97" s="455"/>
      <c r="S97" s="456"/>
      <c r="T97" s="456">
        <f ca="1">HLOOKUP($G97,'MFBaselines and Measures'!$C$3:$V$33,30,FALSE)</f>
        <v>11.848003104619696</v>
      </c>
      <c r="U97" s="456"/>
      <c r="V97" s="456"/>
      <c r="W97" s="457"/>
      <c r="X97" s="453"/>
      <c r="Y97" s="454"/>
      <c r="Z97" s="455"/>
      <c r="AA97" s="455">
        <f ca="1">HLOOKUP($H97,'MFBaselines and Measures'!$C$2:$V$33,27,FALSE)</f>
        <v>256.30334386885011</v>
      </c>
      <c r="AB97" s="455"/>
      <c r="AC97" s="456"/>
      <c r="AD97" s="456">
        <f ca="1">HLOOKUP($H97,'MFBaselines and Measures'!$C$2:$V$33,31,FALSE)</f>
        <v>9.7973491013931167</v>
      </c>
      <c r="AE97" s="456"/>
      <c r="AF97" s="456"/>
      <c r="AG97" s="457"/>
      <c r="AH97" s="453"/>
      <c r="AI97" s="454"/>
      <c r="AJ97" s="455"/>
      <c r="AK97" s="455">
        <f t="shared" ca="1" si="35"/>
        <v>53.646090662450774</v>
      </c>
      <c r="AL97" s="455"/>
      <c r="AM97" s="456"/>
      <c r="AN97" s="456">
        <f t="shared" ca="1" si="36"/>
        <v>2.0506540032265796</v>
      </c>
      <c r="AO97" s="456"/>
      <c r="AP97" s="456"/>
      <c r="AQ97" s="458"/>
      <c r="AR97" s="452" t="str">
        <f t="shared" si="41"/>
        <v>CEE Tier 1 Clothes Washer - Any DHW, Any Dryer - 31% ENERGY STAR Baseline</v>
      </c>
      <c r="AS97" s="454">
        <f t="shared" si="42"/>
        <v>0</v>
      </c>
      <c r="AT97" s="455">
        <f t="shared" ca="1" si="43"/>
        <v>50.963786129328234</v>
      </c>
      <c r="AU97" s="456">
        <f t="shared" ca="1" si="44"/>
        <v>0.10253270016132908</v>
      </c>
      <c r="AV97" s="456">
        <f t="shared" si="45"/>
        <v>0</v>
      </c>
      <c r="AW97" s="456"/>
      <c r="AX97" s="455">
        <f t="shared" ca="1" si="37"/>
        <v>50.354559779586772</v>
      </c>
      <c r="AY97" s="455"/>
      <c r="AZ97" s="458"/>
      <c r="BA97" s="450" t="str">
        <f t="shared" si="38"/>
        <v>CEE Tier 1 Clothes Washer - Any DHW, Any Dryer - 31% ENERGY STAR Baseline</v>
      </c>
      <c r="BB97" s="450" t="s">
        <v>26</v>
      </c>
      <c r="BC97" s="455">
        <f t="shared" ca="1" si="46"/>
        <v>50.963786129328234</v>
      </c>
      <c r="BD97" s="455">
        <f>SFAssumptions!$C$7</f>
        <v>14</v>
      </c>
      <c r="BE97" s="459">
        <f t="shared" si="47"/>
        <v>0</v>
      </c>
      <c r="BF97" s="450"/>
      <c r="BG97" s="449" t="s">
        <v>159</v>
      </c>
      <c r="BH97" s="460"/>
      <c r="BI97" s="450"/>
      <c r="BJ97" s="450"/>
      <c r="BK97" s="450"/>
      <c r="BL97" s="450"/>
      <c r="BM97" s="450"/>
      <c r="BN97" s="450"/>
      <c r="BO97" s="461">
        <f t="shared" ca="1" si="48"/>
        <v>0.10253270016132908</v>
      </c>
      <c r="BP97" s="450" t="s">
        <v>159</v>
      </c>
    </row>
    <row r="98" spans="1:68" s="309" customFormat="1">
      <c r="A98" s="450">
        <f t="shared" si="39"/>
        <v>21</v>
      </c>
      <c r="B98" s="450">
        <f t="shared" si="3"/>
        <v>1</v>
      </c>
      <c r="C98" s="450">
        <f t="shared" si="4"/>
        <v>21</v>
      </c>
      <c r="D98" s="450">
        <f t="shared" si="5"/>
        <v>5</v>
      </c>
      <c r="E98" s="450">
        <f t="shared" si="6"/>
        <v>1</v>
      </c>
      <c r="F98" s="450"/>
      <c r="G98" s="450" t="str">
        <f t="shared" si="13"/>
        <v>Current Practice Baseline Using 31% ENERGY STAR Penetration</v>
      </c>
      <c r="H98" s="450" t="str">
        <f t="shared" si="40"/>
        <v>CEE Tier 2</v>
      </c>
      <c r="I98" s="450" t="str">
        <f t="shared" si="7"/>
        <v>Electric DHW, Electric Dryer</v>
      </c>
      <c r="J98" s="450" t="str">
        <f t="shared" si="8"/>
        <v>Electric DHW</v>
      </c>
      <c r="K98" s="450" t="str">
        <f t="shared" si="9"/>
        <v>Electric Dryer</v>
      </c>
      <c r="L98" s="451">
        <f>VLOOKUP(J98,SFAssumptions!$A$14:$B$16,2,FALSE)</f>
        <v>1</v>
      </c>
      <c r="M98" s="452">
        <f>VLOOKUP(K98,SFAssumptions!$A$18:$B$20,2,FALSE)</f>
        <v>1</v>
      </c>
      <c r="N98" s="453">
        <f ca="1">HLOOKUP($G98,'MFBaselines and Measures'!$C$3:$V$33,7,FALSE)</f>
        <v>4047.8861059902265</v>
      </c>
      <c r="O98" s="454"/>
      <c r="P98" s="455"/>
      <c r="Q98" s="455">
        <f ca="1">HLOOKUP($G98,'MFBaselines and Measures'!$C$3:$V$33,26,FALSE)</f>
        <v>309.94943453130088</v>
      </c>
      <c r="R98" s="455"/>
      <c r="S98" s="456"/>
      <c r="T98" s="456">
        <f ca="1">HLOOKUP($G98,'MFBaselines and Measures'!$C$3:$V$33,30,FALSE)</f>
        <v>11.848003104619696</v>
      </c>
      <c r="U98" s="456"/>
      <c r="V98" s="456"/>
      <c r="W98" s="457"/>
      <c r="X98" s="453"/>
      <c r="Y98" s="454"/>
      <c r="Z98" s="455"/>
      <c r="AA98" s="455">
        <f ca="1">HLOOKUP($H98,'MFBaselines and Measures'!$C$2:$V$33,27,FALSE)</f>
        <v>234.67590019364553</v>
      </c>
      <c r="AB98" s="455"/>
      <c r="AC98" s="456"/>
      <c r="AD98" s="456">
        <f ca="1">HLOOKUP($H98,'MFBaselines and Measures'!$C$2:$V$33,31,FALSE)</f>
        <v>8.9706270904422176</v>
      </c>
      <c r="AE98" s="456"/>
      <c r="AF98" s="456"/>
      <c r="AG98" s="457"/>
      <c r="AH98" s="453"/>
      <c r="AI98" s="454"/>
      <c r="AJ98" s="455"/>
      <c r="AK98" s="455">
        <f t="shared" ca="1" si="35"/>
        <v>75.273534337655349</v>
      </c>
      <c r="AL98" s="455"/>
      <c r="AM98" s="456"/>
      <c r="AN98" s="456">
        <f t="shared" ca="1" si="36"/>
        <v>2.8773760141774787</v>
      </c>
      <c r="AO98" s="456"/>
      <c r="AP98" s="456"/>
      <c r="AQ98" s="458"/>
      <c r="AR98" s="452" t="str">
        <f t="shared" si="41"/>
        <v>CEE Tier 2 Clothes Washer - Electric DHW, Electric Dryer - 31% ENERGY STAR Baseline</v>
      </c>
      <c r="AS98" s="454">
        <f t="shared" si="42"/>
        <v>0</v>
      </c>
      <c r="AT98" s="455">
        <f t="shared" ca="1" si="43"/>
        <v>75.273534337655349</v>
      </c>
      <c r="AU98" s="456">
        <f t="shared" ca="1" si="44"/>
        <v>0</v>
      </c>
      <c r="AV98" s="456">
        <f t="shared" si="45"/>
        <v>0</v>
      </c>
      <c r="AW98" s="456"/>
      <c r="AX98" s="455">
        <f t="shared" ca="1" si="37"/>
        <v>77.984019256720501</v>
      </c>
      <c r="AY98" s="455"/>
      <c r="AZ98" s="458"/>
      <c r="BA98" s="450" t="str">
        <f t="shared" si="38"/>
        <v>CEE Tier 2 Clothes Washer - Electric DHW, Electric Dryer - 31% ENERGY STAR Baseline</v>
      </c>
      <c r="BB98" s="450" t="s">
        <v>26</v>
      </c>
      <c r="BC98" s="455">
        <f t="shared" ca="1" si="46"/>
        <v>75.273534337655349</v>
      </c>
      <c r="BD98" s="455">
        <f>SFAssumptions!$C$7</f>
        <v>14</v>
      </c>
      <c r="BE98" s="459">
        <f t="shared" si="47"/>
        <v>0</v>
      </c>
      <c r="BF98" s="450"/>
      <c r="BG98" s="449" t="s">
        <v>159</v>
      </c>
      <c r="BH98" s="460"/>
      <c r="BI98" s="450"/>
      <c r="BJ98" s="450"/>
      <c r="BK98" s="450"/>
      <c r="BL98" s="450"/>
      <c r="BM98" s="450"/>
      <c r="BN98" s="450"/>
      <c r="BO98" s="461">
        <f t="shared" ca="1" si="48"/>
        <v>0</v>
      </c>
      <c r="BP98" s="450" t="s">
        <v>159</v>
      </c>
    </row>
    <row r="99" spans="1:68" s="309" customFormat="1">
      <c r="A99" s="450">
        <f t="shared" si="39"/>
        <v>22</v>
      </c>
      <c r="B99" s="450">
        <f t="shared" si="3"/>
        <v>1</v>
      </c>
      <c r="C99" s="450">
        <f t="shared" si="4"/>
        <v>22</v>
      </c>
      <c r="D99" s="450">
        <f t="shared" si="5"/>
        <v>5</v>
      </c>
      <c r="E99" s="450">
        <f t="shared" si="6"/>
        <v>2</v>
      </c>
      <c r="F99" s="450"/>
      <c r="G99" s="450" t="str">
        <f t="shared" si="13"/>
        <v>Current Practice Baseline Using 31% ENERGY STAR Penetration</v>
      </c>
      <c r="H99" s="450" t="str">
        <f t="shared" si="40"/>
        <v>CEE Tier 2</v>
      </c>
      <c r="I99" s="450" t="str">
        <f t="shared" si="7"/>
        <v>Electric DHW, Gas Dryer</v>
      </c>
      <c r="J99" s="450" t="str">
        <f t="shared" si="8"/>
        <v>Electric DHW</v>
      </c>
      <c r="K99" s="450" t="str">
        <f t="shared" si="9"/>
        <v>Gas Dryer</v>
      </c>
      <c r="L99" s="451">
        <f>VLOOKUP(J99,SFAssumptions!$A$14:$B$16,2,FALSE)</f>
        <v>1</v>
      </c>
      <c r="M99" s="452">
        <f>VLOOKUP(K99,SFAssumptions!$A$18:$B$20,2,FALSE)</f>
        <v>0</v>
      </c>
      <c r="N99" s="453">
        <f ca="1">HLOOKUP($G99,'MFBaselines and Measures'!$C$3:$V$33,7,FALSE)</f>
        <v>4047.8861059902265</v>
      </c>
      <c r="O99" s="454"/>
      <c r="P99" s="455"/>
      <c r="Q99" s="455">
        <f ca="1">HLOOKUP($G99,'MFBaselines and Measures'!$C$3:$V$33,26,FALSE)</f>
        <v>309.94943453130088</v>
      </c>
      <c r="R99" s="455"/>
      <c r="S99" s="456"/>
      <c r="T99" s="456">
        <f ca="1">HLOOKUP($G99,'MFBaselines and Measures'!$C$3:$V$33,30,FALSE)</f>
        <v>11.848003104619696</v>
      </c>
      <c r="U99" s="456"/>
      <c r="V99" s="456"/>
      <c r="W99" s="457"/>
      <c r="X99" s="453"/>
      <c r="Y99" s="454"/>
      <c r="Z99" s="455"/>
      <c r="AA99" s="455">
        <f ca="1">HLOOKUP($H99,'MFBaselines and Measures'!$C$2:$V$33,27,FALSE)</f>
        <v>234.67590019364553</v>
      </c>
      <c r="AB99" s="455"/>
      <c r="AC99" s="456"/>
      <c r="AD99" s="456">
        <f ca="1">HLOOKUP($H99,'MFBaselines and Measures'!$C$2:$V$33,31,FALSE)</f>
        <v>8.9706270904422176</v>
      </c>
      <c r="AE99" s="456"/>
      <c r="AF99" s="456"/>
      <c r="AG99" s="457"/>
      <c r="AH99" s="453"/>
      <c r="AI99" s="454"/>
      <c r="AJ99" s="455"/>
      <c r="AK99" s="455">
        <f t="shared" ca="1" si="35"/>
        <v>75.273534337655349</v>
      </c>
      <c r="AL99" s="455"/>
      <c r="AM99" s="456"/>
      <c r="AN99" s="456">
        <f t="shared" ca="1" si="36"/>
        <v>2.8773760141774787</v>
      </c>
      <c r="AO99" s="456"/>
      <c r="AP99" s="456"/>
      <c r="AQ99" s="458"/>
      <c r="AR99" s="452" t="str">
        <f t="shared" si="41"/>
        <v>CEE Tier 2 Clothes Washer - Electric DHW, Gas Dryer - 31% ENERGY STAR Baseline</v>
      </c>
      <c r="AS99" s="454">
        <f t="shared" si="42"/>
        <v>0</v>
      </c>
      <c r="AT99" s="455">
        <f t="shared" ca="1" si="43"/>
        <v>0</v>
      </c>
      <c r="AU99" s="456">
        <f t="shared" ca="1" si="44"/>
        <v>2.8773760141774787</v>
      </c>
      <c r="AV99" s="456">
        <f t="shared" si="45"/>
        <v>0</v>
      </c>
      <c r="AW99" s="456"/>
      <c r="AX99" s="455">
        <f t="shared" ca="1" si="37"/>
        <v>2.7104849190651508</v>
      </c>
      <c r="AY99" s="455"/>
      <c r="AZ99" s="458"/>
      <c r="BA99" s="450" t="str">
        <f t="shared" si="38"/>
        <v>CEE Tier 2 Clothes Washer - Electric DHW, Gas Dryer - 31% ENERGY STAR Baseline</v>
      </c>
      <c r="BB99" s="450" t="s">
        <v>26</v>
      </c>
      <c r="BC99" s="455">
        <f t="shared" ca="1" si="46"/>
        <v>0</v>
      </c>
      <c r="BD99" s="455">
        <f>SFAssumptions!$C$7</f>
        <v>14</v>
      </c>
      <c r="BE99" s="459">
        <f t="shared" si="47"/>
        <v>0</v>
      </c>
      <c r="BF99" s="450"/>
      <c r="BG99" s="449" t="s">
        <v>159</v>
      </c>
      <c r="BH99" s="460"/>
      <c r="BI99" s="450"/>
      <c r="BJ99" s="450"/>
      <c r="BK99" s="450"/>
      <c r="BL99" s="450"/>
      <c r="BM99" s="450"/>
      <c r="BN99" s="450"/>
      <c r="BO99" s="461">
        <f t="shared" ca="1" si="48"/>
        <v>2.8773760141774787</v>
      </c>
      <c r="BP99" s="450" t="s">
        <v>159</v>
      </c>
    </row>
    <row r="100" spans="1:68" s="309" customFormat="1">
      <c r="A100" s="450">
        <f t="shared" si="39"/>
        <v>23</v>
      </c>
      <c r="B100" s="450">
        <f t="shared" si="3"/>
        <v>1</v>
      </c>
      <c r="C100" s="450">
        <f t="shared" si="4"/>
        <v>23</v>
      </c>
      <c r="D100" s="450">
        <f t="shared" si="5"/>
        <v>5</v>
      </c>
      <c r="E100" s="450">
        <f t="shared" si="6"/>
        <v>3</v>
      </c>
      <c r="F100" s="450"/>
      <c r="G100" s="450" t="str">
        <f t="shared" si="13"/>
        <v>Current Practice Baseline Using 31% ENERGY STAR Penetration</v>
      </c>
      <c r="H100" s="450" t="str">
        <f t="shared" si="40"/>
        <v>CEE Tier 2</v>
      </c>
      <c r="I100" s="450" t="str">
        <f t="shared" si="7"/>
        <v>Gas DHW, Electric Dryer</v>
      </c>
      <c r="J100" s="450" t="str">
        <f t="shared" si="8"/>
        <v>Gas DHW</v>
      </c>
      <c r="K100" s="450" t="str">
        <f t="shared" si="9"/>
        <v>Electric Dryer</v>
      </c>
      <c r="L100" s="451">
        <f>VLOOKUP(J100,SFAssumptions!$A$14:$B$16,2,FALSE)</f>
        <v>0</v>
      </c>
      <c r="M100" s="452">
        <f>VLOOKUP(K100,SFAssumptions!$A$18:$B$20,2,FALSE)</f>
        <v>1</v>
      </c>
      <c r="N100" s="453">
        <f ca="1">HLOOKUP($G100,'MFBaselines and Measures'!$C$3:$V$33,7,FALSE)</f>
        <v>4047.8861059902265</v>
      </c>
      <c r="O100" s="454"/>
      <c r="P100" s="455"/>
      <c r="Q100" s="455">
        <f ca="1">HLOOKUP($G100,'MFBaselines and Measures'!$C$3:$V$33,26,FALSE)</f>
        <v>309.94943453130088</v>
      </c>
      <c r="R100" s="455"/>
      <c r="S100" s="456"/>
      <c r="T100" s="456">
        <f ca="1">HLOOKUP($G100,'MFBaselines and Measures'!$C$3:$V$33,30,FALSE)</f>
        <v>11.848003104619696</v>
      </c>
      <c r="U100" s="456"/>
      <c r="V100" s="456"/>
      <c r="W100" s="457"/>
      <c r="X100" s="453"/>
      <c r="Y100" s="454"/>
      <c r="Z100" s="455"/>
      <c r="AA100" s="455">
        <f ca="1">HLOOKUP($H100,'MFBaselines and Measures'!$C$2:$V$33,27,FALSE)</f>
        <v>234.67590019364553</v>
      </c>
      <c r="AB100" s="455"/>
      <c r="AC100" s="456"/>
      <c r="AD100" s="456">
        <f ca="1">HLOOKUP($H100,'MFBaselines and Measures'!$C$2:$V$33,31,FALSE)</f>
        <v>8.9706270904422176</v>
      </c>
      <c r="AE100" s="456"/>
      <c r="AF100" s="456"/>
      <c r="AG100" s="457"/>
      <c r="AH100" s="453"/>
      <c r="AI100" s="454"/>
      <c r="AJ100" s="455"/>
      <c r="AK100" s="455">
        <f t="shared" ca="1" si="35"/>
        <v>75.273534337655349</v>
      </c>
      <c r="AL100" s="455"/>
      <c r="AM100" s="456"/>
      <c r="AN100" s="456">
        <f t="shared" ca="1" si="36"/>
        <v>2.8773760141774787</v>
      </c>
      <c r="AO100" s="456"/>
      <c r="AP100" s="456"/>
      <c r="AQ100" s="458"/>
      <c r="AR100" s="452" t="str">
        <f t="shared" si="41"/>
        <v>CEE Tier 2 Clothes Washer - Gas DHW, Electric Dryer - 31% ENERGY STAR Baseline</v>
      </c>
      <c r="AS100" s="454">
        <f t="shared" si="42"/>
        <v>0</v>
      </c>
      <c r="AT100" s="455">
        <f t="shared" ca="1" si="43"/>
        <v>75.273534337655349</v>
      </c>
      <c r="AU100" s="456">
        <f t="shared" ca="1" si="44"/>
        <v>0</v>
      </c>
      <c r="AV100" s="456">
        <f t="shared" si="45"/>
        <v>0</v>
      </c>
      <c r="AW100" s="456"/>
      <c r="AX100" s="455">
        <f t="shared" ca="1" si="37"/>
        <v>77.984019256720501</v>
      </c>
      <c r="AY100" s="455"/>
      <c r="AZ100" s="458"/>
      <c r="BA100" s="450" t="str">
        <f t="shared" si="38"/>
        <v>CEE Tier 2 Clothes Washer - Gas DHW, Electric Dryer - 31% ENERGY STAR Baseline</v>
      </c>
      <c r="BB100" s="450" t="s">
        <v>26</v>
      </c>
      <c r="BC100" s="455">
        <f t="shared" ca="1" si="46"/>
        <v>75.273534337655349</v>
      </c>
      <c r="BD100" s="455">
        <f>SFAssumptions!$C$7</f>
        <v>14</v>
      </c>
      <c r="BE100" s="459">
        <f t="shared" si="47"/>
        <v>0</v>
      </c>
      <c r="BF100" s="450"/>
      <c r="BG100" s="449" t="s">
        <v>159</v>
      </c>
      <c r="BH100" s="460"/>
      <c r="BI100" s="450"/>
      <c r="BJ100" s="450"/>
      <c r="BK100" s="450"/>
      <c r="BL100" s="450"/>
      <c r="BM100" s="450"/>
      <c r="BN100" s="450"/>
      <c r="BO100" s="461">
        <f t="shared" ca="1" si="48"/>
        <v>0</v>
      </c>
      <c r="BP100" s="450" t="s">
        <v>159</v>
      </c>
    </row>
    <row r="101" spans="1:68" s="309" customFormat="1">
      <c r="A101" s="450">
        <f t="shared" si="39"/>
        <v>24</v>
      </c>
      <c r="B101" s="450">
        <f t="shared" si="3"/>
        <v>1</v>
      </c>
      <c r="C101" s="450">
        <f t="shared" si="4"/>
        <v>24</v>
      </c>
      <c r="D101" s="450">
        <f t="shared" si="5"/>
        <v>5</v>
      </c>
      <c r="E101" s="450">
        <f t="shared" si="6"/>
        <v>4</v>
      </c>
      <c r="F101" s="450"/>
      <c r="G101" s="450" t="str">
        <f t="shared" si="13"/>
        <v>Current Practice Baseline Using 31% ENERGY STAR Penetration</v>
      </c>
      <c r="H101" s="450" t="str">
        <f t="shared" si="40"/>
        <v>CEE Tier 2</v>
      </c>
      <c r="I101" s="450" t="str">
        <f t="shared" si="7"/>
        <v>Gas DHW, Gas Dryer</v>
      </c>
      <c r="J101" s="450" t="str">
        <f t="shared" si="8"/>
        <v>Gas DHW</v>
      </c>
      <c r="K101" s="450" t="str">
        <f t="shared" si="9"/>
        <v>Gas Dryer</v>
      </c>
      <c r="L101" s="451">
        <f>VLOOKUP(J101,SFAssumptions!$A$14:$B$16,2,FALSE)</f>
        <v>0</v>
      </c>
      <c r="M101" s="452">
        <f>VLOOKUP(K101,SFAssumptions!$A$18:$B$20,2,FALSE)</f>
        <v>0</v>
      </c>
      <c r="N101" s="453">
        <f ca="1">HLOOKUP($G101,'MFBaselines and Measures'!$C$3:$V$33,7,FALSE)</f>
        <v>4047.8861059902265</v>
      </c>
      <c r="O101" s="454"/>
      <c r="P101" s="455"/>
      <c r="Q101" s="455">
        <f ca="1">HLOOKUP($G101,'MFBaselines and Measures'!$C$3:$V$33,26,FALSE)</f>
        <v>309.94943453130088</v>
      </c>
      <c r="R101" s="455"/>
      <c r="S101" s="456"/>
      <c r="T101" s="456">
        <f ca="1">HLOOKUP($G101,'MFBaselines and Measures'!$C$3:$V$33,30,FALSE)</f>
        <v>11.848003104619696</v>
      </c>
      <c r="U101" s="456"/>
      <c r="V101" s="456"/>
      <c r="W101" s="457"/>
      <c r="X101" s="453"/>
      <c r="Y101" s="454"/>
      <c r="Z101" s="455"/>
      <c r="AA101" s="455">
        <f ca="1">HLOOKUP($H101,'MFBaselines and Measures'!$C$2:$V$33,27,FALSE)</f>
        <v>234.67590019364553</v>
      </c>
      <c r="AB101" s="455"/>
      <c r="AC101" s="456"/>
      <c r="AD101" s="456">
        <f ca="1">HLOOKUP($H101,'MFBaselines and Measures'!$C$2:$V$33,31,FALSE)</f>
        <v>8.9706270904422176</v>
      </c>
      <c r="AE101" s="456"/>
      <c r="AF101" s="456"/>
      <c r="AG101" s="457"/>
      <c r="AH101" s="453"/>
      <c r="AI101" s="454"/>
      <c r="AJ101" s="455"/>
      <c r="AK101" s="455">
        <f t="shared" ca="1" si="35"/>
        <v>75.273534337655349</v>
      </c>
      <c r="AL101" s="455"/>
      <c r="AM101" s="456"/>
      <c r="AN101" s="456">
        <f t="shared" ca="1" si="36"/>
        <v>2.8773760141774787</v>
      </c>
      <c r="AO101" s="456"/>
      <c r="AP101" s="456"/>
      <c r="AQ101" s="458"/>
      <c r="AR101" s="452" t="str">
        <f t="shared" si="41"/>
        <v>CEE Tier 2 Clothes Washer - Gas DHW, Gas Dryer - 31% ENERGY STAR Baseline</v>
      </c>
      <c r="AS101" s="454">
        <f t="shared" si="42"/>
        <v>0</v>
      </c>
      <c r="AT101" s="455">
        <f t="shared" ca="1" si="43"/>
        <v>0</v>
      </c>
      <c r="AU101" s="456">
        <f t="shared" ca="1" si="44"/>
        <v>2.8773760141774787</v>
      </c>
      <c r="AV101" s="456">
        <f t="shared" si="45"/>
        <v>0</v>
      </c>
      <c r="AW101" s="456"/>
      <c r="AX101" s="455">
        <f t="shared" ca="1" si="37"/>
        <v>2.7104849190651508</v>
      </c>
      <c r="AY101" s="455"/>
      <c r="AZ101" s="458"/>
      <c r="BA101" s="450" t="str">
        <f t="shared" si="38"/>
        <v>CEE Tier 2 Clothes Washer - Gas DHW, Gas Dryer - 31% ENERGY STAR Baseline</v>
      </c>
      <c r="BB101" s="450" t="s">
        <v>26</v>
      </c>
      <c r="BC101" s="455">
        <f t="shared" ca="1" si="46"/>
        <v>0</v>
      </c>
      <c r="BD101" s="455">
        <f>SFAssumptions!$C$7</f>
        <v>14</v>
      </c>
      <c r="BE101" s="459">
        <f t="shared" si="47"/>
        <v>0</v>
      </c>
      <c r="BF101" s="450"/>
      <c r="BG101" s="449" t="s">
        <v>159</v>
      </c>
      <c r="BH101" s="460"/>
      <c r="BI101" s="450"/>
      <c r="BJ101" s="450"/>
      <c r="BK101" s="450"/>
      <c r="BL101" s="450"/>
      <c r="BM101" s="450"/>
      <c r="BN101" s="450"/>
      <c r="BO101" s="461">
        <f t="shared" ca="1" si="48"/>
        <v>2.8773760141774787</v>
      </c>
      <c r="BP101" s="450" t="s">
        <v>159</v>
      </c>
    </row>
    <row r="102" spans="1:68" s="309" customFormat="1">
      <c r="A102" s="450">
        <f t="shared" si="39"/>
        <v>25</v>
      </c>
      <c r="B102" s="450">
        <f t="shared" si="3"/>
        <v>1</v>
      </c>
      <c r="C102" s="450">
        <f t="shared" si="4"/>
        <v>25</v>
      </c>
      <c r="D102" s="450">
        <f t="shared" si="5"/>
        <v>5</v>
      </c>
      <c r="E102" s="450">
        <f t="shared" si="6"/>
        <v>5</v>
      </c>
      <c r="F102" s="450"/>
      <c r="G102" s="450" t="str">
        <f t="shared" si="13"/>
        <v>Current Practice Baseline Using 31% ENERGY STAR Penetration</v>
      </c>
      <c r="H102" s="450" t="str">
        <f t="shared" si="40"/>
        <v>CEE Tier 2</v>
      </c>
      <c r="I102" s="450" t="str">
        <f t="shared" si="7"/>
        <v>Any DHW, Any Dryer</v>
      </c>
      <c r="J102" s="450" t="str">
        <f t="shared" si="8"/>
        <v>Any DHW</v>
      </c>
      <c r="K102" s="450" t="str">
        <f t="shared" si="9"/>
        <v>Any Dryer</v>
      </c>
      <c r="L102" s="451">
        <f>VLOOKUP(J102,SFAssumptions!$A$14:$B$16,2,FALSE)</f>
        <v>0.55200000000000005</v>
      </c>
      <c r="M102" s="452">
        <f>VLOOKUP(K102,SFAssumptions!$A$18:$B$20,2,FALSE)</f>
        <v>0.95</v>
      </c>
      <c r="N102" s="453">
        <f ca="1">HLOOKUP($G102,'MFBaselines and Measures'!$C$3:$V$33,7,FALSE)</f>
        <v>4047.8861059902265</v>
      </c>
      <c r="O102" s="454"/>
      <c r="P102" s="455"/>
      <c r="Q102" s="455">
        <f ca="1">HLOOKUP($G102,'MFBaselines and Measures'!$C$3:$V$33,26,FALSE)</f>
        <v>309.94943453130088</v>
      </c>
      <c r="R102" s="455"/>
      <c r="S102" s="456"/>
      <c r="T102" s="456">
        <f ca="1">HLOOKUP($G102,'MFBaselines and Measures'!$C$3:$V$33,30,FALSE)</f>
        <v>11.848003104619696</v>
      </c>
      <c r="U102" s="456"/>
      <c r="V102" s="456"/>
      <c r="W102" s="457"/>
      <c r="X102" s="453"/>
      <c r="Y102" s="454"/>
      <c r="Z102" s="455"/>
      <c r="AA102" s="455">
        <f ca="1">HLOOKUP($H102,'MFBaselines and Measures'!$C$2:$V$33,27,FALSE)</f>
        <v>234.67590019364553</v>
      </c>
      <c r="AB102" s="455"/>
      <c r="AC102" s="456"/>
      <c r="AD102" s="456">
        <f ca="1">HLOOKUP($H102,'MFBaselines and Measures'!$C$2:$V$33,31,FALSE)</f>
        <v>8.9706270904422176</v>
      </c>
      <c r="AE102" s="456"/>
      <c r="AF102" s="456"/>
      <c r="AG102" s="457"/>
      <c r="AH102" s="453"/>
      <c r="AI102" s="454"/>
      <c r="AJ102" s="455"/>
      <c r="AK102" s="455">
        <f t="shared" ca="1" si="35"/>
        <v>75.273534337655349</v>
      </c>
      <c r="AL102" s="455"/>
      <c r="AM102" s="456"/>
      <c r="AN102" s="456">
        <f t="shared" ca="1" si="36"/>
        <v>2.8773760141774787</v>
      </c>
      <c r="AO102" s="456"/>
      <c r="AP102" s="456"/>
      <c r="AQ102" s="458"/>
      <c r="AR102" s="452" t="str">
        <f t="shared" si="41"/>
        <v>CEE Tier 2 Clothes Washer - Any DHW, Any Dryer - 31% ENERGY STAR Baseline</v>
      </c>
      <c r="AS102" s="454">
        <f t="shared" si="42"/>
        <v>0</v>
      </c>
      <c r="AT102" s="455">
        <f t="shared" ca="1" si="43"/>
        <v>71.509857620772578</v>
      </c>
      <c r="AU102" s="456">
        <f t="shared" ca="1" si="44"/>
        <v>0.14386880070887406</v>
      </c>
      <c r="AV102" s="456">
        <f t="shared" si="45"/>
        <v>0</v>
      </c>
      <c r="AW102" s="456"/>
      <c r="AX102" s="455">
        <f t="shared" ca="1" si="37"/>
        <v>74.220342539837731</v>
      </c>
      <c r="AY102" s="455"/>
      <c r="AZ102" s="458"/>
      <c r="BA102" s="450" t="str">
        <f t="shared" si="38"/>
        <v>CEE Tier 2 Clothes Washer - Any DHW, Any Dryer - 31% ENERGY STAR Baseline</v>
      </c>
      <c r="BB102" s="450" t="s">
        <v>26</v>
      </c>
      <c r="BC102" s="455">
        <f t="shared" ca="1" si="46"/>
        <v>71.509857620772578</v>
      </c>
      <c r="BD102" s="455">
        <f>SFAssumptions!$C$7</f>
        <v>14</v>
      </c>
      <c r="BE102" s="459">
        <f t="shared" si="47"/>
        <v>0</v>
      </c>
      <c r="BF102" s="450"/>
      <c r="BG102" s="449" t="s">
        <v>159</v>
      </c>
      <c r="BH102" s="460"/>
      <c r="BI102" s="450"/>
      <c r="BJ102" s="450"/>
      <c r="BK102" s="450"/>
      <c r="BL102" s="450"/>
      <c r="BM102" s="450"/>
      <c r="BN102" s="450"/>
      <c r="BO102" s="461">
        <f t="shared" ca="1" si="48"/>
        <v>0.14386880070887406</v>
      </c>
      <c r="BP102" s="450" t="s">
        <v>159</v>
      </c>
    </row>
    <row r="103" spans="1:68" s="309" customFormat="1">
      <c r="A103" s="450">
        <f t="shared" si="39"/>
        <v>26</v>
      </c>
      <c r="B103" s="450">
        <f t="shared" si="3"/>
        <v>1</v>
      </c>
      <c r="C103" s="450">
        <f t="shared" si="4"/>
        <v>26</v>
      </c>
      <c r="D103" s="450">
        <f t="shared" si="5"/>
        <v>6</v>
      </c>
      <c r="E103" s="450">
        <f t="shared" si="6"/>
        <v>1</v>
      </c>
      <c r="F103" s="450"/>
      <c r="G103" s="450" t="str">
        <f t="shared" si="13"/>
        <v>Current Practice Baseline Using 31% ENERGY STAR Penetration</v>
      </c>
      <c r="H103" s="450" t="str">
        <f t="shared" si="40"/>
        <v>CEE Tier 3</v>
      </c>
      <c r="I103" s="450" t="str">
        <f t="shared" si="7"/>
        <v>Electric DHW, Electric Dryer</v>
      </c>
      <c r="J103" s="450" t="str">
        <f t="shared" si="8"/>
        <v>Electric DHW</v>
      </c>
      <c r="K103" s="450" t="str">
        <f t="shared" si="9"/>
        <v>Electric Dryer</v>
      </c>
      <c r="L103" s="451">
        <f>VLOOKUP(J103,SFAssumptions!$A$14:$B$16,2,FALSE)</f>
        <v>1</v>
      </c>
      <c r="M103" s="452">
        <f>VLOOKUP(K103,SFAssumptions!$A$18:$B$20,2,FALSE)</f>
        <v>1</v>
      </c>
      <c r="N103" s="453">
        <f ca="1">HLOOKUP($G103,'MFBaselines and Measures'!$C$3:$V$33,7,FALSE)</f>
        <v>4047.8861059902265</v>
      </c>
      <c r="O103" s="454"/>
      <c r="P103" s="455"/>
      <c r="Q103" s="455">
        <f ca="1">HLOOKUP($G103,'MFBaselines and Measures'!$C$3:$V$33,26,FALSE)</f>
        <v>309.94943453130088</v>
      </c>
      <c r="R103" s="455"/>
      <c r="S103" s="456"/>
      <c r="T103" s="456">
        <f ca="1">HLOOKUP($G103,'MFBaselines and Measures'!$C$3:$V$33,30,FALSE)</f>
        <v>11.848003104619696</v>
      </c>
      <c r="U103" s="456"/>
      <c r="V103" s="456"/>
      <c r="W103" s="457"/>
      <c r="X103" s="453"/>
      <c r="Y103" s="454"/>
      <c r="Z103" s="455"/>
      <c r="AA103" s="455">
        <f ca="1">HLOOKUP($H103,'MFBaselines and Measures'!$C$2:$V$33,27,FALSE)</f>
        <v>220.25742572159206</v>
      </c>
      <c r="AB103" s="455"/>
      <c r="AC103" s="456"/>
      <c r="AD103" s="456">
        <f ca="1">HLOOKUP($H103,'MFBaselines and Measures'!$C$2:$V$33,31,FALSE)</f>
        <v>8.4194722526632901</v>
      </c>
      <c r="AE103" s="456"/>
      <c r="AF103" s="456"/>
      <c r="AG103" s="457"/>
      <c r="AH103" s="453"/>
      <c r="AI103" s="454"/>
      <c r="AJ103" s="455"/>
      <c r="AK103" s="455">
        <f t="shared" ca="1" si="35"/>
        <v>89.692008809708824</v>
      </c>
      <c r="AL103" s="455"/>
      <c r="AM103" s="456"/>
      <c r="AN103" s="456">
        <f t="shared" ca="1" si="36"/>
        <v>3.4285308519564062</v>
      </c>
      <c r="AO103" s="456"/>
      <c r="AP103" s="456"/>
      <c r="AQ103" s="458"/>
      <c r="AR103" s="452" t="str">
        <f t="shared" si="41"/>
        <v>CEE Tier 3 Clothes Washer - Electric DHW, Electric Dryer - 31% ENERGY STAR Baseline</v>
      </c>
      <c r="AS103" s="454">
        <f t="shared" si="42"/>
        <v>0</v>
      </c>
      <c r="AT103" s="455">
        <f t="shared" ca="1" si="43"/>
        <v>89.692008809708824</v>
      </c>
      <c r="AU103" s="456">
        <f t="shared" ca="1" si="44"/>
        <v>0</v>
      </c>
      <c r="AV103" s="456">
        <f t="shared" si="45"/>
        <v>0</v>
      </c>
      <c r="AW103" s="456"/>
      <c r="AX103" s="455">
        <f t="shared" ca="1" si="37"/>
        <v>91.46516348816975</v>
      </c>
      <c r="AY103" s="455"/>
      <c r="AZ103" s="458"/>
      <c r="BA103" s="450" t="str">
        <f t="shared" si="38"/>
        <v>CEE Tier 3 Clothes Washer - Electric DHW, Electric Dryer - 31% ENERGY STAR Baseline</v>
      </c>
      <c r="BB103" s="450" t="s">
        <v>26</v>
      </c>
      <c r="BC103" s="455">
        <f t="shared" ca="1" si="46"/>
        <v>89.692008809708824</v>
      </c>
      <c r="BD103" s="455">
        <f>SFAssumptions!$C$7</f>
        <v>14</v>
      </c>
      <c r="BE103" s="459">
        <f t="shared" si="47"/>
        <v>0</v>
      </c>
      <c r="BF103" s="450"/>
      <c r="BG103" s="449" t="s">
        <v>159</v>
      </c>
      <c r="BH103" s="460"/>
      <c r="BI103" s="450"/>
      <c r="BJ103" s="450"/>
      <c r="BK103" s="450"/>
      <c r="BL103" s="450"/>
      <c r="BM103" s="450"/>
      <c r="BN103" s="450"/>
      <c r="BO103" s="461">
        <f t="shared" ca="1" si="48"/>
        <v>0</v>
      </c>
      <c r="BP103" s="450" t="s">
        <v>159</v>
      </c>
    </row>
    <row r="104" spans="1:68" s="309" customFormat="1">
      <c r="A104" s="450">
        <f t="shared" si="39"/>
        <v>27</v>
      </c>
      <c r="B104" s="450">
        <f t="shared" si="3"/>
        <v>1</v>
      </c>
      <c r="C104" s="450">
        <f t="shared" si="4"/>
        <v>27</v>
      </c>
      <c r="D104" s="450">
        <f t="shared" si="5"/>
        <v>6</v>
      </c>
      <c r="E104" s="450">
        <f t="shared" si="6"/>
        <v>2</v>
      </c>
      <c r="F104" s="450"/>
      <c r="G104" s="450" t="str">
        <f t="shared" si="13"/>
        <v>Current Practice Baseline Using 31% ENERGY STAR Penetration</v>
      </c>
      <c r="H104" s="450" t="str">
        <f t="shared" si="40"/>
        <v>CEE Tier 3</v>
      </c>
      <c r="I104" s="450" t="str">
        <f t="shared" si="7"/>
        <v>Electric DHW, Gas Dryer</v>
      </c>
      <c r="J104" s="450" t="str">
        <f t="shared" si="8"/>
        <v>Electric DHW</v>
      </c>
      <c r="K104" s="450" t="str">
        <f t="shared" si="9"/>
        <v>Gas Dryer</v>
      </c>
      <c r="L104" s="451">
        <f>VLOOKUP(J104,SFAssumptions!$A$14:$B$16,2,FALSE)</f>
        <v>1</v>
      </c>
      <c r="M104" s="452">
        <f>VLOOKUP(K104,SFAssumptions!$A$18:$B$20,2,FALSE)</f>
        <v>0</v>
      </c>
      <c r="N104" s="453">
        <f ca="1">HLOOKUP($G104,'MFBaselines and Measures'!$C$3:$V$33,7,FALSE)</f>
        <v>4047.8861059902265</v>
      </c>
      <c r="O104" s="454"/>
      <c r="P104" s="455"/>
      <c r="Q104" s="455">
        <f ca="1">HLOOKUP($G104,'MFBaselines and Measures'!$C$3:$V$33,26,FALSE)</f>
        <v>309.94943453130088</v>
      </c>
      <c r="R104" s="455"/>
      <c r="S104" s="456"/>
      <c r="T104" s="456">
        <f ca="1">HLOOKUP($G104,'MFBaselines and Measures'!$C$3:$V$33,30,FALSE)</f>
        <v>11.848003104619696</v>
      </c>
      <c r="U104" s="456"/>
      <c r="V104" s="456"/>
      <c r="W104" s="457"/>
      <c r="X104" s="453"/>
      <c r="Y104" s="454"/>
      <c r="Z104" s="455"/>
      <c r="AA104" s="455">
        <f ca="1">HLOOKUP($H104,'MFBaselines and Measures'!$C$2:$V$33,27,FALSE)</f>
        <v>220.25742572159206</v>
      </c>
      <c r="AB104" s="455"/>
      <c r="AC104" s="456"/>
      <c r="AD104" s="456">
        <f ca="1">HLOOKUP($H104,'MFBaselines and Measures'!$C$2:$V$33,31,FALSE)</f>
        <v>8.4194722526632901</v>
      </c>
      <c r="AE104" s="456"/>
      <c r="AF104" s="456"/>
      <c r="AG104" s="457"/>
      <c r="AH104" s="453"/>
      <c r="AI104" s="454"/>
      <c r="AJ104" s="455"/>
      <c r="AK104" s="455">
        <f t="shared" ca="1" si="35"/>
        <v>89.692008809708824</v>
      </c>
      <c r="AL104" s="455"/>
      <c r="AM104" s="456"/>
      <c r="AN104" s="456">
        <f t="shared" ca="1" si="36"/>
        <v>3.4285308519564062</v>
      </c>
      <c r="AO104" s="456"/>
      <c r="AP104" s="456"/>
      <c r="AQ104" s="458"/>
      <c r="AR104" s="452" t="str">
        <f t="shared" si="41"/>
        <v>CEE Tier 3 Clothes Washer - Electric DHW, Gas Dryer - 31% ENERGY STAR Baseline</v>
      </c>
      <c r="AS104" s="454">
        <f t="shared" si="42"/>
        <v>0</v>
      </c>
      <c r="AT104" s="455">
        <f t="shared" ca="1" si="43"/>
        <v>0</v>
      </c>
      <c r="AU104" s="456">
        <f t="shared" ca="1" si="44"/>
        <v>3.4285308519564062</v>
      </c>
      <c r="AV104" s="456">
        <f t="shared" si="45"/>
        <v>0</v>
      </c>
      <c r="AW104" s="456"/>
      <c r="AX104" s="455">
        <f t="shared" ca="1" si="37"/>
        <v>1.7731546784609331</v>
      </c>
      <c r="AY104" s="455"/>
      <c r="AZ104" s="458"/>
      <c r="BA104" s="450" t="str">
        <f t="shared" si="38"/>
        <v>CEE Tier 3 Clothes Washer - Electric DHW, Gas Dryer - 31% ENERGY STAR Baseline</v>
      </c>
      <c r="BB104" s="450" t="s">
        <v>26</v>
      </c>
      <c r="BC104" s="455">
        <f t="shared" ca="1" si="46"/>
        <v>0</v>
      </c>
      <c r="BD104" s="455">
        <f>SFAssumptions!$C$7</f>
        <v>14</v>
      </c>
      <c r="BE104" s="459">
        <f t="shared" si="47"/>
        <v>0</v>
      </c>
      <c r="BF104" s="450"/>
      <c r="BG104" s="449" t="s">
        <v>159</v>
      </c>
      <c r="BH104" s="460"/>
      <c r="BI104" s="450"/>
      <c r="BJ104" s="450"/>
      <c r="BK104" s="450"/>
      <c r="BL104" s="450"/>
      <c r="BM104" s="450"/>
      <c r="BN104" s="450"/>
      <c r="BO104" s="461">
        <f t="shared" ca="1" si="48"/>
        <v>3.4285308519564062</v>
      </c>
      <c r="BP104" s="450" t="s">
        <v>159</v>
      </c>
    </row>
    <row r="105" spans="1:68" s="309" customFormat="1">
      <c r="A105" s="450">
        <f t="shared" si="39"/>
        <v>28</v>
      </c>
      <c r="B105" s="450">
        <f t="shared" si="3"/>
        <v>1</v>
      </c>
      <c r="C105" s="450">
        <f t="shared" si="4"/>
        <v>28</v>
      </c>
      <c r="D105" s="450">
        <f t="shared" si="5"/>
        <v>6</v>
      </c>
      <c r="E105" s="450">
        <f t="shared" si="6"/>
        <v>3</v>
      </c>
      <c r="F105" s="450"/>
      <c r="G105" s="450" t="str">
        <f t="shared" si="13"/>
        <v>Current Practice Baseline Using 31% ENERGY STAR Penetration</v>
      </c>
      <c r="H105" s="450" t="str">
        <f t="shared" si="40"/>
        <v>CEE Tier 3</v>
      </c>
      <c r="I105" s="450" t="str">
        <f t="shared" si="7"/>
        <v>Gas DHW, Electric Dryer</v>
      </c>
      <c r="J105" s="450" t="str">
        <f t="shared" si="8"/>
        <v>Gas DHW</v>
      </c>
      <c r="K105" s="450" t="str">
        <f t="shared" si="9"/>
        <v>Electric Dryer</v>
      </c>
      <c r="L105" s="451">
        <f>VLOOKUP(J105,SFAssumptions!$A$14:$B$16,2,FALSE)</f>
        <v>0</v>
      </c>
      <c r="M105" s="452">
        <f>VLOOKUP(K105,SFAssumptions!$A$18:$B$20,2,FALSE)</f>
        <v>1</v>
      </c>
      <c r="N105" s="453">
        <f ca="1">HLOOKUP($G105,'MFBaselines and Measures'!$C$3:$V$33,7,FALSE)</f>
        <v>4047.8861059902265</v>
      </c>
      <c r="O105" s="454"/>
      <c r="P105" s="455"/>
      <c r="Q105" s="455">
        <f ca="1">HLOOKUP($G105,'MFBaselines and Measures'!$C$3:$V$33,26,FALSE)</f>
        <v>309.94943453130088</v>
      </c>
      <c r="R105" s="455"/>
      <c r="S105" s="456"/>
      <c r="T105" s="456">
        <f ca="1">HLOOKUP($G105,'MFBaselines and Measures'!$C$3:$V$33,30,FALSE)</f>
        <v>11.848003104619696</v>
      </c>
      <c r="U105" s="456"/>
      <c r="V105" s="456"/>
      <c r="W105" s="457"/>
      <c r="X105" s="453"/>
      <c r="Y105" s="454"/>
      <c r="Z105" s="455"/>
      <c r="AA105" s="455">
        <f ca="1">HLOOKUP($H105,'MFBaselines and Measures'!$C$2:$V$33,27,FALSE)</f>
        <v>220.25742572159206</v>
      </c>
      <c r="AB105" s="455"/>
      <c r="AC105" s="456"/>
      <c r="AD105" s="456">
        <f ca="1">HLOOKUP($H105,'MFBaselines and Measures'!$C$2:$V$33,31,FALSE)</f>
        <v>8.4194722526632901</v>
      </c>
      <c r="AE105" s="456"/>
      <c r="AF105" s="456"/>
      <c r="AG105" s="457"/>
      <c r="AH105" s="453"/>
      <c r="AI105" s="454"/>
      <c r="AJ105" s="455"/>
      <c r="AK105" s="455">
        <f t="shared" ca="1" si="35"/>
        <v>89.692008809708824</v>
      </c>
      <c r="AL105" s="455"/>
      <c r="AM105" s="456"/>
      <c r="AN105" s="456">
        <f t="shared" ca="1" si="36"/>
        <v>3.4285308519564062</v>
      </c>
      <c r="AO105" s="456"/>
      <c r="AP105" s="456"/>
      <c r="AQ105" s="458"/>
      <c r="AR105" s="452" t="str">
        <f t="shared" si="41"/>
        <v>CEE Tier 3 Clothes Washer - Gas DHW, Electric Dryer - 31% ENERGY STAR Baseline</v>
      </c>
      <c r="AS105" s="454">
        <f t="shared" si="42"/>
        <v>0</v>
      </c>
      <c r="AT105" s="455">
        <f t="shared" ca="1" si="43"/>
        <v>89.692008809708824</v>
      </c>
      <c r="AU105" s="456">
        <f t="shared" ca="1" si="44"/>
        <v>0</v>
      </c>
      <c r="AV105" s="456">
        <f t="shared" si="45"/>
        <v>0</v>
      </c>
      <c r="AW105" s="456"/>
      <c r="AX105" s="455">
        <f t="shared" ca="1" si="37"/>
        <v>91.46516348816975</v>
      </c>
      <c r="AY105" s="455"/>
      <c r="AZ105" s="458"/>
      <c r="BA105" s="450" t="str">
        <f t="shared" si="38"/>
        <v>CEE Tier 3 Clothes Washer - Gas DHW, Electric Dryer - 31% ENERGY STAR Baseline</v>
      </c>
      <c r="BB105" s="450" t="s">
        <v>26</v>
      </c>
      <c r="BC105" s="455">
        <f t="shared" ca="1" si="46"/>
        <v>89.692008809708824</v>
      </c>
      <c r="BD105" s="455">
        <f>SFAssumptions!$C$7</f>
        <v>14</v>
      </c>
      <c r="BE105" s="459">
        <f t="shared" si="47"/>
        <v>0</v>
      </c>
      <c r="BF105" s="450"/>
      <c r="BG105" s="449" t="s">
        <v>159</v>
      </c>
      <c r="BH105" s="460"/>
      <c r="BI105" s="450"/>
      <c r="BJ105" s="450"/>
      <c r="BK105" s="450"/>
      <c r="BL105" s="450"/>
      <c r="BM105" s="450"/>
      <c r="BN105" s="450"/>
      <c r="BO105" s="461">
        <f t="shared" ca="1" si="48"/>
        <v>0</v>
      </c>
      <c r="BP105" s="450" t="s">
        <v>159</v>
      </c>
    </row>
    <row r="106" spans="1:68" s="309" customFormat="1">
      <c r="A106" s="450">
        <f t="shared" si="39"/>
        <v>29</v>
      </c>
      <c r="B106" s="450">
        <f t="shared" si="3"/>
        <v>1</v>
      </c>
      <c r="C106" s="450">
        <f t="shared" si="4"/>
        <v>29</v>
      </c>
      <c r="D106" s="450">
        <f t="shared" si="5"/>
        <v>6</v>
      </c>
      <c r="E106" s="450">
        <f t="shared" si="6"/>
        <v>4</v>
      </c>
      <c r="F106" s="450"/>
      <c r="G106" s="450" t="str">
        <f t="shared" si="13"/>
        <v>Current Practice Baseline Using 31% ENERGY STAR Penetration</v>
      </c>
      <c r="H106" s="450" t="str">
        <f t="shared" si="40"/>
        <v>CEE Tier 3</v>
      </c>
      <c r="I106" s="450" t="str">
        <f t="shared" si="7"/>
        <v>Gas DHW, Gas Dryer</v>
      </c>
      <c r="J106" s="450" t="str">
        <f t="shared" si="8"/>
        <v>Gas DHW</v>
      </c>
      <c r="K106" s="450" t="str">
        <f t="shared" si="9"/>
        <v>Gas Dryer</v>
      </c>
      <c r="L106" s="451">
        <f>VLOOKUP(J106,SFAssumptions!$A$14:$B$16,2,FALSE)</f>
        <v>0</v>
      </c>
      <c r="M106" s="452">
        <f>VLOOKUP(K106,SFAssumptions!$A$18:$B$20,2,FALSE)</f>
        <v>0</v>
      </c>
      <c r="N106" s="453">
        <f ca="1">HLOOKUP($G106,'MFBaselines and Measures'!$C$3:$V$33,7,FALSE)</f>
        <v>4047.8861059902265</v>
      </c>
      <c r="O106" s="454"/>
      <c r="P106" s="455"/>
      <c r="Q106" s="455">
        <f ca="1">HLOOKUP($G106,'MFBaselines and Measures'!$C$3:$V$33,26,FALSE)</f>
        <v>309.94943453130088</v>
      </c>
      <c r="R106" s="455"/>
      <c r="S106" s="456"/>
      <c r="T106" s="456">
        <f ca="1">HLOOKUP($G106,'MFBaselines and Measures'!$C$3:$V$33,30,FALSE)</f>
        <v>11.848003104619696</v>
      </c>
      <c r="U106" s="456"/>
      <c r="V106" s="456"/>
      <c r="W106" s="457"/>
      <c r="X106" s="453"/>
      <c r="Y106" s="454"/>
      <c r="Z106" s="455"/>
      <c r="AA106" s="455">
        <f ca="1">HLOOKUP($H106,'MFBaselines and Measures'!$C$2:$V$33,27,FALSE)</f>
        <v>220.25742572159206</v>
      </c>
      <c r="AB106" s="455"/>
      <c r="AC106" s="456"/>
      <c r="AD106" s="456">
        <f ca="1">HLOOKUP($H106,'MFBaselines and Measures'!$C$2:$V$33,31,FALSE)</f>
        <v>8.4194722526632901</v>
      </c>
      <c r="AE106" s="456"/>
      <c r="AF106" s="456"/>
      <c r="AG106" s="457"/>
      <c r="AH106" s="453"/>
      <c r="AI106" s="454"/>
      <c r="AJ106" s="455"/>
      <c r="AK106" s="455">
        <f t="shared" ca="1" si="35"/>
        <v>89.692008809708824</v>
      </c>
      <c r="AL106" s="455"/>
      <c r="AM106" s="456"/>
      <c r="AN106" s="456">
        <f t="shared" ca="1" si="36"/>
        <v>3.4285308519564062</v>
      </c>
      <c r="AO106" s="456"/>
      <c r="AP106" s="456"/>
      <c r="AQ106" s="458"/>
      <c r="AR106" s="452" t="str">
        <f t="shared" si="41"/>
        <v>CEE Tier 3 Clothes Washer - Gas DHW, Gas Dryer - 31% ENERGY STAR Baseline</v>
      </c>
      <c r="AS106" s="454">
        <f t="shared" si="42"/>
        <v>0</v>
      </c>
      <c r="AT106" s="455">
        <f t="shared" ca="1" si="43"/>
        <v>0</v>
      </c>
      <c r="AU106" s="456">
        <f t="shared" ca="1" si="44"/>
        <v>3.4285308519564062</v>
      </c>
      <c r="AV106" s="456">
        <f t="shared" si="45"/>
        <v>0</v>
      </c>
      <c r="AW106" s="456"/>
      <c r="AX106" s="455">
        <f t="shared" ca="1" si="37"/>
        <v>1.7731546784609331</v>
      </c>
      <c r="AY106" s="455"/>
      <c r="AZ106" s="458"/>
      <c r="BA106" s="450" t="str">
        <f t="shared" si="38"/>
        <v>CEE Tier 3 Clothes Washer - Gas DHW, Gas Dryer - 31% ENERGY STAR Baseline</v>
      </c>
      <c r="BB106" s="450" t="s">
        <v>26</v>
      </c>
      <c r="BC106" s="455">
        <f t="shared" ca="1" si="46"/>
        <v>0</v>
      </c>
      <c r="BD106" s="455">
        <f>SFAssumptions!$C$7</f>
        <v>14</v>
      </c>
      <c r="BE106" s="459">
        <f t="shared" si="47"/>
        <v>0</v>
      </c>
      <c r="BF106" s="450"/>
      <c r="BG106" s="449" t="s">
        <v>159</v>
      </c>
      <c r="BH106" s="460"/>
      <c r="BI106" s="450"/>
      <c r="BJ106" s="450"/>
      <c r="BK106" s="450"/>
      <c r="BL106" s="450"/>
      <c r="BM106" s="450"/>
      <c r="BN106" s="450"/>
      <c r="BO106" s="461">
        <f t="shared" ca="1" si="48"/>
        <v>3.4285308519564062</v>
      </c>
      <c r="BP106" s="450" t="s">
        <v>159</v>
      </c>
    </row>
    <row r="107" spans="1:68" s="309" customFormat="1">
      <c r="A107" s="450">
        <f t="shared" si="39"/>
        <v>30</v>
      </c>
      <c r="B107" s="450">
        <f t="shared" si="3"/>
        <v>1</v>
      </c>
      <c r="C107" s="450">
        <f t="shared" si="4"/>
        <v>30</v>
      </c>
      <c r="D107" s="450">
        <f t="shared" si="5"/>
        <v>6</v>
      </c>
      <c r="E107" s="450">
        <f t="shared" si="6"/>
        <v>5</v>
      </c>
      <c r="F107" s="450"/>
      <c r="G107" s="450" t="str">
        <f t="shared" si="13"/>
        <v>Current Practice Baseline Using 31% ENERGY STAR Penetration</v>
      </c>
      <c r="H107" s="450" t="str">
        <f t="shared" si="40"/>
        <v>CEE Tier 3</v>
      </c>
      <c r="I107" s="450" t="str">
        <f t="shared" si="7"/>
        <v>Any DHW, Any Dryer</v>
      </c>
      <c r="J107" s="450" t="str">
        <f t="shared" si="8"/>
        <v>Any DHW</v>
      </c>
      <c r="K107" s="450" t="str">
        <f t="shared" si="9"/>
        <v>Any Dryer</v>
      </c>
      <c r="L107" s="451">
        <f>VLOOKUP(J107,SFAssumptions!$A$14:$B$16,2,FALSE)</f>
        <v>0.55200000000000005</v>
      </c>
      <c r="M107" s="452">
        <f>VLOOKUP(K107,SFAssumptions!$A$18:$B$20,2,FALSE)</f>
        <v>0.95</v>
      </c>
      <c r="N107" s="453">
        <f ca="1">HLOOKUP($G107,'MFBaselines and Measures'!$C$3:$V$33,7,FALSE)</f>
        <v>4047.8861059902265</v>
      </c>
      <c r="O107" s="454"/>
      <c r="P107" s="455"/>
      <c r="Q107" s="455">
        <f ca="1">HLOOKUP($G107,'MFBaselines and Measures'!$C$3:$V$33,26,FALSE)</f>
        <v>309.94943453130088</v>
      </c>
      <c r="R107" s="455"/>
      <c r="S107" s="456"/>
      <c r="T107" s="456">
        <f ca="1">HLOOKUP($G107,'MFBaselines and Measures'!$C$3:$V$33,30,FALSE)</f>
        <v>11.848003104619696</v>
      </c>
      <c r="U107" s="456"/>
      <c r="V107" s="456"/>
      <c r="W107" s="457"/>
      <c r="X107" s="453"/>
      <c r="Y107" s="454"/>
      <c r="Z107" s="455"/>
      <c r="AA107" s="455">
        <f ca="1">HLOOKUP($H107,'MFBaselines and Measures'!$C$2:$V$33,27,FALSE)</f>
        <v>220.25742572159206</v>
      </c>
      <c r="AB107" s="455"/>
      <c r="AC107" s="456"/>
      <c r="AD107" s="456">
        <f ca="1">HLOOKUP($H107,'MFBaselines and Measures'!$C$2:$V$33,31,FALSE)</f>
        <v>8.4194722526632901</v>
      </c>
      <c r="AE107" s="456"/>
      <c r="AF107" s="456"/>
      <c r="AG107" s="457"/>
      <c r="AH107" s="453"/>
      <c r="AI107" s="454"/>
      <c r="AJ107" s="455"/>
      <c r="AK107" s="455">
        <f t="shared" ca="1" si="35"/>
        <v>89.692008809708824</v>
      </c>
      <c r="AL107" s="455"/>
      <c r="AM107" s="456"/>
      <c r="AN107" s="456">
        <f t="shared" ca="1" si="36"/>
        <v>3.4285308519564062</v>
      </c>
      <c r="AO107" s="456"/>
      <c r="AP107" s="456"/>
      <c r="AQ107" s="458"/>
      <c r="AR107" s="452" t="str">
        <f t="shared" si="41"/>
        <v>CEE Tier 3 Clothes Washer - Any DHW, Any Dryer - 31% ENERGY STAR Baseline</v>
      </c>
      <c r="AS107" s="454">
        <f t="shared" si="42"/>
        <v>0</v>
      </c>
      <c r="AT107" s="455">
        <f t="shared" ca="1" si="43"/>
        <v>85.207408369223373</v>
      </c>
      <c r="AU107" s="456">
        <f t="shared" ca="1" si="44"/>
        <v>0.17142654259782045</v>
      </c>
      <c r="AV107" s="456">
        <f t="shared" si="45"/>
        <v>0</v>
      </c>
      <c r="AW107" s="456"/>
      <c r="AX107" s="455">
        <f t="shared" ca="1" si="37"/>
        <v>86.980563047684299</v>
      </c>
      <c r="AY107" s="455"/>
      <c r="AZ107" s="458"/>
      <c r="BA107" s="450" t="str">
        <f t="shared" si="38"/>
        <v>CEE Tier 3 Clothes Washer - Any DHW, Any Dryer - 31% ENERGY STAR Baseline</v>
      </c>
      <c r="BB107" s="450" t="s">
        <v>26</v>
      </c>
      <c r="BC107" s="455">
        <f t="shared" ca="1" si="46"/>
        <v>85.207408369223373</v>
      </c>
      <c r="BD107" s="455">
        <f>SFAssumptions!$C$7</f>
        <v>14</v>
      </c>
      <c r="BE107" s="459">
        <f t="shared" si="47"/>
        <v>0</v>
      </c>
      <c r="BF107" s="450"/>
      <c r="BG107" s="449" t="s">
        <v>159</v>
      </c>
      <c r="BH107" s="460"/>
      <c r="BI107" s="450"/>
      <c r="BJ107" s="450"/>
      <c r="BK107" s="450"/>
      <c r="BL107" s="450"/>
      <c r="BM107" s="450"/>
      <c r="BN107" s="450"/>
      <c r="BO107" s="461">
        <f t="shared" ca="1" si="48"/>
        <v>0.17142654259782045</v>
      </c>
      <c r="BP107" s="450" t="s">
        <v>159</v>
      </c>
    </row>
    <row r="108" spans="1:68" s="309" customFormat="1">
      <c r="A108" s="450">
        <f t="shared" si="39"/>
        <v>31</v>
      </c>
      <c r="B108" s="450">
        <f t="shared" si="3"/>
        <v>2</v>
      </c>
      <c r="C108" s="450">
        <f t="shared" si="4"/>
        <v>1</v>
      </c>
      <c r="D108" s="450">
        <f t="shared" si="5"/>
        <v>1</v>
      </c>
      <c r="E108" s="450">
        <f t="shared" si="6"/>
        <v>1</v>
      </c>
      <c r="F108" s="450"/>
      <c r="G108" s="450" t="str">
        <f t="shared" si="13"/>
        <v>Current Practice Baseline Using 54% ENERGY STAR Penetration</v>
      </c>
      <c r="H108" s="450" t="str">
        <f t="shared" si="40"/>
        <v>ENERGY STAR - Top-Load</v>
      </c>
      <c r="I108" s="450" t="str">
        <f t="shared" si="7"/>
        <v>Electric DHW, Electric Dryer</v>
      </c>
      <c r="J108" s="450" t="str">
        <f t="shared" si="8"/>
        <v>Electric DHW</v>
      </c>
      <c r="K108" s="450" t="str">
        <f t="shared" si="9"/>
        <v>Electric Dryer</v>
      </c>
      <c r="L108" s="451">
        <f>VLOOKUP(J108,SFAssumptions!$A$14:$B$16,2,FALSE)</f>
        <v>1</v>
      </c>
      <c r="M108" s="452">
        <f>VLOOKUP(K108,SFAssumptions!$A$18:$B$20,2,FALSE)</f>
        <v>1</v>
      </c>
      <c r="N108" s="453">
        <f ca="1">HLOOKUP($G108,'MFBaselines and Measures'!$C$3:$V$33,7,FALSE)</f>
        <v>3802.5240664273615</v>
      </c>
      <c r="O108" s="454"/>
      <c r="P108" s="455"/>
      <c r="Q108" s="455">
        <f ca="1">HLOOKUP($G108,'MFBaselines and Measures'!$C$3:$V$33,26,FALSE)</f>
        <v>291.68748062010144</v>
      </c>
      <c r="R108" s="455"/>
      <c r="S108" s="456"/>
      <c r="T108" s="456">
        <f ca="1">HLOOKUP($G108,'MFBaselines and Measures'!$C$3:$V$33,30,FALSE)</f>
        <v>11.149928959191751</v>
      </c>
      <c r="U108" s="456"/>
      <c r="V108" s="456"/>
      <c r="W108" s="457"/>
      <c r="X108" s="453"/>
      <c r="Y108" s="454"/>
      <c r="Z108" s="455"/>
      <c r="AA108" s="455">
        <f ca="1">HLOOKUP($H108,'MFBaselines and Measures'!$C$2:$V$33,27,FALSE)</f>
        <v>280.35877074887253</v>
      </c>
      <c r="AB108" s="455"/>
      <c r="AC108" s="456"/>
      <c r="AD108" s="456">
        <f ca="1">HLOOKUP($H108,'MFBaselines and Measures'!$C$2:$V$33,31,FALSE)</f>
        <v>10.716882227138102</v>
      </c>
      <c r="AE108" s="456"/>
      <c r="AF108" s="456"/>
      <c r="AG108" s="457"/>
      <c r="AH108" s="453"/>
      <c r="AI108" s="454"/>
      <c r="AJ108" s="455"/>
      <c r="AK108" s="455">
        <f t="shared" ca="1" si="35"/>
        <v>11.328709871228909</v>
      </c>
      <c r="AL108" s="455"/>
      <c r="AM108" s="456"/>
      <c r="AN108" s="456">
        <f t="shared" ca="1" si="36"/>
        <v>0.43304673205364885</v>
      </c>
      <c r="AO108" s="456"/>
      <c r="AP108" s="456"/>
      <c r="AQ108" s="458"/>
      <c r="AR108" s="452" t="str">
        <f t="shared" si="41"/>
        <v>ENERGY STAR - Top-Load Clothes Washer - Electric DHW, Electric Dryer - 54% ENERGY STAR Baseline</v>
      </c>
      <c r="AS108" s="454">
        <f t="shared" si="42"/>
        <v>0</v>
      </c>
      <c r="AT108" s="455">
        <f t="shared" ca="1" si="43"/>
        <v>11.328709871228909</v>
      </c>
      <c r="AU108" s="456">
        <f t="shared" ca="1" si="44"/>
        <v>0</v>
      </c>
      <c r="AV108" s="456">
        <f t="shared" si="45"/>
        <v>0</v>
      </c>
      <c r="AW108" s="456"/>
      <c r="AX108" s="455">
        <f t="shared" ca="1" si="37"/>
        <v>13.597694338848815</v>
      </c>
      <c r="AY108" s="455"/>
      <c r="AZ108" s="458"/>
      <c r="BA108" s="450" t="str">
        <f>CONCATENATE(H108," Clothes Washer - ",I108," - 54% ENERGY STAR Baseline")</f>
        <v>ENERGY STAR - Top-Load Clothes Washer - Electric DHW, Electric Dryer - 54% ENERGY STAR Baseline</v>
      </c>
      <c r="BB108" s="450" t="s">
        <v>26</v>
      </c>
      <c r="BC108" s="455">
        <f t="shared" ca="1" si="46"/>
        <v>11.328709871228909</v>
      </c>
      <c r="BD108" s="455">
        <f>SFAssumptions!$C$7</f>
        <v>14</v>
      </c>
      <c r="BE108" s="459">
        <f t="shared" si="47"/>
        <v>0</v>
      </c>
      <c r="BF108" s="450"/>
      <c r="BG108" s="449" t="s">
        <v>159</v>
      </c>
      <c r="BH108" s="460"/>
      <c r="BI108" s="450"/>
      <c r="BJ108" s="450"/>
      <c r="BK108" s="450"/>
      <c r="BL108" s="450"/>
      <c r="BM108" s="450"/>
      <c r="BN108" s="450"/>
      <c r="BO108" s="461">
        <f t="shared" ca="1" si="48"/>
        <v>0</v>
      </c>
      <c r="BP108" s="450" t="s">
        <v>159</v>
      </c>
    </row>
    <row r="109" spans="1:68" s="309" customFormat="1">
      <c r="A109" s="450">
        <f t="shared" si="39"/>
        <v>32</v>
      </c>
      <c r="B109" s="450">
        <f t="shared" si="3"/>
        <v>2</v>
      </c>
      <c r="C109" s="450">
        <f t="shared" si="4"/>
        <v>2</v>
      </c>
      <c r="D109" s="450">
        <f t="shared" si="5"/>
        <v>1</v>
      </c>
      <c r="E109" s="450">
        <f t="shared" si="6"/>
        <v>2</v>
      </c>
      <c r="F109" s="450"/>
      <c r="G109" s="450" t="str">
        <f t="shared" si="13"/>
        <v>Current Practice Baseline Using 54% ENERGY STAR Penetration</v>
      </c>
      <c r="H109" s="450" t="str">
        <f t="shared" si="40"/>
        <v>ENERGY STAR - Top-Load</v>
      </c>
      <c r="I109" s="450" t="str">
        <f t="shared" si="7"/>
        <v>Electric DHW, Gas Dryer</v>
      </c>
      <c r="J109" s="450" t="str">
        <f t="shared" si="8"/>
        <v>Electric DHW</v>
      </c>
      <c r="K109" s="450" t="str">
        <f t="shared" si="9"/>
        <v>Gas Dryer</v>
      </c>
      <c r="L109" s="451">
        <f>VLOOKUP(J109,SFAssumptions!$A$14:$B$16,2,FALSE)</f>
        <v>1</v>
      </c>
      <c r="M109" s="452">
        <f>VLOOKUP(K109,SFAssumptions!$A$18:$B$20,2,FALSE)</f>
        <v>0</v>
      </c>
      <c r="N109" s="453">
        <f ca="1">HLOOKUP($G109,'MFBaselines and Measures'!$C$3:$V$33,7,FALSE)</f>
        <v>3802.5240664273615</v>
      </c>
      <c r="O109" s="454"/>
      <c r="P109" s="455"/>
      <c r="Q109" s="455">
        <f ca="1">HLOOKUP($G109,'MFBaselines and Measures'!$C$3:$V$33,26,FALSE)</f>
        <v>291.68748062010144</v>
      </c>
      <c r="R109" s="455"/>
      <c r="S109" s="456"/>
      <c r="T109" s="456">
        <f ca="1">HLOOKUP($G109,'MFBaselines and Measures'!$C$3:$V$33,30,FALSE)</f>
        <v>11.149928959191751</v>
      </c>
      <c r="U109" s="456"/>
      <c r="V109" s="456"/>
      <c r="W109" s="457"/>
      <c r="X109" s="453"/>
      <c r="Y109" s="454"/>
      <c r="Z109" s="455"/>
      <c r="AA109" s="455">
        <f ca="1">HLOOKUP($H109,'MFBaselines and Measures'!$C$2:$V$33,27,FALSE)</f>
        <v>280.35877074887253</v>
      </c>
      <c r="AB109" s="455"/>
      <c r="AC109" s="456"/>
      <c r="AD109" s="456">
        <f ca="1">HLOOKUP($H109,'MFBaselines and Measures'!$C$2:$V$33,31,FALSE)</f>
        <v>10.716882227138102</v>
      </c>
      <c r="AE109" s="456"/>
      <c r="AF109" s="456"/>
      <c r="AG109" s="457"/>
      <c r="AH109" s="453"/>
      <c r="AI109" s="454"/>
      <c r="AJ109" s="455"/>
      <c r="AK109" s="455">
        <f t="shared" ca="1" si="35"/>
        <v>11.328709871228909</v>
      </c>
      <c r="AL109" s="455"/>
      <c r="AM109" s="456"/>
      <c r="AN109" s="456">
        <f t="shared" ca="1" si="36"/>
        <v>0.43304673205364885</v>
      </c>
      <c r="AO109" s="456"/>
      <c r="AP109" s="456"/>
      <c r="AQ109" s="458"/>
      <c r="AR109" s="452" t="str">
        <f t="shared" si="41"/>
        <v>ENERGY STAR - Top-Load Clothes Washer - Electric DHW, Gas Dryer - 54% ENERGY STAR Baseline</v>
      </c>
      <c r="AS109" s="454">
        <f t="shared" si="42"/>
        <v>0</v>
      </c>
      <c r="AT109" s="455">
        <f t="shared" ca="1" si="43"/>
        <v>0</v>
      </c>
      <c r="AU109" s="456">
        <f t="shared" ca="1" si="44"/>
        <v>0.43304673205364885</v>
      </c>
      <c r="AV109" s="456">
        <f t="shared" si="45"/>
        <v>0</v>
      </c>
      <c r="AW109" s="456"/>
      <c r="AX109" s="455">
        <f t="shared" ca="1" si="37"/>
        <v>2.2689844676199051</v>
      </c>
      <c r="AY109" s="455"/>
      <c r="AZ109" s="458"/>
      <c r="BA109" s="450" t="str">
        <f t="shared" ref="BA109:BA137" si="49">CONCATENATE(H109," Clothes Washer - ",I109," - 54% ENERGY STAR Baseline")</f>
        <v>ENERGY STAR - Top-Load Clothes Washer - Electric DHW, Gas Dryer - 54% ENERGY STAR Baseline</v>
      </c>
      <c r="BB109" s="450" t="s">
        <v>26</v>
      </c>
      <c r="BC109" s="455">
        <f t="shared" ca="1" si="46"/>
        <v>0</v>
      </c>
      <c r="BD109" s="455">
        <f>SFAssumptions!$C$7</f>
        <v>14</v>
      </c>
      <c r="BE109" s="459">
        <f t="shared" si="47"/>
        <v>0</v>
      </c>
      <c r="BF109" s="450"/>
      <c r="BG109" s="449" t="s">
        <v>159</v>
      </c>
      <c r="BH109" s="460"/>
      <c r="BI109" s="450"/>
      <c r="BJ109" s="450"/>
      <c r="BK109" s="450"/>
      <c r="BL109" s="450"/>
      <c r="BM109" s="450"/>
      <c r="BN109" s="450"/>
      <c r="BO109" s="461">
        <f t="shared" ca="1" si="48"/>
        <v>0.43304673205364885</v>
      </c>
      <c r="BP109" s="450" t="s">
        <v>159</v>
      </c>
    </row>
    <row r="110" spans="1:68" s="309" customFormat="1">
      <c r="A110" s="450">
        <f t="shared" si="39"/>
        <v>33</v>
      </c>
      <c r="B110" s="450">
        <f t="shared" si="3"/>
        <v>2</v>
      </c>
      <c r="C110" s="450">
        <f t="shared" si="4"/>
        <v>3</v>
      </c>
      <c r="D110" s="450">
        <f t="shared" si="5"/>
        <v>1</v>
      </c>
      <c r="E110" s="450">
        <f t="shared" si="6"/>
        <v>3</v>
      </c>
      <c r="F110" s="450"/>
      <c r="G110" s="450" t="str">
        <f t="shared" si="13"/>
        <v>Current Practice Baseline Using 54% ENERGY STAR Penetration</v>
      </c>
      <c r="H110" s="450" t="str">
        <f t="shared" si="40"/>
        <v>ENERGY STAR - Top-Load</v>
      </c>
      <c r="I110" s="450" t="str">
        <f t="shared" si="7"/>
        <v>Gas DHW, Electric Dryer</v>
      </c>
      <c r="J110" s="450" t="str">
        <f t="shared" si="8"/>
        <v>Gas DHW</v>
      </c>
      <c r="K110" s="450" t="str">
        <f t="shared" si="9"/>
        <v>Electric Dryer</v>
      </c>
      <c r="L110" s="451">
        <f>VLOOKUP(J110,SFAssumptions!$A$14:$B$16,2,FALSE)</f>
        <v>0</v>
      </c>
      <c r="M110" s="452">
        <f>VLOOKUP(K110,SFAssumptions!$A$18:$B$20,2,FALSE)</f>
        <v>1</v>
      </c>
      <c r="N110" s="453">
        <f ca="1">HLOOKUP($G110,'MFBaselines and Measures'!$C$3:$V$33,7,FALSE)</f>
        <v>3802.5240664273615</v>
      </c>
      <c r="O110" s="454"/>
      <c r="P110" s="455"/>
      <c r="Q110" s="455">
        <f ca="1">HLOOKUP($G110,'MFBaselines and Measures'!$C$3:$V$33,26,FALSE)</f>
        <v>291.68748062010144</v>
      </c>
      <c r="R110" s="455"/>
      <c r="S110" s="456"/>
      <c r="T110" s="456">
        <f ca="1">HLOOKUP($G110,'MFBaselines and Measures'!$C$3:$V$33,30,FALSE)</f>
        <v>11.149928959191751</v>
      </c>
      <c r="U110" s="456"/>
      <c r="V110" s="456"/>
      <c r="W110" s="457"/>
      <c r="X110" s="453"/>
      <c r="Y110" s="454"/>
      <c r="Z110" s="455"/>
      <c r="AA110" s="455">
        <f ca="1">HLOOKUP($H110,'MFBaselines and Measures'!$C$2:$V$33,27,FALSE)</f>
        <v>280.35877074887253</v>
      </c>
      <c r="AB110" s="455"/>
      <c r="AC110" s="456"/>
      <c r="AD110" s="456">
        <f ca="1">HLOOKUP($H110,'MFBaselines and Measures'!$C$2:$V$33,31,FALSE)</f>
        <v>10.716882227138102</v>
      </c>
      <c r="AE110" s="456"/>
      <c r="AF110" s="456"/>
      <c r="AG110" s="457"/>
      <c r="AH110" s="453"/>
      <c r="AI110" s="454"/>
      <c r="AJ110" s="455"/>
      <c r="AK110" s="455">
        <f t="shared" ca="1" si="35"/>
        <v>11.328709871228909</v>
      </c>
      <c r="AL110" s="455"/>
      <c r="AM110" s="456"/>
      <c r="AN110" s="456">
        <f t="shared" ca="1" si="36"/>
        <v>0.43304673205364885</v>
      </c>
      <c r="AO110" s="456"/>
      <c r="AP110" s="456"/>
      <c r="AQ110" s="458"/>
      <c r="AR110" s="452" t="str">
        <f t="shared" si="41"/>
        <v>ENERGY STAR - Top-Load Clothes Washer - Gas DHW, Electric Dryer - 54% ENERGY STAR Baseline</v>
      </c>
      <c r="AS110" s="454">
        <f t="shared" si="42"/>
        <v>0</v>
      </c>
      <c r="AT110" s="455">
        <f t="shared" ca="1" si="43"/>
        <v>11.328709871228909</v>
      </c>
      <c r="AU110" s="456">
        <f t="shared" ca="1" si="44"/>
        <v>0</v>
      </c>
      <c r="AV110" s="456">
        <f t="shared" si="45"/>
        <v>0</v>
      </c>
      <c r="AW110" s="456"/>
      <c r="AX110" s="455">
        <f t="shared" ca="1" si="37"/>
        <v>13.597694338848815</v>
      </c>
      <c r="AY110" s="455"/>
      <c r="AZ110" s="458"/>
      <c r="BA110" s="450" t="str">
        <f t="shared" si="49"/>
        <v>ENERGY STAR - Top-Load Clothes Washer - Gas DHW, Electric Dryer - 54% ENERGY STAR Baseline</v>
      </c>
      <c r="BB110" s="450" t="s">
        <v>26</v>
      </c>
      <c r="BC110" s="455">
        <f t="shared" ca="1" si="46"/>
        <v>11.328709871228909</v>
      </c>
      <c r="BD110" s="455">
        <f>SFAssumptions!$C$7</f>
        <v>14</v>
      </c>
      <c r="BE110" s="459">
        <f t="shared" si="47"/>
        <v>0</v>
      </c>
      <c r="BF110" s="450"/>
      <c r="BG110" s="449" t="s">
        <v>159</v>
      </c>
      <c r="BH110" s="460"/>
      <c r="BI110" s="450"/>
      <c r="BJ110" s="450"/>
      <c r="BK110" s="450"/>
      <c r="BL110" s="450"/>
      <c r="BM110" s="450"/>
      <c r="BN110" s="450"/>
      <c r="BO110" s="461">
        <f t="shared" ca="1" si="48"/>
        <v>0</v>
      </c>
      <c r="BP110" s="450" t="s">
        <v>159</v>
      </c>
    </row>
    <row r="111" spans="1:68" s="309" customFormat="1">
      <c r="A111" s="450">
        <f t="shared" si="39"/>
        <v>34</v>
      </c>
      <c r="B111" s="450">
        <f t="shared" si="3"/>
        <v>2</v>
      </c>
      <c r="C111" s="450">
        <f t="shared" si="4"/>
        <v>4</v>
      </c>
      <c r="D111" s="450">
        <f t="shared" si="5"/>
        <v>1</v>
      </c>
      <c r="E111" s="450">
        <f t="shared" si="6"/>
        <v>4</v>
      </c>
      <c r="F111" s="450"/>
      <c r="G111" s="450" t="str">
        <f t="shared" si="13"/>
        <v>Current Practice Baseline Using 54% ENERGY STAR Penetration</v>
      </c>
      <c r="H111" s="450" t="str">
        <f t="shared" si="40"/>
        <v>ENERGY STAR - Top-Load</v>
      </c>
      <c r="I111" s="450" t="str">
        <f t="shared" si="7"/>
        <v>Gas DHW, Gas Dryer</v>
      </c>
      <c r="J111" s="450" t="str">
        <f t="shared" si="8"/>
        <v>Gas DHW</v>
      </c>
      <c r="K111" s="450" t="str">
        <f t="shared" si="9"/>
        <v>Gas Dryer</v>
      </c>
      <c r="L111" s="451">
        <f>VLOOKUP(J111,SFAssumptions!$A$14:$B$16,2,FALSE)</f>
        <v>0</v>
      </c>
      <c r="M111" s="452">
        <f>VLOOKUP(K111,SFAssumptions!$A$18:$B$20,2,FALSE)</f>
        <v>0</v>
      </c>
      <c r="N111" s="453">
        <f ca="1">HLOOKUP($G111,'MFBaselines and Measures'!$C$3:$V$33,7,FALSE)</f>
        <v>3802.5240664273615</v>
      </c>
      <c r="O111" s="454"/>
      <c r="P111" s="455"/>
      <c r="Q111" s="455">
        <f ca="1">HLOOKUP($G111,'MFBaselines and Measures'!$C$3:$V$33,26,FALSE)</f>
        <v>291.68748062010144</v>
      </c>
      <c r="R111" s="455"/>
      <c r="S111" s="456"/>
      <c r="T111" s="456">
        <f ca="1">HLOOKUP($G111,'MFBaselines and Measures'!$C$3:$V$33,30,FALSE)</f>
        <v>11.149928959191751</v>
      </c>
      <c r="U111" s="456"/>
      <c r="V111" s="456"/>
      <c r="W111" s="457"/>
      <c r="X111" s="453"/>
      <c r="Y111" s="454"/>
      <c r="Z111" s="455"/>
      <c r="AA111" s="455">
        <f ca="1">HLOOKUP($H111,'MFBaselines and Measures'!$C$2:$V$33,27,FALSE)</f>
        <v>280.35877074887253</v>
      </c>
      <c r="AB111" s="455"/>
      <c r="AC111" s="456"/>
      <c r="AD111" s="456">
        <f ca="1">HLOOKUP($H111,'MFBaselines and Measures'!$C$2:$V$33,31,FALSE)</f>
        <v>10.716882227138102</v>
      </c>
      <c r="AE111" s="456"/>
      <c r="AF111" s="456"/>
      <c r="AG111" s="457"/>
      <c r="AH111" s="453"/>
      <c r="AI111" s="454"/>
      <c r="AJ111" s="455"/>
      <c r="AK111" s="455">
        <f t="shared" ca="1" si="35"/>
        <v>11.328709871228909</v>
      </c>
      <c r="AL111" s="455"/>
      <c r="AM111" s="456"/>
      <c r="AN111" s="456">
        <f t="shared" ca="1" si="36"/>
        <v>0.43304673205364885</v>
      </c>
      <c r="AO111" s="456"/>
      <c r="AP111" s="456"/>
      <c r="AQ111" s="458"/>
      <c r="AR111" s="452" t="str">
        <f t="shared" si="41"/>
        <v>ENERGY STAR - Top-Load Clothes Washer - Gas DHW, Gas Dryer - 54% ENERGY STAR Baseline</v>
      </c>
      <c r="AS111" s="454">
        <f t="shared" si="42"/>
        <v>0</v>
      </c>
      <c r="AT111" s="455">
        <f t="shared" ca="1" si="43"/>
        <v>0</v>
      </c>
      <c r="AU111" s="456">
        <f t="shared" ca="1" si="44"/>
        <v>0.43304673205364885</v>
      </c>
      <c r="AV111" s="456">
        <f t="shared" si="45"/>
        <v>0</v>
      </c>
      <c r="AW111" s="456"/>
      <c r="AX111" s="455">
        <f t="shared" ca="1" si="37"/>
        <v>2.2689844676199051</v>
      </c>
      <c r="AY111" s="455"/>
      <c r="AZ111" s="458"/>
      <c r="BA111" s="450" t="str">
        <f t="shared" si="49"/>
        <v>ENERGY STAR - Top-Load Clothes Washer - Gas DHW, Gas Dryer - 54% ENERGY STAR Baseline</v>
      </c>
      <c r="BB111" s="450" t="s">
        <v>26</v>
      </c>
      <c r="BC111" s="455">
        <f t="shared" ca="1" si="46"/>
        <v>0</v>
      </c>
      <c r="BD111" s="455">
        <f>SFAssumptions!$C$7</f>
        <v>14</v>
      </c>
      <c r="BE111" s="459">
        <f t="shared" si="47"/>
        <v>0</v>
      </c>
      <c r="BF111" s="450"/>
      <c r="BG111" s="449" t="s">
        <v>159</v>
      </c>
      <c r="BH111" s="460"/>
      <c r="BI111" s="450"/>
      <c r="BJ111" s="450"/>
      <c r="BK111" s="450"/>
      <c r="BL111" s="450"/>
      <c r="BM111" s="450"/>
      <c r="BN111" s="450"/>
      <c r="BO111" s="461">
        <f t="shared" ca="1" si="48"/>
        <v>0.43304673205364885</v>
      </c>
      <c r="BP111" s="450" t="s">
        <v>159</v>
      </c>
    </row>
    <row r="112" spans="1:68" s="309" customFormat="1">
      <c r="A112" s="450">
        <f t="shared" si="39"/>
        <v>35</v>
      </c>
      <c r="B112" s="450">
        <f t="shared" si="3"/>
        <v>2</v>
      </c>
      <c r="C112" s="450">
        <f t="shared" si="4"/>
        <v>5</v>
      </c>
      <c r="D112" s="450">
        <f t="shared" si="5"/>
        <v>1</v>
      </c>
      <c r="E112" s="450">
        <f t="shared" si="6"/>
        <v>5</v>
      </c>
      <c r="F112" s="450"/>
      <c r="G112" s="450" t="str">
        <f t="shared" si="13"/>
        <v>Current Practice Baseline Using 54% ENERGY STAR Penetration</v>
      </c>
      <c r="H112" s="450" t="str">
        <f t="shared" si="40"/>
        <v>ENERGY STAR - Top-Load</v>
      </c>
      <c r="I112" s="450" t="str">
        <f t="shared" si="7"/>
        <v>Any DHW, Any Dryer</v>
      </c>
      <c r="J112" s="450" t="str">
        <f t="shared" si="8"/>
        <v>Any DHW</v>
      </c>
      <c r="K112" s="450" t="str">
        <f t="shared" si="9"/>
        <v>Any Dryer</v>
      </c>
      <c r="L112" s="451">
        <f>VLOOKUP(J112,SFAssumptions!$A$14:$B$16,2,FALSE)</f>
        <v>0.55200000000000005</v>
      </c>
      <c r="M112" s="452">
        <f>VLOOKUP(K112,SFAssumptions!$A$18:$B$20,2,FALSE)</f>
        <v>0.95</v>
      </c>
      <c r="N112" s="453">
        <f ca="1">HLOOKUP($G112,'MFBaselines and Measures'!$C$3:$V$33,7,FALSE)</f>
        <v>3802.5240664273615</v>
      </c>
      <c r="O112" s="454"/>
      <c r="P112" s="455"/>
      <c r="Q112" s="455">
        <f ca="1">HLOOKUP($G112,'MFBaselines and Measures'!$C$3:$V$33,26,FALSE)</f>
        <v>291.68748062010144</v>
      </c>
      <c r="R112" s="455"/>
      <c r="S112" s="456"/>
      <c r="T112" s="456">
        <f ca="1">HLOOKUP($G112,'MFBaselines and Measures'!$C$3:$V$33,30,FALSE)</f>
        <v>11.149928959191751</v>
      </c>
      <c r="U112" s="456"/>
      <c r="V112" s="456"/>
      <c r="W112" s="457"/>
      <c r="X112" s="453"/>
      <c r="Y112" s="454"/>
      <c r="Z112" s="455"/>
      <c r="AA112" s="455">
        <f ca="1">HLOOKUP($H112,'MFBaselines and Measures'!$C$2:$V$33,27,FALSE)</f>
        <v>280.35877074887253</v>
      </c>
      <c r="AB112" s="455"/>
      <c r="AC112" s="456"/>
      <c r="AD112" s="456">
        <f ca="1">HLOOKUP($H112,'MFBaselines and Measures'!$C$2:$V$33,31,FALSE)</f>
        <v>10.716882227138102</v>
      </c>
      <c r="AE112" s="456"/>
      <c r="AF112" s="456"/>
      <c r="AG112" s="457"/>
      <c r="AH112" s="453"/>
      <c r="AI112" s="454"/>
      <c r="AJ112" s="455"/>
      <c r="AK112" s="455">
        <f t="shared" ca="1" si="35"/>
        <v>11.328709871228909</v>
      </c>
      <c r="AL112" s="455"/>
      <c r="AM112" s="456"/>
      <c r="AN112" s="456">
        <f t="shared" ca="1" si="36"/>
        <v>0.43304673205364885</v>
      </c>
      <c r="AO112" s="456"/>
      <c r="AP112" s="456"/>
      <c r="AQ112" s="458"/>
      <c r="AR112" s="452" t="str">
        <f t="shared" si="41"/>
        <v>ENERGY STAR - Top-Load Clothes Washer - Any DHW, Any Dryer - 54% ENERGY STAR Baseline</v>
      </c>
      <c r="AS112" s="454">
        <f t="shared" si="42"/>
        <v>0</v>
      </c>
      <c r="AT112" s="455">
        <f t="shared" ca="1" si="43"/>
        <v>10.762274377667463</v>
      </c>
      <c r="AU112" s="456">
        <f t="shared" ca="1" si="44"/>
        <v>2.1652336602682461E-2</v>
      </c>
      <c r="AV112" s="456">
        <f t="shared" si="45"/>
        <v>0</v>
      </c>
      <c r="AW112" s="456"/>
      <c r="AX112" s="455">
        <f t="shared" ca="1" si="37"/>
        <v>13.031258845287368</v>
      </c>
      <c r="AY112" s="455"/>
      <c r="AZ112" s="458"/>
      <c r="BA112" s="450" t="str">
        <f t="shared" si="49"/>
        <v>ENERGY STAR - Top-Load Clothes Washer - Any DHW, Any Dryer - 54% ENERGY STAR Baseline</v>
      </c>
      <c r="BB112" s="450" t="s">
        <v>26</v>
      </c>
      <c r="BC112" s="455">
        <f t="shared" ca="1" si="46"/>
        <v>10.762274377667463</v>
      </c>
      <c r="BD112" s="455">
        <f>SFAssumptions!$C$7</f>
        <v>14</v>
      </c>
      <c r="BE112" s="459">
        <f t="shared" si="47"/>
        <v>0</v>
      </c>
      <c r="BF112" s="450"/>
      <c r="BG112" s="449" t="s">
        <v>159</v>
      </c>
      <c r="BH112" s="460"/>
      <c r="BI112" s="450"/>
      <c r="BJ112" s="450"/>
      <c r="BK112" s="450"/>
      <c r="BL112" s="450"/>
      <c r="BM112" s="450"/>
      <c r="BN112" s="450"/>
      <c r="BO112" s="461">
        <f t="shared" ca="1" si="48"/>
        <v>2.1652336602682461E-2</v>
      </c>
      <c r="BP112" s="450" t="s">
        <v>159</v>
      </c>
    </row>
    <row r="113" spans="1:68" s="309" customFormat="1">
      <c r="A113" s="450">
        <f t="shared" si="39"/>
        <v>36</v>
      </c>
      <c r="B113" s="450">
        <f t="shared" si="3"/>
        <v>2</v>
      </c>
      <c r="C113" s="450">
        <f t="shared" si="4"/>
        <v>6</v>
      </c>
      <c r="D113" s="450">
        <f t="shared" si="5"/>
        <v>2</v>
      </c>
      <c r="E113" s="450">
        <f t="shared" si="6"/>
        <v>1</v>
      </c>
      <c r="F113" s="450"/>
      <c r="G113" s="450" t="str">
        <f t="shared" si="13"/>
        <v>Current Practice Baseline Using 54% ENERGY STAR Penetration</v>
      </c>
      <c r="H113" s="450" t="str">
        <f t="shared" si="40"/>
        <v>ENERGY STAR - Front-Load</v>
      </c>
      <c r="I113" s="450" t="str">
        <f t="shared" si="7"/>
        <v>Electric DHW, Electric Dryer</v>
      </c>
      <c r="J113" s="450" t="str">
        <f t="shared" si="8"/>
        <v>Electric DHW</v>
      </c>
      <c r="K113" s="450" t="str">
        <f t="shared" si="9"/>
        <v>Electric Dryer</v>
      </c>
      <c r="L113" s="451">
        <f>VLOOKUP(J113,SFAssumptions!$A$14:$B$16,2,FALSE)</f>
        <v>1</v>
      </c>
      <c r="M113" s="452">
        <f>VLOOKUP(K113,SFAssumptions!$A$18:$B$20,2,FALSE)</f>
        <v>1</v>
      </c>
      <c r="N113" s="453">
        <f ca="1">HLOOKUP($G113,'MFBaselines and Measures'!$C$3:$V$33,7,FALSE)</f>
        <v>3802.5240664273615</v>
      </c>
      <c r="O113" s="454"/>
      <c r="P113" s="455"/>
      <c r="Q113" s="455">
        <f ca="1">HLOOKUP($G113,'MFBaselines and Measures'!$C$3:$V$33,26,FALSE)</f>
        <v>291.68748062010144</v>
      </c>
      <c r="R113" s="455"/>
      <c r="S113" s="456"/>
      <c r="T113" s="456">
        <f ca="1">HLOOKUP($G113,'MFBaselines and Measures'!$C$3:$V$33,30,FALSE)</f>
        <v>11.149928959191751</v>
      </c>
      <c r="U113" s="456"/>
      <c r="V113" s="456"/>
      <c r="W113" s="457"/>
      <c r="X113" s="453"/>
      <c r="Y113" s="454"/>
      <c r="Z113" s="455"/>
      <c r="AA113" s="455">
        <f ca="1">HLOOKUP($H113,'MFBaselines and Measures'!$C$2:$V$33,27,FALSE)</f>
        <v>246.26249390348505</v>
      </c>
      <c r="AB113" s="455"/>
      <c r="AC113" s="456"/>
      <c r="AD113" s="456">
        <f ca="1">HLOOKUP($H113,'MFBaselines and Measures'!$C$2:$V$33,31,FALSE)</f>
        <v>9.4135315869570597</v>
      </c>
      <c r="AE113" s="456"/>
      <c r="AF113" s="456"/>
      <c r="AG113" s="457"/>
      <c r="AH113" s="453"/>
      <c r="AI113" s="454"/>
      <c r="AJ113" s="455"/>
      <c r="AK113" s="455">
        <f t="shared" ca="1" si="35"/>
        <v>45.424986716616388</v>
      </c>
      <c r="AL113" s="455"/>
      <c r="AM113" s="456"/>
      <c r="AN113" s="456">
        <f t="shared" ca="1" si="36"/>
        <v>1.7363973722346913</v>
      </c>
      <c r="AO113" s="456"/>
      <c r="AP113" s="456"/>
      <c r="AQ113" s="458"/>
      <c r="AR113" s="452" t="str">
        <f t="shared" si="41"/>
        <v>ENERGY STAR - Front-Load Clothes Washer - Electric DHW, Electric Dryer - 54% ENERGY STAR Baseline</v>
      </c>
      <c r="AS113" s="454">
        <f t="shared" si="42"/>
        <v>0</v>
      </c>
      <c r="AT113" s="455">
        <f t="shared" ca="1" si="43"/>
        <v>45.424986716616388</v>
      </c>
      <c r="AU113" s="456">
        <f t="shared" ca="1" si="44"/>
        <v>0</v>
      </c>
      <c r="AV113" s="456">
        <f t="shared" si="45"/>
        <v>0</v>
      </c>
      <c r="AW113" s="456"/>
      <c r="AX113" s="455">
        <f t="shared" ca="1" si="37"/>
        <v>48.752939172717923</v>
      </c>
      <c r="AY113" s="455"/>
      <c r="AZ113" s="458"/>
      <c r="BA113" s="450" t="str">
        <f t="shared" si="49"/>
        <v>ENERGY STAR - Front-Load Clothes Washer - Electric DHW, Electric Dryer - 54% ENERGY STAR Baseline</v>
      </c>
      <c r="BB113" s="450" t="s">
        <v>26</v>
      </c>
      <c r="BC113" s="455">
        <f t="shared" ca="1" si="46"/>
        <v>45.424986716616388</v>
      </c>
      <c r="BD113" s="455">
        <f>SFAssumptions!$C$7</f>
        <v>14</v>
      </c>
      <c r="BE113" s="459">
        <f t="shared" si="47"/>
        <v>0</v>
      </c>
      <c r="BF113" s="450"/>
      <c r="BG113" s="449" t="s">
        <v>159</v>
      </c>
      <c r="BH113" s="460"/>
      <c r="BI113" s="450"/>
      <c r="BJ113" s="450"/>
      <c r="BK113" s="450"/>
      <c r="BL113" s="450"/>
      <c r="BM113" s="450"/>
      <c r="BN113" s="450"/>
      <c r="BO113" s="461">
        <f t="shared" ca="1" si="48"/>
        <v>0</v>
      </c>
      <c r="BP113" s="450" t="s">
        <v>159</v>
      </c>
    </row>
    <row r="114" spans="1:68" s="309" customFormat="1">
      <c r="A114" s="450">
        <f t="shared" si="39"/>
        <v>37</v>
      </c>
      <c r="B114" s="450">
        <f t="shared" si="3"/>
        <v>2</v>
      </c>
      <c r="C114" s="450">
        <f t="shared" si="4"/>
        <v>7</v>
      </c>
      <c r="D114" s="450">
        <f t="shared" si="5"/>
        <v>2</v>
      </c>
      <c r="E114" s="450">
        <f t="shared" si="6"/>
        <v>2</v>
      </c>
      <c r="F114" s="450"/>
      <c r="G114" s="450" t="str">
        <f t="shared" si="13"/>
        <v>Current Practice Baseline Using 54% ENERGY STAR Penetration</v>
      </c>
      <c r="H114" s="450" t="str">
        <f t="shared" si="40"/>
        <v>ENERGY STAR - Front-Load</v>
      </c>
      <c r="I114" s="450" t="str">
        <f t="shared" si="7"/>
        <v>Electric DHW, Gas Dryer</v>
      </c>
      <c r="J114" s="450" t="str">
        <f t="shared" si="8"/>
        <v>Electric DHW</v>
      </c>
      <c r="K114" s="450" t="str">
        <f t="shared" si="9"/>
        <v>Gas Dryer</v>
      </c>
      <c r="L114" s="451">
        <f>VLOOKUP(J114,SFAssumptions!$A$14:$B$16,2,FALSE)</f>
        <v>1</v>
      </c>
      <c r="M114" s="452">
        <f>VLOOKUP(K114,SFAssumptions!$A$18:$B$20,2,FALSE)</f>
        <v>0</v>
      </c>
      <c r="N114" s="453">
        <f ca="1">HLOOKUP($G114,'MFBaselines and Measures'!$C$3:$V$33,7,FALSE)</f>
        <v>3802.5240664273615</v>
      </c>
      <c r="O114" s="454"/>
      <c r="P114" s="455"/>
      <c r="Q114" s="455">
        <f ca="1">HLOOKUP($G114,'MFBaselines and Measures'!$C$3:$V$33,26,FALSE)</f>
        <v>291.68748062010144</v>
      </c>
      <c r="R114" s="455"/>
      <c r="S114" s="456"/>
      <c r="T114" s="456">
        <f ca="1">HLOOKUP($G114,'MFBaselines and Measures'!$C$3:$V$33,30,FALSE)</f>
        <v>11.149928959191751</v>
      </c>
      <c r="U114" s="456"/>
      <c r="V114" s="456"/>
      <c r="W114" s="457"/>
      <c r="X114" s="453"/>
      <c r="Y114" s="454"/>
      <c r="Z114" s="455"/>
      <c r="AA114" s="455">
        <f ca="1">HLOOKUP($H114,'MFBaselines and Measures'!$C$2:$V$33,27,FALSE)</f>
        <v>246.26249390348505</v>
      </c>
      <c r="AB114" s="455"/>
      <c r="AC114" s="456"/>
      <c r="AD114" s="456">
        <f ca="1">HLOOKUP($H114,'MFBaselines and Measures'!$C$2:$V$33,31,FALSE)</f>
        <v>9.4135315869570597</v>
      </c>
      <c r="AE114" s="456"/>
      <c r="AF114" s="456"/>
      <c r="AG114" s="457"/>
      <c r="AH114" s="453"/>
      <c r="AI114" s="454"/>
      <c r="AJ114" s="455"/>
      <c r="AK114" s="455">
        <f t="shared" ca="1" si="35"/>
        <v>45.424986716616388</v>
      </c>
      <c r="AL114" s="455"/>
      <c r="AM114" s="456"/>
      <c r="AN114" s="456">
        <f t="shared" ca="1" si="36"/>
        <v>1.7363973722346913</v>
      </c>
      <c r="AO114" s="456"/>
      <c r="AP114" s="456"/>
      <c r="AQ114" s="458"/>
      <c r="AR114" s="452" t="str">
        <f t="shared" si="41"/>
        <v>ENERGY STAR - Front-Load Clothes Washer - Electric DHW, Gas Dryer - 54% ENERGY STAR Baseline</v>
      </c>
      <c r="AS114" s="454">
        <f t="shared" si="42"/>
        <v>0</v>
      </c>
      <c r="AT114" s="455">
        <f t="shared" ca="1" si="43"/>
        <v>0</v>
      </c>
      <c r="AU114" s="456">
        <f t="shared" ca="1" si="44"/>
        <v>1.7363973722346913</v>
      </c>
      <c r="AV114" s="456">
        <f t="shared" si="45"/>
        <v>0</v>
      </c>
      <c r="AW114" s="456"/>
      <c r="AX114" s="455">
        <f t="shared" ca="1" si="37"/>
        <v>3.3279524561015337</v>
      </c>
      <c r="AY114" s="455"/>
      <c r="AZ114" s="458"/>
      <c r="BA114" s="450" t="str">
        <f t="shared" si="49"/>
        <v>ENERGY STAR - Front-Load Clothes Washer - Electric DHW, Gas Dryer - 54% ENERGY STAR Baseline</v>
      </c>
      <c r="BB114" s="450" t="s">
        <v>26</v>
      </c>
      <c r="BC114" s="455">
        <f t="shared" ca="1" si="46"/>
        <v>0</v>
      </c>
      <c r="BD114" s="455">
        <f>SFAssumptions!$C$7</f>
        <v>14</v>
      </c>
      <c r="BE114" s="459">
        <f t="shared" si="47"/>
        <v>0</v>
      </c>
      <c r="BF114" s="450"/>
      <c r="BG114" s="449" t="s">
        <v>159</v>
      </c>
      <c r="BH114" s="460"/>
      <c r="BI114" s="450"/>
      <c r="BJ114" s="450"/>
      <c r="BK114" s="450"/>
      <c r="BL114" s="450"/>
      <c r="BM114" s="450"/>
      <c r="BN114" s="450"/>
      <c r="BO114" s="461">
        <f t="shared" ca="1" si="48"/>
        <v>1.7363973722346913</v>
      </c>
      <c r="BP114" s="450" t="s">
        <v>159</v>
      </c>
    </row>
    <row r="115" spans="1:68" s="309" customFormat="1">
      <c r="A115" s="450">
        <f t="shared" si="39"/>
        <v>38</v>
      </c>
      <c r="B115" s="450">
        <f t="shared" si="3"/>
        <v>2</v>
      </c>
      <c r="C115" s="450">
        <f t="shared" si="4"/>
        <v>8</v>
      </c>
      <c r="D115" s="450">
        <f t="shared" si="5"/>
        <v>2</v>
      </c>
      <c r="E115" s="450">
        <f t="shared" si="6"/>
        <v>3</v>
      </c>
      <c r="F115" s="450"/>
      <c r="G115" s="450" t="str">
        <f t="shared" si="13"/>
        <v>Current Practice Baseline Using 54% ENERGY STAR Penetration</v>
      </c>
      <c r="H115" s="450" t="str">
        <f t="shared" si="40"/>
        <v>ENERGY STAR - Front-Load</v>
      </c>
      <c r="I115" s="450" t="str">
        <f t="shared" si="7"/>
        <v>Gas DHW, Electric Dryer</v>
      </c>
      <c r="J115" s="450" t="str">
        <f t="shared" si="8"/>
        <v>Gas DHW</v>
      </c>
      <c r="K115" s="450" t="str">
        <f t="shared" si="9"/>
        <v>Electric Dryer</v>
      </c>
      <c r="L115" s="451">
        <f>VLOOKUP(J115,SFAssumptions!$A$14:$B$16,2,FALSE)</f>
        <v>0</v>
      </c>
      <c r="M115" s="452">
        <f>VLOOKUP(K115,SFAssumptions!$A$18:$B$20,2,FALSE)</f>
        <v>1</v>
      </c>
      <c r="N115" s="453">
        <f ca="1">HLOOKUP($G115,'MFBaselines and Measures'!$C$3:$V$33,7,FALSE)</f>
        <v>3802.5240664273615</v>
      </c>
      <c r="O115" s="454"/>
      <c r="P115" s="455"/>
      <c r="Q115" s="455">
        <f ca="1">HLOOKUP($G115,'MFBaselines and Measures'!$C$3:$V$33,26,FALSE)</f>
        <v>291.68748062010144</v>
      </c>
      <c r="R115" s="455"/>
      <c r="S115" s="456"/>
      <c r="T115" s="456">
        <f ca="1">HLOOKUP($G115,'MFBaselines and Measures'!$C$3:$V$33,30,FALSE)</f>
        <v>11.149928959191751</v>
      </c>
      <c r="U115" s="456"/>
      <c r="V115" s="456"/>
      <c r="W115" s="457"/>
      <c r="X115" s="453"/>
      <c r="Y115" s="454"/>
      <c r="Z115" s="455"/>
      <c r="AA115" s="455">
        <f ca="1">HLOOKUP($H115,'MFBaselines and Measures'!$C$2:$V$33,27,FALSE)</f>
        <v>246.26249390348505</v>
      </c>
      <c r="AB115" s="455"/>
      <c r="AC115" s="456"/>
      <c r="AD115" s="456">
        <f ca="1">HLOOKUP($H115,'MFBaselines and Measures'!$C$2:$V$33,31,FALSE)</f>
        <v>9.4135315869570597</v>
      </c>
      <c r="AE115" s="456"/>
      <c r="AF115" s="456"/>
      <c r="AG115" s="457"/>
      <c r="AH115" s="453"/>
      <c r="AI115" s="454"/>
      <c r="AJ115" s="455"/>
      <c r="AK115" s="455">
        <f t="shared" ca="1" si="35"/>
        <v>45.424986716616388</v>
      </c>
      <c r="AL115" s="455"/>
      <c r="AM115" s="456"/>
      <c r="AN115" s="456">
        <f t="shared" ca="1" si="36"/>
        <v>1.7363973722346913</v>
      </c>
      <c r="AO115" s="456"/>
      <c r="AP115" s="456"/>
      <c r="AQ115" s="458"/>
      <c r="AR115" s="452" t="str">
        <f t="shared" si="41"/>
        <v>ENERGY STAR - Front-Load Clothes Washer - Gas DHW, Electric Dryer - 54% ENERGY STAR Baseline</v>
      </c>
      <c r="AS115" s="454">
        <f t="shared" si="42"/>
        <v>0</v>
      </c>
      <c r="AT115" s="455">
        <f t="shared" ca="1" si="43"/>
        <v>45.424986716616388</v>
      </c>
      <c r="AU115" s="456">
        <f t="shared" ca="1" si="44"/>
        <v>0</v>
      </c>
      <c r="AV115" s="456">
        <f t="shared" si="45"/>
        <v>0</v>
      </c>
      <c r="AW115" s="456"/>
      <c r="AX115" s="455">
        <f t="shared" ca="1" si="37"/>
        <v>48.752939172717923</v>
      </c>
      <c r="AY115" s="455"/>
      <c r="AZ115" s="458"/>
      <c r="BA115" s="450" t="str">
        <f t="shared" si="49"/>
        <v>ENERGY STAR - Front-Load Clothes Washer - Gas DHW, Electric Dryer - 54% ENERGY STAR Baseline</v>
      </c>
      <c r="BB115" s="450" t="s">
        <v>26</v>
      </c>
      <c r="BC115" s="455">
        <f t="shared" ca="1" si="46"/>
        <v>45.424986716616388</v>
      </c>
      <c r="BD115" s="455">
        <f>SFAssumptions!$C$7</f>
        <v>14</v>
      </c>
      <c r="BE115" s="459">
        <f t="shared" si="47"/>
        <v>0</v>
      </c>
      <c r="BF115" s="450"/>
      <c r="BG115" s="449" t="s">
        <v>159</v>
      </c>
      <c r="BH115" s="460"/>
      <c r="BI115" s="450"/>
      <c r="BJ115" s="450"/>
      <c r="BK115" s="450"/>
      <c r="BL115" s="450"/>
      <c r="BM115" s="450"/>
      <c r="BN115" s="450"/>
      <c r="BO115" s="461">
        <f t="shared" ca="1" si="48"/>
        <v>0</v>
      </c>
      <c r="BP115" s="450" t="s">
        <v>159</v>
      </c>
    </row>
    <row r="116" spans="1:68" s="309" customFormat="1">
      <c r="A116" s="450">
        <f t="shared" si="39"/>
        <v>39</v>
      </c>
      <c r="B116" s="450">
        <f t="shared" si="3"/>
        <v>2</v>
      </c>
      <c r="C116" s="450">
        <f t="shared" si="4"/>
        <v>9</v>
      </c>
      <c r="D116" s="450">
        <f t="shared" si="5"/>
        <v>2</v>
      </c>
      <c r="E116" s="450">
        <f t="shared" si="6"/>
        <v>4</v>
      </c>
      <c r="F116" s="450"/>
      <c r="G116" s="450" t="str">
        <f t="shared" si="13"/>
        <v>Current Practice Baseline Using 54% ENERGY STAR Penetration</v>
      </c>
      <c r="H116" s="450" t="str">
        <f t="shared" si="40"/>
        <v>ENERGY STAR - Front-Load</v>
      </c>
      <c r="I116" s="450" t="str">
        <f t="shared" si="7"/>
        <v>Gas DHW, Gas Dryer</v>
      </c>
      <c r="J116" s="450" t="str">
        <f t="shared" si="8"/>
        <v>Gas DHW</v>
      </c>
      <c r="K116" s="450" t="str">
        <f t="shared" si="9"/>
        <v>Gas Dryer</v>
      </c>
      <c r="L116" s="451">
        <f>VLOOKUP(J116,SFAssumptions!$A$14:$B$16,2,FALSE)</f>
        <v>0</v>
      </c>
      <c r="M116" s="452">
        <f>VLOOKUP(K116,SFAssumptions!$A$18:$B$20,2,FALSE)</f>
        <v>0</v>
      </c>
      <c r="N116" s="453">
        <f ca="1">HLOOKUP($G116,'MFBaselines and Measures'!$C$3:$V$33,7,FALSE)</f>
        <v>3802.5240664273615</v>
      </c>
      <c r="O116" s="454"/>
      <c r="P116" s="455"/>
      <c r="Q116" s="455">
        <f ca="1">HLOOKUP($G116,'MFBaselines and Measures'!$C$3:$V$33,26,FALSE)</f>
        <v>291.68748062010144</v>
      </c>
      <c r="R116" s="455"/>
      <c r="S116" s="456"/>
      <c r="T116" s="456">
        <f ca="1">HLOOKUP($G116,'MFBaselines and Measures'!$C$3:$V$33,30,FALSE)</f>
        <v>11.149928959191751</v>
      </c>
      <c r="U116" s="456"/>
      <c r="V116" s="456"/>
      <c r="W116" s="457"/>
      <c r="X116" s="453"/>
      <c r="Y116" s="454"/>
      <c r="Z116" s="455"/>
      <c r="AA116" s="455">
        <f ca="1">HLOOKUP($H116,'MFBaselines and Measures'!$C$2:$V$33,27,FALSE)</f>
        <v>246.26249390348505</v>
      </c>
      <c r="AB116" s="455"/>
      <c r="AC116" s="456"/>
      <c r="AD116" s="456">
        <f ca="1">HLOOKUP($H116,'MFBaselines and Measures'!$C$2:$V$33,31,FALSE)</f>
        <v>9.4135315869570597</v>
      </c>
      <c r="AE116" s="456"/>
      <c r="AF116" s="456"/>
      <c r="AG116" s="457"/>
      <c r="AH116" s="453"/>
      <c r="AI116" s="454"/>
      <c r="AJ116" s="455"/>
      <c r="AK116" s="455">
        <f t="shared" ca="1" si="35"/>
        <v>45.424986716616388</v>
      </c>
      <c r="AL116" s="455"/>
      <c r="AM116" s="456"/>
      <c r="AN116" s="456">
        <f t="shared" ca="1" si="36"/>
        <v>1.7363973722346913</v>
      </c>
      <c r="AO116" s="456"/>
      <c r="AP116" s="456"/>
      <c r="AQ116" s="458"/>
      <c r="AR116" s="452" t="str">
        <f t="shared" si="41"/>
        <v>ENERGY STAR - Front-Load Clothes Washer - Gas DHW, Gas Dryer - 54% ENERGY STAR Baseline</v>
      </c>
      <c r="AS116" s="454">
        <f t="shared" si="42"/>
        <v>0</v>
      </c>
      <c r="AT116" s="455">
        <f t="shared" ca="1" si="43"/>
        <v>0</v>
      </c>
      <c r="AU116" s="456">
        <f t="shared" ca="1" si="44"/>
        <v>1.7363973722346913</v>
      </c>
      <c r="AV116" s="456">
        <f t="shared" si="45"/>
        <v>0</v>
      </c>
      <c r="AW116" s="456"/>
      <c r="AX116" s="455">
        <f t="shared" ca="1" si="37"/>
        <v>3.3279524561015337</v>
      </c>
      <c r="AY116" s="455"/>
      <c r="AZ116" s="458"/>
      <c r="BA116" s="450" t="str">
        <f t="shared" si="49"/>
        <v>ENERGY STAR - Front-Load Clothes Washer - Gas DHW, Gas Dryer - 54% ENERGY STAR Baseline</v>
      </c>
      <c r="BB116" s="450" t="s">
        <v>26</v>
      </c>
      <c r="BC116" s="455">
        <f t="shared" ca="1" si="46"/>
        <v>0</v>
      </c>
      <c r="BD116" s="455">
        <f>SFAssumptions!$C$7</f>
        <v>14</v>
      </c>
      <c r="BE116" s="459">
        <f t="shared" si="47"/>
        <v>0</v>
      </c>
      <c r="BF116" s="450"/>
      <c r="BG116" s="449" t="s">
        <v>159</v>
      </c>
      <c r="BH116" s="460"/>
      <c r="BI116" s="450"/>
      <c r="BJ116" s="450"/>
      <c r="BK116" s="450"/>
      <c r="BL116" s="450"/>
      <c r="BM116" s="450"/>
      <c r="BN116" s="450"/>
      <c r="BO116" s="461">
        <f t="shared" ca="1" si="48"/>
        <v>1.7363973722346913</v>
      </c>
      <c r="BP116" s="450" t="s">
        <v>159</v>
      </c>
    </row>
    <row r="117" spans="1:68" s="309" customFormat="1">
      <c r="A117" s="450">
        <f t="shared" si="39"/>
        <v>40</v>
      </c>
      <c r="B117" s="450">
        <f t="shared" si="3"/>
        <v>2</v>
      </c>
      <c r="C117" s="450">
        <f t="shared" si="4"/>
        <v>10</v>
      </c>
      <c r="D117" s="450">
        <f t="shared" si="5"/>
        <v>2</v>
      </c>
      <c r="E117" s="450">
        <f t="shared" si="6"/>
        <v>5</v>
      </c>
      <c r="F117" s="450"/>
      <c r="G117" s="450" t="str">
        <f t="shared" si="13"/>
        <v>Current Practice Baseline Using 54% ENERGY STAR Penetration</v>
      </c>
      <c r="H117" s="450" t="str">
        <f t="shared" si="40"/>
        <v>ENERGY STAR - Front-Load</v>
      </c>
      <c r="I117" s="450" t="str">
        <f t="shared" si="7"/>
        <v>Any DHW, Any Dryer</v>
      </c>
      <c r="J117" s="450" t="str">
        <f t="shared" si="8"/>
        <v>Any DHW</v>
      </c>
      <c r="K117" s="450" t="str">
        <f t="shared" si="9"/>
        <v>Any Dryer</v>
      </c>
      <c r="L117" s="451">
        <f>VLOOKUP(J117,SFAssumptions!$A$14:$B$16,2,FALSE)</f>
        <v>0.55200000000000005</v>
      </c>
      <c r="M117" s="452">
        <f>VLOOKUP(K117,SFAssumptions!$A$18:$B$20,2,FALSE)</f>
        <v>0.95</v>
      </c>
      <c r="N117" s="453">
        <f ca="1">HLOOKUP($G117,'MFBaselines and Measures'!$C$3:$V$33,7,FALSE)</f>
        <v>3802.5240664273615</v>
      </c>
      <c r="O117" s="454"/>
      <c r="P117" s="455"/>
      <c r="Q117" s="455">
        <f ca="1">HLOOKUP($G117,'MFBaselines and Measures'!$C$3:$V$33,26,FALSE)</f>
        <v>291.68748062010144</v>
      </c>
      <c r="R117" s="455"/>
      <c r="S117" s="456"/>
      <c r="T117" s="456">
        <f ca="1">HLOOKUP($G117,'MFBaselines and Measures'!$C$3:$V$33,30,FALSE)</f>
        <v>11.149928959191751</v>
      </c>
      <c r="U117" s="456"/>
      <c r="V117" s="456"/>
      <c r="W117" s="457"/>
      <c r="X117" s="453"/>
      <c r="Y117" s="454"/>
      <c r="Z117" s="455"/>
      <c r="AA117" s="455">
        <f ca="1">HLOOKUP($H117,'MFBaselines and Measures'!$C$2:$V$33,27,FALSE)</f>
        <v>246.26249390348505</v>
      </c>
      <c r="AB117" s="455"/>
      <c r="AC117" s="456"/>
      <c r="AD117" s="456">
        <f ca="1">HLOOKUP($H117,'MFBaselines and Measures'!$C$2:$V$33,31,FALSE)</f>
        <v>9.4135315869570597</v>
      </c>
      <c r="AE117" s="456"/>
      <c r="AF117" s="456"/>
      <c r="AG117" s="457"/>
      <c r="AH117" s="453"/>
      <c r="AI117" s="454"/>
      <c r="AJ117" s="455"/>
      <c r="AK117" s="455">
        <f t="shared" ca="1" si="35"/>
        <v>45.424986716616388</v>
      </c>
      <c r="AL117" s="455"/>
      <c r="AM117" s="456"/>
      <c r="AN117" s="456">
        <f t="shared" ca="1" si="36"/>
        <v>1.7363973722346913</v>
      </c>
      <c r="AO117" s="456"/>
      <c r="AP117" s="456"/>
      <c r="AQ117" s="458"/>
      <c r="AR117" s="452" t="str">
        <f t="shared" si="41"/>
        <v>ENERGY STAR - Front-Load Clothes Washer - Any DHW, Any Dryer - 54% ENERGY STAR Baseline</v>
      </c>
      <c r="AS117" s="454">
        <f t="shared" si="42"/>
        <v>0</v>
      </c>
      <c r="AT117" s="455">
        <f t="shared" ca="1" si="43"/>
        <v>43.153737380785564</v>
      </c>
      <c r="AU117" s="456">
        <f t="shared" ca="1" si="44"/>
        <v>8.6819868611734644E-2</v>
      </c>
      <c r="AV117" s="456">
        <f t="shared" si="45"/>
        <v>0</v>
      </c>
      <c r="AW117" s="456"/>
      <c r="AX117" s="455">
        <f t="shared" ca="1" si="37"/>
        <v>46.481689836887099</v>
      </c>
      <c r="AY117" s="455"/>
      <c r="AZ117" s="458"/>
      <c r="BA117" s="450" t="str">
        <f t="shared" si="49"/>
        <v>ENERGY STAR - Front-Load Clothes Washer - Any DHW, Any Dryer - 54% ENERGY STAR Baseline</v>
      </c>
      <c r="BB117" s="450" t="s">
        <v>26</v>
      </c>
      <c r="BC117" s="455">
        <f t="shared" ca="1" si="46"/>
        <v>43.153737380785564</v>
      </c>
      <c r="BD117" s="455">
        <f>SFAssumptions!$C$7</f>
        <v>14</v>
      </c>
      <c r="BE117" s="459">
        <f t="shared" si="47"/>
        <v>0</v>
      </c>
      <c r="BF117" s="450"/>
      <c r="BG117" s="449" t="s">
        <v>159</v>
      </c>
      <c r="BH117" s="460"/>
      <c r="BI117" s="450"/>
      <c r="BJ117" s="450"/>
      <c r="BK117" s="450"/>
      <c r="BL117" s="450"/>
      <c r="BM117" s="450"/>
      <c r="BN117" s="450"/>
      <c r="BO117" s="461">
        <f t="shared" ca="1" si="48"/>
        <v>8.6819868611734644E-2</v>
      </c>
      <c r="BP117" s="450" t="s">
        <v>159</v>
      </c>
    </row>
    <row r="118" spans="1:68" s="309" customFormat="1">
      <c r="A118" s="450">
        <f t="shared" si="39"/>
        <v>41</v>
      </c>
      <c r="B118" s="450">
        <f t="shared" si="3"/>
        <v>2</v>
      </c>
      <c r="C118" s="450">
        <f t="shared" si="4"/>
        <v>11</v>
      </c>
      <c r="D118" s="450">
        <f t="shared" si="5"/>
        <v>3</v>
      </c>
      <c r="E118" s="450">
        <f t="shared" si="6"/>
        <v>1</v>
      </c>
      <c r="F118" s="450"/>
      <c r="G118" s="450" t="str">
        <f t="shared" si="13"/>
        <v>Current Practice Baseline Using 54% ENERGY STAR Penetration</v>
      </c>
      <c r="H118" s="450" t="str">
        <f t="shared" si="40"/>
        <v>Any ENERGY STAR (Top- or Front-Load)</v>
      </c>
      <c r="I118" s="450" t="str">
        <f t="shared" si="7"/>
        <v>Electric DHW, Electric Dryer</v>
      </c>
      <c r="J118" s="450" t="str">
        <f t="shared" si="8"/>
        <v>Electric DHW</v>
      </c>
      <c r="K118" s="450" t="str">
        <f t="shared" si="9"/>
        <v>Electric Dryer</v>
      </c>
      <c r="L118" s="451">
        <f>VLOOKUP(J118,SFAssumptions!$A$14:$B$16,2,FALSE)</f>
        <v>1</v>
      </c>
      <c r="M118" s="452">
        <f>VLOOKUP(K118,SFAssumptions!$A$18:$B$20,2,FALSE)</f>
        <v>1</v>
      </c>
      <c r="N118" s="453">
        <f ca="1">HLOOKUP($G118,'MFBaselines and Measures'!$C$3:$V$33,7,FALSE)</f>
        <v>3802.5240664273615</v>
      </c>
      <c r="O118" s="454"/>
      <c r="P118" s="455"/>
      <c r="Q118" s="455">
        <f ca="1">HLOOKUP($G118,'MFBaselines and Measures'!$C$3:$V$33,26,FALSE)</f>
        <v>291.68748062010144</v>
      </c>
      <c r="R118" s="455"/>
      <c r="S118" s="456"/>
      <c r="T118" s="456">
        <f ca="1">HLOOKUP($G118,'MFBaselines and Measures'!$C$3:$V$33,30,FALSE)</f>
        <v>11.149928959191751</v>
      </c>
      <c r="U118" s="456"/>
      <c r="V118" s="456"/>
      <c r="W118" s="457"/>
      <c r="X118" s="453"/>
      <c r="Y118" s="454"/>
      <c r="Z118" s="455"/>
      <c r="AA118" s="455">
        <f ca="1">HLOOKUP($H118,'MFBaselines and Measures'!$C$2:$V$33,27,FALSE)</f>
        <v>255.7715255440412</v>
      </c>
      <c r="AB118" s="455"/>
      <c r="AC118" s="456"/>
      <c r="AD118" s="456">
        <f ca="1">HLOOKUP($H118,'MFBaselines and Measures'!$C$2:$V$33,31,FALSE)</f>
        <v>9.7770200268363023</v>
      </c>
      <c r="AE118" s="456"/>
      <c r="AF118" s="456"/>
      <c r="AG118" s="457"/>
      <c r="AH118" s="453"/>
      <c r="AI118" s="454"/>
      <c r="AJ118" s="455"/>
      <c r="AK118" s="455">
        <f t="shared" ca="1" si="35"/>
        <v>35.915955076060243</v>
      </c>
      <c r="AL118" s="455"/>
      <c r="AM118" s="456"/>
      <c r="AN118" s="456">
        <f t="shared" ca="1" si="36"/>
        <v>1.3729089323554486</v>
      </c>
      <c r="AO118" s="456"/>
      <c r="AP118" s="456"/>
      <c r="AQ118" s="458"/>
      <c r="AR118" s="452" t="str">
        <f t="shared" si="41"/>
        <v>Any ENERGY STAR (Top- or Front-Load) Clothes Washer - Electric DHW, Electric Dryer - 54% ENERGY STAR Baseline</v>
      </c>
      <c r="AS118" s="454">
        <f t="shared" si="42"/>
        <v>0</v>
      </c>
      <c r="AT118" s="455">
        <f t="shared" ca="1" si="43"/>
        <v>35.915955076060243</v>
      </c>
      <c r="AU118" s="456">
        <f t="shared" ca="1" si="44"/>
        <v>0</v>
      </c>
      <c r="AV118" s="456">
        <f t="shared" si="45"/>
        <v>0</v>
      </c>
      <c r="AW118" s="456"/>
      <c r="AX118" s="455">
        <f t="shared" ca="1" si="37"/>
        <v>39.335373097385713</v>
      </c>
      <c r="AY118" s="455"/>
      <c r="AZ118" s="458"/>
      <c r="BA118" s="450" t="str">
        <f t="shared" si="49"/>
        <v>Any ENERGY STAR (Top- or Front-Load) Clothes Washer - Electric DHW, Electric Dryer - 54% ENERGY STAR Baseline</v>
      </c>
      <c r="BB118" s="450" t="s">
        <v>26</v>
      </c>
      <c r="BC118" s="455">
        <f t="shared" ca="1" si="46"/>
        <v>35.915955076060243</v>
      </c>
      <c r="BD118" s="455">
        <f>SFAssumptions!$C$7</f>
        <v>14</v>
      </c>
      <c r="BE118" s="459">
        <f t="shared" si="47"/>
        <v>0</v>
      </c>
      <c r="BF118" s="450"/>
      <c r="BG118" s="449" t="s">
        <v>159</v>
      </c>
      <c r="BH118" s="460"/>
      <c r="BI118" s="450"/>
      <c r="BJ118" s="450"/>
      <c r="BK118" s="450"/>
      <c r="BL118" s="450"/>
      <c r="BM118" s="450"/>
      <c r="BN118" s="450"/>
      <c r="BO118" s="461">
        <f t="shared" ca="1" si="48"/>
        <v>0</v>
      </c>
      <c r="BP118" s="450" t="s">
        <v>159</v>
      </c>
    </row>
    <row r="119" spans="1:68" s="309" customFormat="1">
      <c r="A119" s="450">
        <f t="shared" si="39"/>
        <v>42</v>
      </c>
      <c r="B119" s="450">
        <f t="shared" si="3"/>
        <v>2</v>
      </c>
      <c r="C119" s="450">
        <f t="shared" si="4"/>
        <v>12</v>
      </c>
      <c r="D119" s="450">
        <f t="shared" si="5"/>
        <v>3</v>
      </c>
      <c r="E119" s="450">
        <f t="shared" si="6"/>
        <v>2</v>
      </c>
      <c r="F119" s="450"/>
      <c r="G119" s="450" t="str">
        <f t="shared" si="13"/>
        <v>Current Practice Baseline Using 54% ENERGY STAR Penetration</v>
      </c>
      <c r="H119" s="450" t="str">
        <f t="shared" si="40"/>
        <v>Any ENERGY STAR (Top- or Front-Load)</v>
      </c>
      <c r="I119" s="450" t="str">
        <f t="shared" si="7"/>
        <v>Electric DHW, Gas Dryer</v>
      </c>
      <c r="J119" s="450" t="str">
        <f t="shared" si="8"/>
        <v>Electric DHW</v>
      </c>
      <c r="K119" s="450" t="str">
        <f t="shared" si="9"/>
        <v>Gas Dryer</v>
      </c>
      <c r="L119" s="451">
        <f>VLOOKUP(J119,SFAssumptions!$A$14:$B$16,2,FALSE)</f>
        <v>1</v>
      </c>
      <c r="M119" s="452">
        <f>VLOOKUP(K119,SFAssumptions!$A$18:$B$20,2,FALSE)</f>
        <v>0</v>
      </c>
      <c r="N119" s="453">
        <f ca="1">HLOOKUP($G119,'MFBaselines and Measures'!$C$3:$V$33,7,FALSE)</f>
        <v>3802.5240664273615</v>
      </c>
      <c r="O119" s="454"/>
      <c r="P119" s="455"/>
      <c r="Q119" s="455">
        <f ca="1">HLOOKUP($G119,'MFBaselines and Measures'!$C$3:$V$33,26,FALSE)</f>
        <v>291.68748062010144</v>
      </c>
      <c r="R119" s="455"/>
      <c r="S119" s="456"/>
      <c r="T119" s="456">
        <f ca="1">HLOOKUP($G119,'MFBaselines and Measures'!$C$3:$V$33,30,FALSE)</f>
        <v>11.149928959191751</v>
      </c>
      <c r="U119" s="456"/>
      <c r="V119" s="456"/>
      <c r="W119" s="457"/>
      <c r="X119" s="453"/>
      <c r="Y119" s="454"/>
      <c r="Z119" s="455"/>
      <c r="AA119" s="455">
        <f ca="1">HLOOKUP($H119,'MFBaselines and Measures'!$C$2:$V$33,27,FALSE)</f>
        <v>255.7715255440412</v>
      </c>
      <c r="AB119" s="455"/>
      <c r="AC119" s="456"/>
      <c r="AD119" s="456">
        <f ca="1">HLOOKUP($H119,'MFBaselines and Measures'!$C$2:$V$33,31,FALSE)</f>
        <v>9.7770200268363023</v>
      </c>
      <c r="AE119" s="456"/>
      <c r="AF119" s="456"/>
      <c r="AG119" s="457"/>
      <c r="AH119" s="453"/>
      <c r="AI119" s="454"/>
      <c r="AJ119" s="455"/>
      <c r="AK119" s="455">
        <f t="shared" ca="1" si="35"/>
        <v>35.915955076060243</v>
      </c>
      <c r="AL119" s="455"/>
      <c r="AM119" s="456"/>
      <c r="AN119" s="456">
        <f t="shared" ca="1" si="36"/>
        <v>1.3729089323554486</v>
      </c>
      <c r="AO119" s="456"/>
      <c r="AP119" s="456"/>
      <c r="AQ119" s="458"/>
      <c r="AR119" s="452" t="str">
        <f t="shared" si="41"/>
        <v>Any ENERGY STAR (Top- or Front-Load) Clothes Washer - Electric DHW, Gas Dryer - 54% ENERGY STAR Baseline</v>
      </c>
      <c r="AS119" s="454">
        <f t="shared" si="42"/>
        <v>0</v>
      </c>
      <c r="AT119" s="455">
        <f t="shared" ca="1" si="43"/>
        <v>0</v>
      </c>
      <c r="AU119" s="456">
        <f t="shared" ca="1" si="44"/>
        <v>1.3729089323554486</v>
      </c>
      <c r="AV119" s="456">
        <f t="shared" si="45"/>
        <v>0</v>
      </c>
      <c r="AW119" s="456"/>
      <c r="AX119" s="455">
        <f t="shared" ca="1" si="37"/>
        <v>3.4194180213254715</v>
      </c>
      <c r="AY119" s="455"/>
      <c r="AZ119" s="458"/>
      <c r="BA119" s="450" t="str">
        <f t="shared" si="49"/>
        <v>Any ENERGY STAR (Top- or Front-Load) Clothes Washer - Electric DHW, Gas Dryer - 54% ENERGY STAR Baseline</v>
      </c>
      <c r="BB119" s="450" t="s">
        <v>26</v>
      </c>
      <c r="BC119" s="455">
        <f t="shared" ca="1" si="46"/>
        <v>0</v>
      </c>
      <c r="BD119" s="455">
        <f>SFAssumptions!$C$7</f>
        <v>14</v>
      </c>
      <c r="BE119" s="459">
        <f t="shared" si="47"/>
        <v>0</v>
      </c>
      <c r="BF119" s="450"/>
      <c r="BG119" s="449" t="s">
        <v>159</v>
      </c>
      <c r="BH119" s="460"/>
      <c r="BI119" s="450"/>
      <c r="BJ119" s="450"/>
      <c r="BK119" s="450"/>
      <c r="BL119" s="450"/>
      <c r="BM119" s="450"/>
      <c r="BN119" s="450"/>
      <c r="BO119" s="461">
        <f t="shared" ca="1" si="48"/>
        <v>1.3729089323554486</v>
      </c>
      <c r="BP119" s="450" t="s">
        <v>159</v>
      </c>
    </row>
    <row r="120" spans="1:68" s="309" customFormat="1">
      <c r="A120" s="450">
        <f t="shared" si="39"/>
        <v>43</v>
      </c>
      <c r="B120" s="450">
        <f t="shared" si="3"/>
        <v>2</v>
      </c>
      <c r="C120" s="450">
        <f t="shared" si="4"/>
        <v>13</v>
      </c>
      <c r="D120" s="450">
        <f t="shared" si="5"/>
        <v>3</v>
      </c>
      <c r="E120" s="450">
        <f t="shared" si="6"/>
        <v>3</v>
      </c>
      <c r="F120" s="450"/>
      <c r="G120" s="450" t="str">
        <f t="shared" si="13"/>
        <v>Current Practice Baseline Using 54% ENERGY STAR Penetration</v>
      </c>
      <c r="H120" s="450" t="str">
        <f t="shared" si="40"/>
        <v>Any ENERGY STAR (Top- or Front-Load)</v>
      </c>
      <c r="I120" s="450" t="str">
        <f t="shared" si="7"/>
        <v>Gas DHW, Electric Dryer</v>
      </c>
      <c r="J120" s="450" t="str">
        <f t="shared" si="8"/>
        <v>Gas DHW</v>
      </c>
      <c r="K120" s="450" t="str">
        <f t="shared" si="9"/>
        <v>Electric Dryer</v>
      </c>
      <c r="L120" s="451">
        <f>VLOOKUP(J120,SFAssumptions!$A$14:$B$16,2,FALSE)</f>
        <v>0</v>
      </c>
      <c r="M120" s="452">
        <f>VLOOKUP(K120,SFAssumptions!$A$18:$B$20,2,FALSE)</f>
        <v>1</v>
      </c>
      <c r="N120" s="453">
        <f ca="1">HLOOKUP($G120,'MFBaselines and Measures'!$C$3:$V$33,7,FALSE)</f>
        <v>3802.5240664273615</v>
      </c>
      <c r="O120" s="454"/>
      <c r="P120" s="455"/>
      <c r="Q120" s="455">
        <f ca="1">HLOOKUP($G120,'MFBaselines and Measures'!$C$3:$V$33,26,FALSE)</f>
        <v>291.68748062010144</v>
      </c>
      <c r="R120" s="455"/>
      <c r="S120" s="456"/>
      <c r="T120" s="456">
        <f ca="1">HLOOKUP($G120,'MFBaselines and Measures'!$C$3:$V$33,30,FALSE)</f>
        <v>11.149928959191751</v>
      </c>
      <c r="U120" s="456"/>
      <c r="V120" s="456"/>
      <c r="W120" s="457"/>
      <c r="X120" s="453"/>
      <c r="Y120" s="454"/>
      <c r="Z120" s="455"/>
      <c r="AA120" s="455">
        <f ca="1">HLOOKUP($H120,'MFBaselines and Measures'!$C$2:$V$33,27,FALSE)</f>
        <v>255.7715255440412</v>
      </c>
      <c r="AB120" s="455"/>
      <c r="AC120" s="456"/>
      <c r="AD120" s="456">
        <f ca="1">HLOOKUP($H120,'MFBaselines and Measures'!$C$2:$V$33,31,FALSE)</f>
        <v>9.7770200268363023</v>
      </c>
      <c r="AE120" s="456"/>
      <c r="AF120" s="456"/>
      <c r="AG120" s="457"/>
      <c r="AH120" s="453"/>
      <c r="AI120" s="454"/>
      <c r="AJ120" s="455"/>
      <c r="AK120" s="455">
        <f t="shared" ca="1" si="35"/>
        <v>35.915955076060243</v>
      </c>
      <c r="AL120" s="455"/>
      <c r="AM120" s="456"/>
      <c r="AN120" s="456">
        <f t="shared" ca="1" si="36"/>
        <v>1.3729089323554486</v>
      </c>
      <c r="AO120" s="456"/>
      <c r="AP120" s="456"/>
      <c r="AQ120" s="458"/>
      <c r="AR120" s="452" t="str">
        <f t="shared" si="41"/>
        <v>Any ENERGY STAR (Top- or Front-Load) Clothes Washer - Gas DHW, Electric Dryer - 54% ENERGY STAR Baseline</v>
      </c>
      <c r="AS120" s="454">
        <f t="shared" si="42"/>
        <v>0</v>
      </c>
      <c r="AT120" s="455">
        <f t="shared" ca="1" si="43"/>
        <v>35.915955076060243</v>
      </c>
      <c r="AU120" s="456">
        <f t="shared" ca="1" si="44"/>
        <v>0</v>
      </c>
      <c r="AV120" s="456">
        <f t="shared" si="45"/>
        <v>0</v>
      </c>
      <c r="AW120" s="456"/>
      <c r="AX120" s="455">
        <f t="shared" ca="1" si="37"/>
        <v>39.335373097385713</v>
      </c>
      <c r="AY120" s="455"/>
      <c r="AZ120" s="458"/>
      <c r="BA120" s="450" t="str">
        <f t="shared" si="49"/>
        <v>Any ENERGY STAR (Top- or Front-Load) Clothes Washer - Gas DHW, Electric Dryer - 54% ENERGY STAR Baseline</v>
      </c>
      <c r="BB120" s="450" t="s">
        <v>26</v>
      </c>
      <c r="BC120" s="455">
        <f t="shared" ca="1" si="46"/>
        <v>35.915955076060243</v>
      </c>
      <c r="BD120" s="455">
        <f>SFAssumptions!$C$7</f>
        <v>14</v>
      </c>
      <c r="BE120" s="459">
        <f t="shared" si="47"/>
        <v>0</v>
      </c>
      <c r="BF120" s="450"/>
      <c r="BG120" s="449" t="s">
        <v>159</v>
      </c>
      <c r="BH120" s="460"/>
      <c r="BI120" s="450"/>
      <c r="BJ120" s="450"/>
      <c r="BK120" s="450"/>
      <c r="BL120" s="450"/>
      <c r="BM120" s="450"/>
      <c r="BN120" s="450"/>
      <c r="BO120" s="461">
        <f t="shared" ca="1" si="48"/>
        <v>0</v>
      </c>
      <c r="BP120" s="450" t="s">
        <v>159</v>
      </c>
    </row>
    <row r="121" spans="1:68" s="309" customFormat="1">
      <c r="A121" s="450">
        <f t="shared" si="39"/>
        <v>44</v>
      </c>
      <c r="B121" s="450">
        <f t="shared" si="3"/>
        <v>2</v>
      </c>
      <c r="C121" s="450">
        <f t="shared" si="4"/>
        <v>14</v>
      </c>
      <c r="D121" s="450">
        <f t="shared" si="5"/>
        <v>3</v>
      </c>
      <c r="E121" s="450">
        <f t="shared" si="6"/>
        <v>4</v>
      </c>
      <c r="F121" s="450"/>
      <c r="G121" s="450" t="str">
        <f t="shared" si="13"/>
        <v>Current Practice Baseline Using 54% ENERGY STAR Penetration</v>
      </c>
      <c r="H121" s="450" t="str">
        <f t="shared" si="40"/>
        <v>Any ENERGY STAR (Top- or Front-Load)</v>
      </c>
      <c r="I121" s="450" t="str">
        <f t="shared" si="7"/>
        <v>Gas DHW, Gas Dryer</v>
      </c>
      <c r="J121" s="450" t="str">
        <f t="shared" si="8"/>
        <v>Gas DHW</v>
      </c>
      <c r="K121" s="450" t="str">
        <f t="shared" si="9"/>
        <v>Gas Dryer</v>
      </c>
      <c r="L121" s="451">
        <f>VLOOKUP(J121,SFAssumptions!$A$14:$B$16,2,FALSE)</f>
        <v>0</v>
      </c>
      <c r="M121" s="452">
        <f>VLOOKUP(K121,SFAssumptions!$A$18:$B$20,2,FALSE)</f>
        <v>0</v>
      </c>
      <c r="N121" s="453">
        <f ca="1">HLOOKUP($G121,'MFBaselines and Measures'!$C$3:$V$33,7,FALSE)</f>
        <v>3802.5240664273615</v>
      </c>
      <c r="O121" s="454"/>
      <c r="P121" s="455"/>
      <c r="Q121" s="455">
        <f ca="1">HLOOKUP($G121,'MFBaselines and Measures'!$C$3:$V$33,26,FALSE)</f>
        <v>291.68748062010144</v>
      </c>
      <c r="R121" s="455"/>
      <c r="S121" s="456"/>
      <c r="T121" s="456">
        <f ca="1">HLOOKUP($G121,'MFBaselines and Measures'!$C$3:$V$33,30,FALSE)</f>
        <v>11.149928959191751</v>
      </c>
      <c r="U121" s="456"/>
      <c r="V121" s="456"/>
      <c r="W121" s="457"/>
      <c r="X121" s="453"/>
      <c r="Y121" s="454"/>
      <c r="Z121" s="455"/>
      <c r="AA121" s="455">
        <f ca="1">HLOOKUP($H121,'MFBaselines and Measures'!$C$2:$V$33,27,FALSE)</f>
        <v>255.7715255440412</v>
      </c>
      <c r="AB121" s="455"/>
      <c r="AC121" s="456"/>
      <c r="AD121" s="456">
        <f ca="1">HLOOKUP($H121,'MFBaselines and Measures'!$C$2:$V$33,31,FALSE)</f>
        <v>9.7770200268363023</v>
      </c>
      <c r="AE121" s="456"/>
      <c r="AF121" s="456"/>
      <c r="AG121" s="457"/>
      <c r="AH121" s="453"/>
      <c r="AI121" s="454"/>
      <c r="AJ121" s="455"/>
      <c r="AK121" s="455">
        <f t="shared" ca="1" si="35"/>
        <v>35.915955076060243</v>
      </c>
      <c r="AL121" s="455"/>
      <c r="AM121" s="456"/>
      <c r="AN121" s="456">
        <f t="shared" ca="1" si="36"/>
        <v>1.3729089323554486</v>
      </c>
      <c r="AO121" s="456"/>
      <c r="AP121" s="456"/>
      <c r="AQ121" s="458"/>
      <c r="AR121" s="452" t="str">
        <f t="shared" si="41"/>
        <v>Any ENERGY STAR (Top- or Front-Load) Clothes Washer - Gas DHW, Gas Dryer - 54% ENERGY STAR Baseline</v>
      </c>
      <c r="AS121" s="454">
        <f t="shared" si="42"/>
        <v>0</v>
      </c>
      <c r="AT121" s="455">
        <f t="shared" ca="1" si="43"/>
        <v>0</v>
      </c>
      <c r="AU121" s="456">
        <f t="shared" ca="1" si="44"/>
        <v>1.3729089323554486</v>
      </c>
      <c r="AV121" s="456">
        <f t="shared" si="45"/>
        <v>0</v>
      </c>
      <c r="AW121" s="456"/>
      <c r="AX121" s="455">
        <f t="shared" ca="1" si="37"/>
        <v>3.4194180213254715</v>
      </c>
      <c r="AY121" s="455"/>
      <c r="AZ121" s="458"/>
      <c r="BA121" s="450" t="str">
        <f t="shared" si="49"/>
        <v>Any ENERGY STAR (Top- or Front-Load) Clothes Washer - Gas DHW, Gas Dryer - 54% ENERGY STAR Baseline</v>
      </c>
      <c r="BB121" s="450" t="s">
        <v>26</v>
      </c>
      <c r="BC121" s="455">
        <f t="shared" ca="1" si="46"/>
        <v>0</v>
      </c>
      <c r="BD121" s="455">
        <f>SFAssumptions!$C$7</f>
        <v>14</v>
      </c>
      <c r="BE121" s="459">
        <f t="shared" si="47"/>
        <v>0</v>
      </c>
      <c r="BF121" s="450"/>
      <c r="BG121" s="449" t="s">
        <v>159</v>
      </c>
      <c r="BH121" s="460"/>
      <c r="BI121" s="450"/>
      <c r="BJ121" s="450"/>
      <c r="BK121" s="450"/>
      <c r="BL121" s="450"/>
      <c r="BM121" s="450"/>
      <c r="BN121" s="450"/>
      <c r="BO121" s="461">
        <f t="shared" ca="1" si="48"/>
        <v>1.3729089323554486</v>
      </c>
      <c r="BP121" s="450" t="s">
        <v>159</v>
      </c>
    </row>
    <row r="122" spans="1:68" s="309" customFormat="1">
      <c r="A122" s="450">
        <f t="shared" si="39"/>
        <v>45</v>
      </c>
      <c r="B122" s="450">
        <f t="shared" si="3"/>
        <v>2</v>
      </c>
      <c r="C122" s="450">
        <f t="shared" si="4"/>
        <v>15</v>
      </c>
      <c r="D122" s="450">
        <f t="shared" si="5"/>
        <v>3</v>
      </c>
      <c r="E122" s="450">
        <f t="shared" si="6"/>
        <v>5</v>
      </c>
      <c r="F122" s="450"/>
      <c r="G122" s="450" t="str">
        <f t="shared" si="13"/>
        <v>Current Practice Baseline Using 54% ENERGY STAR Penetration</v>
      </c>
      <c r="H122" s="450" t="str">
        <f t="shared" si="40"/>
        <v>Any ENERGY STAR (Top- or Front-Load)</v>
      </c>
      <c r="I122" s="450" t="str">
        <f t="shared" si="7"/>
        <v>Any DHW, Any Dryer</v>
      </c>
      <c r="J122" s="450" t="str">
        <f t="shared" si="8"/>
        <v>Any DHW</v>
      </c>
      <c r="K122" s="450" t="str">
        <f t="shared" si="9"/>
        <v>Any Dryer</v>
      </c>
      <c r="L122" s="451">
        <f>VLOOKUP(J122,SFAssumptions!$A$14:$B$16,2,FALSE)</f>
        <v>0.55200000000000005</v>
      </c>
      <c r="M122" s="452">
        <f>VLOOKUP(K122,SFAssumptions!$A$18:$B$20,2,FALSE)</f>
        <v>0.95</v>
      </c>
      <c r="N122" s="453">
        <f ca="1">HLOOKUP($G122,'MFBaselines and Measures'!$C$3:$V$33,7,FALSE)</f>
        <v>3802.5240664273615</v>
      </c>
      <c r="O122" s="454"/>
      <c r="P122" s="455"/>
      <c r="Q122" s="455">
        <f ca="1">HLOOKUP($G122,'MFBaselines and Measures'!$C$3:$V$33,26,FALSE)</f>
        <v>291.68748062010144</v>
      </c>
      <c r="R122" s="455"/>
      <c r="S122" s="456"/>
      <c r="T122" s="456">
        <f ca="1">HLOOKUP($G122,'MFBaselines and Measures'!$C$3:$V$33,30,FALSE)</f>
        <v>11.149928959191751</v>
      </c>
      <c r="U122" s="456"/>
      <c r="V122" s="456"/>
      <c r="W122" s="457"/>
      <c r="X122" s="453"/>
      <c r="Y122" s="454"/>
      <c r="Z122" s="455"/>
      <c r="AA122" s="455">
        <f ca="1">HLOOKUP($H122,'MFBaselines and Measures'!$C$2:$V$33,27,FALSE)</f>
        <v>255.7715255440412</v>
      </c>
      <c r="AB122" s="455"/>
      <c r="AC122" s="456"/>
      <c r="AD122" s="456">
        <f ca="1">HLOOKUP($H122,'MFBaselines and Measures'!$C$2:$V$33,31,FALSE)</f>
        <v>9.7770200268363023</v>
      </c>
      <c r="AE122" s="456"/>
      <c r="AF122" s="456"/>
      <c r="AG122" s="457"/>
      <c r="AH122" s="453"/>
      <c r="AI122" s="454"/>
      <c r="AJ122" s="455"/>
      <c r="AK122" s="455">
        <f t="shared" ca="1" si="35"/>
        <v>35.915955076060243</v>
      </c>
      <c r="AL122" s="455"/>
      <c r="AM122" s="456"/>
      <c r="AN122" s="456">
        <f t="shared" ca="1" si="36"/>
        <v>1.3729089323554486</v>
      </c>
      <c r="AO122" s="456"/>
      <c r="AP122" s="456"/>
      <c r="AQ122" s="458"/>
      <c r="AR122" s="452" t="str">
        <f t="shared" si="41"/>
        <v>Any ENERGY STAR (Top- or Front-Load) Clothes Washer - Any DHW, Any Dryer - 54% ENERGY STAR Baseline</v>
      </c>
      <c r="AS122" s="454">
        <f t="shared" si="42"/>
        <v>0</v>
      </c>
      <c r="AT122" s="455">
        <f t="shared" ca="1" si="43"/>
        <v>34.120157322257228</v>
      </c>
      <c r="AU122" s="456">
        <f t="shared" ca="1" si="44"/>
        <v>6.8645446617772499E-2</v>
      </c>
      <c r="AV122" s="456">
        <f t="shared" si="45"/>
        <v>0</v>
      </c>
      <c r="AW122" s="456"/>
      <c r="AX122" s="455">
        <f t="shared" ca="1" si="37"/>
        <v>37.539575343582698</v>
      </c>
      <c r="AY122" s="455"/>
      <c r="AZ122" s="458"/>
      <c r="BA122" s="450" t="str">
        <f t="shared" si="49"/>
        <v>Any ENERGY STAR (Top- or Front-Load) Clothes Washer - Any DHW, Any Dryer - 54% ENERGY STAR Baseline</v>
      </c>
      <c r="BB122" s="450" t="s">
        <v>26</v>
      </c>
      <c r="BC122" s="455">
        <f t="shared" ca="1" si="46"/>
        <v>34.120157322257228</v>
      </c>
      <c r="BD122" s="455">
        <f>SFAssumptions!$C$7</f>
        <v>14</v>
      </c>
      <c r="BE122" s="459">
        <f t="shared" si="47"/>
        <v>0</v>
      </c>
      <c r="BF122" s="450"/>
      <c r="BG122" s="449" t="s">
        <v>159</v>
      </c>
      <c r="BH122" s="460"/>
      <c r="BI122" s="450"/>
      <c r="BJ122" s="450"/>
      <c r="BK122" s="450"/>
      <c r="BL122" s="450"/>
      <c r="BM122" s="450"/>
      <c r="BN122" s="450"/>
      <c r="BO122" s="461">
        <f t="shared" ca="1" si="48"/>
        <v>6.8645446617772499E-2</v>
      </c>
      <c r="BP122" s="450" t="s">
        <v>159</v>
      </c>
    </row>
    <row r="123" spans="1:68" s="309" customFormat="1">
      <c r="A123" s="450">
        <f t="shared" si="39"/>
        <v>46</v>
      </c>
      <c r="B123" s="450">
        <f t="shared" si="3"/>
        <v>2</v>
      </c>
      <c r="C123" s="450">
        <f t="shared" si="4"/>
        <v>16</v>
      </c>
      <c r="D123" s="450">
        <f t="shared" si="5"/>
        <v>4</v>
      </c>
      <c r="E123" s="450">
        <f t="shared" si="6"/>
        <v>1</v>
      </c>
      <c r="F123" s="450"/>
      <c r="G123" s="450" t="str">
        <f t="shared" si="13"/>
        <v>Current Practice Baseline Using 54% ENERGY STAR Penetration</v>
      </c>
      <c r="H123" s="450" t="str">
        <f t="shared" si="40"/>
        <v>CEE Tier 1</v>
      </c>
      <c r="I123" s="450" t="str">
        <f t="shared" si="7"/>
        <v>Electric DHW, Electric Dryer</v>
      </c>
      <c r="J123" s="450" t="str">
        <f t="shared" si="8"/>
        <v>Electric DHW</v>
      </c>
      <c r="K123" s="450" t="str">
        <f t="shared" si="9"/>
        <v>Electric Dryer</v>
      </c>
      <c r="L123" s="451">
        <f>VLOOKUP(J123,SFAssumptions!$A$14:$B$16,2,FALSE)</f>
        <v>1</v>
      </c>
      <c r="M123" s="452">
        <f>VLOOKUP(K123,SFAssumptions!$A$18:$B$20,2,FALSE)</f>
        <v>1</v>
      </c>
      <c r="N123" s="453">
        <f ca="1">HLOOKUP($G123,'MFBaselines and Measures'!$C$3:$V$33,7,FALSE)</f>
        <v>3802.5240664273615</v>
      </c>
      <c r="O123" s="454"/>
      <c r="P123" s="455"/>
      <c r="Q123" s="455">
        <f ca="1">HLOOKUP($G123,'MFBaselines and Measures'!$C$3:$V$33,26,FALSE)</f>
        <v>291.68748062010144</v>
      </c>
      <c r="R123" s="455"/>
      <c r="S123" s="456"/>
      <c r="T123" s="456">
        <f ca="1">HLOOKUP($G123,'MFBaselines and Measures'!$C$3:$V$33,30,FALSE)</f>
        <v>11.149928959191751</v>
      </c>
      <c r="U123" s="456"/>
      <c r="V123" s="456"/>
      <c r="W123" s="457"/>
      <c r="X123" s="453"/>
      <c r="Y123" s="454"/>
      <c r="Z123" s="455"/>
      <c r="AA123" s="455">
        <f ca="1">HLOOKUP($H123,'MFBaselines and Measures'!$C$2:$V$33,27,FALSE)</f>
        <v>256.30334386885011</v>
      </c>
      <c r="AB123" s="455"/>
      <c r="AC123" s="456"/>
      <c r="AD123" s="456">
        <f ca="1">HLOOKUP($H123,'MFBaselines and Measures'!$C$2:$V$33,31,FALSE)</f>
        <v>9.7973491013931167</v>
      </c>
      <c r="AE123" s="456"/>
      <c r="AF123" s="456"/>
      <c r="AG123" s="457"/>
      <c r="AH123" s="453"/>
      <c r="AI123" s="454"/>
      <c r="AJ123" s="455"/>
      <c r="AK123" s="455">
        <f t="shared" ca="1" si="35"/>
        <v>35.384136751251333</v>
      </c>
      <c r="AL123" s="455"/>
      <c r="AM123" s="456"/>
      <c r="AN123" s="456">
        <f t="shared" ca="1" si="36"/>
        <v>1.3525798577986343</v>
      </c>
      <c r="AO123" s="456"/>
      <c r="AP123" s="456"/>
      <c r="AQ123" s="458"/>
      <c r="AR123" s="452" t="str">
        <f t="shared" si="41"/>
        <v>CEE Tier 1 Clothes Washer - Electric DHW, Electric Dryer - 54% ENERGY STAR Baseline</v>
      </c>
      <c r="AS123" s="454">
        <f t="shared" si="42"/>
        <v>0</v>
      </c>
      <c r="AT123" s="455">
        <f t="shared" ca="1" si="43"/>
        <v>35.384136751251333</v>
      </c>
      <c r="AU123" s="456">
        <f t="shared" ca="1" si="44"/>
        <v>0</v>
      </c>
      <c r="AV123" s="456">
        <f t="shared" si="45"/>
        <v>0</v>
      </c>
      <c r="AW123" s="456"/>
      <c r="AX123" s="455" t="e">
        <f ca="1">AT123+#REF!</f>
        <v>#REF!</v>
      </c>
      <c r="AY123" s="455"/>
      <c r="AZ123" s="458"/>
      <c r="BA123" s="450" t="str">
        <f t="shared" si="49"/>
        <v>CEE Tier 1 Clothes Washer - Electric DHW, Electric Dryer - 54% ENERGY STAR Baseline</v>
      </c>
      <c r="BB123" s="450" t="s">
        <v>26</v>
      </c>
      <c r="BC123" s="455">
        <f t="shared" ca="1" si="46"/>
        <v>35.384136751251333</v>
      </c>
      <c r="BD123" s="455">
        <f>SFAssumptions!$C$7</f>
        <v>14</v>
      </c>
      <c r="BE123" s="459">
        <f t="shared" si="47"/>
        <v>0</v>
      </c>
      <c r="BF123" s="450"/>
      <c r="BG123" s="449" t="s">
        <v>159</v>
      </c>
      <c r="BH123" s="460"/>
      <c r="BI123" s="450"/>
      <c r="BJ123" s="450"/>
      <c r="BK123" s="450"/>
      <c r="BL123" s="450"/>
      <c r="BM123" s="450"/>
      <c r="BN123" s="450"/>
      <c r="BO123" s="461">
        <f t="shared" ca="1" si="48"/>
        <v>0</v>
      </c>
      <c r="BP123" s="450" t="s">
        <v>159</v>
      </c>
    </row>
    <row r="124" spans="1:68" s="309" customFormat="1">
      <c r="A124" s="450">
        <f t="shared" si="39"/>
        <v>47</v>
      </c>
      <c r="B124" s="450">
        <f t="shared" si="3"/>
        <v>2</v>
      </c>
      <c r="C124" s="450">
        <f t="shared" si="4"/>
        <v>17</v>
      </c>
      <c r="D124" s="450">
        <f t="shared" si="5"/>
        <v>4</v>
      </c>
      <c r="E124" s="450">
        <f t="shared" si="6"/>
        <v>2</v>
      </c>
      <c r="F124" s="450"/>
      <c r="G124" s="450" t="str">
        <f t="shared" si="13"/>
        <v>Current Practice Baseline Using 54% ENERGY STAR Penetration</v>
      </c>
      <c r="H124" s="450" t="str">
        <f t="shared" si="40"/>
        <v>CEE Tier 1</v>
      </c>
      <c r="I124" s="450" t="str">
        <f t="shared" si="7"/>
        <v>Electric DHW, Gas Dryer</v>
      </c>
      <c r="J124" s="450" t="str">
        <f t="shared" si="8"/>
        <v>Electric DHW</v>
      </c>
      <c r="K124" s="450" t="str">
        <f t="shared" si="9"/>
        <v>Gas Dryer</v>
      </c>
      <c r="L124" s="451">
        <f>VLOOKUP(J124,SFAssumptions!$A$14:$B$16,2,FALSE)</f>
        <v>1</v>
      </c>
      <c r="M124" s="452">
        <f>VLOOKUP(K124,SFAssumptions!$A$18:$B$20,2,FALSE)</f>
        <v>0</v>
      </c>
      <c r="N124" s="453">
        <f ca="1">HLOOKUP($G124,'MFBaselines and Measures'!$C$3:$V$33,7,FALSE)</f>
        <v>3802.5240664273615</v>
      </c>
      <c r="O124" s="454"/>
      <c r="P124" s="455"/>
      <c r="Q124" s="455">
        <f ca="1">HLOOKUP($G124,'MFBaselines and Measures'!$C$3:$V$33,26,FALSE)</f>
        <v>291.68748062010144</v>
      </c>
      <c r="R124" s="455"/>
      <c r="S124" s="456"/>
      <c r="T124" s="456">
        <f ca="1">HLOOKUP($G124,'MFBaselines and Measures'!$C$3:$V$33,30,FALSE)</f>
        <v>11.149928959191751</v>
      </c>
      <c r="U124" s="456"/>
      <c r="V124" s="456"/>
      <c r="W124" s="457"/>
      <c r="X124" s="453"/>
      <c r="Y124" s="454"/>
      <c r="Z124" s="455"/>
      <c r="AA124" s="455">
        <f ca="1">HLOOKUP($H124,'MFBaselines and Measures'!$C$2:$V$33,27,FALSE)</f>
        <v>256.30334386885011</v>
      </c>
      <c r="AB124" s="455"/>
      <c r="AC124" s="456"/>
      <c r="AD124" s="456">
        <f ca="1">HLOOKUP($H124,'MFBaselines and Measures'!$C$2:$V$33,31,FALSE)</f>
        <v>9.7973491013931167</v>
      </c>
      <c r="AE124" s="456"/>
      <c r="AF124" s="456"/>
      <c r="AG124" s="457"/>
      <c r="AH124" s="453"/>
      <c r="AI124" s="454"/>
      <c r="AJ124" s="455"/>
      <c r="AK124" s="455">
        <f t="shared" ca="1" si="35"/>
        <v>35.384136751251333</v>
      </c>
      <c r="AL124" s="455"/>
      <c r="AM124" s="456"/>
      <c r="AN124" s="456">
        <f t="shared" ca="1" si="36"/>
        <v>1.3525798577986343</v>
      </c>
      <c r="AO124" s="456"/>
      <c r="AP124" s="456"/>
      <c r="AQ124" s="458"/>
      <c r="AR124" s="452" t="str">
        <f t="shared" si="41"/>
        <v>CEE Tier 1 Clothes Washer - Electric DHW, Gas Dryer - 54% ENERGY STAR Baseline</v>
      </c>
      <c r="AS124" s="454">
        <f t="shared" si="42"/>
        <v>0</v>
      </c>
      <c r="AT124" s="455">
        <f t="shared" ca="1" si="43"/>
        <v>0</v>
      </c>
      <c r="AU124" s="456">
        <f t="shared" ca="1" si="44"/>
        <v>1.3525798577986343</v>
      </c>
      <c r="AV124" s="456">
        <f t="shared" si="45"/>
        <v>0</v>
      </c>
      <c r="AW124" s="456"/>
      <c r="AX124" s="455" t="e">
        <f ca="1">AT124+#REF!</f>
        <v>#REF!</v>
      </c>
      <c r="AY124" s="455"/>
      <c r="AZ124" s="458"/>
      <c r="BA124" s="450" t="str">
        <f t="shared" si="49"/>
        <v>CEE Tier 1 Clothes Washer - Electric DHW, Gas Dryer - 54% ENERGY STAR Baseline</v>
      </c>
      <c r="BB124" s="450" t="s">
        <v>26</v>
      </c>
      <c r="BC124" s="455">
        <f t="shared" ca="1" si="46"/>
        <v>0</v>
      </c>
      <c r="BD124" s="455">
        <f>SFAssumptions!$C$7</f>
        <v>14</v>
      </c>
      <c r="BE124" s="459">
        <f t="shared" si="47"/>
        <v>0</v>
      </c>
      <c r="BF124" s="450"/>
      <c r="BG124" s="449" t="s">
        <v>159</v>
      </c>
      <c r="BH124" s="460"/>
      <c r="BI124" s="450"/>
      <c r="BJ124" s="450"/>
      <c r="BK124" s="450"/>
      <c r="BL124" s="450"/>
      <c r="BM124" s="450"/>
      <c r="BN124" s="450"/>
      <c r="BO124" s="461">
        <f t="shared" ca="1" si="48"/>
        <v>1.3525798577986343</v>
      </c>
      <c r="BP124" s="450" t="s">
        <v>159</v>
      </c>
    </row>
    <row r="125" spans="1:68" s="309" customFormat="1">
      <c r="A125" s="450">
        <f t="shared" si="39"/>
        <v>48</v>
      </c>
      <c r="B125" s="450">
        <f t="shared" si="3"/>
        <v>2</v>
      </c>
      <c r="C125" s="450">
        <f t="shared" si="4"/>
        <v>18</v>
      </c>
      <c r="D125" s="450">
        <f t="shared" si="5"/>
        <v>4</v>
      </c>
      <c r="E125" s="450">
        <f t="shared" si="6"/>
        <v>3</v>
      </c>
      <c r="F125" s="450"/>
      <c r="G125" s="450" t="str">
        <f t="shared" si="13"/>
        <v>Current Practice Baseline Using 54% ENERGY STAR Penetration</v>
      </c>
      <c r="H125" s="450" t="str">
        <f t="shared" si="40"/>
        <v>CEE Tier 1</v>
      </c>
      <c r="I125" s="450" t="str">
        <f t="shared" si="7"/>
        <v>Gas DHW, Electric Dryer</v>
      </c>
      <c r="J125" s="450" t="str">
        <f t="shared" si="8"/>
        <v>Gas DHW</v>
      </c>
      <c r="K125" s="450" t="str">
        <f t="shared" si="9"/>
        <v>Electric Dryer</v>
      </c>
      <c r="L125" s="451">
        <f>VLOOKUP(J125,SFAssumptions!$A$14:$B$16,2,FALSE)</f>
        <v>0</v>
      </c>
      <c r="M125" s="452">
        <f>VLOOKUP(K125,SFAssumptions!$A$18:$B$20,2,FALSE)</f>
        <v>1</v>
      </c>
      <c r="N125" s="453">
        <f ca="1">HLOOKUP($G125,'MFBaselines and Measures'!$C$3:$V$33,7,FALSE)</f>
        <v>3802.5240664273615</v>
      </c>
      <c r="O125" s="454"/>
      <c r="P125" s="455"/>
      <c r="Q125" s="455">
        <f ca="1">HLOOKUP($G125,'MFBaselines and Measures'!$C$3:$V$33,26,FALSE)</f>
        <v>291.68748062010144</v>
      </c>
      <c r="R125" s="455"/>
      <c r="S125" s="456"/>
      <c r="T125" s="456">
        <f ca="1">HLOOKUP($G125,'MFBaselines and Measures'!$C$3:$V$33,30,FALSE)</f>
        <v>11.149928959191751</v>
      </c>
      <c r="U125" s="456"/>
      <c r="V125" s="456"/>
      <c r="W125" s="457"/>
      <c r="X125" s="453"/>
      <c r="Y125" s="454"/>
      <c r="Z125" s="455"/>
      <c r="AA125" s="455">
        <f ca="1">HLOOKUP($H125,'MFBaselines and Measures'!$C$2:$V$33,27,FALSE)</f>
        <v>256.30334386885011</v>
      </c>
      <c r="AB125" s="455"/>
      <c r="AC125" s="456"/>
      <c r="AD125" s="456">
        <f ca="1">HLOOKUP($H125,'MFBaselines and Measures'!$C$2:$V$33,31,FALSE)</f>
        <v>9.7973491013931167</v>
      </c>
      <c r="AE125" s="456"/>
      <c r="AF125" s="456"/>
      <c r="AG125" s="457"/>
      <c r="AH125" s="453"/>
      <c r="AI125" s="454"/>
      <c r="AJ125" s="455"/>
      <c r="AK125" s="455">
        <f t="shared" ca="1" si="35"/>
        <v>35.384136751251333</v>
      </c>
      <c r="AL125" s="455"/>
      <c r="AM125" s="456"/>
      <c r="AN125" s="456">
        <f t="shared" ca="1" si="36"/>
        <v>1.3525798577986343</v>
      </c>
      <c r="AO125" s="456"/>
      <c r="AP125" s="456"/>
      <c r="AQ125" s="458"/>
      <c r="AR125" s="452" t="str">
        <f t="shared" si="41"/>
        <v>CEE Tier 1 Clothes Washer - Gas DHW, Electric Dryer - 54% ENERGY STAR Baseline</v>
      </c>
      <c r="AS125" s="454">
        <f t="shared" si="42"/>
        <v>0</v>
      </c>
      <c r="AT125" s="455">
        <f t="shared" ca="1" si="43"/>
        <v>35.384136751251333</v>
      </c>
      <c r="AU125" s="456">
        <f t="shared" ca="1" si="44"/>
        <v>0</v>
      </c>
      <c r="AV125" s="456">
        <f t="shared" si="45"/>
        <v>0</v>
      </c>
      <c r="AW125" s="456"/>
      <c r="AX125" s="455" t="e">
        <f ca="1">AT125+#REF!</f>
        <v>#REF!</v>
      </c>
      <c r="AY125" s="455"/>
      <c r="AZ125" s="458"/>
      <c r="BA125" s="450" t="str">
        <f t="shared" si="49"/>
        <v>CEE Tier 1 Clothes Washer - Gas DHW, Electric Dryer - 54% ENERGY STAR Baseline</v>
      </c>
      <c r="BB125" s="450" t="s">
        <v>26</v>
      </c>
      <c r="BC125" s="455">
        <f t="shared" ca="1" si="46"/>
        <v>35.384136751251333</v>
      </c>
      <c r="BD125" s="455">
        <f>SFAssumptions!$C$7</f>
        <v>14</v>
      </c>
      <c r="BE125" s="459">
        <f t="shared" si="47"/>
        <v>0</v>
      </c>
      <c r="BF125" s="450"/>
      <c r="BG125" s="449" t="s">
        <v>159</v>
      </c>
      <c r="BH125" s="460"/>
      <c r="BI125" s="450"/>
      <c r="BJ125" s="450"/>
      <c r="BK125" s="450"/>
      <c r="BL125" s="450"/>
      <c r="BM125" s="450"/>
      <c r="BN125" s="450"/>
      <c r="BO125" s="461">
        <f t="shared" ca="1" si="48"/>
        <v>0</v>
      </c>
      <c r="BP125" s="450" t="s">
        <v>159</v>
      </c>
    </row>
    <row r="126" spans="1:68" s="309" customFormat="1">
      <c r="A126" s="450">
        <f t="shared" si="39"/>
        <v>49</v>
      </c>
      <c r="B126" s="450">
        <f t="shared" si="3"/>
        <v>2</v>
      </c>
      <c r="C126" s="450">
        <f t="shared" si="4"/>
        <v>19</v>
      </c>
      <c r="D126" s="450">
        <f t="shared" si="5"/>
        <v>4</v>
      </c>
      <c r="E126" s="450">
        <f t="shared" si="6"/>
        <v>4</v>
      </c>
      <c r="F126" s="450"/>
      <c r="G126" s="450" t="str">
        <f t="shared" si="13"/>
        <v>Current Practice Baseline Using 54% ENERGY STAR Penetration</v>
      </c>
      <c r="H126" s="450" t="str">
        <f t="shared" si="40"/>
        <v>CEE Tier 1</v>
      </c>
      <c r="I126" s="450" t="str">
        <f t="shared" si="7"/>
        <v>Gas DHW, Gas Dryer</v>
      </c>
      <c r="J126" s="450" t="str">
        <f t="shared" si="8"/>
        <v>Gas DHW</v>
      </c>
      <c r="K126" s="450" t="str">
        <f t="shared" si="9"/>
        <v>Gas Dryer</v>
      </c>
      <c r="L126" s="451">
        <f>VLOOKUP(J126,SFAssumptions!$A$14:$B$16,2,FALSE)</f>
        <v>0</v>
      </c>
      <c r="M126" s="452">
        <f>VLOOKUP(K126,SFAssumptions!$A$18:$B$20,2,FALSE)</f>
        <v>0</v>
      </c>
      <c r="N126" s="453">
        <f ca="1">HLOOKUP($G126,'MFBaselines and Measures'!$C$3:$V$33,7,FALSE)</f>
        <v>3802.5240664273615</v>
      </c>
      <c r="O126" s="454"/>
      <c r="P126" s="455"/>
      <c r="Q126" s="455">
        <f ca="1">HLOOKUP($G126,'MFBaselines and Measures'!$C$3:$V$33,26,FALSE)</f>
        <v>291.68748062010144</v>
      </c>
      <c r="R126" s="455"/>
      <c r="S126" s="456"/>
      <c r="T126" s="456">
        <f ca="1">HLOOKUP($G126,'MFBaselines and Measures'!$C$3:$V$33,30,FALSE)</f>
        <v>11.149928959191751</v>
      </c>
      <c r="U126" s="456"/>
      <c r="V126" s="456"/>
      <c r="W126" s="457"/>
      <c r="X126" s="453"/>
      <c r="Y126" s="454"/>
      <c r="Z126" s="455"/>
      <c r="AA126" s="455">
        <f ca="1">HLOOKUP($H126,'MFBaselines and Measures'!$C$2:$V$33,27,FALSE)</f>
        <v>256.30334386885011</v>
      </c>
      <c r="AB126" s="455"/>
      <c r="AC126" s="456"/>
      <c r="AD126" s="456">
        <f ca="1">HLOOKUP($H126,'MFBaselines and Measures'!$C$2:$V$33,31,FALSE)</f>
        <v>9.7973491013931167</v>
      </c>
      <c r="AE126" s="456"/>
      <c r="AF126" s="456"/>
      <c r="AG126" s="457"/>
      <c r="AH126" s="453"/>
      <c r="AI126" s="454"/>
      <c r="AJ126" s="455"/>
      <c r="AK126" s="455">
        <f t="shared" ca="1" si="35"/>
        <v>35.384136751251333</v>
      </c>
      <c r="AL126" s="455"/>
      <c r="AM126" s="456"/>
      <c r="AN126" s="456">
        <f t="shared" ca="1" si="36"/>
        <v>1.3525798577986343</v>
      </c>
      <c r="AO126" s="456"/>
      <c r="AP126" s="456"/>
      <c r="AQ126" s="458"/>
      <c r="AR126" s="452" t="str">
        <f t="shared" si="41"/>
        <v>CEE Tier 1 Clothes Washer - Gas DHW, Gas Dryer - 54% ENERGY STAR Baseline</v>
      </c>
      <c r="AS126" s="454">
        <f t="shared" si="42"/>
        <v>0</v>
      </c>
      <c r="AT126" s="455">
        <f t="shared" ca="1" si="43"/>
        <v>0</v>
      </c>
      <c r="AU126" s="456">
        <f t="shared" ca="1" si="44"/>
        <v>1.3525798577986343</v>
      </c>
      <c r="AV126" s="456">
        <f t="shared" si="45"/>
        <v>0</v>
      </c>
      <c r="AW126" s="456"/>
      <c r="AX126" s="455">
        <f t="shared" ref="AX126:AX137" ca="1" si="50">AT126+BC198</f>
        <v>0</v>
      </c>
      <c r="AY126" s="455"/>
      <c r="AZ126" s="458"/>
      <c r="BA126" s="450" t="str">
        <f t="shared" si="49"/>
        <v>CEE Tier 1 Clothes Washer - Gas DHW, Gas Dryer - 54% ENERGY STAR Baseline</v>
      </c>
      <c r="BB126" s="450" t="s">
        <v>26</v>
      </c>
      <c r="BC126" s="455">
        <f t="shared" ca="1" si="46"/>
        <v>0</v>
      </c>
      <c r="BD126" s="455">
        <f>SFAssumptions!$C$7</f>
        <v>14</v>
      </c>
      <c r="BE126" s="459">
        <f t="shared" si="47"/>
        <v>0</v>
      </c>
      <c r="BF126" s="450"/>
      <c r="BG126" s="449" t="s">
        <v>159</v>
      </c>
      <c r="BH126" s="460"/>
      <c r="BI126" s="450"/>
      <c r="BJ126" s="450"/>
      <c r="BK126" s="450"/>
      <c r="BL126" s="450"/>
      <c r="BM126" s="450"/>
      <c r="BN126" s="450"/>
      <c r="BO126" s="461">
        <f t="shared" ca="1" si="48"/>
        <v>1.3525798577986343</v>
      </c>
      <c r="BP126" s="450" t="s">
        <v>159</v>
      </c>
    </row>
    <row r="127" spans="1:68" s="309" customFormat="1">
      <c r="A127" s="450">
        <f t="shared" si="39"/>
        <v>50</v>
      </c>
      <c r="B127" s="450">
        <f t="shared" si="3"/>
        <v>2</v>
      </c>
      <c r="C127" s="450">
        <f t="shared" si="4"/>
        <v>20</v>
      </c>
      <c r="D127" s="450">
        <f t="shared" si="5"/>
        <v>4</v>
      </c>
      <c r="E127" s="450">
        <f t="shared" si="6"/>
        <v>5</v>
      </c>
      <c r="F127" s="450"/>
      <c r="G127" s="450" t="str">
        <f t="shared" si="13"/>
        <v>Current Practice Baseline Using 54% ENERGY STAR Penetration</v>
      </c>
      <c r="H127" s="450" t="str">
        <f t="shared" si="40"/>
        <v>CEE Tier 1</v>
      </c>
      <c r="I127" s="450" t="str">
        <f t="shared" si="7"/>
        <v>Any DHW, Any Dryer</v>
      </c>
      <c r="J127" s="450" t="str">
        <f t="shared" si="8"/>
        <v>Any DHW</v>
      </c>
      <c r="K127" s="450" t="str">
        <f t="shared" si="9"/>
        <v>Any Dryer</v>
      </c>
      <c r="L127" s="451">
        <f>VLOOKUP(J127,SFAssumptions!$A$14:$B$16,2,FALSE)</f>
        <v>0.55200000000000005</v>
      </c>
      <c r="M127" s="452">
        <f>VLOOKUP(K127,SFAssumptions!$A$18:$B$20,2,FALSE)</f>
        <v>0.95</v>
      </c>
      <c r="N127" s="453">
        <f ca="1">HLOOKUP($G127,'MFBaselines and Measures'!$C$3:$V$33,7,FALSE)</f>
        <v>3802.5240664273615</v>
      </c>
      <c r="O127" s="454"/>
      <c r="P127" s="455"/>
      <c r="Q127" s="455">
        <f ca="1">HLOOKUP($G127,'MFBaselines and Measures'!$C$3:$V$33,26,FALSE)</f>
        <v>291.68748062010144</v>
      </c>
      <c r="R127" s="455"/>
      <c r="S127" s="456"/>
      <c r="T127" s="456">
        <f ca="1">HLOOKUP($G127,'MFBaselines and Measures'!$C$3:$V$33,30,FALSE)</f>
        <v>11.149928959191751</v>
      </c>
      <c r="U127" s="456"/>
      <c r="V127" s="456"/>
      <c r="W127" s="457"/>
      <c r="X127" s="453"/>
      <c r="Y127" s="454"/>
      <c r="Z127" s="455"/>
      <c r="AA127" s="455">
        <f ca="1">HLOOKUP($H127,'MFBaselines and Measures'!$C$2:$V$33,27,FALSE)</f>
        <v>256.30334386885011</v>
      </c>
      <c r="AB127" s="455"/>
      <c r="AC127" s="456"/>
      <c r="AD127" s="456">
        <f ca="1">HLOOKUP($H127,'MFBaselines and Measures'!$C$2:$V$33,31,FALSE)</f>
        <v>9.7973491013931167</v>
      </c>
      <c r="AE127" s="456"/>
      <c r="AF127" s="456"/>
      <c r="AG127" s="457"/>
      <c r="AH127" s="453"/>
      <c r="AI127" s="454"/>
      <c r="AJ127" s="455"/>
      <c r="AK127" s="455">
        <f t="shared" ca="1" si="35"/>
        <v>35.384136751251333</v>
      </c>
      <c r="AL127" s="455"/>
      <c r="AM127" s="456"/>
      <c r="AN127" s="456">
        <f t="shared" ca="1" si="36"/>
        <v>1.3525798577986343</v>
      </c>
      <c r="AO127" s="456"/>
      <c r="AP127" s="456"/>
      <c r="AQ127" s="458"/>
      <c r="AR127" s="452" t="str">
        <f t="shared" si="41"/>
        <v>CEE Tier 1 Clothes Washer - Any DHW, Any Dryer - 54% ENERGY STAR Baseline</v>
      </c>
      <c r="AS127" s="454">
        <f t="shared" si="42"/>
        <v>0</v>
      </c>
      <c r="AT127" s="455">
        <f t="shared" ca="1" si="43"/>
        <v>33.614929913688762</v>
      </c>
      <c r="AU127" s="456">
        <f t="shared" ca="1" si="44"/>
        <v>6.762899288993178E-2</v>
      </c>
      <c r="AV127" s="456">
        <f t="shared" si="45"/>
        <v>0</v>
      </c>
      <c r="AW127" s="456"/>
      <c r="AX127" s="455">
        <f t="shared" ca="1" si="50"/>
        <v>33.614929913688762</v>
      </c>
      <c r="AY127" s="455"/>
      <c r="AZ127" s="458"/>
      <c r="BA127" s="450" t="str">
        <f t="shared" si="49"/>
        <v>CEE Tier 1 Clothes Washer - Any DHW, Any Dryer - 54% ENERGY STAR Baseline</v>
      </c>
      <c r="BB127" s="450" t="s">
        <v>26</v>
      </c>
      <c r="BC127" s="455">
        <f t="shared" ca="1" si="46"/>
        <v>33.614929913688762</v>
      </c>
      <c r="BD127" s="455">
        <f>SFAssumptions!$C$7</f>
        <v>14</v>
      </c>
      <c r="BE127" s="459">
        <f t="shared" si="47"/>
        <v>0</v>
      </c>
      <c r="BF127" s="450"/>
      <c r="BG127" s="449" t="s">
        <v>159</v>
      </c>
      <c r="BH127" s="460"/>
      <c r="BI127" s="450"/>
      <c r="BJ127" s="450"/>
      <c r="BK127" s="450"/>
      <c r="BL127" s="450"/>
      <c r="BM127" s="450"/>
      <c r="BN127" s="450"/>
      <c r="BO127" s="461">
        <f t="shared" ca="1" si="48"/>
        <v>6.762899288993178E-2</v>
      </c>
      <c r="BP127" s="450" t="s">
        <v>159</v>
      </c>
    </row>
    <row r="128" spans="1:68" s="309" customFormat="1">
      <c r="A128" s="450">
        <f t="shared" si="39"/>
        <v>51</v>
      </c>
      <c r="B128" s="450">
        <f t="shared" si="3"/>
        <v>2</v>
      </c>
      <c r="C128" s="450">
        <f t="shared" si="4"/>
        <v>21</v>
      </c>
      <c r="D128" s="450">
        <f t="shared" si="5"/>
        <v>5</v>
      </c>
      <c r="E128" s="450">
        <f t="shared" si="6"/>
        <v>1</v>
      </c>
      <c r="F128" s="450"/>
      <c r="G128" s="450" t="str">
        <f t="shared" si="13"/>
        <v>Current Practice Baseline Using 54% ENERGY STAR Penetration</v>
      </c>
      <c r="H128" s="450" t="str">
        <f t="shared" si="40"/>
        <v>CEE Tier 2</v>
      </c>
      <c r="I128" s="450" t="str">
        <f t="shared" si="7"/>
        <v>Electric DHW, Electric Dryer</v>
      </c>
      <c r="J128" s="450" t="str">
        <f t="shared" si="8"/>
        <v>Electric DHW</v>
      </c>
      <c r="K128" s="450" t="str">
        <f t="shared" si="9"/>
        <v>Electric Dryer</v>
      </c>
      <c r="L128" s="451">
        <f>VLOOKUP(J128,SFAssumptions!$A$14:$B$16,2,FALSE)</f>
        <v>1</v>
      </c>
      <c r="M128" s="452">
        <f>VLOOKUP(K128,SFAssumptions!$A$18:$B$20,2,FALSE)</f>
        <v>1</v>
      </c>
      <c r="N128" s="453">
        <f ca="1">HLOOKUP($G128,'MFBaselines and Measures'!$C$3:$V$33,7,FALSE)</f>
        <v>3802.5240664273615</v>
      </c>
      <c r="O128" s="454"/>
      <c r="P128" s="455"/>
      <c r="Q128" s="455">
        <f ca="1">HLOOKUP($G128,'MFBaselines and Measures'!$C$3:$V$33,26,FALSE)</f>
        <v>291.68748062010144</v>
      </c>
      <c r="R128" s="455"/>
      <c r="S128" s="456"/>
      <c r="T128" s="456">
        <f ca="1">HLOOKUP($G128,'MFBaselines and Measures'!$C$3:$V$33,30,FALSE)</f>
        <v>11.149928959191751</v>
      </c>
      <c r="U128" s="456"/>
      <c r="V128" s="456"/>
      <c r="W128" s="457"/>
      <c r="X128" s="453"/>
      <c r="Y128" s="454"/>
      <c r="Z128" s="455"/>
      <c r="AA128" s="455">
        <f ca="1">HLOOKUP($H128,'MFBaselines and Measures'!$C$2:$V$33,27,FALSE)</f>
        <v>234.67590019364553</v>
      </c>
      <c r="AB128" s="455"/>
      <c r="AC128" s="456"/>
      <c r="AD128" s="456">
        <f ca="1">HLOOKUP($H128,'MFBaselines and Measures'!$C$2:$V$33,31,FALSE)</f>
        <v>8.9706270904422176</v>
      </c>
      <c r="AE128" s="456"/>
      <c r="AF128" s="456"/>
      <c r="AG128" s="457"/>
      <c r="AH128" s="453"/>
      <c r="AI128" s="454"/>
      <c r="AJ128" s="455"/>
      <c r="AK128" s="455">
        <f t="shared" ca="1" si="35"/>
        <v>57.011580426455907</v>
      </c>
      <c r="AL128" s="455"/>
      <c r="AM128" s="456"/>
      <c r="AN128" s="456">
        <f t="shared" ca="1" si="36"/>
        <v>2.1793018687495334</v>
      </c>
      <c r="AO128" s="456"/>
      <c r="AP128" s="456"/>
      <c r="AQ128" s="458"/>
      <c r="AR128" s="452" t="str">
        <f t="shared" si="41"/>
        <v>CEE Tier 2 Clothes Washer - Electric DHW, Electric Dryer - 54% ENERGY STAR Baseline</v>
      </c>
      <c r="AS128" s="454">
        <f t="shared" si="42"/>
        <v>0</v>
      </c>
      <c r="AT128" s="455">
        <f t="shared" ca="1" si="43"/>
        <v>57.011580426455907</v>
      </c>
      <c r="AU128" s="456">
        <f t="shared" ca="1" si="44"/>
        <v>0</v>
      </c>
      <c r="AV128" s="456">
        <f t="shared" si="45"/>
        <v>0</v>
      </c>
      <c r="AW128" s="456"/>
      <c r="AX128" s="455">
        <f t="shared" ca="1" si="50"/>
        <v>57.011580426455907</v>
      </c>
      <c r="AY128" s="455"/>
      <c r="AZ128" s="458"/>
      <c r="BA128" s="450" t="str">
        <f t="shared" si="49"/>
        <v>CEE Tier 2 Clothes Washer - Electric DHW, Electric Dryer - 54% ENERGY STAR Baseline</v>
      </c>
      <c r="BB128" s="450" t="s">
        <v>26</v>
      </c>
      <c r="BC128" s="455">
        <f t="shared" ca="1" si="46"/>
        <v>57.011580426455907</v>
      </c>
      <c r="BD128" s="455">
        <f>SFAssumptions!$C$7</f>
        <v>14</v>
      </c>
      <c r="BE128" s="459">
        <f t="shared" si="47"/>
        <v>0</v>
      </c>
      <c r="BF128" s="450"/>
      <c r="BG128" s="449" t="s">
        <v>159</v>
      </c>
      <c r="BH128" s="460"/>
      <c r="BI128" s="450"/>
      <c r="BJ128" s="450"/>
      <c r="BK128" s="450"/>
      <c r="BL128" s="450"/>
      <c r="BM128" s="450"/>
      <c r="BN128" s="450"/>
      <c r="BO128" s="461">
        <f t="shared" ca="1" si="48"/>
        <v>0</v>
      </c>
      <c r="BP128" s="450" t="s">
        <v>159</v>
      </c>
    </row>
    <row r="129" spans="1:69" s="309" customFormat="1">
      <c r="A129" s="450">
        <f t="shared" si="39"/>
        <v>52</v>
      </c>
      <c r="B129" s="450">
        <f t="shared" si="3"/>
        <v>2</v>
      </c>
      <c r="C129" s="450">
        <f t="shared" si="4"/>
        <v>22</v>
      </c>
      <c r="D129" s="450">
        <f t="shared" si="5"/>
        <v>5</v>
      </c>
      <c r="E129" s="450">
        <f t="shared" si="6"/>
        <v>2</v>
      </c>
      <c r="F129" s="450"/>
      <c r="G129" s="450" t="str">
        <f t="shared" si="13"/>
        <v>Current Practice Baseline Using 54% ENERGY STAR Penetration</v>
      </c>
      <c r="H129" s="450" t="str">
        <f t="shared" si="40"/>
        <v>CEE Tier 2</v>
      </c>
      <c r="I129" s="450" t="str">
        <f t="shared" si="7"/>
        <v>Electric DHW, Gas Dryer</v>
      </c>
      <c r="J129" s="450" t="str">
        <f t="shared" si="8"/>
        <v>Electric DHW</v>
      </c>
      <c r="K129" s="450" t="str">
        <f t="shared" si="9"/>
        <v>Gas Dryer</v>
      </c>
      <c r="L129" s="451">
        <f>VLOOKUP(J129,SFAssumptions!$A$14:$B$16,2,FALSE)</f>
        <v>1</v>
      </c>
      <c r="M129" s="452">
        <f>VLOOKUP(K129,SFAssumptions!$A$18:$B$20,2,FALSE)</f>
        <v>0</v>
      </c>
      <c r="N129" s="453">
        <f ca="1">HLOOKUP($G129,'MFBaselines and Measures'!$C$3:$V$33,7,FALSE)</f>
        <v>3802.5240664273615</v>
      </c>
      <c r="O129" s="454"/>
      <c r="P129" s="455"/>
      <c r="Q129" s="455">
        <f ca="1">HLOOKUP($G129,'MFBaselines and Measures'!$C$3:$V$33,26,FALSE)</f>
        <v>291.68748062010144</v>
      </c>
      <c r="R129" s="455"/>
      <c r="S129" s="456"/>
      <c r="T129" s="456">
        <f ca="1">HLOOKUP($G129,'MFBaselines and Measures'!$C$3:$V$33,30,FALSE)</f>
        <v>11.149928959191751</v>
      </c>
      <c r="U129" s="456"/>
      <c r="V129" s="456"/>
      <c r="W129" s="457"/>
      <c r="X129" s="453"/>
      <c r="Y129" s="454"/>
      <c r="Z129" s="455"/>
      <c r="AA129" s="455">
        <f ca="1">HLOOKUP($H129,'MFBaselines and Measures'!$C$2:$V$33,27,FALSE)</f>
        <v>234.67590019364553</v>
      </c>
      <c r="AB129" s="455"/>
      <c r="AC129" s="456"/>
      <c r="AD129" s="456">
        <f ca="1">HLOOKUP($H129,'MFBaselines and Measures'!$C$2:$V$33,31,FALSE)</f>
        <v>8.9706270904422176</v>
      </c>
      <c r="AE129" s="456"/>
      <c r="AF129" s="456"/>
      <c r="AG129" s="457"/>
      <c r="AH129" s="453"/>
      <c r="AI129" s="454"/>
      <c r="AJ129" s="455"/>
      <c r="AK129" s="455">
        <f t="shared" ca="1" si="35"/>
        <v>57.011580426455907</v>
      </c>
      <c r="AL129" s="455"/>
      <c r="AM129" s="456"/>
      <c r="AN129" s="456">
        <f t="shared" ca="1" si="36"/>
        <v>2.1793018687495334</v>
      </c>
      <c r="AO129" s="456"/>
      <c r="AP129" s="456"/>
      <c r="AQ129" s="458"/>
      <c r="AR129" s="452" t="str">
        <f t="shared" si="41"/>
        <v>CEE Tier 2 Clothes Washer - Electric DHW, Gas Dryer - 54% ENERGY STAR Baseline</v>
      </c>
      <c r="AS129" s="454">
        <f t="shared" si="42"/>
        <v>0</v>
      </c>
      <c r="AT129" s="455">
        <f t="shared" ca="1" si="43"/>
        <v>0</v>
      </c>
      <c r="AU129" s="456">
        <f t="shared" ca="1" si="44"/>
        <v>2.1793018687495334</v>
      </c>
      <c r="AV129" s="456">
        <f t="shared" si="45"/>
        <v>0</v>
      </c>
      <c r="AW129" s="456"/>
      <c r="AX129" s="455">
        <f t="shared" ca="1" si="50"/>
        <v>0</v>
      </c>
      <c r="AY129" s="455"/>
      <c r="AZ129" s="458"/>
      <c r="BA129" s="450" t="str">
        <f t="shared" si="49"/>
        <v>CEE Tier 2 Clothes Washer - Electric DHW, Gas Dryer - 54% ENERGY STAR Baseline</v>
      </c>
      <c r="BB129" s="450" t="s">
        <v>26</v>
      </c>
      <c r="BC129" s="455">
        <f t="shared" ca="1" si="46"/>
        <v>0</v>
      </c>
      <c r="BD129" s="455">
        <f>SFAssumptions!$C$7</f>
        <v>14</v>
      </c>
      <c r="BE129" s="459">
        <f t="shared" si="47"/>
        <v>0</v>
      </c>
      <c r="BF129" s="450"/>
      <c r="BG129" s="449" t="s">
        <v>159</v>
      </c>
      <c r="BH129" s="460"/>
      <c r="BI129" s="450"/>
      <c r="BJ129" s="450"/>
      <c r="BK129" s="450"/>
      <c r="BL129" s="450"/>
      <c r="BM129" s="450"/>
      <c r="BN129" s="450"/>
      <c r="BO129" s="461">
        <f t="shared" ca="1" si="48"/>
        <v>2.1793018687495334</v>
      </c>
      <c r="BP129" s="450" t="s">
        <v>159</v>
      </c>
    </row>
    <row r="130" spans="1:69" s="309" customFormat="1">
      <c r="A130" s="450">
        <f t="shared" si="39"/>
        <v>53</v>
      </c>
      <c r="B130" s="450">
        <f t="shared" si="3"/>
        <v>2</v>
      </c>
      <c r="C130" s="450">
        <f t="shared" si="4"/>
        <v>23</v>
      </c>
      <c r="D130" s="450">
        <f t="shared" si="5"/>
        <v>5</v>
      </c>
      <c r="E130" s="450">
        <f t="shared" si="6"/>
        <v>3</v>
      </c>
      <c r="F130" s="450"/>
      <c r="G130" s="450" t="str">
        <f t="shared" si="13"/>
        <v>Current Practice Baseline Using 54% ENERGY STAR Penetration</v>
      </c>
      <c r="H130" s="450" t="str">
        <f t="shared" si="40"/>
        <v>CEE Tier 2</v>
      </c>
      <c r="I130" s="450" t="str">
        <f t="shared" si="7"/>
        <v>Gas DHW, Electric Dryer</v>
      </c>
      <c r="J130" s="450" t="str">
        <f t="shared" si="8"/>
        <v>Gas DHW</v>
      </c>
      <c r="K130" s="450" t="str">
        <f t="shared" si="9"/>
        <v>Electric Dryer</v>
      </c>
      <c r="L130" s="451">
        <f>VLOOKUP(J130,SFAssumptions!$A$14:$B$16,2,FALSE)</f>
        <v>0</v>
      </c>
      <c r="M130" s="452">
        <f>VLOOKUP(K130,SFAssumptions!$A$18:$B$20,2,FALSE)</f>
        <v>1</v>
      </c>
      <c r="N130" s="453">
        <f ca="1">HLOOKUP($G130,'MFBaselines and Measures'!$C$3:$V$33,7,FALSE)</f>
        <v>3802.5240664273615</v>
      </c>
      <c r="O130" s="454"/>
      <c r="P130" s="455"/>
      <c r="Q130" s="455">
        <f ca="1">HLOOKUP($G130,'MFBaselines and Measures'!$C$3:$V$33,26,FALSE)</f>
        <v>291.68748062010144</v>
      </c>
      <c r="R130" s="455"/>
      <c r="S130" s="456"/>
      <c r="T130" s="456">
        <f ca="1">HLOOKUP($G130,'MFBaselines and Measures'!$C$3:$V$33,30,FALSE)</f>
        <v>11.149928959191751</v>
      </c>
      <c r="U130" s="456"/>
      <c r="V130" s="456"/>
      <c r="W130" s="457"/>
      <c r="X130" s="453"/>
      <c r="Y130" s="454"/>
      <c r="Z130" s="455"/>
      <c r="AA130" s="455">
        <f ca="1">HLOOKUP($H130,'MFBaselines and Measures'!$C$2:$V$33,27,FALSE)</f>
        <v>234.67590019364553</v>
      </c>
      <c r="AB130" s="455"/>
      <c r="AC130" s="456"/>
      <c r="AD130" s="456">
        <f ca="1">HLOOKUP($H130,'MFBaselines and Measures'!$C$2:$V$33,31,FALSE)</f>
        <v>8.9706270904422176</v>
      </c>
      <c r="AE130" s="456"/>
      <c r="AF130" s="456"/>
      <c r="AG130" s="457"/>
      <c r="AH130" s="453"/>
      <c r="AI130" s="454"/>
      <c r="AJ130" s="455"/>
      <c r="AK130" s="455">
        <f t="shared" ca="1" si="35"/>
        <v>57.011580426455907</v>
      </c>
      <c r="AL130" s="455"/>
      <c r="AM130" s="456"/>
      <c r="AN130" s="456">
        <f t="shared" ca="1" si="36"/>
        <v>2.1793018687495334</v>
      </c>
      <c r="AO130" s="456"/>
      <c r="AP130" s="456"/>
      <c r="AQ130" s="458"/>
      <c r="AR130" s="452" t="str">
        <f t="shared" si="41"/>
        <v>CEE Tier 2 Clothes Washer - Gas DHW, Electric Dryer - 54% ENERGY STAR Baseline</v>
      </c>
      <c r="AS130" s="454">
        <f t="shared" si="42"/>
        <v>0</v>
      </c>
      <c r="AT130" s="455">
        <f t="shared" ca="1" si="43"/>
        <v>57.011580426455907</v>
      </c>
      <c r="AU130" s="456">
        <f t="shared" ca="1" si="44"/>
        <v>0</v>
      </c>
      <c r="AV130" s="456">
        <f t="shared" si="45"/>
        <v>0</v>
      </c>
      <c r="AW130" s="456"/>
      <c r="AX130" s="455">
        <f t="shared" ca="1" si="50"/>
        <v>57.011580426455907</v>
      </c>
      <c r="AY130" s="455"/>
      <c r="AZ130" s="458"/>
      <c r="BA130" s="450" t="str">
        <f t="shared" si="49"/>
        <v>CEE Tier 2 Clothes Washer - Gas DHW, Electric Dryer - 54% ENERGY STAR Baseline</v>
      </c>
      <c r="BB130" s="450" t="s">
        <v>26</v>
      </c>
      <c r="BC130" s="455">
        <f t="shared" ca="1" si="46"/>
        <v>57.011580426455907</v>
      </c>
      <c r="BD130" s="455">
        <f>SFAssumptions!$C$7</f>
        <v>14</v>
      </c>
      <c r="BE130" s="459">
        <f t="shared" si="47"/>
        <v>0</v>
      </c>
      <c r="BF130" s="450"/>
      <c r="BG130" s="449" t="s">
        <v>159</v>
      </c>
      <c r="BH130" s="460"/>
      <c r="BI130" s="450"/>
      <c r="BJ130" s="450"/>
      <c r="BK130" s="450"/>
      <c r="BL130" s="450"/>
      <c r="BM130" s="450"/>
      <c r="BN130" s="450"/>
      <c r="BO130" s="461">
        <f t="shared" ca="1" si="48"/>
        <v>0</v>
      </c>
      <c r="BP130" s="450" t="s">
        <v>159</v>
      </c>
    </row>
    <row r="131" spans="1:69" s="309" customFormat="1">
      <c r="A131" s="450">
        <f t="shared" si="39"/>
        <v>54</v>
      </c>
      <c r="B131" s="450">
        <f t="shared" si="3"/>
        <v>2</v>
      </c>
      <c r="C131" s="450">
        <f t="shared" si="4"/>
        <v>24</v>
      </c>
      <c r="D131" s="450">
        <f t="shared" si="5"/>
        <v>5</v>
      </c>
      <c r="E131" s="450">
        <f t="shared" si="6"/>
        <v>4</v>
      </c>
      <c r="F131" s="450"/>
      <c r="G131" s="450" t="str">
        <f t="shared" si="13"/>
        <v>Current Practice Baseline Using 54% ENERGY STAR Penetration</v>
      </c>
      <c r="H131" s="450" t="str">
        <f t="shared" si="40"/>
        <v>CEE Tier 2</v>
      </c>
      <c r="I131" s="450" t="str">
        <f t="shared" si="7"/>
        <v>Gas DHW, Gas Dryer</v>
      </c>
      <c r="J131" s="450" t="str">
        <f t="shared" si="8"/>
        <v>Gas DHW</v>
      </c>
      <c r="K131" s="450" t="str">
        <f t="shared" si="9"/>
        <v>Gas Dryer</v>
      </c>
      <c r="L131" s="451">
        <f>VLOOKUP(J131,SFAssumptions!$A$14:$B$16,2,FALSE)</f>
        <v>0</v>
      </c>
      <c r="M131" s="452">
        <f>VLOOKUP(K131,SFAssumptions!$A$18:$B$20,2,FALSE)</f>
        <v>0</v>
      </c>
      <c r="N131" s="453">
        <f ca="1">HLOOKUP($G131,'MFBaselines and Measures'!$C$3:$V$33,7,FALSE)</f>
        <v>3802.5240664273615</v>
      </c>
      <c r="O131" s="454"/>
      <c r="P131" s="455"/>
      <c r="Q131" s="455">
        <f ca="1">HLOOKUP($G131,'MFBaselines and Measures'!$C$3:$V$33,26,FALSE)</f>
        <v>291.68748062010144</v>
      </c>
      <c r="R131" s="455"/>
      <c r="S131" s="456"/>
      <c r="T131" s="456">
        <f ca="1">HLOOKUP($G131,'MFBaselines and Measures'!$C$3:$V$33,30,FALSE)</f>
        <v>11.149928959191751</v>
      </c>
      <c r="U131" s="456"/>
      <c r="V131" s="456"/>
      <c r="W131" s="457"/>
      <c r="X131" s="453"/>
      <c r="Y131" s="454"/>
      <c r="Z131" s="455"/>
      <c r="AA131" s="455">
        <f ca="1">HLOOKUP($H131,'MFBaselines and Measures'!$C$2:$V$33,27,FALSE)</f>
        <v>234.67590019364553</v>
      </c>
      <c r="AB131" s="455"/>
      <c r="AC131" s="456"/>
      <c r="AD131" s="456">
        <f ca="1">HLOOKUP($H131,'MFBaselines and Measures'!$C$2:$V$33,31,FALSE)</f>
        <v>8.9706270904422176</v>
      </c>
      <c r="AE131" s="456"/>
      <c r="AF131" s="456"/>
      <c r="AG131" s="457"/>
      <c r="AH131" s="453"/>
      <c r="AI131" s="454"/>
      <c r="AJ131" s="455"/>
      <c r="AK131" s="455">
        <f t="shared" ca="1" si="35"/>
        <v>57.011580426455907</v>
      </c>
      <c r="AL131" s="455"/>
      <c r="AM131" s="456"/>
      <c r="AN131" s="456">
        <f t="shared" ca="1" si="36"/>
        <v>2.1793018687495334</v>
      </c>
      <c r="AO131" s="456"/>
      <c r="AP131" s="456"/>
      <c r="AQ131" s="458"/>
      <c r="AR131" s="452" t="str">
        <f t="shared" si="41"/>
        <v>CEE Tier 2 Clothes Washer - Gas DHW, Gas Dryer - 54% ENERGY STAR Baseline</v>
      </c>
      <c r="AS131" s="454">
        <f t="shared" si="42"/>
        <v>0</v>
      </c>
      <c r="AT131" s="455">
        <f t="shared" ca="1" si="43"/>
        <v>0</v>
      </c>
      <c r="AU131" s="456">
        <f t="shared" ca="1" si="44"/>
        <v>2.1793018687495334</v>
      </c>
      <c r="AV131" s="456">
        <f t="shared" si="45"/>
        <v>0</v>
      </c>
      <c r="AW131" s="456"/>
      <c r="AX131" s="455">
        <f t="shared" ca="1" si="50"/>
        <v>0</v>
      </c>
      <c r="AY131" s="455"/>
      <c r="AZ131" s="458"/>
      <c r="BA131" s="450" t="str">
        <f t="shared" si="49"/>
        <v>CEE Tier 2 Clothes Washer - Gas DHW, Gas Dryer - 54% ENERGY STAR Baseline</v>
      </c>
      <c r="BB131" s="450" t="s">
        <v>26</v>
      </c>
      <c r="BC131" s="455">
        <f t="shared" ca="1" si="46"/>
        <v>0</v>
      </c>
      <c r="BD131" s="455">
        <f>SFAssumptions!$C$7</f>
        <v>14</v>
      </c>
      <c r="BE131" s="459">
        <f t="shared" si="47"/>
        <v>0</v>
      </c>
      <c r="BF131" s="450"/>
      <c r="BG131" s="449" t="s">
        <v>159</v>
      </c>
      <c r="BH131" s="460"/>
      <c r="BI131" s="450"/>
      <c r="BJ131" s="450"/>
      <c r="BK131" s="450"/>
      <c r="BL131" s="450"/>
      <c r="BM131" s="450"/>
      <c r="BN131" s="450"/>
      <c r="BO131" s="461">
        <f t="shared" ca="1" si="48"/>
        <v>2.1793018687495334</v>
      </c>
      <c r="BP131" s="450" t="s">
        <v>159</v>
      </c>
    </row>
    <row r="132" spans="1:69" s="309" customFormat="1">
      <c r="A132" s="450">
        <f t="shared" si="39"/>
        <v>55</v>
      </c>
      <c r="B132" s="450">
        <f t="shared" si="3"/>
        <v>2</v>
      </c>
      <c r="C132" s="450">
        <f t="shared" si="4"/>
        <v>25</v>
      </c>
      <c r="D132" s="450">
        <f t="shared" si="5"/>
        <v>5</v>
      </c>
      <c r="E132" s="450">
        <f t="shared" si="6"/>
        <v>5</v>
      </c>
      <c r="F132" s="450"/>
      <c r="G132" s="450" t="str">
        <f t="shared" si="13"/>
        <v>Current Practice Baseline Using 54% ENERGY STAR Penetration</v>
      </c>
      <c r="H132" s="450" t="str">
        <f t="shared" si="40"/>
        <v>CEE Tier 2</v>
      </c>
      <c r="I132" s="450" t="str">
        <f t="shared" si="7"/>
        <v>Any DHW, Any Dryer</v>
      </c>
      <c r="J132" s="450" t="str">
        <f t="shared" si="8"/>
        <v>Any DHW</v>
      </c>
      <c r="K132" s="450" t="str">
        <f t="shared" si="9"/>
        <v>Any Dryer</v>
      </c>
      <c r="L132" s="451">
        <f>VLOOKUP(J132,SFAssumptions!$A$14:$B$16,2,FALSE)</f>
        <v>0.55200000000000005</v>
      </c>
      <c r="M132" s="452">
        <f>VLOOKUP(K132,SFAssumptions!$A$18:$B$20,2,FALSE)</f>
        <v>0.95</v>
      </c>
      <c r="N132" s="453">
        <f ca="1">HLOOKUP($G132,'MFBaselines and Measures'!$C$3:$V$33,7,FALSE)</f>
        <v>3802.5240664273615</v>
      </c>
      <c r="O132" s="454"/>
      <c r="P132" s="455"/>
      <c r="Q132" s="455">
        <f ca="1">HLOOKUP($G132,'MFBaselines and Measures'!$C$3:$V$33,26,FALSE)</f>
        <v>291.68748062010144</v>
      </c>
      <c r="R132" s="455"/>
      <c r="S132" s="456"/>
      <c r="T132" s="456">
        <f ca="1">HLOOKUP($G132,'MFBaselines and Measures'!$C$3:$V$33,30,FALSE)</f>
        <v>11.149928959191751</v>
      </c>
      <c r="U132" s="456"/>
      <c r="V132" s="456"/>
      <c r="W132" s="457"/>
      <c r="X132" s="453"/>
      <c r="Y132" s="454"/>
      <c r="Z132" s="455"/>
      <c r="AA132" s="455">
        <f ca="1">HLOOKUP($H132,'MFBaselines and Measures'!$C$2:$V$33,27,FALSE)</f>
        <v>234.67590019364553</v>
      </c>
      <c r="AB132" s="455"/>
      <c r="AC132" s="456"/>
      <c r="AD132" s="456">
        <f ca="1">HLOOKUP($H132,'MFBaselines and Measures'!$C$2:$V$33,31,FALSE)</f>
        <v>8.9706270904422176</v>
      </c>
      <c r="AE132" s="456"/>
      <c r="AF132" s="456"/>
      <c r="AG132" s="457"/>
      <c r="AH132" s="453"/>
      <c r="AI132" s="454"/>
      <c r="AJ132" s="455"/>
      <c r="AK132" s="455">
        <f t="shared" ca="1" si="35"/>
        <v>57.011580426455907</v>
      </c>
      <c r="AL132" s="455"/>
      <c r="AM132" s="456"/>
      <c r="AN132" s="456">
        <f t="shared" ca="1" si="36"/>
        <v>2.1793018687495334</v>
      </c>
      <c r="AO132" s="456"/>
      <c r="AP132" s="456"/>
      <c r="AQ132" s="458"/>
      <c r="AR132" s="452" t="str">
        <f t="shared" si="41"/>
        <v>CEE Tier 2 Clothes Washer - Any DHW, Any Dryer - 54% ENERGY STAR Baseline</v>
      </c>
      <c r="AS132" s="454">
        <f t="shared" si="42"/>
        <v>0</v>
      </c>
      <c r="AT132" s="455">
        <f t="shared" ca="1" si="43"/>
        <v>54.161001405133106</v>
      </c>
      <c r="AU132" s="456">
        <f t="shared" ca="1" si="44"/>
        <v>0.10896509343747676</v>
      </c>
      <c r="AV132" s="456">
        <f t="shared" si="45"/>
        <v>0</v>
      </c>
      <c r="AW132" s="456"/>
      <c r="AX132" s="455">
        <f t="shared" ca="1" si="50"/>
        <v>54.161001405133106</v>
      </c>
      <c r="AY132" s="455"/>
      <c r="AZ132" s="458"/>
      <c r="BA132" s="450" t="str">
        <f t="shared" si="49"/>
        <v>CEE Tier 2 Clothes Washer - Any DHW, Any Dryer - 54% ENERGY STAR Baseline</v>
      </c>
      <c r="BB132" s="450" t="s">
        <v>26</v>
      </c>
      <c r="BC132" s="455">
        <f t="shared" ca="1" si="46"/>
        <v>54.161001405133106</v>
      </c>
      <c r="BD132" s="455">
        <f>SFAssumptions!$C$7</f>
        <v>14</v>
      </c>
      <c r="BE132" s="459">
        <f t="shared" si="47"/>
        <v>0</v>
      </c>
      <c r="BF132" s="450"/>
      <c r="BG132" s="449" t="s">
        <v>159</v>
      </c>
      <c r="BH132" s="460"/>
      <c r="BI132" s="450"/>
      <c r="BJ132" s="450"/>
      <c r="BK132" s="450"/>
      <c r="BL132" s="450"/>
      <c r="BM132" s="450"/>
      <c r="BN132" s="450"/>
      <c r="BO132" s="461">
        <f t="shared" ca="1" si="48"/>
        <v>0.10896509343747676</v>
      </c>
      <c r="BP132" s="450" t="s">
        <v>159</v>
      </c>
    </row>
    <row r="133" spans="1:69" s="309" customFormat="1">
      <c r="A133" s="450">
        <f t="shared" si="39"/>
        <v>56</v>
      </c>
      <c r="B133" s="450">
        <f t="shared" si="3"/>
        <v>2</v>
      </c>
      <c r="C133" s="450">
        <f t="shared" si="4"/>
        <v>26</v>
      </c>
      <c r="D133" s="450">
        <f t="shared" si="5"/>
        <v>6</v>
      </c>
      <c r="E133" s="450">
        <f t="shared" si="6"/>
        <v>1</v>
      </c>
      <c r="F133" s="450"/>
      <c r="G133" s="450" t="str">
        <f t="shared" si="13"/>
        <v>Current Practice Baseline Using 54% ENERGY STAR Penetration</v>
      </c>
      <c r="H133" s="450" t="str">
        <f t="shared" si="40"/>
        <v>CEE Tier 3</v>
      </c>
      <c r="I133" s="450" t="str">
        <f t="shared" si="7"/>
        <v>Electric DHW, Electric Dryer</v>
      </c>
      <c r="J133" s="450" t="str">
        <f t="shared" si="8"/>
        <v>Electric DHW</v>
      </c>
      <c r="K133" s="450" t="str">
        <f t="shared" si="9"/>
        <v>Electric Dryer</v>
      </c>
      <c r="L133" s="451">
        <f>VLOOKUP(J133,SFAssumptions!$A$14:$B$16,2,FALSE)</f>
        <v>1</v>
      </c>
      <c r="M133" s="452">
        <f>VLOOKUP(K133,SFAssumptions!$A$18:$B$20,2,FALSE)</f>
        <v>1</v>
      </c>
      <c r="N133" s="453">
        <f ca="1">HLOOKUP($G133,'MFBaselines and Measures'!$C$3:$V$33,7,FALSE)</f>
        <v>3802.5240664273615</v>
      </c>
      <c r="O133" s="454"/>
      <c r="P133" s="455"/>
      <c r="Q133" s="455">
        <f ca="1">HLOOKUP($G133,'MFBaselines and Measures'!$C$3:$V$33,26,FALSE)</f>
        <v>291.68748062010144</v>
      </c>
      <c r="R133" s="455"/>
      <c r="S133" s="456"/>
      <c r="T133" s="456">
        <f ca="1">HLOOKUP($G133,'MFBaselines and Measures'!$C$3:$V$33,30,FALSE)</f>
        <v>11.149928959191751</v>
      </c>
      <c r="U133" s="456"/>
      <c r="V133" s="456"/>
      <c r="W133" s="457"/>
      <c r="X133" s="453"/>
      <c r="Y133" s="454"/>
      <c r="Z133" s="455"/>
      <c r="AA133" s="455">
        <f ca="1">HLOOKUP($H133,'MFBaselines and Measures'!$C$2:$V$33,27,FALSE)</f>
        <v>220.25742572159206</v>
      </c>
      <c r="AB133" s="455"/>
      <c r="AC133" s="456"/>
      <c r="AD133" s="456">
        <f ca="1">HLOOKUP($H133,'MFBaselines and Measures'!$C$2:$V$33,31,FALSE)</f>
        <v>8.4194722526632901</v>
      </c>
      <c r="AE133" s="456"/>
      <c r="AF133" s="456"/>
      <c r="AG133" s="457"/>
      <c r="AH133" s="453"/>
      <c r="AI133" s="454"/>
      <c r="AJ133" s="455"/>
      <c r="AK133" s="455">
        <f t="shared" ca="1" si="35"/>
        <v>71.430054898509383</v>
      </c>
      <c r="AL133" s="455"/>
      <c r="AM133" s="456"/>
      <c r="AN133" s="456">
        <f t="shared" ca="1" si="36"/>
        <v>2.7304567065284608</v>
      </c>
      <c r="AO133" s="456"/>
      <c r="AP133" s="456"/>
      <c r="AQ133" s="458"/>
      <c r="AR133" s="452" t="str">
        <f t="shared" si="41"/>
        <v>CEE Tier 3 Clothes Washer - Electric DHW, Electric Dryer - 54% ENERGY STAR Baseline</v>
      </c>
      <c r="AS133" s="454">
        <f t="shared" si="42"/>
        <v>0</v>
      </c>
      <c r="AT133" s="455">
        <f t="shared" ca="1" si="43"/>
        <v>71.430054898509383</v>
      </c>
      <c r="AU133" s="456">
        <f t="shared" ca="1" si="44"/>
        <v>0</v>
      </c>
      <c r="AV133" s="456">
        <f t="shared" si="45"/>
        <v>0</v>
      </c>
      <c r="AW133" s="456"/>
      <c r="AX133" s="455">
        <f t="shared" ca="1" si="50"/>
        <v>71.430054898509383</v>
      </c>
      <c r="AY133" s="455"/>
      <c r="AZ133" s="458"/>
      <c r="BA133" s="450" t="str">
        <f t="shared" si="49"/>
        <v>CEE Tier 3 Clothes Washer - Electric DHW, Electric Dryer - 54% ENERGY STAR Baseline</v>
      </c>
      <c r="BB133" s="450" t="s">
        <v>26</v>
      </c>
      <c r="BC133" s="455">
        <f t="shared" ca="1" si="46"/>
        <v>71.430054898509383</v>
      </c>
      <c r="BD133" s="455">
        <f>SFAssumptions!$C$7</f>
        <v>14</v>
      </c>
      <c r="BE133" s="459">
        <f t="shared" si="47"/>
        <v>0</v>
      </c>
      <c r="BF133" s="450"/>
      <c r="BG133" s="449" t="s">
        <v>159</v>
      </c>
      <c r="BH133" s="460"/>
      <c r="BI133" s="450"/>
      <c r="BJ133" s="450"/>
      <c r="BK133" s="450"/>
      <c r="BL133" s="450"/>
      <c r="BM133" s="450"/>
      <c r="BN133" s="450"/>
      <c r="BO133" s="461">
        <f t="shared" ca="1" si="48"/>
        <v>0</v>
      </c>
      <c r="BP133" s="450" t="s">
        <v>159</v>
      </c>
    </row>
    <row r="134" spans="1:69" s="309" customFormat="1">
      <c r="A134" s="450">
        <f t="shared" si="39"/>
        <v>57</v>
      </c>
      <c r="B134" s="450">
        <f t="shared" si="3"/>
        <v>2</v>
      </c>
      <c r="C134" s="450">
        <f t="shared" si="4"/>
        <v>27</v>
      </c>
      <c r="D134" s="450">
        <f t="shared" si="5"/>
        <v>6</v>
      </c>
      <c r="E134" s="450">
        <f t="shared" si="6"/>
        <v>2</v>
      </c>
      <c r="F134" s="450"/>
      <c r="G134" s="450" t="str">
        <f t="shared" si="13"/>
        <v>Current Practice Baseline Using 54% ENERGY STAR Penetration</v>
      </c>
      <c r="H134" s="450" t="str">
        <f t="shared" si="40"/>
        <v>CEE Tier 3</v>
      </c>
      <c r="I134" s="450" t="str">
        <f t="shared" si="7"/>
        <v>Electric DHW, Gas Dryer</v>
      </c>
      <c r="J134" s="450" t="str">
        <f t="shared" si="8"/>
        <v>Electric DHW</v>
      </c>
      <c r="K134" s="450" t="str">
        <f t="shared" si="9"/>
        <v>Gas Dryer</v>
      </c>
      <c r="L134" s="451">
        <f>VLOOKUP(J134,SFAssumptions!$A$14:$B$16,2,FALSE)</f>
        <v>1</v>
      </c>
      <c r="M134" s="452">
        <f>VLOOKUP(K134,SFAssumptions!$A$18:$B$20,2,FALSE)</f>
        <v>0</v>
      </c>
      <c r="N134" s="453">
        <f ca="1">HLOOKUP($G134,'MFBaselines and Measures'!$C$3:$V$33,7,FALSE)</f>
        <v>3802.5240664273615</v>
      </c>
      <c r="O134" s="454"/>
      <c r="P134" s="455"/>
      <c r="Q134" s="455">
        <f ca="1">HLOOKUP($G134,'MFBaselines and Measures'!$C$3:$V$33,26,FALSE)</f>
        <v>291.68748062010144</v>
      </c>
      <c r="R134" s="455"/>
      <c r="S134" s="456"/>
      <c r="T134" s="456">
        <f ca="1">HLOOKUP($G134,'MFBaselines and Measures'!$C$3:$V$33,30,FALSE)</f>
        <v>11.149928959191751</v>
      </c>
      <c r="U134" s="456"/>
      <c r="V134" s="456"/>
      <c r="W134" s="457"/>
      <c r="X134" s="453"/>
      <c r="Y134" s="454"/>
      <c r="Z134" s="455"/>
      <c r="AA134" s="455">
        <f ca="1">HLOOKUP($H134,'MFBaselines and Measures'!$C$2:$V$33,27,FALSE)</f>
        <v>220.25742572159206</v>
      </c>
      <c r="AB134" s="455"/>
      <c r="AC134" s="456"/>
      <c r="AD134" s="456">
        <f ca="1">HLOOKUP($H134,'MFBaselines and Measures'!$C$2:$V$33,31,FALSE)</f>
        <v>8.4194722526632901</v>
      </c>
      <c r="AE134" s="456"/>
      <c r="AF134" s="456"/>
      <c r="AG134" s="457"/>
      <c r="AH134" s="453"/>
      <c r="AI134" s="454"/>
      <c r="AJ134" s="455"/>
      <c r="AK134" s="455">
        <f t="shared" ca="1" si="35"/>
        <v>71.430054898509383</v>
      </c>
      <c r="AL134" s="455"/>
      <c r="AM134" s="456"/>
      <c r="AN134" s="456">
        <f t="shared" ca="1" si="36"/>
        <v>2.7304567065284608</v>
      </c>
      <c r="AO134" s="456"/>
      <c r="AP134" s="456"/>
      <c r="AQ134" s="458"/>
      <c r="AR134" s="452" t="str">
        <f t="shared" si="41"/>
        <v>CEE Tier 3 Clothes Washer - Electric DHW, Gas Dryer - 54% ENERGY STAR Baseline</v>
      </c>
      <c r="AS134" s="454">
        <f t="shared" si="42"/>
        <v>0</v>
      </c>
      <c r="AT134" s="455">
        <f t="shared" ca="1" si="43"/>
        <v>0</v>
      </c>
      <c r="AU134" s="456">
        <f t="shared" ca="1" si="44"/>
        <v>2.7304567065284608</v>
      </c>
      <c r="AV134" s="456">
        <f t="shared" si="45"/>
        <v>0</v>
      </c>
      <c r="AW134" s="456"/>
      <c r="AX134" s="455">
        <f t="shared" ca="1" si="50"/>
        <v>0</v>
      </c>
      <c r="AY134" s="455"/>
      <c r="AZ134" s="458"/>
      <c r="BA134" s="450" t="str">
        <f t="shared" si="49"/>
        <v>CEE Tier 3 Clothes Washer - Electric DHW, Gas Dryer - 54% ENERGY STAR Baseline</v>
      </c>
      <c r="BB134" s="450" t="s">
        <v>26</v>
      </c>
      <c r="BC134" s="455">
        <f t="shared" ca="1" si="46"/>
        <v>0</v>
      </c>
      <c r="BD134" s="455">
        <f>SFAssumptions!$C$7</f>
        <v>14</v>
      </c>
      <c r="BE134" s="459">
        <f t="shared" si="47"/>
        <v>0</v>
      </c>
      <c r="BF134" s="450"/>
      <c r="BG134" s="449" t="s">
        <v>159</v>
      </c>
      <c r="BH134" s="460"/>
      <c r="BI134" s="450"/>
      <c r="BJ134" s="450"/>
      <c r="BK134" s="450"/>
      <c r="BL134" s="450"/>
      <c r="BM134" s="450"/>
      <c r="BN134" s="450"/>
      <c r="BO134" s="461">
        <f t="shared" ca="1" si="48"/>
        <v>2.7304567065284608</v>
      </c>
      <c r="BP134" s="450" t="s">
        <v>159</v>
      </c>
    </row>
    <row r="135" spans="1:69" s="309" customFormat="1">
      <c r="A135" s="450">
        <f t="shared" si="39"/>
        <v>58</v>
      </c>
      <c r="B135" s="450">
        <f t="shared" si="3"/>
        <v>2</v>
      </c>
      <c r="C135" s="450">
        <f t="shared" si="4"/>
        <v>28</v>
      </c>
      <c r="D135" s="450">
        <f t="shared" si="5"/>
        <v>6</v>
      </c>
      <c r="E135" s="450">
        <f t="shared" si="6"/>
        <v>3</v>
      </c>
      <c r="F135" s="450"/>
      <c r="G135" s="450" t="str">
        <f t="shared" si="13"/>
        <v>Current Practice Baseline Using 54% ENERGY STAR Penetration</v>
      </c>
      <c r="H135" s="450" t="str">
        <f t="shared" si="40"/>
        <v>CEE Tier 3</v>
      </c>
      <c r="I135" s="450" t="str">
        <f t="shared" si="7"/>
        <v>Gas DHW, Electric Dryer</v>
      </c>
      <c r="J135" s="450" t="str">
        <f t="shared" si="8"/>
        <v>Gas DHW</v>
      </c>
      <c r="K135" s="450" t="str">
        <f t="shared" si="9"/>
        <v>Electric Dryer</v>
      </c>
      <c r="L135" s="451">
        <f>VLOOKUP(J135,SFAssumptions!$A$14:$B$16,2,FALSE)</f>
        <v>0</v>
      </c>
      <c r="M135" s="452">
        <f>VLOOKUP(K135,SFAssumptions!$A$18:$B$20,2,FALSE)</f>
        <v>1</v>
      </c>
      <c r="N135" s="453">
        <f ca="1">HLOOKUP($G135,'MFBaselines and Measures'!$C$3:$V$33,7,FALSE)</f>
        <v>3802.5240664273615</v>
      </c>
      <c r="O135" s="454"/>
      <c r="P135" s="455"/>
      <c r="Q135" s="455">
        <f ca="1">HLOOKUP($G135,'MFBaselines and Measures'!$C$3:$V$33,26,FALSE)</f>
        <v>291.68748062010144</v>
      </c>
      <c r="R135" s="455"/>
      <c r="S135" s="456"/>
      <c r="T135" s="456">
        <f ca="1">HLOOKUP($G135,'MFBaselines and Measures'!$C$3:$V$33,30,FALSE)</f>
        <v>11.149928959191751</v>
      </c>
      <c r="U135" s="456"/>
      <c r="V135" s="456"/>
      <c r="W135" s="457"/>
      <c r="X135" s="453"/>
      <c r="Y135" s="454"/>
      <c r="Z135" s="455"/>
      <c r="AA135" s="455">
        <f ca="1">HLOOKUP($H135,'MFBaselines and Measures'!$C$2:$V$33,27,FALSE)</f>
        <v>220.25742572159206</v>
      </c>
      <c r="AB135" s="455"/>
      <c r="AC135" s="456"/>
      <c r="AD135" s="456">
        <f ca="1">HLOOKUP($H135,'MFBaselines and Measures'!$C$2:$V$33,31,FALSE)</f>
        <v>8.4194722526632901</v>
      </c>
      <c r="AE135" s="456"/>
      <c r="AF135" s="456"/>
      <c r="AG135" s="457"/>
      <c r="AH135" s="453"/>
      <c r="AI135" s="454"/>
      <c r="AJ135" s="455"/>
      <c r="AK135" s="455">
        <f t="shared" ca="1" si="35"/>
        <v>71.430054898509383</v>
      </c>
      <c r="AL135" s="455"/>
      <c r="AM135" s="456"/>
      <c r="AN135" s="456">
        <f t="shared" ca="1" si="36"/>
        <v>2.7304567065284608</v>
      </c>
      <c r="AO135" s="456"/>
      <c r="AP135" s="456"/>
      <c r="AQ135" s="458"/>
      <c r="AR135" s="452" t="str">
        <f t="shared" si="41"/>
        <v>CEE Tier 3 Clothes Washer - Gas DHW, Electric Dryer - 54% ENERGY STAR Baseline</v>
      </c>
      <c r="AS135" s="454">
        <f t="shared" si="42"/>
        <v>0</v>
      </c>
      <c r="AT135" s="455">
        <f t="shared" ca="1" si="43"/>
        <v>71.430054898509383</v>
      </c>
      <c r="AU135" s="456">
        <f t="shared" ca="1" si="44"/>
        <v>0</v>
      </c>
      <c r="AV135" s="456">
        <f t="shared" si="45"/>
        <v>0</v>
      </c>
      <c r="AW135" s="456"/>
      <c r="AX135" s="455">
        <f t="shared" ca="1" si="50"/>
        <v>71.430054898509383</v>
      </c>
      <c r="AY135" s="455"/>
      <c r="AZ135" s="458"/>
      <c r="BA135" s="450" t="str">
        <f t="shared" si="49"/>
        <v>CEE Tier 3 Clothes Washer - Gas DHW, Electric Dryer - 54% ENERGY STAR Baseline</v>
      </c>
      <c r="BB135" s="450" t="s">
        <v>26</v>
      </c>
      <c r="BC135" s="455">
        <f t="shared" ca="1" si="46"/>
        <v>71.430054898509383</v>
      </c>
      <c r="BD135" s="455">
        <f>SFAssumptions!$C$7</f>
        <v>14</v>
      </c>
      <c r="BE135" s="459">
        <f t="shared" si="47"/>
        <v>0</v>
      </c>
      <c r="BF135" s="450"/>
      <c r="BG135" s="449" t="s">
        <v>159</v>
      </c>
      <c r="BH135" s="460"/>
      <c r="BI135" s="450"/>
      <c r="BJ135" s="450"/>
      <c r="BK135" s="450"/>
      <c r="BL135" s="450"/>
      <c r="BM135" s="450"/>
      <c r="BN135" s="450"/>
      <c r="BO135" s="461">
        <f t="shared" ca="1" si="48"/>
        <v>0</v>
      </c>
      <c r="BP135" s="450" t="s">
        <v>159</v>
      </c>
    </row>
    <row r="136" spans="1:69" s="309" customFormat="1">
      <c r="A136" s="450">
        <f t="shared" si="39"/>
        <v>59</v>
      </c>
      <c r="B136" s="450">
        <f t="shared" si="3"/>
        <v>2</v>
      </c>
      <c r="C136" s="450">
        <f t="shared" si="4"/>
        <v>29</v>
      </c>
      <c r="D136" s="450">
        <f t="shared" si="5"/>
        <v>6</v>
      </c>
      <c r="E136" s="450">
        <f t="shared" si="6"/>
        <v>4</v>
      </c>
      <c r="F136" s="450"/>
      <c r="G136" s="450" t="str">
        <f t="shared" si="13"/>
        <v>Current Practice Baseline Using 54% ENERGY STAR Penetration</v>
      </c>
      <c r="H136" s="450" t="str">
        <f t="shared" si="40"/>
        <v>CEE Tier 3</v>
      </c>
      <c r="I136" s="450" t="str">
        <f t="shared" si="7"/>
        <v>Gas DHW, Gas Dryer</v>
      </c>
      <c r="J136" s="450" t="str">
        <f t="shared" si="8"/>
        <v>Gas DHW</v>
      </c>
      <c r="K136" s="450" t="str">
        <f t="shared" si="9"/>
        <v>Gas Dryer</v>
      </c>
      <c r="L136" s="451">
        <f>VLOOKUP(J136,SFAssumptions!$A$14:$B$16,2,FALSE)</f>
        <v>0</v>
      </c>
      <c r="M136" s="452">
        <f>VLOOKUP(K136,SFAssumptions!$A$18:$B$20,2,FALSE)</f>
        <v>0</v>
      </c>
      <c r="N136" s="453">
        <f ca="1">HLOOKUP($G136,'MFBaselines and Measures'!$C$3:$V$33,7,FALSE)</f>
        <v>3802.5240664273615</v>
      </c>
      <c r="O136" s="454"/>
      <c r="P136" s="455"/>
      <c r="Q136" s="455">
        <f ca="1">HLOOKUP($G136,'MFBaselines and Measures'!$C$3:$V$33,26,FALSE)</f>
        <v>291.68748062010144</v>
      </c>
      <c r="R136" s="455"/>
      <c r="S136" s="456"/>
      <c r="T136" s="456">
        <f ca="1">HLOOKUP($G136,'MFBaselines and Measures'!$C$3:$V$33,30,FALSE)</f>
        <v>11.149928959191751</v>
      </c>
      <c r="U136" s="456"/>
      <c r="V136" s="456"/>
      <c r="W136" s="457"/>
      <c r="X136" s="453"/>
      <c r="Y136" s="454"/>
      <c r="Z136" s="455"/>
      <c r="AA136" s="455">
        <f ca="1">HLOOKUP($H136,'MFBaselines and Measures'!$C$2:$V$33,27,FALSE)</f>
        <v>220.25742572159206</v>
      </c>
      <c r="AB136" s="455"/>
      <c r="AC136" s="456"/>
      <c r="AD136" s="456">
        <f ca="1">HLOOKUP($H136,'MFBaselines and Measures'!$C$2:$V$33,31,FALSE)</f>
        <v>8.4194722526632901</v>
      </c>
      <c r="AE136" s="456"/>
      <c r="AF136" s="456"/>
      <c r="AG136" s="457"/>
      <c r="AH136" s="453"/>
      <c r="AI136" s="454"/>
      <c r="AJ136" s="455"/>
      <c r="AK136" s="455">
        <f t="shared" ca="1" si="35"/>
        <v>71.430054898509383</v>
      </c>
      <c r="AL136" s="455"/>
      <c r="AM136" s="456"/>
      <c r="AN136" s="456">
        <f t="shared" ca="1" si="36"/>
        <v>2.7304567065284608</v>
      </c>
      <c r="AO136" s="456"/>
      <c r="AP136" s="456"/>
      <c r="AQ136" s="458"/>
      <c r="AR136" s="452" t="str">
        <f t="shared" si="41"/>
        <v>CEE Tier 3 Clothes Washer - Gas DHW, Gas Dryer - 54% ENERGY STAR Baseline</v>
      </c>
      <c r="AS136" s="454">
        <f t="shared" si="42"/>
        <v>0</v>
      </c>
      <c r="AT136" s="455">
        <f t="shared" ca="1" si="43"/>
        <v>0</v>
      </c>
      <c r="AU136" s="456">
        <f t="shared" ca="1" si="44"/>
        <v>2.7304567065284608</v>
      </c>
      <c r="AV136" s="456">
        <f t="shared" si="45"/>
        <v>0</v>
      </c>
      <c r="AW136" s="456"/>
      <c r="AX136" s="455">
        <f t="shared" ca="1" si="50"/>
        <v>0</v>
      </c>
      <c r="AY136" s="455"/>
      <c r="AZ136" s="458"/>
      <c r="BA136" s="450" t="str">
        <f t="shared" si="49"/>
        <v>CEE Tier 3 Clothes Washer - Gas DHW, Gas Dryer - 54% ENERGY STAR Baseline</v>
      </c>
      <c r="BB136" s="450" t="s">
        <v>26</v>
      </c>
      <c r="BC136" s="455">
        <f t="shared" ca="1" si="46"/>
        <v>0</v>
      </c>
      <c r="BD136" s="455">
        <f>SFAssumptions!$C$7</f>
        <v>14</v>
      </c>
      <c r="BE136" s="459">
        <f t="shared" si="47"/>
        <v>0</v>
      </c>
      <c r="BF136" s="450"/>
      <c r="BG136" s="449" t="s">
        <v>159</v>
      </c>
      <c r="BH136" s="460"/>
      <c r="BI136" s="450"/>
      <c r="BJ136" s="450"/>
      <c r="BK136" s="450"/>
      <c r="BL136" s="450"/>
      <c r="BM136" s="450"/>
      <c r="BN136" s="450"/>
      <c r="BO136" s="461">
        <f t="shared" ca="1" si="48"/>
        <v>2.7304567065284608</v>
      </c>
      <c r="BP136" s="450" t="s">
        <v>159</v>
      </c>
    </row>
    <row r="137" spans="1:69" s="309" customFormat="1">
      <c r="A137" s="450">
        <f t="shared" si="39"/>
        <v>60</v>
      </c>
      <c r="B137" s="450">
        <f t="shared" si="3"/>
        <v>2</v>
      </c>
      <c r="C137" s="450">
        <f t="shared" si="4"/>
        <v>30</v>
      </c>
      <c r="D137" s="450">
        <f t="shared" si="5"/>
        <v>6</v>
      </c>
      <c r="E137" s="450">
        <f t="shared" si="6"/>
        <v>5</v>
      </c>
      <c r="F137" s="450"/>
      <c r="G137" s="450" t="str">
        <f t="shared" si="13"/>
        <v>Current Practice Baseline Using 54% ENERGY STAR Penetration</v>
      </c>
      <c r="H137" s="450" t="str">
        <f t="shared" si="40"/>
        <v>CEE Tier 3</v>
      </c>
      <c r="I137" s="450" t="str">
        <f t="shared" si="7"/>
        <v>Any DHW, Any Dryer</v>
      </c>
      <c r="J137" s="450" t="str">
        <f t="shared" si="8"/>
        <v>Any DHW</v>
      </c>
      <c r="K137" s="450" t="str">
        <f t="shared" si="9"/>
        <v>Any Dryer</v>
      </c>
      <c r="L137" s="451">
        <f>VLOOKUP(J137,SFAssumptions!$A$14:$B$16,2,FALSE)</f>
        <v>0.55200000000000005</v>
      </c>
      <c r="M137" s="452">
        <f>VLOOKUP(K137,SFAssumptions!$A$18:$B$20,2,FALSE)</f>
        <v>0.95</v>
      </c>
      <c r="N137" s="453">
        <f ca="1">HLOOKUP($G137,'MFBaselines and Measures'!$C$3:$V$33,7,FALSE)</f>
        <v>3802.5240664273615</v>
      </c>
      <c r="O137" s="454"/>
      <c r="P137" s="455"/>
      <c r="Q137" s="455">
        <f ca="1">HLOOKUP($G137,'MFBaselines and Measures'!$C$3:$V$33,26,FALSE)</f>
        <v>291.68748062010144</v>
      </c>
      <c r="R137" s="455"/>
      <c r="S137" s="456"/>
      <c r="T137" s="456">
        <f ca="1">HLOOKUP($G137,'MFBaselines and Measures'!$C$3:$V$33,30,FALSE)</f>
        <v>11.149928959191751</v>
      </c>
      <c r="U137" s="456"/>
      <c r="V137" s="456"/>
      <c r="W137" s="457"/>
      <c r="X137" s="453"/>
      <c r="Y137" s="454"/>
      <c r="Z137" s="455"/>
      <c r="AA137" s="455">
        <f ca="1">HLOOKUP($H137,'MFBaselines and Measures'!$C$2:$V$33,27,FALSE)</f>
        <v>220.25742572159206</v>
      </c>
      <c r="AB137" s="455"/>
      <c r="AC137" s="456"/>
      <c r="AD137" s="456">
        <f ca="1">HLOOKUP($H137,'MFBaselines and Measures'!$C$2:$V$33,31,FALSE)</f>
        <v>8.4194722526632901</v>
      </c>
      <c r="AE137" s="456"/>
      <c r="AF137" s="456"/>
      <c r="AG137" s="457"/>
      <c r="AH137" s="453"/>
      <c r="AI137" s="454"/>
      <c r="AJ137" s="455"/>
      <c r="AK137" s="455">
        <f t="shared" ca="1" si="35"/>
        <v>71.430054898509383</v>
      </c>
      <c r="AL137" s="455"/>
      <c r="AM137" s="456"/>
      <c r="AN137" s="456">
        <f t="shared" ca="1" si="36"/>
        <v>2.7304567065284608</v>
      </c>
      <c r="AO137" s="456"/>
      <c r="AP137" s="456"/>
      <c r="AQ137" s="458"/>
      <c r="AR137" s="452" t="str">
        <f t="shared" si="41"/>
        <v>CEE Tier 3 Clothes Washer - Any DHW, Any Dryer - 54% ENERGY STAR Baseline</v>
      </c>
      <c r="AS137" s="454">
        <f t="shared" si="42"/>
        <v>0</v>
      </c>
      <c r="AT137" s="455">
        <f t="shared" ca="1" si="43"/>
        <v>67.858552153583915</v>
      </c>
      <c r="AU137" s="456">
        <f t="shared" ca="1" si="44"/>
        <v>0.13652283532642318</v>
      </c>
      <c r="AV137" s="456">
        <f t="shared" si="45"/>
        <v>0</v>
      </c>
      <c r="AW137" s="456"/>
      <c r="AX137" s="455">
        <f t="shared" ca="1" si="50"/>
        <v>67.858552153583915</v>
      </c>
      <c r="AY137" s="455"/>
      <c r="AZ137" s="458"/>
      <c r="BA137" s="450" t="str">
        <f t="shared" si="49"/>
        <v>CEE Tier 3 Clothes Washer - Any DHW, Any Dryer - 54% ENERGY STAR Baseline</v>
      </c>
      <c r="BB137" s="450" t="s">
        <v>26</v>
      </c>
      <c r="BC137" s="455">
        <f t="shared" ca="1" si="46"/>
        <v>67.858552153583915</v>
      </c>
      <c r="BD137" s="455">
        <f>SFAssumptions!$C$7</f>
        <v>14</v>
      </c>
      <c r="BE137" s="459">
        <f t="shared" si="47"/>
        <v>0</v>
      </c>
      <c r="BF137" s="450"/>
      <c r="BG137" s="449" t="s">
        <v>159</v>
      </c>
      <c r="BH137" s="460"/>
      <c r="BI137" s="450"/>
      <c r="BJ137" s="450"/>
      <c r="BK137" s="450"/>
      <c r="BL137" s="450"/>
      <c r="BM137" s="450"/>
      <c r="BN137" s="450"/>
      <c r="BO137" s="461">
        <f t="shared" ca="1" si="48"/>
        <v>0.13652283532642318</v>
      </c>
      <c r="BP137" s="450" t="s">
        <v>159</v>
      </c>
    </row>
    <row r="138" spans="1:69" s="469" customFormat="1">
      <c r="A138" s="462">
        <f t="shared" ref="A138:A162" si="51">A18</f>
        <v>1</v>
      </c>
      <c r="B138" s="462">
        <f t="shared" si="3"/>
        <v>1</v>
      </c>
      <c r="C138" s="462">
        <f t="shared" si="4"/>
        <v>1</v>
      </c>
      <c r="D138" s="462">
        <f t="shared" si="5"/>
        <v>1</v>
      </c>
      <c r="E138" s="462">
        <f t="shared" si="6"/>
        <v>1</v>
      </c>
      <c r="F138" s="462"/>
      <c r="G138" s="462" t="str">
        <f t="shared" si="13"/>
        <v>Current Practice Baseline Using 31% ENERGY STAR Penetration</v>
      </c>
      <c r="H138" s="462" t="str">
        <f t="shared" si="40"/>
        <v>ENERGY STAR - Top-Load</v>
      </c>
      <c r="I138" s="462" t="str">
        <f t="shared" si="7"/>
        <v>Electric DHW, Electric Dryer</v>
      </c>
      <c r="J138" s="462" t="str">
        <f t="shared" si="8"/>
        <v>Electric DHW</v>
      </c>
      <c r="K138" s="462" t="str">
        <f t="shared" si="9"/>
        <v>Electric Dryer</v>
      </c>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2" t="str">
        <f>CONCATENATE(H138," Clothes Washer - ",I138," - 31% ENERGY STAR Baseline")</f>
        <v>ENERGY STAR - Top-Load Clothes Washer - Electric DHW, Electric Dryer - 31% ENERGY STAR Baseline</v>
      </c>
      <c r="BB138" s="464" t="s">
        <v>27</v>
      </c>
      <c r="BC138" s="465">
        <f ca="1">AH18*SFAssumptions!$C$26/1000</f>
        <v>0.29472284399684212</v>
      </c>
      <c r="BD138" s="466">
        <f t="shared" ref="BD138:BD197" si="52">BD18</f>
        <v>14</v>
      </c>
      <c r="BE138" s="462">
        <v>0</v>
      </c>
      <c r="BF138" s="462"/>
      <c r="BG138" s="464" t="s">
        <v>160</v>
      </c>
      <c r="BH138" s="467">
        <f ca="1">AH18*SFAssumptions!$C$27/1000</f>
        <v>1.1075262970731625</v>
      </c>
      <c r="BI138" s="462"/>
      <c r="BJ138" s="462"/>
      <c r="BK138" s="462"/>
      <c r="BL138" s="462"/>
      <c r="BM138" s="462"/>
      <c r="BN138" s="462"/>
      <c r="BO138" s="462"/>
      <c r="BP138" s="462"/>
      <c r="BQ138" s="468"/>
    </row>
    <row r="139" spans="1:69" s="469" customFormat="1">
      <c r="A139" s="462">
        <f t="shared" si="51"/>
        <v>2</v>
      </c>
      <c r="B139" s="462">
        <f t="shared" si="3"/>
        <v>1</v>
      </c>
      <c r="C139" s="462">
        <f t="shared" si="4"/>
        <v>2</v>
      </c>
      <c r="D139" s="462">
        <f t="shared" si="5"/>
        <v>1</v>
      </c>
      <c r="E139" s="462">
        <f t="shared" si="6"/>
        <v>2</v>
      </c>
      <c r="F139" s="462"/>
      <c r="G139" s="462" t="str">
        <f t="shared" si="13"/>
        <v>Current Practice Baseline Using 31% ENERGY STAR Penetration</v>
      </c>
      <c r="H139" s="462" t="str">
        <f t="shared" si="40"/>
        <v>ENERGY STAR - Top-Load</v>
      </c>
      <c r="I139" s="462" t="str">
        <f t="shared" si="7"/>
        <v>Electric DHW, Gas Dryer</v>
      </c>
      <c r="J139" s="462" t="str">
        <f t="shared" si="8"/>
        <v>Electric DHW</v>
      </c>
      <c r="K139" s="462" t="str">
        <f t="shared" si="9"/>
        <v>Gas Dryer</v>
      </c>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2" t="str">
        <f t="shared" ref="BA139:BA167" si="53">CONCATENATE(H139," Clothes Washer - ",I139," - 31% ENERGY STAR Baseline")</f>
        <v>ENERGY STAR - Top-Load Clothes Washer - Electric DHW, Gas Dryer - 31% ENERGY STAR Baseline</v>
      </c>
      <c r="BB139" s="464" t="s">
        <v>27</v>
      </c>
      <c r="BC139" s="465">
        <f ca="1">AH19*SFAssumptions!$C$26/1000</f>
        <v>0.29472284399684212</v>
      </c>
      <c r="BD139" s="466">
        <f t="shared" si="52"/>
        <v>14</v>
      </c>
      <c r="BE139" s="462">
        <v>0</v>
      </c>
      <c r="BF139" s="462"/>
      <c r="BG139" s="464" t="s">
        <v>160</v>
      </c>
      <c r="BH139" s="467">
        <f ca="1">AH19*SFAssumptions!$C$27/1000</f>
        <v>1.1075262970731625</v>
      </c>
      <c r="BI139" s="462"/>
      <c r="BJ139" s="462"/>
      <c r="BK139" s="462"/>
      <c r="BL139" s="462"/>
      <c r="BM139" s="462"/>
      <c r="BN139" s="462"/>
      <c r="BO139" s="462"/>
      <c r="BP139" s="462"/>
      <c r="BQ139" s="468"/>
    </row>
    <row r="140" spans="1:69" s="469" customFormat="1">
      <c r="A140" s="462">
        <f t="shared" si="51"/>
        <v>3</v>
      </c>
      <c r="B140" s="462">
        <f t="shared" si="3"/>
        <v>1</v>
      </c>
      <c r="C140" s="462">
        <f t="shared" si="4"/>
        <v>3</v>
      </c>
      <c r="D140" s="462">
        <f t="shared" si="5"/>
        <v>1</v>
      </c>
      <c r="E140" s="462">
        <f t="shared" si="6"/>
        <v>3</v>
      </c>
      <c r="F140" s="462"/>
      <c r="G140" s="462" t="str">
        <f t="shared" si="13"/>
        <v>Current Practice Baseline Using 31% ENERGY STAR Penetration</v>
      </c>
      <c r="H140" s="462" t="str">
        <f t="shared" si="40"/>
        <v>ENERGY STAR - Top-Load</v>
      </c>
      <c r="I140" s="462" t="str">
        <f t="shared" si="7"/>
        <v>Gas DHW, Electric Dryer</v>
      </c>
      <c r="J140" s="462" t="str">
        <f t="shared" si="8"/>
        <v>Gas DHW</v>
      </c>
      <c r="K140" s="462" t="str">
        <f t="shared" si="9"/>
        <v>Electric Dryer</v>
      </c>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2" t="str">
        <f t="shared" si="53"/>
        <v>ENERGY STAR - Top-Load Clothes Washer - Gas DHW, Electric Dryer - 31% ENERGY STAR Baseline</v>
      </c>
      <c r="BB140" s="464" t="s">
        <v>27</v>
      </c>
      <c r="BC140" s="465">
        <f ca="1">AH20*SFAssumptions!$C$26/1000</f>
        <v>0.29472284399684212</v>
      </c>
      <c r="BD140" s="466">
        <f t="shared" si="52"/>
        <v>14</v>
      </c>
      <c r="BE140" s="462">
        <v>0</v>
      </c>
      <c r="BF140" s="462"/>
      <c r="BG140" s="464" t="s">
        <v>160</v>
      </c>
      <c r="BH140" s="467">
        <f ca="1">AH20*SFAssumptions!$C$27/1000</f>
        <v>1.1075262970731625</v>
      </c>
      <c r="BI140" s="462"/>
      <c r="BJ140" s="462"/>
      <c r="BK140" s="462"/>
      <c r="BL140" s="462"/>
      <c r="BM140" s="462"/>
      <c r="BN140" s="462"/>
      <c r="BO140" s="462"/>
      <c r="BP140" s="462"/>
      <c r="BQ140" s="468"/>
    </row>
    <row r="141" spans="1:69" s="469" customFormat="1">
      <c r="A141" s="462">
        <f t="shared" si="51"/>
        <v>4</v>
      </c>
      <c r="B141" s="462">
        <f t="shared" si="3"/>
        <v>1</v>
      </c>
      <c r="C141" s="462">
        <f t="shared" si="4"/>
        <v>4</v>
      </c>
      <c r="D141" s="462">
        <f t="shared" si="5"/>
        <v>1</v>
      </c>
      <c r="E141" s="462">
        <f t="shared" si="6"/>
        <v>4</v>
      </c>
      <c r="F141" s="462"/>
      <c r="G141" s="462" t="str">
        <f t="shared" si="13"/>
        <v>Current Practice Baseline Using 31% ENERGY STAR Penetration</v>
      </c>
      <c r="H141" s="462" t="str">
        <f t="shared" si="40"/>
        <v>ENERGY STAR - Top-Load</v>
      </c>
      <c r="I141" s="462" t="str">
        <f t="shared" si="7"/>
        <v>Gas DHW, Gas Dryer</v>
      </c>
      <c r="J141" s="462" t="str">
        <f t="shared" si="8"/>
        <v>Gas DHW</v>
      </c>
      <c r="K141" s="462" t="str">
        <f t="shared" si="9"/>
        <v>Gas Dryer</v>
      </c>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2" t="str">
        <f t="shared" si="53"/>
        <v>ENERGY STAR - Top-Load Clothes Washer - Gas DHW, Gas Dryer - 31% ENERGY STAR Baseline</v>
      </c>
      <c r="BB141" s="464" t="s">
        <v>27</v>
      </c>
      <c r="BC141" s="465">
        <f ca="1">AH21*SFAssumptions!$C$26/1000</f>
        <v>0.29472284399684212</v>
      </c>
      <c r="BD141" s="466">
        <f t="shared" si="52"/>
        <v>14</v>
      </c>
      <c r="BE141" s="462">
        <v>0</v>
      </c>
      <c r="BF141" s="462"/>
      <c r="BG141" s="464" t="s">
        <v>160</v>
      </c>
      <c r="BH141" s="467">
        <f ca="1">AH21*SFAssumptions!$C$27/1000</f>
        <v>1.1075262970731625</v>
      </c>
      <c r="BI141" s="462"/>
      <c r="BJ141" s="462"/>
      <c r="BK141" s="462"/>
      <c r="BL141" s="462"/>
      <c r="BM141" s="462"/>
      <c r="BN141" s="462"/>
      <c r="BO141" s="462"/>
      <c r="BP141" s="462"/>
      <c r="BQ141" s="470"/>
    </row>
    <row r="142" spans="1:69" s="469" customFormat="1">
      <c r="A142" s="462">
        <f t="shared" si="51"/>
        <v>5</v>
      </c>
      <c r="B142" s="462">
        <f t="shared" si="3"/>
        <v>1</v>
      </c>
      <c r="C142" s="462">
        <f t="shared" si="4"/>
        <v>5</v>
      </c>
      <c r="D142" s="462">
        <f t="shared" si="5"/>
        <v>1</v>
      </c>
      <c r="E142" s="462">
        <f t="shared" si="6"/>
        <v>5</v>
      </c>
      <c r="F142" s="462"/>
      <c r="G142" s="462" t="str">
        <f t="shared" si="13"/>
        <v>Current Practice Baseline Using 31% ENERGY STAR Penetration</v>
      </c>
      <c r="H142" s="462" t="str">
        <f t="shared" si="40"/>
        <v>ENERGY STAR - Top-Load</v>
      </c>
      <c r="I142" s="462" t="str">
        <f t="shared" si="7"/>
        <v>Any DHW, Any Dryer</v>
      </c>
      <c r="J142" s="462" t="str">
        <f t="shared" si="8"/>
        <v>Any DHW</v>
      </c>
      <c r="K142" s="462" t="str">
        <f t="shared" si="9"/>
        <v>Any Dryer</v>
      </c>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2" t="str">
        <f t="shared" si="53"/>
        <v>ENERGY STAR - Top-Load Clothes Washer - Any DHW, Any Dryer - 31% ENERGY STAR Baseline</v>
      </c>
      <c r="BB142" s="464" t="s">
        <v>27</v>
      </c>
      <c r="BC142" s="465">
        <f ca="1">AH22*SFAssumptions!$C$26/1000</f>
        <v>0.29472284399684212</v>
      </c>
      <c r="BD142" s="466">
        <f t="shared" si="52"/>
        <v>14</v>
      </c>
      <c r="BE142" s="462">
        <v>0</v>
      </c>
      <c r="BF142" s="462"/>
      <c r="BG142" s="464" t="s">
        <v>160</v>
      </c>
      <c r="BH142" s="467">
        <f ca="1">AH22*SFAssumptions!$C$27/1000</f>
        <v>1.1075262970731625</v>
      </c>
      <c r="BI142" s="462"/>
      <c r="BJ142" s="462"/>
      <c r="BK142" s="462"/>
      <c r="BL142" s="462"/>
      <c r="BM142" s="462"/>
      <c r="BN142" s="462"/>
      <c r="BO142" s="462"/>
      <c r="BP142" s="462"/>
    </row>
    <row r="143" spans="1:69" s="469" customFormat="1">
      <c r="A143" s="462">
        <f t="shared" si="51"/>
        <v>6</v>
      </c>
      <c r="B143" s="462">
        <f t="shared" si="3"/>
        <v>1</v>
      </c>
      <c r="C143" s="462">
        <f t="shared" si="4"/>
        <v>6</v>
      </c>
      <c r="D143" s="462">
        <f t="shared" si="5"/>
        <v>2</v>
      </c>
      <c r="E143" s="462">
        <f t="shared" si="6"/>
        <v>1</v>
      </c>
      <c r="F143" s="462"/>
      <c r="G143" s="462" t="str">
        <f t="shared" si="13"/>
        <v>Current Practice Baseline Using 31% ENERGY STAR Penetration</v>
      </c>
      <c r="H143" s="462" t="str">
        <f t="shared" si="40"/>
        <v>ENERGY STAR - Front-Load</v>
      </c>
      <c r="I143" s="462" t="str">
        <f t="shared" si="7"/>
        <v>Electric DHW, Electric Dryer</v>
      </c>
      <c r="J143" s="462" t="str">
        <f t="shared" si="8"/>
        <v>Electric DHW</v>
      </c>
      <c r="K143" s="462" t="str">
        <f t="shared" si="9"/>
        <v>Electric Dryer</v>
      </c>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2" t="str">
        <f t="shared" si="53"/>
        <v>ENERGY STAR - Front-Load Clothes Washer - Electric DHW, Electric Dryer - 31% ENERGY STAR Baseline</v>
      </c>
      <c r="BB143" s="464" t="s">
        <v>27</v>
      </c>
      <c r="BC143" s="465">
        <f ca="1">AH23*SFAssumptions!$C$26/1000</f>
        <v>3.6144341128034556</v>
      </c>
      <c r="BD143" s="466">
        <f t="shared" si="52"/>
        <v>14</v>
      </c>
      <c r="BE143" s="462">
        <v>0</v>
      </c>
      <c r="BF143" s="462"/>
      <c r="BG143" s="464" t="s">
        <v>160</v>
      </c>
      <c r="BH143" s="467">
        <f ca="1">AH23*SFAssumptions!$C$27/1000</f>
        <v>13.58252646683548</v>
      </c>
      <c r="BI143" s="462"/>
      <c r="BJ143" s="462"/>
      <c r="BK143" s="462"/>
      <c r="BL143" s="462"/>
      <c r="BM143" s="462"/>
      <c r="BN143" s="462"/>
      <c r="BO143" s="462"/>
      <c r="BP143" s="462"/>
    </row>
    <row r="144" spans="1:69" s="469" customFormat="1">
      <c r="A144" s="462">
        <f t="shared" si="51"/>
        <v>7</v>
      </c>
      <c r="B144" s="462">
        <f t="shared" si="3"/>
        <v>1</v>
      </c>
      <c r="C144" s="462">
        <f t="shared" si="4"/>
        <v>7</v>
      </c>
      <c r="D144" s="462">
        <f t="shared" si="5"/>
        <v>2</v>
      </c>
      <c r="E144" s="462">
        <f t="shared" si="6"/>
        <v>2</v>
      </c>
      <c r="F144" s="462"/>
      <c r="G144" s="462" t="str">
        <f t="shared" si="13"/>
        <v>Current Practice Baseline Using 31% ENERGY STAR Penetration</v>
      </c>
      <c r="H144" s="462" t="str">
        <f t="shared" si="40"/>
        <v>ENERGY STAR - Front-Load</v>
      </c>
      <c r="I144" s="462" t="str">
        <f t="shared" si="7"/>
        <v>Electric DHW, Gas Dryer</v>
      </c>
      <c r="J144" s="462" t="str">
        <f t="shared" si="8"/>
        <v>Electric DHW</v>
      </c>
      <c r="K144" s="462" t="str">
        <f t="shared" si="9"/>
        <v>Gas Dryer</v>
      </c>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2" t="str">
        <f t="shared" si="53"/>
        <v>ENERGY STAR - Front-Load Clothes Washer - Electric DHW, Gas Dryer - 31% ENERGY STAR Baseline</v>
      </c>
      <c r="BB144" s="464" t="s">
        <v>27</v>
      </c>
      <c r="BC144" s="465">
        <f ca="1">AH24*SFAssumptions!$C$26/1000</f>
        <v>3.6144341128034556</v>
      </c>
      <c r="BD144" s="466">
        <f t="shared" si="52"/>
        <v>14</v>
      </c>
      <c r="BE144" s="462">
        <v>0</v>
      </c>
      <c r="BF144" s="462"/>
      <c r="BG144" s="464" t="s">
        <v>160</v>
      </c>
      <c r="BH144" s="467">
        <f ca="1">AH24*SFAssumptions!$C$27/1000</f>
        <v>13.58252646683548</v>
      </c>
      <c r="BI144" s="462"/>
      <c r="BJ144" s="462"/>
      <c r="BK144" s="462"/>
      <c r="BL144" s="462"/>
      <c r="BM144" s="462"/>
      <c r="BN144" s="462"/>
      <c r="BO144" s="462"/>
      <c r="BP144" s="462"/>
    </row>
    <row r="145" spans="1:69" s="469" customFormat="1">
      <c r="A145" s="462">
        <f t="shared" si="51"/>
        <v>8</v>
      </c>
      <c r="B145" s="462">
        <f t="shared" si="3"/>
        <v>1</v>
      </c>
      <c r="C145" s="462">
        <f t="shared" si="4"/>
        <v>8</v>
      </c>
      <c r="D145" s="462">
        <f t="shared" si="5"/>
        <v>2</v>
      </c>
      <c r="E145" s="462">
        <f t="shared" si="6"/>
        <v>3</v>
      </c>
      <c r="F145" s="462"/>
      <c r="G145" s="462" t="str">
        <f t="shared" si="13"/>
        <v>Current Practice Baseline Using 31% ENERGY STAR Penetration</v>
      </c>
      <c r="H145" s="462" t="str">
        <f t="shared" si="40"/>
        <v>ENERGY STAR - Front-Load</v>
      </c>
      <c r="I145" s="462" t="str">
        <f t="shared" si="7"/>
        <v>Gas DHW, Electric Dryer</v>
      </c>
      <c r="J145" s="462" t="str">
        <f t="shared" si="8"/>
        <v>Gas DHW</v>
      </c>
      <c r="K145" s="462" t="str">
        <f t="shared" si="9"/>
        <v>Electric Dryer</v>
      </c>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2" t="str">
        <f t="shared" si="53"/>
        <v>ENERGY STAR - Front-Load Clothes Washer - Gas DHW, Electric Dryer - 31% ENERGY STAR Baseline</v>
      </c>
      <c r="BB145" s="464" t="s">
        <v>27</v>
      </c>
      <c r="BC145" s="465">
        <f ca="1">AH25*SFAssumptions!$C$26/1000</f>
        <v>3.6144341128034556</v>
      </c>
      <c r="BD145" s="466">
        <f t="shared" si="52"/>
        <v>14</v>
      </c>
      <c r="BE145" s="462">
        <v>0</v>
      </c>
      <c r="BF145" s="462"/>
      <c r="BG145" s="464" t="s">
        <v>160</v>
      </c>
      <c r="BH145" s="467">
        <f ca="1">AH25*SFAssumptions!$C$27/1000</f>
        <v>13.58252646683548</v>
      </c>
      <c r="BI145" s="462"/>
      <c r="BJ145" s="462"/>
      <c r="BK145" s="462"/>
      <c r="BL145" s="462"/>
      <c r="BM145" s="462"/>
      <c r="BN145" s="462"/>
      <c r="BO145" s="462"/>
      <c r="BP145" s="462"/>
      <c r="BQ145" s="470"/>
    </row>
    <row r="146" spans="1:69" s="469" customFormat="1">
      <c r="A146" s="462">
        <f t="shared" si="51"/>
        <v>9</v>
      </c>
      <c r="B146" s="462">
        <f t="shared" si="3"/>
        <v>1</v>
      </c>
      <c r="C146" s="462">
        <f t="shared" si="4"/>
        <v>9</v>
      </c>
      <c r="D146" s="462">
        <f t="shared" si="5"/>
        <v>2</v>
      </c>
      <c r="E146" s="462">
        <f t="shared" si="6"/>
        <v>4</v>
      </c>
      <c r="F146" s="462"/>
      <c r="G146" s="462" t="str">
        <f t="shared" si="13"/>
        <v>Current Practice Baseline Using 31% ENERGY STAR Penetration</v>
      </c>
      <c r="H146" s="462" t="str">
        <f t="shared" si="40"/>
        <v>ENERGY STAR - Front-Load</v>
      </c>
      <c r="I146" s="462" t="str">
        <f t="shared" si="7"/>
        <v>Gas DHW, Gas Dryer</v>
      </c>
      <c r="J146" s="462" t="str">
        <f t="shared" si="8"/>
        <v>Gas DHW</v>
      </c>
      <c r="K146" s="462" t="str">
        <f t="shared" si="9"/>
        <v>Gas Dryer</v>
      </c>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2" t="str">
        <f t="shared" si="53"/>
        <v>ENERGY STAR - Front-Load Clothes Washer - Gas DHW, Gas Dryer - 31% ENERGY STAR Baseline</v>
      </c>
      <c r="BB146" s="464" t="s">
        <v>27</v>
      </c>
      <c r="BC146" s="465">
        <f ca="1">AH26*SFAssumptions!$C$26/1000</f>
        <v>3.6144341128034556</v>
      </c>
      <c r="BD146" s="466">
        <f t="shared" si="52"/>
        <v>14</v>
      </c>
      <c r="BE146" s="462">
        <v>0</v>
      </c>
      <c r="BF146" s="462"/>
      <c r="BG146" s="464" t="s">
        <v>160</v>
      </c>
      <c r="BH146" s="467">
        <f ca="1">AH26*SFAssumptions!$C$27/1000</f>
        <v>13.58252646683548</v>
      </c>
      <c r="BI146" s="462"/>
      <c r="BJ146" s="462"/>
      <c r="BK146" s="462"/>
      <c r="BL146" s="462"/>
      <c r="BM146" s="462"/>
      <c r="BN146" s="462"/>
      <c r="BO146" s="462"/>
      <c r="BP146" s="462"/>
    </row>
    <row r="147" spans="1:69" s="469" customFormat="1">
      <c r="A147" s="462">
        <f t="shared" si="51"/>
        <v>10</v>
      </c>
      <c r="B147" s="462">
        <f t="shared" si="3"/>
        <v>1</v>
      </c>
      <c r="C147" s="462">
        <f t="shared" si="4"/>
        <v>10</v>
      </c>
      <c r="D147" s="462">
        <f t="shared" si="5"/>
        <v>2</v>
      </c>
      <c r="E147" s="462">
        <f t="shared" si="6"/>
        <v>5</v>
      </c>
      <c r="F147" s="462"/>
      <c r="G147" s="462" t="str">
        <f t="shared" si="13"/>
        <v>Current Practice Baseline Using 31% ENERGY STAR Penetration</v>
      </c>
      <c r="H147" s="462" t="str">
        <f t="shared" ref="H147:H197" si="54">VLOOKUP(D147,$J$2:$O$12,6,FALSE)</f>
        <v>ENERGY STAR - Front-Load</v>
      </c>
      <c r="I147" s="462" t="str">
        <f t="shared" si="7"/>
        <v>Any DHW, Any Dryer</v>
      </c>
      <c r="J147" s="462" t="str">
        <f t="shared" si="8"/>
        <v>Any DHW</v>
      </c>
      <c r="K147" s="462" t="str">
        <f t="shared" si="9"/>
        <v>Any Dryer</v>
      </c>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2" t="str">
        <f t="shared" si="53"/>
        <v>ENERGY STAR - Front-Load Clothes Washer - Any DHW, Any Dryer - 31% ENERGY STAR Baseline</v>
      </c>
      <c r="BB147" s="464" t="s">
        <v>27</v>
      </c>
      <c r="BC147" s="465">
        <f ca="1">AH27*SFAssumptions!$C$26/1000</f>
        <v>3.6144341128034556</v>
      </c>
      <c r="BD147" s="466">
        <f t="shared" si="52"/>
        <v>14</v>
      </c>
      <c r="BE147" s="462">
        <v>0</v>
      </c>
      <c r="BF147" s="462"/>
      <c r="BG147" s="464" t="s">
        <v>160</v>
      </c>
      <c r="BH147" s="467">
        <f ca="1">AH27*SFAssumptions!$C$27/1000</f>
        <v>13.58252646683548</v>
      </c>
      <c r="BI147" s="462"/>
      <c r="BJ147" s="462"/>
      <c r="BK147" s="462"/>
      <c r="BL147" s="462"/>
      <c r="BM147" s="462"/>
      <c r="BN147" s="462"/>
      <c r="BO147" s="462"/>
      <c r="BP147" s="462"/>
    </row>
    <row r="148" spans="1:69" s="469" customFormat="1">
      <c r="A148" s="462">
        <f t="shared" si="51"/>
        <v>11</v>
      </c>
      <c r="B148" s="462">
        <f t="shared" si="3"/>
        <v>1</v>
      </c>
      <c r="C148" s="462">
        <f t="shared" si="4"/>
        <v>11</v>
      </c>
      <c r="D148" s="462">
        <f t="shared" si="5"/>
        <v>3</v>
      </c>
      <c r="E148" s="462">
        <f t="shared" si="6"/>
        <v>1</v>
      </c>
      <c r="F148" s="462"/>
      <c r="G148" s="462" t="str">
        <f t="shared" si="13"/>
        <v>Current Practice Baseline Using 31% ENERGY STAR Penetration</v>
      </c>
      <c r="H148" s="462" t="str">
        <f t="shared" si="54"/>
        <v>Any ENERGY STAR (Top- or Front-Load)</v>
      </c>
      <c r="I148" s="462" t="str">
        <f t="shared" si="7"/>
        <v>Electric DHW, Electric Dryer</v>
      </c>
      <c r="J148" s="462" t="str">
        <f t="shared" si="8"/>
        <v>Electric DHW</v>
      </c>
      <c r="K148" s="462" t="str">
        <f t="shared" si="9"/>
        <v>Electric Dryer</v>
      </c>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2" t="str">
        <f t="shared" si="53"/>
        <v>Any ENERGY STAR (Top- or Front-Load) Clothes Washer - Electric DHW, Electric Dryer - 31% ENERGY STAR Baseline</v>
      </c>
      <c r="BB148" s="464" t="s">
        <v>27</v>
      </c>
      <c r="BC148" s="465">
        <f ca="1">AH28*SFAssumptions!$C$26/1000</f>
        <v>2.6771038721992375</v>
      </c>
      <c r="BD148" s="466">
        <f t="shared" si="52"/>
        <v>14</v>
      </c>
      <c r="BE148" s="462">
        <v>0</v>
      </c>
      <c r="BF148" s="462"/>
      <c r="BG148" s="464" t="s">
        <v>160</v>
      </c>
      <c r="BH148" s="467">
        <f ca="1">AH28*SFAssumptions!$C$27/1000</f>
        <v>10.060173477726128</v>
      </c>
      <c r="BI148" s="462"/>
      <c r="BJ148" s="462"/>
      <c r="BK148" s="462"/>
      <c r="BL148" s="462"/>
      <c r="BM148" s="462"/>
      <c r="BN148" s="462"/>
      <c r="BO148" s="462"/>
      <c r="BP148" s="462"/>
    </row>
    <row r="149" spans="1:69" s="469" customFormat="1">
      <c r="A149" s="462">
        <f t="shared" si="51"/>
        <v>12</v>
      </c>
      <c r="B149" s="462">
        <f t="shared" si="3"/>
        <v>1</v>
      </c>
      <c r="C149" s="462">
        <f t="shared" si="4"/>
        <v>12</v>
      </c>
      <c r="D149" s="462">
        <f t="shared" si="5"/>
        <v>3</v>
      </c>
      <c r="E149" s="462">
        <f t="shared" si="6"/>
        <v>2</v>
      </c>
      <c r="F149" s="462"/>
      <c r="G149" s="462" t="str">
        <f t="shared" si="13"/>
        <v>Current Practice Baseline Using 31% ENERGY STAR Penetration</v>
      </c>
      <c r="H149" s="462" t="str">
        <f t="shared" si="54"/>
        <v>Any ENERGY STAR (Top- or Front-Load)</v>
      </c>
      <c r="I149" s="462" t="str">
        <f t="shared" si="7"/>
        <v>Electric DHW, Gas Dryer</v>
      </c>
      <c r="J149" s="462" t="str">
        <f t="shared" si="8"/>
        <v>Electric DHW</v>
      </c>
      <c r="K149" s="462" t="str">
        <f t="shared" si="9"/>
        <v>Gas Dryer</v>
      </c>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2" t="str">
        <f t="shared" si="53"/>
        <v>Any ENERGY STAR (Top- or Front-Load) Clothes Washer - Electric DHW, Gas Dryer - 31% ENERGY STAR Baseline</v>
      </c>
      <c r="BB149" s="464" t="s">
        <v>27</v>
      </c>
      <c r="BC149" s="465">
        <f ca="1">AH29*SFAssumptions!$C$26/1000</f>
        <v>2.6771038721992375</v>
      </c>
      <c r="BD149" s="466">
        <f t="shared" si="52"/>
        <v>14</v>
      </c>
      <c r="BE149" s="462">
        <v>0</v>
      </c>
      <c r="BF149" s="462"/>
      <c r="BG149" s="464" t="s">
        <v>160</v>
      </c>
      <c r="BH149" s="467">
        <f ca="1">AH29*SFAssumptions!$C$27/1000</f>
        <v>10.060173477726128</v>
      </c>
      <c r="BI149" s="462"/>
      <c r="BJ149" s="462"/>
      <c r="BK149" s="462"/>
      <c r="BL149" s="462"/>
      <c r="BM149" s="462"/>
      <c r="BN149" s="462"/>
      <c r="BO149" s="462"/>
      <c r="BP149" s="462"/>
    </row>
    <row r="150" spans="1:69" s="469" customFormat="1">
      <c r="A150" s="462">
        <f t="shared" si="51"/>
        <v>13</v>
      </c>
      <c r="B150" s="462">
        <f t="shared" si="3"/>
        <v>1</v>
      </c>
      <c r="C150" s="462">
        <f t="shared" si="4"/>
        <v>13</v>
      </c>
      <c r="D150" s="462">
        <f t="shared" si="5"/>
        <v>3</v>
      </c>
      <c r="E150" s="462">
        <f t="shared" si="6"/>
        <v>3</v>
      </c>
      <c r="F150" s="462"/>
      <c r="G150" s="462" t="str">
        <f t="shared" si="13"/>
        <v>Current Practice Baseline Using 31% ENERGY STAR Penetration</v>
      </c>
      <c r="H150" s="462" t="str">
        <f t="shared" si="54"/>
        <v>Any ENERGY STAR (Top- or Front-Load)</v>
      </c>
      <c r="I150" s="462" t="str">
        <f t="shared" si="7"/>
        <v>Gas DHW, Electric Dryer</v>
      </c>
      <c r="J150" s="462" t="str">
        <f t="shared" si="8"/>
        <v>Gas DHW</v>
      </c>
      <c r="K150" s="462" t="str">
        <f t="shared" si="9"/>
        <v>Electric Dryer</v>
      </c>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2" t="str">
        <f t="shared" si="53"/>
        <v>Any ENERGY STAR (Top- or Front-Load) Clothes Washer - Gas DHW, Electric Dryer - 31% ENERGY STAR Baseline</v>
      </c>
      <c r="BB150" s="464" t="s">
        <v>27</v>
      </c>
      <c r="BC150" s="465">
        <f ca="1">AH30*SFAssumptions!$C$26/1000</f>
        <v>2.6771038721992375</v>
      </c>
      <c r="BD150" s="466">
        <f t="shared" si="52"/>
        <v>14</v>
      </c>
      <c r="BE150" s="462">
        <v>0</v>
      </c>
      <c r="BF150" s="462"/>
      <c r="BG150" s="464" t="s">
        <v>160</v>
      </c>
      <c r="BH150" s="467">
        <f ca="1">AH30*SFAssumptions!$C$27/1000</f>
        <v>10.060173477726128</v>
      </c>
      <c r="BI150" s="462"/>
      <c r="BJ150" s="462"/>
      <c r="BK150" s="462"/>
      <c r="BL150" s="462"/>
      <c r="BM150" s="462"/>
      <c r="BN150" s="462"/>
      <c r="BO150" s="462"/>
      <c r="BP150" s="462"/>
    </row>
    <row r="151" spans="1:69" s="469" customFormat="1">
      <c r="A151" s="462">
        <f t="shared" si="51"/>
        <v>14</v>
      </c>
      <c r="B151" s="462">
        <f t="shared" si="3"/>
        <v>1</v>
      </c>
      <c r="C151" s="462">
        <f t="shared" si="4"/>
        <v>14</v>
      </c>
      <c r="D151" s="462">
        <f t="shared" si="5"/>
        <v>3</v>
      </c>
      <c r="E151" s="462">
        <f t="shared" si="6"/>
        <v>4</v>
      </c>
      <c r="F151" s="462"/>
      <c r="G151" s="462" t="str">
        <f t="shared" si="13"/>
        <v>Current Practice Baseline Using 31% ENERGY STAR Penetration</v>
      </c>
      <c r="H151" s="462" t="str">
        <f t="shared" si="54"/>
        <v>Any ENERGY STAR (Top- or Front-Load)</v>
      </c>
      <c r="I151" s="462" t="str">
        <f t="shared" si="7"/>
        <v>Gas DHW, Gas Dryer</v>
      </c>
      <c r="J151" s="462" t="str">
        <f t="shared" si="8"/>
        <v>Gas DHW</v>
      </c>
      <c r="K151" s="462" t="str">
        <f t="shared" si="9"/>
        <v>Gas Dryer</v>
      </c>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2" t="str">
        <f t="shared" si="53"/>
        <v>Any ENERGY STAR (Top- or Front-Load) Clothes Washer - Gas DHW, Gas Dryer - 31% ENERGY STAR Baseline</v>
      </c>
      <c r="BB151" s="464" t="s">
        <v>27</v>
      </c>
      <c r="BC151" s="465">
        <f ca="1">AH31*SFAssumptions!$C$26/1000</f>
        <v>2.6771038721992375</v>
      </c>
      <c r="BD151" s="466">
        <f t="shared" si="52"/>
        <v>14</v>
      </c>
      <c r="BE151" s="462">
        <v>0</v>
      </c>
      <c r="BF151" s="462"/>
      <c r="BG151" s="464" t="s">
        <v>160</v>
      </c>
      <c r="BH151" s="467">
        <f ca="1">AH31*SFAssumptions!$C$27/1000</f>
        <v>10.060173477726128</v>
      </c>
      <c r="BI151" s="462"/>
      <c r="BJ151" s="462"/>
      <c r="BK151" s="462"/>
      <c r="BL151" s="462"/>
      <c r="BM151" s="462"/>
      <c r="BN151" s="462"/>
      <c r="BO151" s="462"/>
      <c r="BP151" s="462"/>
    </row>
    <row r="152" spans="1:69" s="469" customFormat="1">
      <c r="A152" s="462">
        <f t="shared" si="51"/>
        <v>15</v>
      </c>
      <c r="B152" s="462">
        <f t="shared" si="3"/>
        <v>1</v>
      </c>
      <c r="C152" s="462">
        <f t="shared" si="4"/>
        <v>15</v>
      </c>
      <c r="D152" s="462">
        <f t="shared" si="5"/>
        <v>3</v>
      </c>
      <c r="E152" s="462">
        <f t="shared" si="6"/>
        <v>5</v>
      </c>
      <c r="F152" s="462"/>
      <c r="G152" s="462" t="str">
        <f t="shared" si="13"/>
        <v>Current Practice Baseline Using 31% ENERGY STAR Penetration</v>
      </c>
      <c r="H152" s="462" t="str">
        <f t="shared" si="54"/>
        <v>Any ENERGY STAR (Top- or Front-Load)</v>
      </c>
      <c r="I152" s="462" t="str">
        <f t="shared" si="7"/>
        <v>Any DHW, Any Dryer</v>
      </c>
      <c r="J152" s="462" t="str">
        <f t="shared" si="8"/>
        <v>Any DHW</v>
      </c>
      <c r="K152" s="462" t="str">
        <f t="shared" si="9"/>
        <v>Any Dryer</v>
      </c>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2" t="str">
        <f t="shared" si="53"/>
        <v>Any ENERGY STAR (Top- or Front-Load) Clothes Washer - Any DHW, Any Dryer - 31% ENERGY STAR Baseline</v>
      </c>
      <c r="BB152" s="464" t="s">
        <v>27</v>
      </c>
      <c r="BC152" s="465">
        <f ca="1">AH32*SFAssumptions!$C$26/1000</f>
        <v>2.6771038721992375</v>
      </c>
      <c r="BD152" s="466">
        <f t="shared" si="52"/>
        <v>14</v>
      </c>
      <c r="BE152" s="462">
        <v>0</v>
      </c>
      <c r="BF152" s="462"/>
      <c r="BG152" s="464" t="s">
        <v>160</v>
      </c>
      <c r="BH152" s="467">
        <f ca="1">AH32*SFAssumptions!$C$27/1000</f>
        <v>10.060173477726128</v>
      </c>
      <c r="BI152" s="462"/>
      <c r="BJ152" s="462"/>
      <c r="BK152" s="462"/>
      <c r="BL152" s="462"/>
      <c r="BM152" s="462"/>
      <c r="BN152" s="462"/>
      <c r="BO152" s="462"/>
      <c r="BP152" s="462"/>
    </row>
    <row r="153" spans="1:69" s="746" customFormat="1">
      <c r="A153" s="462">
        <f t="shared" si="51"/>
        <v>16</v>
      </c>
      <c r="B153" s="462">
        <f t="shared" si="3"/>
        <v>1</v>
      </c>
      <c r="C153" s="462">
        <f t="shared" si="4"/>
        <v>16</v>
      </c>
      <c r="D153" s="462">
        <f t="shared" si="5"/>
        <v>4</v>
      </c>
      <c r="E153" s="462">
        <f t="shared" si="6"/>
        <v>1</v>
      </c>
      <c r="F153" s="462"/>
      <c r="G153" s="462" t="str">
        <f t="shared" ref="G153:G197" si="55">VLOOKUP(B153,$G$2:$H$13,2,FALSE)</f>
        <v>Current Practice Baseline Using 31% ENERGY STAR Penetration</v>
      </c>
      <c r="H153" s="462" t="str">
        <f t="shared" si="54"/>
        <v>CEE Tier 1</v>
      </c>
      <c r="I153" s="462" t="str">
        <f t="shared" si="7"/>
        <v>Electric DHW, Electric Dryer</v>
      </c>
      <c r="J153" s="462" t="str">
        <f t="shared" si="8"/>
        <v>Electric DHW</v>
      </c>
      <c r="K153" s="462" t="str">
        <f t="shared" si="9"/>
        <v>Electric Dryer</v>
      </c>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T153" s="463"/>
      <c r="AU153" s="463"/>
      <c r="AV153" s="463"/>
      <c r="AW153" s="463"/>
      <c r="AX153" s="463"/>
      <c r="AY153" s="463"/>
      <c r="AZ153" s="463"/>
      <c r="BA153" s="462" t="str">
        <f t="shared" si="53"/>
        <v>CEE Tier 1 Clothes Washer - Electric DHW, Electric Dryer - 31% ENERGY STAR Baseline</v>
      </c>
      <c r="BB153" s="464" t="s">
        <v>27</v>
      </c>
      <c r="BC153" s="465">
        <f ca="1">AH33*SFAssumptions!$C$26/1000</f>
        <v>3.17293366135821</v>
      </c>
      <c r="BD153" s="466">
        <f t="shared" si="52"/>
        <v>14</v>
      </c>
      <c r="BE153" s="462">
        <v>0</v>
      </c>
      <c r="BF153" s="462"/>
      <c r="BG153" s="464" t="s">
        <v>160</v>
      </c>
      <c r="BH153" s="467">
        <f ca="1">AH33*SFAssumptions!$C$27/1000</f>
        <v>11.923430912808721</v>
      </c>
      <c r="BI153" s="462"/>
      <c r="BJ153" s="462"/>
      <c r="BK153" s="462"/>
      <c r="BL153" s="462"/>
      <c r="BM153" s="462"/>
      <c r="BN153" s="462"/>
      <c r="BO153" s="462"/>
      <c r="BP153" s="462"/>
    </row>
    <row r="154" spans="1:69" s="746" customFormat="1">
      <c r="A154" s="462">
        <f t="shared" si="51"/>
        <v>17</v>
      </c>
      <c r="B154" s="462">
        <f t="shared" ref="B154:B197" si="56">CEILING(A154/($B$2*$B$3),1)</f>
        <v>1</v>
      </c>
      <c r="C154" s="462">
        <f t="shared" ref="C154:C197" si="57">CEILING(A154-(B154-1)*$B$2*$B$3,1)</f>
        <v>17</v>
      </c>
      <c r="D154" s="462">
        <f t="shared" ref="D154:D197" si="58">CEILING(C154/$B$3,1)</f>
        <v>4</v>
      </c>
      <c r="E154" s="462">
        <f t="shared" ref="E154:E197" si="59">C154-((D154-1)*$B$3)</f>
        <v>2</v>
      </c>
      <c r="F154" s="462"/>
      <c r="G154" s="462" t="str">
        <f t="shared" si="55"/>
        <v>Current Practice Baseline Using 31% ENERGY STAR Penetration</v>
      </c>
      <c r="H154" s="462" t="str">
        <f t="shared" si="54"/>
        <v>CEE Tier 1</v>
      </c>
      <c r="I154" s="462" t="str">
        <f t="shared" ref="I154:I197" si="60">VLOOKUP($E154,$AI$2:$AL$12,2,FALSE)</f>
        <v>Electric DHW, Gas Dryer</v>
      </c>
      <c r="J154" s="462" t="str">
        <f t="shared" ref="J154:J197" si="61">VLOOKUP($E154,$AI$2:$AL$12,3,FALSE)</f>
        <v>Electric DHW</v>
      </c>
      <c r="K154" s="462" t="str">
        <f t="shared" ref="K154:K197" si="62">VLOOKUP($E154,$AI$2:$AL$12,4,FALSE)</f>
        <v>Gas Dryer</v>
      </c>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c r="AS154" s="463"/>
      <c r="AT154" s="463"/>
      <c r="AU154" s="463"/>
      <c r="AV154" s="463"/>
      <c r="AW154" s="463"/>
      <c r="AX154" s="463"/>
      <c r="AY154" s="463"/>
      <c r="AZ154" s="463"/>
      <c r="BA154" s="462" t="str">
        <f t="shared" si="53"/>
        <v>CEE Tier 1 Clothes Washer - Electric DHW, Gas Dryer - 31% ENERGY STAR Baseline</v>
      </c>
      <c r="BB154" s="464" t="s">
        <v>27</v>
      </c>
      <c r="BC154" s="465">
        <f ca="1">AH34*SFAssumptions!$C$26/1000</f>
        <v>3.17293366135821</v>
      </c>
      <c r="BD154" s="466">
        <f t="shared" si="52"/>
        <v>14</v>
      </c>
      <c r="BE154" s="462">
        <v>0</v>
      </c>
      <c r="BF154" s="462"/>
      <c r="BG154" s="464" t="s">
        <v>160</v>
      </c>
      <c r="BH154" s="467">
        <f ca="1">AH34*SFAssumptions!$C$27/1000</f>
        <v>11.923430912808721</v>
      </c>
      <c r="BI154" s="462"/>
      <c r="BJ154" s="462"/>
      <c r="BK154" s="462"/>
      <c r="BL154" s="462"/>
      <c r="BM154" s="462"/>
      <c r="BN154" s="462"/>
      <c r="BO154" s="462"/>
      <c r="BP154" s="462"/>
    </row>
    <row r="155" spans="1:69" s="746" customFormat="1">
      <c r="A155" s="462">
        <f t="shared" si="51"/>
        <v>18</v>
      </c>
      <c r="B155" s="462">
        <f t="shared" si="56"/>
        <v>1</v>
      </c>
      <c r="C155" s="462">
        <f t="shared" si="57"/>
        <v>18</v>
      </c>
      <c r="D155" s="462">
        <f t="shared" si="58"/>
        <v>4</v>
      </c>
      <c r="E155" s="462">
        <f t="shared" si="59"/>
        <v>3</v>
      </c>
      <c r="F155" s="462"/>
      <c r="G155" s="462" t="str">
        <f t="shared" si="55"/>
        <v>Current Practice Baseline Using 31% ENERGY STAR Penetration</v>
      </c>
      <c r="H155" s="462" t="str">
        <f t="shared" si="54"/>
        <v>CEE Tier 1</v>
      </c>
      <c r="I155" s="462" t="str">
        <f t="shared" si="60"/>
        <v>Gas DHW, Electric Dryer</v>
      </c>
      <c r="J155" s="462" t="str">
        <f t="shared" si="61"/>
        <v>Gas DHW</v>
      </c>
      <c r="K155" s="462" t="str">
        <f t="shared" si="62"/>
        <v>Electric Dryer</v>
      </c>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2" t="str">
        <f t="shared" si="53"/>
        <v>CEE Tier 1 Clothes Washer - Gas DHW, Electric Dryer - 31% ENERGY STAR Baseline</v>
      </c>
      <c r="BB155" s="464" t="s">
        <v>27</v>
      </c>
      <c r="BC155" s="465">
        <f ca="1">AH35*SFAssumptions!$C$26/1000</f>
        <v>3.17293366135821</v>
      </c>
      <c r="BD155" s="466">
        <f t="shared" si="52"/>
        <v>14</v>
      </c>
      <c r="BE155" s="462">
        <v>0</v>
      </c>
      <c r="BF155" s="462"/>
      <c r="BG155" s="464" t="s">
        <v>160</v>
      </c>
      <c r="BH155" s="467">
        <f ca="1">AH35*SFAssumptions!$C$27/1000</f>
        <v>11.923430912808721</v>
      </c>
      <c r="BI155" s="462"/>
      <c r="BJ155" s="462"/>
      <c r="BK155" s="462"/>
      <c r="BL155" s="462"/>
      <c r="BM155" s="462"/>
      <c r="BN155" s="462"/>
      <c r="BO155" s="462"/>
      <c r="BP155" s="462"/>
    </row>
    <row r="156" spans="1:69" s="746" customFormat="1">
      <c r="A156" s="462">
        <f t="shared" si="51"/>
        <v>19</v>
      </c>
      <c r="B156" s="462">
        <f t="shared" si="56"/>
        <v>1</v>
      </c>
      <c r="C156" s="462">
        <f t="shared" si="57"/>
        <v>19</v>
      </c>
      <c r="D156" s="462">
        <f t="shared" si="58"/>
        <v>4</v>
      </c>
      <c r="E156" s="462">
        <f t="shared" si="59"/>
        <v>4</v>
      </c>
      <c r="F156" s="462"/>
      <c r="G156" s="462" t="str">
        <f t="shared" si="55"/>
        <v>Current Practice Baseline Using 31% ENERGY STAR Penetration</v>
      </c>
      <c r="H156" s="462" t="str">
        <f t="shared" si="54"/>
        <v>CEE Tier 1</v>
      </c>
      <c r="I156" s="462" t="str">
        <f t="shared" si="60"/>
        <v>Gas DHW, Gas Dryer</v>
      </c>
      <c r="J156" s="462" t="str">
        <f t="shared" si="61"/>
        <v>Gas DHW</v>
      </c>
      <c r="K156" s="462" t="str">
        <f t="shared" si="62"/>
        <v>Gas Dryer</v>
      </c>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c r="AP156" s="463"/>
      <c r="AQ156" s="463"/>
      <c r="AR156" s="463"/>
      <c r="AS156" s="463"/>
      <c r="AT156" s="463"/>
      <c r="AU156" s="463"/>
      <c r="AV156" s="463"/>
      <c r="AW156" s="463"/>
      <c r="AX156" s="463"/>
      <c r="AY156" s="463"/>
      <c r="AZ156" s="463"/>
      <c r="BA156" s="462" t="str">
        <f t="shared" si="53"/>
        <v>CEE Tier 1 Clothes Washer - Gas DHW, Gas Dryer - 31% ENERGY STAR Baseline</v>
      </c>
      <c r="BB156" s="464" t="s">
        <v>27</v>
      </c>
      <c r="BC156" s="465">
        <f ca="1">AH36*SFAssumptions!$C$26/1000</f>
        <v>3.17293366135821</v>
      </c>
      <c r="BD156" s="466">
        <f t="shared" si="52"/>
        <v>14</v>
      </c>
      <c r="BE156" s="462">
        <v>0</v>
      </c>
      <c r="BF156" s="462"/>
      <c r="BG156" s="464" t="s">
        <v>160</v>
      </c>
      <c r="BH156" s="467">
        <f ca="1">AH36*SFAssumptions!$C$27/1000</f>
        <v>11.923430912808721</v>
      </c>
      <c r="BI156" s="462"/>
      <c r="BJ156" s="462"/>
      <c r="BK156" s="462"/>
      <c r="BL156" s="462"/>
      <c r="BM156" s="462"/>
      <c r="BN156" s="462"/>
      <c r="BO156" s="462"/>
      <c r="BP156" s="462"/>
    </row>
    <row r="157" spans="1:69" s="746" customFormat="1">
      <c r="A157" s="462">
        <f t="shared" si="51"/>
        <v>20</v>
      </c>
      <c r="B157" s="462">
        <f t="shared" si="56"/>
        <v>1</v>
      </c>
      <c r="C157" s="462">
        <f t="shared" si="57"/>
        <v>20</v>
      </c>
      <c r="D157" s="462">
        <f t="shared" si="58"/>
        <v>4</v>
      </c>
      <c r="E157" s="462">
        <f t="shared" si="59"/>
        <v>5</v>
      </c>
      <c r="F157" s="462"/>
      <c r="G157" s="462" t="str">
        <f t="shared" si="55"/>
        <v>Current Practice Baseline Using 31% ENERGY STAR Penetration</v>
      </c>
      <c r="H157" s="462" t="str">
        <f t="shared" si="54"/>
        <v>CEE Tier 1</v>
      </c>
      <c r="I157" s="462" t="str">
        <f t="shared" si="60"/>
        <v>Any DHW, Any Dryer</v>
      </c>
      <c r="J157" s="462" t="str">
        <f t="shared" si="61"/>
        <v>Any DHW</v>
      </c>
      <c r="K157" s="462" t="str">
        <f t="shared" si="62"/>
        <v>Any Dryer</v>
      </c>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c r="AS157" s="463"/>
      <c r="AT157" s="463"/>
      <c r="AU157" s="463"/>
      <c r="AV157" s="463"/>
      <c r="AW157" s="463"/>
      <c r="AX157" s="463"/>
      <c r="AY157" s="463"/>
      <c r="AZ157" s="463"/>
      <c r="BA157" s="462" t="str">
        <f t="shared" si="53"/>
        <v>CEE Tier 1 Clothes Washer - Any DHW, Any Dryer - 31% ENERGY STAR Baseline</v>
      </c>
      <c r="BB157" s="464" t="s">
        <v>27</v>
      </c>
      <c r="BC157" s="465">
        <f ca="1">AH37*SFAssumptions!$C$26/1000</f>
        <v>3.17293366135821</v>
      </c>
      <c r="BD157" s="466">
        <f t="shared" si="52"/>
        <v>14</v>
      </c>
      <c r="BE157" s="462">
        <v>0</v>
      </c>
      <c r="BF157" s="462"/>
      <c r="BG157" s="464" t="s">
        <v>160</v>
      </c>
      <c r="BH157" s="467">
        <f ca="1">AH37*SFAssumptions!$C$27/1000</f>
        <v>11.923430912808721</v>
      </c>
      <c r="BI157" s="462"/>
      <c r="BJ157" s="462"/>
      <c r="BK157" s="462"/>
      <c r="BL157" s="462"/>
      <c r="BM157" s="462"/>
      <c r="BN157" s="462"/>
      <c r="BO157" s="462"/>
      <c r="BP157" s="462"/>
    </row>
    <row r="158" spans="1:69" s="746" customFormat="1">
      <c r="A158" s="462">
        <f t="shared" si="51"/>
        <v>21</v>
      </c>
      <c r="B158" s="462">
        <f t="shared" si="56"/>
        <v>1</v>
      </c>
      <c r="C158" s="462">
        <f t="shared" si="57"/>
        <v>21</v>
      </c>
      <c r="D158" s="462">
        <f t="shared" si="58"/>
        <v>5</v>
      </c>
      <c r="E158" s="462">
        <f t="shared" si="59"/>
        <v>1</v>
      </c>
      <c r="F158" s="462"/>
      <c r="G158" s="462" t="str">
        <f t="shared" si="55"/>
        <v>Current Practice Baseline Using 31% ENERGY STAR Penetration</v>
      </c>
      <c r="H158" s="462" t="str">
        <f t="shared" si="54"/>
        <v>CEE Tier 2</v>
      </c>
      <c r="I158" s="462" t="str">
        <f t="shared" si="60"/>
        <v>Electric DHW, Electric Dryer</v>
      </c>
      <c r="J158" s="462" t="str">
        <f t="shared" si="61"/>
        <v>Electric DHW</v>
      </c>
      <c r="K158" s="462" t="str">
        <f t="shared" si="62"/>
        <v>Electric Dryer</v>
      </c>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c r="AS158" s="463"/>
      <c r="AT158" s="463"/>
      <c r="AU158" s="463"/>
      <c r="AV158" s="463"/>
      <c r="AW158" s="463"/>
      <c r="AX158" s="463"/>
      <c r="AY158" s="463"/>
      <c r="AZ158" s="463"/>
      <c r="BA158" s="462" t="str">
        <f t="shared" si="53"/>
        <v>CEE Tier 2 Clothes Washer - Electric DHW, Electric Dryer - 31% ENERGY STAR Baseline</v>
      </c>
      <c r="BB158" s="464" t="s">
        <v>27</v>
      </c>
      <c r="BC158" s="465">
        <f ca="1">AH38*SFAssumptions!$C$26/1000</f>
        <v>4.2319016498398385</v>
      </c>
      <c r="BD158" s="466">
        <f t="shared" si="52"/>
        <v>14</v>
      </c>
      <c r="BE158" s="462">
        <v>0</v>
      </c>
      <c r="BF158" s="462"/>
      <c r="BG158" s="464" t="s">
        <v>160</v>
      </c>
      <c r="BH158" s="467">
        <f ca="1">AH38*SFAssumptions!$C$27/1000</f>
        <v>15.902881162055911</v>
      </c>
      <c r="BI158" s="462"/>
      <c r="BJ158" s="462"/>
      <c r="BK158" s="462"/>
      <c r="BL158" s="462"/>
      <c r="BM158" s="462"/>
      <c r="BN158" s="462"/>
      <c r="BO158" s="462"/>
      <c r="BP158" s="462"/>
    </row>
    <row r="159" spans="1:69" s="746" customFormat="1">
      <c r="A159" s="462">
        <f t="shared" si="51"/>
        <v>22</v>
      </c>
      <c r="B159" s="462">
        <f t="shared" si="56"/>
        <v>1</v>
      </c>
      <c r="C159" s="462">
        <f t="shared" si="57"/>
        <v>22</v>
      </c>
      <c r="D159" s="462">
        <f t="shared" si="58"/>
        <v>5</v>
      </c>
      <c r="E159" s="462">
        <f t="shared" si="59"/>
        <v>2</v>
      </c>
      <c r="F159" s="462"/>
      <c r="G159" s="462" t="str">
        <f t="shared" si="55"/>
        <v>Current Practice Baseline Using 31% ENERGY STAR Penetration</v>
      </c>
      <c r="H159" s="462" t="str">
        <f t="shared" si="54"/>
        <v>CEE Tier 2</v>
      </c>
      <c r="I159" s="462" t="str">
        <f t="shared" si="60"/>
        <v>Electric DHW, Gas Dryer</v>
      </c>
      <c r="J159" s="462" t="str">
        <f t="shared" si="61"/>
        <v>Electric DHW</v>
      </c>
      <c r="K159" s="462" t="str">
        <f t="shared" si="62"/>
        <v>Gas Dryer</v>
      </c>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c r="AS159" s="463"/>
      <c r="AT159" s="463"/>
      <c r="AU159" s="463"/>
      <c r="AV159" s="463"/>
      <c r="AW159" s="463"/>
      <c r="AX159" s="463"/>
      <c r="AY159" s="463"/>
      <c r="AZ159" s="463"/>
      <c r="BA159" s="462" t="str">
        <f t="shared" si="53"/>
        <v>CEE Tier 2 Clothes Washer - Electric DHW, Gas Dryer - 31% ENERGY STAR Baseline</v>
      </c>
      <c r="BB159" s="464" t="s">
        <v>27</v>
      </c>
      <c r="BC159" s="465">
        <f ca="1">AH39*SFAssumptions!$C$26/1000</f>
        <v>4.2319016498398385</v>
      </c>
      <c r="BD159" s="466">
        <f t="shared" si="52"/>
        <v>14</v>
      </c>
      <c r="BE159" s="462">
        <v>0</v>
      </c>
      <c r="BF159" s="462"/>
      <c r="BG159" s="464" t="s">
        <v>160</v>
      </c>
      <c r="BH159" s="467">
        <f ca="1">AH39*SFAssumptions!$C$27/1000</f>
        <v>15.902881162055911</v>
      </c>
      <c r="BI159" s="462"/>
      <c r="BJ159" s="462"/>
      <c r="BK159" s="462"/>
      <c r="BL159" s="462"/>
      <c r="BM159" s="462"/>
      <c r="BN159" s="462"/>
      <c r="BO159" s="462"/>
      <c r="BP159" s="462"/>
    </row>
    <row r="160" spans="1:69" s="746" customFormat="1">
      <c r="A160" s="462">
        <f t="shared" si="51"/>
        <v>23</v>
      </c>
      <c r="B160" s="462">
        <f t="shared" si="56"/>
        <v>1</v>
      </c>
      <c r="C160" s="462">
        <f t="shared" si="57"/>
        <v>23</v>
      </c>
      <c r="D160" s="462">
        <f t="shared" si="58"/>
        <v>5</v>
      </c>
      <c r="E160" s="462">
        <f t="shared" si="59"/>
        <v>3</v>
      </c>
      <c r="F160" s="462"/>
      <c r="G160" s="462" t="str">
        <f t="shared" si="55"/>
        <v>Current Practice Baseline Using 31% ENERGY STAR Penetration</v>
      </c>
      <c r="H160" s="462" t="str">
        <f t="shared" si="54"/>
        <v>CEE Tier 2</v>
      </c>
      <c r="I160" s="462" t="str">
        <f t="shared" si="60"/>
        <v>Gas DHW, Electric Dryer</v>
      </c>
      <c r="J160" s="462" t="str">
        <f t="shared" si="61"/>
        <v>Gas DHW</v>
      </c>
      <c r="K160" s="462" t="str">
        <f t="shared" si="62"/>
        <v>Electric Dryer</v>
      </c>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2" t="str">
        <f t="shared" si="53"/>
        <v>CEE Tier 2 Clothes Washer - Gas DHW, Electric Dryer - 31% ENERGY STAR Baseline</v>
      </c>
      <c r="BB160" s="464" t="s">
        <v>27</v>
      </c>
      <c r="BC160" s="465">
        <f ca="1">AH40*SFAssumptions!$C$26/1000</f>
        <v>4.2319016498398385</v>
      </c>
      <c r="BD160" s="466">
        <f t="shared" si="52"/>
        <v>14</v>
      </c>
      <c r="BE160" s="462">
        <v>0</v>
      </c>
      <c r="BF160" s="462"/>
      <c r="BG160" s="464" t="s">
        <v>160</v>
      </c>
      <c r="BH160" s="467">
        <f ca="1">AH40*SFAssumptions!$C$27/1000</f>
        <v>15.902881162055911</v>
      </c>
      <c r="BI160" s="462"/>
      <c r="BJ160" s="462"/>
      <c r="BK160" s="462"/>
      <c r="BL160" s="462"/>
      <c r="BM160" s="462"/>
      <c r="BN160" s="462"/>
      <c r="BO160" s="462"/>
      <c r="BP160" s="462"/>
    </row>
    <row r="161" spans="1:68" s="746" customFormat="1">
      <c r="A161" s="462">
        <f t="shared" si="51"/>
        <v>24</v>
      </c>
      <c r="B161" s="462">
        <f t="shared" si="56"/>
        <v>1</v>
      </c>
      <c r="C161" s="462">
        <f t="shared" si="57"/>
        <v>24</v>
      </c>
      <c r="D161" s="462">
        <f t="shared" si="58"/>
        <v>5</v>
      </c>
      <c r="E161" s="462">
        <f t="shared" si="59"/>
        <v>4</v>
      </c>
      <c r="F161" s="462"/>
      <c r="G161" s="462" t="str">
        <f t="shared" si="55"/>
        <v>Current Practice Baseline Using 31% ENERGY STAR Penetration</v>
      </c>
      <c r="H161" s="462" t="str">
        <f t="shared" si="54"/>
        <v>CEE Tier 2</v>
      </c>
      <c r="I161" s="462" t="str">
        <f t="shared" si="60"/>
        <v>Gas DHW, Gas Dryer</v>
      </c>
      <c r="J161" s="462" t="str">
        <f t="shared" si="61"/>
        <v>Gas DHW</v>
      </c>
      <c r="K161" s="462" t="str">
        <f t="shared" si="62"/>
        <v>Gas Dryer</v>
      </c>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3"/>
      <c r="AZ161" s="463"/>
      <c r="BA161" s="462" t="str">
        <f t="shared" si="53"/>
        <v>CEE Tier 2 Clothes Washer - Gas DHW, Gas Dryer - 31% ENERGY STAR Baseline</v>
      </c>
      <c r="BB161" s="464" t="s">
        <v>27</v>
      </c>
      <c r="BC161" s="465">
        <f ca="1">AH41*SFAssumptions!$C$26/1000</f>
        <v>4.2319016498398385</v>
      </c>
      <c r="BD161" s="466">
        <f t="shared" si="52"/>
        <v>14</v>
      </c>
      <c r="BE161" s="462">
        <v>0</v>
      </c>
      <c r="BF161" s="462"/>
      <c r="BG161" s="464" t="s">
        <v>160</v>
      </c>
      <c r="BH161" s="467">
        <f ca="1">AH41*SFAssumptions!$C$27/1000</f>
        <v>15.902881162055911</v>
      </c>
      <c r="BI161" s="462"/>
      <c r="BJ161" s="462"/>
      <c r="BK161" s="462"/>
      <c r="BL161" s="462"/>
      <c r="BM161" s="462"/>
      <c r="BN161" s="462"/>
      <c r="BO161" s="462"/>
      <c r="BP161" s="462"/>
    </row>
    <row r="162" spans="1:68" s="746" customFormat="1">
      <c r="A162" s="462">
        <f t="shared" si="51"/>
        <v>25</v>
      </c>
      <c r="B162" s="462">
        <f t="shared" si="56"/>
        <v>1</v>
      </c>
      <c r="C162" s="462">
        <f t="shared" si="57"/>
        <v>25</v>
      </c>
      <c r="D162" s="462">
        <f t="shared" si="58"/>
        <v>5</v>
      </c>
      <c r="E162" s="462">
        <f t="shared" si="59"/>
        <v>5</v>
      </c>
      <c r="F162" s="462"/>
      <c r="G162" s="462" t="str">
        <f t="shared" si="55"/>
        <v>Current Practice Baseline Using 31% ENERGY STAR Penetration</v>
      </c>
      <c r="H162" s="462" t="str">
        <f t="shared" si="54"/>
        <v>CEE Tier 2</v>
      </c>
      <c r="I162" s="462" t="str">
        <f t="shared" si="60"/>
        <v>Any DHW, Any Dryer</v>
      </c>
      <c r="J162" s="462" t="str">
        <f t="shared" si="61"/>
        <v>Any DHW</v>
      </c>
      <c r="K162" s="462" t="str">
        <f t="shared" si="62"/>
        <v>Any Dryer</v>
      </c>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c r="AS162" s="463"/>
      <c r="AT162" s="463"/>
      <c r="AU162" s="463"/>
      <c r="AV162" s="463"/>
      <c r="AW162" s="463"/>
      <c r="AX162" s="463"/>
      <c r="AY162" s="463"/>
      <c r="AZ162" s="463"/>
      <c r="BA162" s="462" t="str">
        <f t="shared" si="53"/>
        <v>CEE Tier 2 Clothes Washer - Any DHW, Any Dryer - 31% ENERGY STAR Baseline</v>
      </c>
      <c r="BB162" s="464" t="s">
        <v>27</v>
      </c>
      <c r="BC162" s="465">
        <f ca="1">AH42*SFAssumptions!$C$26/1000</f>
        <v>4.2319016498398385</v>
      </c>
      <c r="BD162" s="466">
        <f t="shared" si="52"/>
        <v>14</v>
      </c>
      <c r="BE162" s="462">
        <v>0</v>
      </c>
      <c r="BF162" s="462"/>
      <c r="BG162" s="464" t="s">
        <v>160</v>
      </c>
      <c r="BH162" s="467">
        <f ca="1">AH42*SFAssumptions!$C$27/1000</f>
        <v>15.902881162055911</v>
      </c>
      <c r="BI162" s="462"/>
      <c r="BJ162" s="462"/>
      <c r="BK162" s="462"/>
      <c r="BL162" s="462"/>
      <c r="BM162" s="462"/>
      <c r="BN162" s="462"/>
      <c r="BO162" s="462"/>
      <c r="BP162" s="462"/>
    </row>
    <row r="163" spans="1:68">
      <c r="A163" s="462">
        <f>A43</f>
        <v>26</v>
      </c>
      <c r="B163" s="462">
        <f t="shared" si="56"/>
        <v>1</v>
      </c>
      <c r="C163" s="462">
        <f t="shared" si="57"/>
        <v>26</v>
      </c>
      <c r="D163" s="462">
        <f t="shared" si="58"/>
        <v>6</v>
      </c>
      <c r="E163" s="462">
        <f t="shared" si="59"/>
        <v>1</v>
      </c>
      <c r="F163" s="462"/>
      <c r="G163" s="462" t="str">
        <f t="shared" si="55"/>
        <v>Current Practice Baseline Using 31% ENERGY STAR Penetration</v>
      </c>
      <c r="H163" s="462" t="str">
        <f t="shared" si="54"/>
        <v>CEE Tier 3</v>
      </c>
      <c r="I163" s="462" t="str">
        <f t="shared" si="60"/>
        <v>Electric DHW, Electric Dryer</v>
      </c>
      <c r="J163" s="462" t="str">
        <f t="shared" si="61"/>
        <v>Electric DHW</v>
      </c>
      <c r="K163" s="462" t="str">
        <f t="shared" si="62"/>
        <v>Electric Dryer</v>
      </c>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2" t="str">
        <f t="shared" si="53"/>
        <v>CEE Tier 3 Clothes Washer - Electric DHW, Electric Dryer - 31% ENERGY STAR Baseline</v>
      </c>
      <c r="BB163" s="464" t="s">
        <v>27</v>
      </c>
      <c r="BC163" s="465">
        <f ca="1">AH43*SFAssumptions!$C$26/1000</f>
        <v>4.3233672150637759</v>
      </c>
      <c r="BD163" s="466">
        <f t="shared" si="52"/>
        <v>14</v>
      </c>
      <c r="BE163" s="462">
        <v>0</v>
      </c>
      <c r="BF163" s="462"/>
      <c r="BG163" s="464" t="s">
        <v>160</v>
      </c>
      <c r="BH163" s="467">
        <f ca="1">AH43*SFAssumptions!$C$27/1000</f>
        <v>16.246595674946729</v>
      </c>
      <c r="BI163" s="462"/>
      <c r="BJ163" s="462"/>
      <c r="BK163" s="462"/>
      <c r="BL163" s="462"/>
      <c r="BM163" s="462"/>
      <c r="BN163" s="462"/>
      <c r="BO163" s="462"/>
      <c r="BP163" s="462"/>
    </row>
    <row r="164" spans="1:68">
      <c r="A164" s="462">
        <f>A44</f>
        <v>27</v>
      </c>
      <c r="B164" s="462">
        <f t="shared" si="56"/>
        <v>1</v>
      </c>
      <c r="C164" s="462">
        <f t="shared" si="57"/>
        <v>27</v>
      </c>
      <c r="D164" s="462">
        <f t="shared" si="58"/>
        <v>6</v>
      </c>
      <c r="E164" s="462">
        <f t="shared" si="59"/>
        <v>2</v>
      </c>
      <c r="F164" s="462"/>
      <c r="G164" s="462" t="str">
        <f t="shared" si="55"/>
        <v>Current Practice Baseline Using 31% ENERGY STAR Penetration</v>
      </c>
      <c r="H164" s="462" t="str">
        <f t="shared" si="54"/>
        <v>CEE Tier 3</v>
      </c>
      <c r="I164" s="462" t="str">
        <f t="shared" si="60"/>
        <v>Electric DHW, Gas Dryer</v>
      </c>
      <c r="J164" s="462" t="str">
        <f t="shared" si="61"/>
        <v>Electric DHW</v>
      </c>
      <c r="K164" s="462" t="str">
        <f t="shared" si="62"/>
        <v>Gas Dryer</v>
      </c>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2" t="str">
        <f t="shared" si="53"/>
        <v>CEE Tier 3 Clothes Washer - Electric DHW, Gas Dryer - 31% ENERGY STAR Baseline</v>
      </c>
      <c r="BB164" s="464" t="s">
        <v>27</v>
      </c>
      <c r="BC164" s="465">
        <f ca="1">AH44*SFAssumptions!$C$26/1000</f>
        <v>4.3233672150637759</v>
      </c>
      <c r="BD164" s="466">
        <f t="shared" si="52"/>
        <v>14</v>
      </c>
      <c r="BE164" s="462">
        <v>0</v>
      </c>
      <c r="BF164" s="462"/>
      <c r="BG164" s="464" t="s">
        <v>160</v>
      </c>
      <c r="BH164" s="467">
        <f ca="1">AH44*SFAssumptions!$C$27/1000</f>
        <v>16.246595674946729</v>
      </c>
      <c r="BI164" s="462"/>
      <c r="BJ164" s="462"/>
      <c r="BK164" s="462"/>
      <c r="BL164" s="462"/>
      <c r="BM164" s="462"/>
      <c r="BN164" s="462"/>
      <c r="BO164" s="462"/>
      <c r="BP164" s="462"/>
    </row>
    <row r="165" spans="1:68">
      <c r="A165" s="462">
        <f>A45</f>
        <v>28</v>
      </c>
      <c r="B165" s="462">
        <f t="shared" si="56"/>
        <v>1</v>
      </c>
      <c r="C165" s="462">
        <f t="shared" si="57"/>
        <v>28</v>
      </c>
      <c r="D165" s="462">
        <f t="shared" si="58"/>
        <v>6</v>
      </c>
      <c r="E165" s="462">
        <f t="shared" si="59"/>
        <v>3</v>
      </c>
      <c r="F165" s="462"/>
      <c r="G165" s="462" t="str">
        <f t="shared" si="55"/>
        <v>Current Practice Baseline Using 31% ENERGY STAR Penetration</v>
      </c>
      <c r="H165" s="462" t="str">
        <f t="shared" si="54"/>
        <v>CEE Tier 3</v>
      </c>
      <c r="I165" s="462" t="str">
        <f t="shared" si="60"/>
        <v>Gas DHW, Electric Dryer</v>
      </c>
      <c r="J165" s="462" t="str">
        <f t="shared" si="61"/>
        <v>Gas DHW</v>
      </c>
      <c r="K165" s="462" t="str">
        <f t="shared" si="62"/>
        <v>Electric Dryer</v>
      </c>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463"/>
      <c r="AN165" s="463"/>
      <c r="AO165" s="463"/>
      <c r="AP165" s="463"/>
      <c r="AQ165" s="463"/>
      <c r="AR165" s="463"/>
      <c r="AS165" s="463"/>
      <c r="AT165" s="463"/>
      <c r="AU165" s="463"/>
      <c r="AV165" s="463"/>
      <c r="AW165" s="463"/>
      <c r="AX165" s="463"/>
      <c r="AY165" s="463"/>
      <c r="AZ165" s="463"/>
      <c r="BA165" s="462" t="str">
        <f t="shared" si="53"/>
        <v>CEE Tier 3 Clothes Washer - Gas DHW, Electric Dryer - 31% ENERGY STAR Baseline</v>
      </c>
      <c r="BB165" s="464" t="s">
        <v>27</v>
      </c>
      <c r="BC165" s="465">
        <f ca="1">AH45*SFAssumptions!$C$26/1000</f>
        <v>4.3233672150637759</v>
      </c>
      <c r="BD165" s="466">
        <f t="shared" si="52"/>
        <v>14</v>
      </c>
      <c r="BE165" s="462">
        <v>0</v>
      </c>
      <c r="BF165" s="462"/>
      <c r="BG165" s="464" t="s">
        <v>160</v>
      </c>
      <c r="BH165" s="467">
        <f ca="1">AH45*SFAssumptions!$C$27/1000</f>
        <v>16.246595674946729</v>
      </c>
      <c r="BI165" s="462"/>
      <c r="BJ165" s="462"/>
      <c r="BK165" s="462"/>
      <c r="BL165" s="462"/>
      <c r="BM165" s="462"/>
      <c r="BN165" s="462"/>
      <c r="BO165" s="462"/>
      <c r="BP165" s="462"/>
    </row>
    <row r="166" spans="1:68">
      <c r="A166" s="462">
        <f>A46</f>
        <v>29</v>
      </c>
      <c r="B166" s="462">
        <f t="shared" si="56"/>
        <v>1</v>
      </c>
      <c r="C166" s="462">
        <f t="shared" si="57"/>
        <v>29</v>
      </c>
      <c r="D166" s="462">
        <f t="shared" si="58"/>
        <v>6</v>
      </c>
      <c r="E166" s="462">
        <f t="shared" si="59"/>
        <v>4</v>
      </c>
      <c r="F166" s="462"/>
      <c r="G166" s="462" t="str">
        <f t="shared" si="55"/>
        <v>Current Practice Baseline Using 31% ENERGY STAR Penetration</v>
      </c>
      <c r="H166" s="462" t="str">
        <f t="shared" si="54"/>
        <v>CEE Tier 3</v>
      </c>
      <c r="I166" s="462" t="str">
        <f t="shared" si="60"/>
        <v>Gas DHW, Gas Dryer</v>
      </c>
      <c r="J166" s="462" t="str">
        <f t="shared" si="61"/>
        <v>Gas DHW</v>
      </c>
      <c r="K166" s="462" t="str">
        <f t="shared" si="62"/>
        <v>Gas Dryer</v>
      </c>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63"/>
      <c r="AN166" s="463"/>
      <c r="AO166" s="463"/>
      <c r="AP166" s="463"/>
      <c r="AQ166" s="463"/>
      <c r="AR166" s="463"/>
      <c r="AS166" s="463"/>
      <c r="AT166" s="463"/>
      <c r="AU166" s="463"/>
      <c r="AV166" s="463"/>
      <c r="AW166" s="463"/>
      <c r="AX166" s="463"/>
      <c r="AY166" s="463"/>
      <c r="AZ166" s="463"/>
      <c r="BA166" s="462" t="str">
        <f t="shared" si="53"/>
        <v>CEE Tier 3 Clothes Washer - Gas DHW, Gas Dryer - 31% ENERGY STAR Baseline</v>
      </c>
      <c r="BB166" s="464" t="s">
        <v>27</v>
      </c>
      <c r="BC166" s="465">
        <f ca="1">AH46*SFAssumptions!$C$26/1000</f>
        <v>4.3233672150637759</v>
      </c>
      <c r="BD166" s="466">
        <f t="shared" si="52"/>
        <v>14</v>
      </c>
      <c r="BE166" s="462">
        <v>0</v>
      </c>
      <c r="BF166" s="462"/>
      <c r="BG166" s="464" t="s">
        <v>160</v>
      </c>
      <c r="BH166" s="467">
        <f ca="1">AH46*SFAssumptions!$C$27/1000</f>
        <v>16.246595674946729</v>
      </c>
      <c r="BI166" s="462"/>
      <c r="BJ166" s="462"/>
      <c r="BK166" s="462"/>
      <c r="BL166" s="462"/>
      <c r="BM166" s="462"/>
      <c r="BN166" s="462"/>
      <c r="BO166" s="462"/>
      <c r="BP166" s="462"/>
    </row>
    <row r="167" spans="1:68">
      <c r="A167" s="462">
        <f>A47</f>
        <v>30</v>
      </c>
      <c r="B167" s="462">
        <f t="shared" si="56"/>
        <v>1</v>
      </c>
      <c r="C167" s="462">
        <f t="shared" si="57"/>
        <v>30</v>
      </c>
      <c r="D167" s="462">
        <f t="shared" si="58"/>
        <v>6</v>
      </c>
      <c r="E167" s="462">
        <f t="shared" si="59"/>
        <v>5</v>
      </c>
      <c r="F167" s="462"/>
      <c r="G167" s="462" t="str">
        <f t="shared" si="55"/>
        <v>Current Practice Baseline Using 31% ENERGY STAR Penetration</v>
      </c>
      <c r="H167" s="462" t="str">
        <f t="shared" si="54"/>
        <v>CEE Tier 3</v>
      </c>
      <c r="I167" s="462" t="str">
        <f t="shared" si="60"/>
        <v>Any DHW, Any Dryer</v>
      </c>
      <c r="J167" s="462" t="str">
        <f t="shared" si="61"/>
        <v>Any DHW</v>
      </c>
      <c r="K167" s="462" t="str">
        <f t="shared" si="62"/>
        <v>Any Dryer</v>
      </c>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463"/>
      <c r="AX167" s="463"/>
      <c r="AY167" s="463"/>
      <c r="AZ167" s="463"/>
      <c r="BA167" s="462" t="str">
        <f t="shared" si="53"/>
        <v>CEE Tier 3 Clothes Washer - Any DHW, Any Dryer - 31% ENERGY STAR Baseline</v>
      </c>
      <c r="BB167" s="464" t="s">
        <v>27</v>
      </c>
      <c r="BC167" s="465">
        <f ca="1">AH47*SFAssumptions!$C$26/1000</f>
        <v>4.3233672150637759</v>
      </c>
      <c r="BD167" s="466">
        <f t="shared" si="52"/>
        <v>14</v>
      </c>
      <c r="BE167" s="462">
        <v>0</v>
      </c>
      <c r="BF167" s="462"/>
      <c r="BG167" s="464" t="s">
        <v>160</v>
      </c>
      <c r="BH167" s="467">
        <f ca="1">AH47*SFAssumptions!$C$27/1000</f>
        <v>16.246595674946729</v>
      </c>
      <c r="BI167" s="462"/>
      <c r="BJ167" s="462"/>
      <c r="BK167" s="462"/>
      <c r="BL167" s="462"/>
      <c r="BM167" s="462"/>
      <c r="BN167" s="462"/>
      <c r="BO167" s="462"/>
      <c r="BP167" s="462"/>
    </row>
    <row r="168" spans="1:68">
      <c r="A168" s="462">
        <f t="shared" ref="A168:A197" si="63">A48</f>
        <v>31</v>
      </c>
      <c r="B168" s="462">
        <f t="shared" si="56"/>
        <v>2</v>
      </c>
      <c r="C168" s="462">
        <f t="shared" si="57"/>
        <v>1</v>
      </c>
      <c r="D168" s="462">
        <f t="shared" si="58"/>
        <v>1</v>
      </c>
      <c r="E168" s="462">
        <f t="shared" si="59"/>
        <v>1</v>
      </c>
      <c r="F168" s="462"/>
      <c r="G168" s="462" t="str">
        <f t="shared" si="55"/>
        <v>Current Practice Baseline Using 54% ENERGY STAR Penetration</v>
      </c>
      <c r="H168" s="462" t="str">
        <f t="shared" si="54"/>
        <v>ENERGY STAR - Top-Load</v>
      </c>
      <c r="I168" s="462" t="str">
        <f t="shared" si="60"/>
        <v>Electric DHW, Electric Dryer</v>
      </c>
      <c r="J168" s="462" t="str">
        <f t="shared" si="61"/>
        <v>Electric DHW</v>
      </c>
      <c r="K168" s="462" t="str">
        <f t="shared" si="62"/>
        <v>Electric Dryer</v>
      </c>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c r="AI168" s="463"/>
      <c r="AJ168" s="463"/>
      <c r="AK168" s="463"/>
      <c r="AL168" s="463"/>
      <c r="AM168" s="463"/>
      <c r="AN168" s="463"/>
      <c r="AO168" s="463"/>
      <c r="AP168" s="463"/>
      <c r="AQ168" s="463"/>
      <c r="AR168" s="463"/>
      <c r="AS168" s="463"/>
      <c r="AT168" s="463"/>
      <c r="AU168" s="463"/>
      <c r="AV168" s="463"/>
      <c r="AW168" s="463"/>
      <c r="AX168" s="463"/>
      <c r="AY168" s="463"/>
      <c r="AZ168" s="463"/>
      <c r="BA168" s="462" t="str">
        <f>CONCATENATE(H168," Clothes Washer - ",I168," - 54% ENERGY STAR Baseline")</f>
        <v>ENERGY STAR - Top-Load Clothes Washer - Electric DHW, Electric Dryer - 54% ENERGY STAR Baseline</v>
      </c>
      <c r="BB168" s="464" t="s">
        <v>27</v>
      </c>
      <c r="BC168" s="465">
        <f ca="1">AH48*SFAssumptions!$C$26/1000</f>
        <v>-0.60922634974146261</v>
      </c>
      <c r="BD168" s="466">
        <f t="shared" si="52"/>
        <v>14</v>
      </c>
      <c r="BE168" s="462">
        <v>0</v>
      </c>
      <c r="BF168" s="462"/>
      <c r="BG168" s="464" t="s">
        <v>160</v>
      </c>
      <c r="BH168" s="467">
        <f ca="1">AH48*SFAssumptions!$C$27/1000</f>
        <v>-2.2893854920041119</v>
      </c>
      <c r="BI168" s="462"/>
      <c r="BJ168" s="462"/>
      <c r="BK168" s="462"/>
      <c r="BL168" s="462"/>
      <c r="BM168" s="462"/>
      <c r="BN168" s="462"/>
      <c r="BO168" s="462"/>
      <c r="BP168" s="462"/>
    </row>
    <row r="169" spans="1:68">
      <c r="A169" s="462">
        <f t="shared" si="63"/>
        <v>32</v>
      </c>
      <c r="B169" s="462">
        <f t="shared" si="56"/>
        <v>2</v>
      </c>
      <c r="C169" s="462">
        <f t="shared" si="57"/>
        <v>2</v>
      </c>
      <c r="D169" s="462">
        <f t="shared" si="58"/>
        <v>1</v>
      </c>
      <c r="E169" s="462">
        <f t="shared" si="59"/>
        <v>2</v>
      </c>
      <c r="F169" s="462"/>
      <c r="G169" s="462" t="str">
        <f t="shared" si="55"/>
        <v>Current Practice Baseline Using 54% ENERGY STAR Penetration</v>
      </c>
      <c r="H169" s="462" t="str">
        <f t="shared" si="54"/>
        <v>ENERGY STAR - Top-Load</v>
      </c>
      <c r="I169" s="462" t="str">
        <f t="shared" si="60"/>
        <v>Electric DHW, Gas Dryer</v>
      </c>
      <c r="J169" s="462" t="str">
        <f t="shared" si="61"/>
        <v>Electric DHW</v>
      </c>
      <c r="K169" s="462" t="str">
        <f t="shared" si="62"/>
        <v>Gas Dryer</v>
      </c>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2" t="str">
        <f t="shared" ref="BA169:BA197" si="64">CONCATENATE(H169," Clothes Washer - ",I169," - 54% ENERGY STAR Baseline")</f>
        <v>ENERGY STAR - Top-Load Clothes Washer - Electric DHW, Gas Dryer - 54% ENERGY STAR Baseline</v>
      </c>
      <c r="BB169" s="464" t="s">
        <v>27</v>
      </c>
      <c r="BC169" s="465">
        <f ca="1">AH49*SFAssumptions!$C$26/1000</f>
        <v>-0.60922634974146261</v>
      </c>
      <c r="BD169" s="466">
        <f t="shared" si="52"/>
        <v>14</v>
      </c>
      <c r="BE169" s="462">
        <v>0</v>
      </c>
      <c r="BF169" s="462"/>
      <c r="BG169" s="464" t="s">
        <v>160</v>
      </c>
      <c r="BH169" s="467">
        <f ca="1">AH49*SFAssumptions!$C$27/1000</f>
        <v>-2.2893854920041119</v>
      </c>
      <c r="BI169" s="462"/>
      <c r="BJ169" s="462"/>
      <c r="BK169" s="462"/>
      <c r="BL169" s="462"/>
      <c r="BM169" s="462"/>
      <c r="BN169" s="462"/>
      <c r="BO169" s="462"/>
      <c r="BP169" s="462"/>
    </row>
    <row r="170" spans="1:68">
      <c r="A170" s="462">
        <f t="shared" si="63"/>
        <v>33</v>
      </c>
      <c r="B170" s="462">
        <f t="shared" si="56"/>
        <v>2</v>
      </c>
      <c r="C170" s="462">
        <f t="shared" si="57"/>
        <v>3</v>
      </c>
      <c r="D170" s="462">
        <f t="shared" si="58"/>
        <v>1</v>
      </c>
      <c r="E170" s="462">
        <f t="shared" si="59"/>
        <v>3</v>
      </c>
      <c r="F170" s="462"/>
      <c r="G170" s="462" t="str">
        <f t="shared" si="55"/>
        <v>Current Practice Baseline Using 54% ENERGY STAR Penetration</v>
      </c>
      <c r="H170" s="462" t="str">
        <f t="shared" si="54"/>
        <v>ENERGY STAR - Top-Load</v>
      </c>
      <c r="I170" s="462" t="str">
        <f t="shared" si="60"/>
        <v>Gas DHW, Electric Dryer</v>
      </c>
      <c r="J170" s="462" t="str">
        <f t="shared" si="61"/>
        <v>Gas DHW</v>
      </c>
      <c r="K170" s="462" t="str">
        <f t="shared" si="62"/>
        <v>Electric Dryer</v>
      </c>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c r="AI170" s="463"/>
      <c r="AJ170" s="463"/>
      <c r="AK170" s="463"/>
      <c r="AL170" s="463"/>
      <c r="AM170" s="463"/>
      <c r="AN170" s="463"/>
      <c r="AO170" s="463"/>
      <c r="AP170" s="463"/>
      <c r="AQ170" s="463"/>
      <c r="AR170" s="463"/>
      <c r="AS170" s="463"/>
      <c r="AT170" s="463"/>
      <c r="AU170" s="463"/>
      <c r="AV170" s="463"/>
      <c r="AW170" s="463"/>
      <c r="AX170" s="463"/>
      <c r="AY170" s="463"/>
      <c r="AZ170" s="463"/>
      <c r="BA170" s="462" t="str">
        <f t="shared" si="64"/>
        <v>ENERGY STAR - Top-Load Clothes Washer - Gas DHW, Electric Dryer - 54% ENERGY STAR Baseline</v>
      </c>
      <c r="BB170" s="464" t="s">
        <v>27</v>
      </c>
      <c r="BC170" s="465">
        <f ca="1">AH50*SFAssumptions!$C$26/1000</f>
        <v>-0.60922634974146261</v>
      </c>
      <c r="BD170" s="466">
        <f t="shared" si="52"/>
        <v>14</v>
      </c>
      <c r="BE170" s="462">
        <v>0</v>
      </c>
      <c r="BF170" s="462"/>
      <c r="BG170" s="464" t="s">
        <v>160</v>
      </c>
      <c r="BH170" s="467">
        <f ca="1">AH50*SFAssumptions!$C$27/1000</f>
        <v>-2.2893854920041119</v>
      </c>
      <c r="BI170" s="462"/>
      <c r="BJ170" s="462"/>
      <c r="BK170" s="462"/>
      <c r="BL170" s="462"/>
      <c r="BM170" s="462"/>
      <c r="BN170" s="462"/>
      <c r="BO170" s="462"/>
      <c r="BP170" s="462"/>
    </row>
    <row r="171" spans="1:68">
      <c r="A171" s="462">
        <f t="shared" si="63"/>
        <v>34</v>
      </c>
      <c r="B171" s="462">
        <f t="shared" si="56"/>
        <v>2</v>
      </c>
      <c r="C171" s="462">
        <f t="shared" si="57"/>
        <v>4</v>
      </c>
      <c r="D171" s="462">
        <f t="shared" si="58"/>
        <v>1</v>
      </c>
      <c r="E171" s="462">
        <f t="shared" si="59"/>
        <v>4</v>
      </c>
      <c r="F171" s="462"/>
      <c r="G171" s="462" t="str">
        <f t="shared" si="55"/>
        <v>Current Practice Baseline Using 54% ENERGY STAR Penetration</v>
      </c>
      <c r="H171" s="462" t="str">
        <f t="shared" si="54"/>
        <v>ENERGY STAR - Top-Load</v>
      </c>
      <c r="I171" s="462" t="str">
        <f t="shared" si="60"/>
        <v>Gas DHW, Gas Dryer</v>
      </c>
      <c r="J171" s="462" t="str">
        <f t="shared" si="61"/>
        <v>Gas DHW</v>
      </c>
      <c r="K171" s="462" t="str">
        <f t="shared" si="62"/>
        <v>Gas Dryer</v>
      </c>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63"/>
      <c r="AO171" s="463"/>
      <c r="AP171" s="463"/>
      <c r="AQ171" s="463"/>
      <c r="AR171" s="463"/>
      <c r="AS171" s="463"/>
      <c r="AT171" s="463"/>
      <c r="AU171" s="463"/>
      <c r="AV171" s="463"/>
      <c r="AW171" s="463"/>
      <c r="AX171" s="463"/>
      <c r="AY171" s="463"/>
      <c r="AZ171" s="463"/>
      <c r="BA171" s="462" t="str">
        <f t="shared" si="64"/>
        <v>ENERGY STAR - Top-Load Clothes Washer - Gas DHW, Gas Dryer - 54% ENERGY STAR Baseline</v>
      </c>
      <c r="BB171" s="464" t="s">
        <v>27</v>
      </c>
      <c r="BC171" s="465">
        <f ca="1">AH51*SFAssumptions!$C$26/1000</f>
        <v>-0.60922634974146261</v>
      </c>
      <c r="BD171" s="466">
        <f t="shared" si="52"/>
        <v>14</v>
      </c>
      <c r="BE171" s="462">
        <v>0</v>
      </c>
      <c r="BF171" s="462"/>
      <c r="BG171" s="464" t="s">
        <v>160</v>
      </c>
      <c r="BH171" s="467">
        <f ca="1">AH51*SFAssumptions!$C$27/1000</f>
        <v>-2.2893854920041119</v>
      </c>
      <c r="BI171" s="462"/>
      <c r="BJ171" s="462"/>
      <c r="BK171" s="462"/>
      <c r="BL171" s="462"/>
      <c r="BM171" s="462"/>
      <c r="BN171" s="462"/>
      <c r="BO171" s="462"/>
      <c r="BP171" s="462"/>
    </row>
    <row r="172" spans="1:68">
      <c r="A172" s="462">
        <f t="shared" si="63"/>
        <v>35</v>
      </c>
      <c r="B172" s="462">
        <f t="shared" si="56"/>
        <v>2</v>
      </c>
      <c r="C172" s="462">
        <f t="shared" si="57"/>
        <v>5</v>
      </c>
      <c r="D172" s="462">
        <f t="shared" si="58"/>
        <v>1</v>
      </c>
      <c r="E172" s="462">
        <f t="shared" si="59"/>
        <v>5</v>
      </c>
      <c r="F172" s="462"/>
      <c r="G172" s="462" t="str">
        <f t="shared" si="55"/>
        <v>Current Practice Baseline Using 54% ENERGY STAR Penetration</v>
      </c>
      <c r="H172" s="462" t="str">
        <f t="shared" si="54"/>
        <v>ENERGY STAR - Top-Load</v>
      </c>
      <c r="I172" s="462" t="str">
        <f t="shared" si="60"/>
        <v>Any DHW, Any Dryer</v>
      </c>
      <c r="J172" s="462" t="str">
        <f t="shared" si="61"/>
        <v>Any DHW</v>
      </c>
      <c r="K172" s="462" t="str">
        <f t="shared" si="62"/>
        <v>Any Dryer</v>
      </c>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2" t="str">
        <f t="shared" si="64"/>
        <v>ENERGY STAR - Top-Load Clothes Washer - Any DHW, Any Dryer - 54% ENERGY STAR Baseline</v>
      </c>
      <c r="BB172" s="464" t="s">
        <v>27</v>
      </c>
      <c r="BC172" s="465">
        <f ca="1">AH52*SFAssumptions!$C$26/1000</f>
        <v>-0.60922634974146261</v>
      </c>
      <c r="BD172" s="466">
        <f t="shared" si="52"/>
        <v>14</v>
      </c>
      <c r="BE172" s="462">
        <v>0</v>
      </c>
      <c r="BF172" s="462"/>
      <c r="BG172" s="464" t="s">
        <v>160</v>
      </c>
      <c r="BH172" s="467">
        <f ca="1">AH52*SFAssumptions!$C$27/1000</f>
        <v>-2.2893854920041119</v>
      </c>
      <c r="BI172" s="462"/>
      <c r="BJ172" s="462"/>
      <c r="BK172" s="462"/>
      <c r="BL172" s="462"/>
      <c r="BM172" s="462"/>
      <c r="BN172" s="462"/>
      <c r="BO172" s="462"/>
      <c r="BP172" s="462"/>
    </row>
    <row r="173" spans="1:68">
      <c r="A173" s="462">
        <f t="shared" si="63"/>
        <v>36</v>
      </c>
      <c r="B173" s="462">
        <f t="shared" si="56"/>
        <v>2</v>
      </c>
      <c r="C173" s="462">
        <f t="shared" si="57"/>
        <v>6</v>
      </c>
      <c r="D173" s="462">
        <f t="shared" si="58"/>
        <v>2</v>
      </c>
      <c r="E173" s="462">
        <f t="shared" si="59"/>
        <v>1</v>
      </c>
      <c r="F173" s="462"/>
      <c r="G173" s="462" t="str">
        <f t="shared" si="55"/>
        <v>Current Practice Baseline Using 54% ENERGY STAR Penetration</v>
      </c>
      <c r="H173" s="462" t="str">
        <f t="shared" si="54"/>
        <v>ENERGY STAR - Front-Load</v>
      </c>
      <c r="I173" s="462" t="str">
        <f t="shared" si="60"/>
        <v>Electric DHW, Electric Dryer</v>
      </c>
      <c r="J173" s="462" t="str">
        <f t="shared" si="61"/>
        <v>Electric DHW</v>
      </c>
      <c r="K173" s="462" t="str">
        <f t="shared" si="62"/>
        <v>Electric Dryer</v>
      </c>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c r="AI173" s="463"/>
      <c r="AJ173" s="463"/>
      <c r="AK173" s="463"/>
      <c r="AL173" s="463"/>
      <c r="AM173" s="463"/>
      <c r="AN173" s="463"/>
      <c r="AO173" s="463"/>
      <c r="AP173" s="463"/>
      <c r="AQ173" s="463"/>
      <c r="AR173" s="463"/>
      <c r="AS173" s="463"/>
      <c r="AT173" s="463"/>
      <c r="AU173" s="463"/>
      <c r="AV173" s="463"/>
      <c r="AW173" s="463"/>
      <c r="AX173" s="463"/>
      <c r="AY173" s="463"/>
      <c r="AZ173" s="463"/>
      <c r="BA173" s="462" t="str">
        <f t="shared" si="64"/>
        <v>ENERGY STAR - Front-Load Clothes Washer - Electric DHW, Electric Dryer - 54% ENERGY STAR Baseline</v>
      </c>
      <c r="BB173" s="464" t="s">
        <v>27</v>
      </c>
      <c r="BC173" s="465">
        <f ca="1">AH53*SFAssumptions!$C$26/1000</f>
        <v>2.7104849190651508</v>
      </c>
      <c r="BD173" s="466">
        <f t="shared" si="52"/>
        <v>14</v>
      </c>
      <c r="BE173" s="462">
        <v>0</v>
      </c>
      <c r="BF173" s="462"/>
      <c r="BG173" s="464" t="s">
        <v>160</v>
      </c>
      <c r="BH173" s="467">
        <f ca="1">AH53*SFAssumptions!$C$27/1000</f>
        <v>10.185614677758206</v>
      </c>
      <c r="BI173" s="462"/>
      <c r="BJ173" s="462"/>
      <c r="BK173" s="462"/>
      <c r="BL173" s="462"/>
      <c r="BM173" s="462"/>
      <c r="BN173" s="462"/>
      <c r="BO173" s="462"/>
      <c r="BP173" s="462"/>
    </row>
    <row r="174" spans="1:68">
      <c r="A174" s="462">
        <f t="shared" si="63"/>
        <v>37</v>
      </c>
      <c r="B174" s="462">
        <f t="shared" si="56"/>
        <v>2</v>
      </c>
      <c r="C174" s="462">
        <f t="shared" si="57"/>
        <v>7</v>
      </c>
      <c r="D174" s="462">
        <f t="shared" si="58"/>
        <v>2</v>
      </c>
      <c r="E174" s="462">
        <f t="shared" si="59"/>
        <v>2</v>
      </c>
      <c r="F174" s="462"/>
      <c r="G174" s="462" t="str">
        <f t="shared" si="55"/>
        <v>Current Practice Baseline Using 54% ENERGY STAR Penetration</v>
      </c>
      <c r="H174" s="462" t="str">
        <f t="shared" si="54"/>
        <v>ENERGY STAR - Front-Load</v>
      </c>
      <c r="I174" s="462" t="str">
        <f t="shared" si="60"/>
        <v>Electric DHW, Gas Dryer</v>
      </c>
      <c r="J174" s="462" t="str">
        <f t="shared" si="61"/>
        <v>Electric DHW</v>
      </c>
      <c r="K174" s="462" t="str">
        <f t="shared" si="62"/>
        <v>Gas Dryer</v>
      </c>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3"/>
      <c r="AY174" s="463"/>
      <c r="AZ174" s="463"/>
      <c r="BA174" s="462" t="str">
        <f t="shared" si="64"/>
        <v>ENERGY STAR - Front-Load Clothes Washer - Electric DHW, Gas Dryer - 54% ENERGY STAR Baseline</v>
      </c>
      <c r="BB174" s="464" t="s">
        <v>27</v>
      </c>
      <c r="BC174" s="465">
        <f ca="1">AH54*SFAssumptions!$C$26/1000</f>
        <v>2.7104849190651508</v>
      </c>
      <c r="BD174" s="466">
        <f t="shared" si="52"/>
        <v>14</v>
      </c>
      <c r="BE174" s="462">
        <v>0</v>
      </c>
      <c r="BF174" s="462"/>
      <c r="BG174" s="464" t="s">
        <v>160</v>
      </c>
      <c r="BH174" s="467">
        <f ca="1">AH54*SFAssumptions!$C$27/1000</f>
        <v>10.185614677758206</v>
      </c>
      <c r="BI174" s="462"/>
      <c r="BJ174" s="462"/>
      <c r="BK174" s="462"/>
      <c r="BL174" s="462"/>
      <c r="BM174" s="462"/>
      <c r="BN174" s="462"/>
      <c r="BO174" s="462"/>
      <c r="BP174" s="462"/>
    </row>
    <row r="175" spans="1:68">
      <c r="A175" s="462">
        <f t="shared" si="63"/>
        <v>38</v>
      </c>
      <c r="B175" s="462">
        <f t="shared" si="56"/>
        <v>2</v>
      </c>
      <c r="C175" s="462">
        <f t="shared" si="57"/>
        <v>8</v>
      </c>
      <c r="D175" s="462">
        <f t="shared" si="58"/>
        <v>2</v>
      </c>
      <c r="E175" s="462">
        <f t="shared" si="59"/>
        <v>3</v>
      </c>
      <c r="F175" s="462"/>
      <c r="G175" s="462" t="str">
        <f t="shared" si="55"/>
        <v>Current Practice Baseline Using 54% ENERGY STAR Penetration</v>
      </c>
      <c r="H175" s="462" t="str">
        <f t="shared" si="54"/>
        <v>ENERGY STAR - Front-Load</v>
      </c>
      <c r="I175" s="462" t="str">
        <f t="shared" si="60"/>
        <v>Gas DHW, Electric Dryer</v>
      </c>
      <c r="J175" s="462" t="str">
        <f t="shared" si="61"/>
        <v>Gas DHW</v>
      </c>
      <c r="K175" s="462" t="str">
        <f t="shared" si="62"/>
        <v>Electric Dryer</v>
      </c>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c r="AI175" s="463"/>
      <c r="AJ175" s="463"/>
      <c r="AK175" s="463"/>
      <c r="AL175" s="463"/>
      <c r="AM175" s="463"/>
      <c r="AN175" s="463"/>
      <c r="AO175" s="463"/>
      <c r="AP175" s="463"/>
      <c r="AQ175" s="463"/>
      <c r="AR175" s="463"/>
      <c r="AS175" s="463"/>
      <c r="AT175" s="463"/>
      <c r="AU175" s="463"/>
      <c r="AV175" s="463"/>
      <c r="AW175" s="463"/>
      <c r="AX175" s="463"/>
      <c r="AY175" s="463"/>
      <c r="AZ175" s="463"/>
      <c r="BA175" s="462" t="str">
        <f t="shared" si="64"/>
        <v>ENERGY STAR - Front-Load Clothes Washer - Gas DHW, Electric Dryer - 54% ENERGY STAR Baseline</v>
      </c>
      <c r="BB175" s="464" t="s">
        <v>27</v>
      </c>
      <c r="BC175" s="465">
        <f ca="1">AH55*SFAssumptions!$C$26/1000</f>
        <v>2.7104849190651508</v>
      </c>
      <c r="BD175" s="466">
        <f t="shared" si="52"/>
        <v>14</v>
      </c>
      <c r="BE175" s="462">
        <v>0</v>
      </c>
      <c r="BF175" s="462"/>
      <c r="BG175" s="464" t="s">
        <v>160</v>
      </c>
      <c r="BH175" s="467">
        <f ca="1">AH55*SFAssumptions!$C$27/1000</f>
        <v>10.185614677758206</v>
      </c>
      <c r="BI175" s="462"/>
      <c r="BJ175" s="462"/>
      <c r="BK175" s="462"/>
      <c r="BL175" s="462"/>
      <c r="BM175" s="462"/>
      <c r="BN175" s="462"/>
      <c r="BO175" s="462"/>
      <c r="BP175" s="462"/>
    </row>
    <row r="176" spans="1:68">
      <c r="A176" s="462">
        <f t="shared" si="63"/>
        <v>39</v>
      </c>
      <c r="B176" s="462">
        <f t="shared" si="56"/>
        <v>2</v>
      </c>
      <c r="C176" s="462">
        <f t="shared" si="57"/>
        <v>9</v>
      </c>
      <c r="D176" s="462">
        <f t="shared" si="58"/>
        <v>2</v>
      </c>
      <c r="E176" s="462">
        <f t="shared" si="59"/>
        <v>4</v>
      </c>
      <c r="F176" s="462"/>
      <c r="G176" s="462" t="str">
        <f t="shared" si="55"/>
        <v>Current Practice Baseline Using 54% ENERGY STAR Penetration</v>
      </c>
      <c r="H176" s="462" t="str">
        <f t="shared" si="54"/>
        <v>ENERGY STAR - Front-Load</v>
      </c>
      <c r="I176" s="462" t="str">
        <f t="shared" si="60"/>
        <v>Gas DHW, Gas Dryer</v>
      </c>
      <c r="J176" s="462" t="str">
        <f t="shared" si="61"/>
        <v>Gas DHW</v>
      </c>
      <c r="K176" s="462" t="str">
        <f t="shared" si="62"/>
        <v>Gas Dryer</v>
      </c>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c r="AI176" s="463"/>
      <c r="AJ176" s="463"/>
      <c r="AK176" s="463"/>
      <c r="AL176" s="463"/>
      <c r="AM176" s="463"/>
      <c r="AN176" s="463"/>
      <c r="AO176" s="463"/>
      <c r="AP176" s="463"/>
      <c r="AQ176" s="463"/>
      <c r="AR176" s="463"/>
      <c r="AS176" s="463"/>
      <c r="AT176" s="463"/>
      <c r="AU176" s="463"/>
      <c r="AV176" s="463"/>
      <c r="AW176" s="463"/>
      <c r="AX176" s="463"/>
      <c r="AY176" s="463"/>
      <c r="AZ176" s="463"/>
      <c r="BA176" s="462" t="str">
        <f t="shared" si="64"/>
        <v>ENERGY STAR - Front-Load Clothes Washer - Gas DHW, Gas Dryer - 54% ENERGY STAR Baseline</v>
      </c>
      <c r="BB176" s="464" t="s">
        <v>27</v>
      </c>
      <c r="BC176" s="465">
        <f ca="1">AH56*SFAssumptions!$C$26/1000</f>
        <v>2.7104849190651508</v>
      </c>
      <c r="BD176" s="466">
        <f t="shared" si="52"/>
        <v>14</v>
      </c>
      <c r="BE176" s="462">
        <v>0</v>
      </c>
      <c r="BF176" s="462"/>
      <c r="BG176" s="464" t="s">
        <v>160</v>
      </c>
      <c r="BH176" s="467">
        <f ca="1">AH56*SFAssumptions!$C$27/1000</f>
        <v>10.185614677758206</v>
      </c>
      <c r="BI176" s="462"/>
      <c r="BJ176" s="462"/>
      <c r="BK176" s="462"/>
      <c r="BL176" s="462"/>
      <c r="BM176" s="462"/>
      <c r="BN176" s="462"/>
      <c r="BO176" s="462"/>
      <c r="BP176" s="462"/>
    </row>
    <row r="177" spans="1:68">
      <c r="A177" s="462">
        <f t="shared" si="63"/>
        <v>40</v>
      </c>
      <c r="B177" s="462">
        <f t="shared" si="56"/>
        <v>2</v>
      </c>
      <c r="C177" s="462">
        <f t="shared" si="57"/>
        <v>10</v>
      </c>
      <c r="D177" s="462">
        <f t="shared" si="58"/>
        <v>2</v>
      </c>
      <c r="E177" s="462">
        <f t="shared" si="59"/>
        <v>5</v>
      </c>
      <c r="F177" s="462"/>
      <c r="G177" s="462" t="str">
        <f t="shared" si="55"/>
        <v>Current Practice Baseline Using 54% ENERGY STAR Penetration</v>
      </c>
      <c r="H177" s="462" t="str">
        <f t="shared" si="54"/>
        <v>ENERGY STAR - Front-Load</v>
      </c>
      <c r="I177" s="462" t="str">
        <f t="shared" si="60"/>
        <v>Any DHW, Any Dryer</v>
      </c>
      <c r="J177" s="462" t="str">
        <f t="shared" si="61"/>
        <v>Any DHW</v>
      </c>
      <c r="K177" s="462" t="str">
        <f t="shared" si="62"/>
        <v>Any Dryer</v>
      </c>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3"/>
      <c r="AY177" s="463"/>
      <c r="AZ177" s="463"/>
      <c r="BA177" s="462" t="str">
        <f t="shared" si="64"/>
        <v>ENERGY STAR - Front-Load Clothes Washer - Any DHW, Any Dryer - 54% ENERGY STAR Baseline</v>
      </c>
      <c r="BB177" s="464" t="s">
        <v>27</v>
      </c>
      <c r="BC177" s="465">
        <f ca="1">AH57*SFAssumptions!$C$26/1000</f>
        <v>2.7104849190651508</v>
      </c>
      <c r="BD177" s="466">
        <f t="shared" si="52"/>
        <v>14</v>
      </c>
      <c r="BE177" s="462">
        <v>0</v>
      </c>
      <c r="BF177" s="462"/>
      <c r="BG177" s="464" t="s">
        <v>160</v>
      </c>
      <c r="BH177" s="467">
        <f ca="1">AH57*SFAssumptions!$C$27/1000</f>
        <v>10.185614677758206</v>
      </c>
      <c r="BI177" s="462"/>
      <c r="BJ177" s="462"/>
      <c r="BK177" s="462"/>
      <c r="BL177" s="462"/>
      <c r="BM177" s="462"/>
      <c r="BN177" s="462"/>
      <c r="BO177" s="462"/>
      <c r="BP177" s="462"/>
    </row>
    <row r="178" spans="1:68">
      <c r="A178" s="462">
        <f t="shared" si="63"/>
        <v>41</v>
      </c>
      <c r="B178" s="462">
        <f t="shared" si="56"/>
        <v>2</v>
      </c>
      <c r="C178" s="462">
        <f t="shared" si="57"/>
        <v>11</v>
      </c>
      <c r="D178" s="462">
        <f t="shared" si="58"/>
        <v>3</v>
      </c>
      <c r="E178" s="462">
        <f t="shared" si="59"/>
        <v>1</v>
      </c>
      <c r="F178" s="462"/>
      <c r="G178" s="462" t="str">
        <f t="shared" si="55"/>
        <v>Current Practice Baseline Using 54% ENERGY STAR Penetration</v>
      </c>
      <c r="H178" s="462" t="str">
        <f t="shared" si="54"/>
        <v>Any ENERGY STAR (Top- or Front-Load)</v>
      </c>
      <c r="I178" s="462" t="str">
        <f t="shared" si="60"/>
        <v>Electric DHW, Electric Dryer</v>
      </c>
      <c r="J178" s="462" t="str">
        <f t="shared" si="61"/>
        <v>Electric DHW</v>
      </c>
      <c r="K178" s="462" t="str">
        <f t="shared" si="62"/>
        <v>Electric Dryer</v>
      </c>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2" t="str">
        <f t="shared" si="64"/>
        <v>Any ENERGY STAR (Top- or Front-Load) Clothes Washer - Electric DHW, Electric Dryer - 54% ENERGY STAR Baseline</v>
      </c>
      <c r="BB178" s="464" t="s">
        <v>27</v>
      </c>
      <c r="BC178" s="465">
        <f ca="1">AH58*SFAssumptions!$C$26/1000</f>
        <v>1.7731546784609331</v>
      </c>
      <c r="BD178" s="466">
        <f t="shared" si="52"/>
        <v>14</v>
      </c>
      <c r="BE178" s="462">
        <v>0</v>
      </c>
      <c r="BF178" s="462"/>
      <c r="BG178" s="464" t="s">
        <v>160</v>
      </c>
      <c r="BH178" s="467">
        <f ca="1">AH58*SFAssumptions!$C$27/1000</f>
        <v>6.6632616886488547</v>
      </c>
      <c r="BI178" s="462"/>
      <c r="BJ178" s="462"/>
      <c r="BK178" s="462"/>
      <c r="BL178" s="462"/>
      <c r="BM178" s="462"/>
      <c r="BN178" s="462"/>
      <c r="BO178" s="462"/>
      <c r="BP178" s="462"/>
    </row>
    <row r="179" spans="1:68">
      <c r="A179" s="462">
        <f t="shared" si="63"/>
        <v>42</v>
      </c>
      <c r="B179" s="462">
        <f t="shared" si="56"/>
        <v>2</v>
      </c>
      <c r="C179" s="462">
        <f t="shared" si="57"/>
        <v>12</v>
      </c>
      <c r="D179" s="462">
        <f t="shared" si="58"/>
        <v>3</v>
      </c>
      <c r="E179" s="462">
        <f t="shared" si="59"/>
        <v>2</v>
      </c>
      <c r="F179" s="462"/>
      <c r="G179" s="462" t="str">
        <f t="shared" si="55"/>
        <v>Current Practice Baseline Using 54% ENERGY STAR Penetration</v>
      </c>
      <c r="H179" s="462" t="str">
        <f t="shared" si="54"/>
        <v>Any ENERGY STAR (Top- or Front-Load)</v>
      </c>
      <c r="I179" s="462" t="str">
        <f t="shared" si="60"/>
        <v>Electric DHW, Gas Dryer</v>
      </c>
      <c r="J179" s="462" t="str">
        <f t="shared" si="61"/>
        <v>Electric DHW</v>
      </c>
      <c r="K179" s="462" t="str">
        <f t="shared" si="62"/>
        <v>Gas Dryer</v>
      </c>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2" t="str">
        <f t="shared" si="64"/>
        <v>Any ENERGY STAR (Top- or Front-Load) Clothes Washer - Electric DHW, Gas Dryer - 54% ENERGY STAR Baseline</v>
      </c>
      <c r="BB179" s="464" t="s">
        <v>27</v>
      </c>
      <c r="BC179" s="465">
        <f ca="1">AH59*SFAssumptions!$C$26/1000</f>
        <v>1.7731546784609331</v>
      </c>
      <c r="BD179" s="466">
        <f t="shared" si="52"/>
        <v>14</v>
      </c>
      <c r="BE179" s="462">
        <v>0</v>
      </c>
      <c r="BF179" s="462"/>
      <c r="BG179" s="464" t="s">
        <v>160</v>
      </c>
      <c r="BH179" s="467">
        <f ca="1">AH59*SFAssumptions!$C$27/1000</f>
        <v>6.6632616886488547</v>
      </c>
      <c r="BI179" s="462"/>
      <c r="BJ179" s="462"/>
      <c r="BK179" s="462"/>
      <c r="BL179" s="462"/>
      <c r="BM179" s="462"/>
      <c r="BN179" s="462"/>
      <c r="BO179" s="462"/>
      <c r="BP179" s="462"/>
    </row>
    <row r="180" spans="1:68">
      <c r="A180" s="462">
        <f t="shared" si="63"/>
        <v>43</v>
      </c>
      <c r="B180" s="462">
        <f t="shared" si="56"/>
        <v>2</v>
      </c>
      <c r="C180" s="462">
        <f t="shared" si="57"/>
        <v>13</v>
      </c>
      <c r="D180" s="462">
        <f t="shared" si="58"/>
        <v>3</v>
      </c>
      <c r="E180" s="462">
        <f t="shared" si="59"/>
        <v>3</v>
      </c>
      <c r="F180" s="462"/>
      <c r="G180" s="462" t="str">
        <f t="shared" si="55"/>
        <v>Current Practice Baseline Using 54% ENERGY STAR Penetration</v>
      </c>
      <c r="H180" s="462" t="str">
        <f t="shared" si="54"/>
        <v>Any ENERGY STAR (Top- or Front-Load)</v>
      </c>
      <c r="I180" s="462" t="str">
        <f t="shared" si="60"/>
        <v>Gas DHW, Electric Dryer</v>
      </c>
      <c r="J180" s="462" t="str">
        <f t="shared" si="61"/>
        <v>Gas DHW</v>
      </c>
      <c r="K180" s="462" t="str">
        <f t="shared" si="62"/>
        <v>Electric Dryer</v>
      </c>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2" t="str">
        <f t="shared" si="64"/>
        <v>Any ENERGY STAR (Top- or Front-Load) Clothes Washer - Gas DHW, Electric Dryer - 54% ENERGY STAR Baseline</v>
      </c>
      <c r="BB180" s="464" t="s">
        <v>27</v>
      </c>
      <c r="BC180" s="465">
        <f ca="1">AH60*SFAssumptions!$C$26/1000</f>
        <v>1.7731546784609331</v>
      </c>
      <c r="BD180" s="466">
        <f t="shared" si="52"/>
        <v>14</v>
      </c>
      <c r="BE180" s="462">
        <v>0</v>
      </c>
      <c r="BF180" s="462"/>
      <c r="BG180" s="464" t="s">
        <v>160</v>
      </c>
      <c r="BH180" s="467">
        <f ca="1">AH60*SFAssumptions!$C$27/1000</f>
        <v>6.6632616886488547</v>
      </c>
      <c r="BI180" s="462"/>
      <c r="BJ180" s="462"/>
      <c r="BK180" s="462"/>
      <c r="BL180" s="462"/>
      <c r="BM180" s="462"/>
      <c r="BN180" s="462"/>
      <c r="BO180" s="462"/>
      <c r="BP180" s="462"/>
    </row>
    <row r="181" spans="1:68">
      <c r="A181" s="462">
        <f t="shared" si="63"/>
        <v>44</v>
      </c>
      <c r="B181" s="462">
        <f t="shared" si="56"/>
        <v>2</v>
      </c>
      <c r="C181" s="462">
        <f t="shared" si="57"/>
        <v>14</v>
      </c>
      <c r="D181" s="462">
        <f t="shared" si="58"/>
        <v>3</v>
      </c>
      <c r="E181" s="462">
        <f t="shared" si="59"/>
        <v>4</v>
      </c>
      <c r="F181" s="462"/>
      <c r="G181" s="462" t="str">
        <f t="shared" si="55"/>
        <v>Current Practice Baseline Using 54% ENERGY STAR Penetration</v>
      </c>
      <c r="H181" s="462" t="str">
        <f t="shared" si="54"/>
        <v>Any ENERGY STAR (Top- or Front-Load)</v>
      </c>
      <c r="I181" s="462" t="str">
        <f t="shared" si="60"/>
        <v>Gas DHW, Gas Dryer</v>
      </c>
      <c r="J181" s="462" t="str">
        <f t="shared" si="61"/>
        <v>Gas DHW</v>
      </c>
      <c r="K181" s="462" t="str">
        <f t="shared" si="62"/>
        <v>Gas Dryer</v>
      </c>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2" t="str">
        <f t="shared" si="64"/>
        <v>Any ENERGY STAR (Top- or Front-Load) Clothes Washer - Gas DHW, Gas Dryer - 54% ENERGY STAR Baseline</v>
      </c>
      <c r="BB181" s="464" t="s">
        <v>27</v>
      </c>
      <c r="BC181" s="465">
        <f ca="1">AH61*SFAssumptions!$C$26/1000</f>
        <v>1.7731546784609331</v>
      </c>
      <c r="BD181" s="466">
        <f t="shared" si="52"/>
        <v>14</v>
      </c>
      <c r="BE181" s="462">
        <v>0</v>
      </c>
      <c r="BF181" s="462"/>
      <c r="BG181" s="464" t="s">
        <v>160</v>
      </c>
      <c r="BH181" s="467">
        <f ca="1">AH61*SFAssumptions!$C$27/1000</f>
        <v>6.6632616886488547</v>
      </c>
      <c r="BI181" s="462"/>
      <c r="BJ181" s="462"/>
      <c r="BK181" s="462"/>
      <c r="BL181" s="462"/>
      <c r="BM181" s="462"/>
      <c r="BN181" s="462"/>
      <c r="BO181" s="462"/>
      <c r="BP181" s="462"/>
    </row>
    <row r="182" spans="1:68">
      <c r="A182" s="462">
        <f t="shared" si="63"/>
        <v>45</v>
      </c>
      <c r="B182" s="462">
        <f t="shared" si="56"/>
        <v>2</v>
      </c>
      <c r="C182" s="462">
        <f t="shared" si="57"/>
        <v>15</v>
      </c>
      <c r="D182" s="462">
        <f t="shared" si="58"/>
        <v>3</v>
      </c>
      <c r="E182" s="462">
        <f t="shared" si="59"/>
        <v>5</v>
      </c>
      <c r="F182" s="462"/>
      <c r="G182" s="462" t="str">
        <f t="shared" si="55"/>
        <v>Current Practice Baseline Using 54% ENERGY STAR Penetration</v>
      </c>
      <c r="H182" s="462" t="str">
        <f t="shared" si="54"/>
        <v>Any ENERGY STAR (Top- or Front-Load)</v>
      </c>
      <c r="I182" s="462" t="str">
        <f t="shared" si="60"/>
        <v>Any DHW, Any Dryer</v>
      </c>
      <c r="J182" s="462" t="str">
        <f t="shared" si="61"/>
        <v>Any DHW</v>
      </c>
      <c r="K182" s="462" t="str">
        <f t="shared" si="62"/>
        <v>Any Dryer</v>
      </c>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2" t="str">
        <f t="shared" si="64"/>
        <v>Any ENERGY STAR (Top- or Front-Load) Clothes Washer - Any DHW, Any Dryer - 54% ENERGY STAR Baseline</v>
      </c>
      <c r="BB182" s="464" t="s">
        <v>27</v>
      </c>
      <c r="BC182" s="465">
        <f ca="1">AH62*SFAssumptions!$C$26/1000</f>
        <v>1.7731546784609331</v>
      </c>
      <c r="BD182" s="466">
        <f t="shared" si="52"/>
        <v>14</v>
      </c>
      <c r="BE182" s="462">
        <v>0</v>
      </c>
      <c r="BF182" s="462"/>
      <c r="BG182" s="464" t="s">
        <v>160</v>
      </c>
      <c r="BH182" s="467">
        <f ca="1">AH62*SFAssumptions!$C$27/1000</f>
        <v>6.6632616886488547</v>
      </c>
      <c r="BI182" s="462"/>
      <c r="BJ182" s="462"/>
      <c r="BK182" s="462"/>
      <c r="BL182" s="462"/>
      <c r="BM182" s="462"/>
      <c r="BN182" s="462"/>
      <c r="BO182" s="462"/>
      <c r="BP182" s="462"/>
    </row>
    <row r="183" spans="1:68">
      <c r="A183" s="462">
        <f t="shared" si="63"/>
        <v>46</v>
      </c>
      <c r="B183" s="462">
        <f t="shared" si="56"/>
        <v>2</v>
      </c>
      <c r="C183" s="462">
        <f t="shared" si="57"/>
        <v>16</v>
      </c>
      <c r="D183" s="462">
        <f t="shared" si="58"/>
        <v>4</v>
      </c>
      <c r="E183" s="462">
        <f t="shared" si="59"/>
        <v>1</v>
      </c>
      <c r="F183" s="462"/>
      <c r="G183" s="462" t="str">
        <f t="shared" si="55"/>
        <v>Current Practice Baseline Using 54% ENERGY STAR Penetration</v>
      </c>
      <c r="H183" s="462" t="str">
        <f t="shared" si="54"/>
        <v>CEE Tier 1</v>
      </c>
      <c r="I183" s="462" t="str">
        <f t="shared" si="60"/>
        <v>Electric DHW, Electric Dryer</v>
      </c>
      <c r="J183" s="462" t="str">
        <f t="shared" si="61"/>
        <v>Electric DHW</v>
      </c>
      <c r="K183" s="462" t="str">
        <f t="shared" si="62"/>
        <v>Electric Dryer</v>
      </c>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2" t="str">
        <f t="shared" si="64"/>
        <v>CEE Tier 1 Clothes Washer - Electric DHW, Electric Dryer - 54% ENERGY STAR Baseline</v>
      </c>
      <c r="BB183" s="464" t="s">
        <v>27</v>
      </c>
      <c r="BC183" s="465">
        <f ca="1">AH63*SFAssumptions!$C$26/1000</f>
        <v>2.2689844676199051</v>
      </c>
      <c r="BD183" s="466">
        <f t="shared" si="52"/>
        <v>14</v>
      </c>
      <c r="BE183" s="462">
        <v>0</v>
      </c>
      <c r="BF183" s="462"/>
      <c r="BG183" s="464" t="s">
        <v>160</v>
      </c>
      <c r="BH183" s="467">
        <f ca="1">AH63*SFAssumptions!$C$27/1000</f>
        <v>8.5265191237314468</v>
      </c>
      <c r="BI183" s="462"/>
      <c r="BJ183" s="462"/>
      <c r="BK183" s="462"/>
      <c r="BL183" s="462"/>
      <c r="BM183" s="462"/>
      <c r="BN183" s="462"/>
      <c r="BO183" s="462"/>
      <c r="BP183" s="462"/>
    </row>
    <row r="184" spans="1:68">
      <c r="A184" s="462">
        <f t="shared" si="63"/>
        <v>47</v>
      </c>
      <c r="B184" s="462">
        <f t="shared" si="56"/>
        <v>2</v>
      </c>
      <c r="C184" s="462">
        <f t="shared" si="57"/>
        <v>17</v>
      </c>
      <c r="D184" s="462">
        <f t="shared" si="58"/>
        <v>4</v>
      </c>
      <c r="E184" s="462">
        <f t="shared" si="59"/>
        <v>2</v>
      </c>
      <c r="F184" s="462"/>
      <c r="G184" s="462" t="str">
        <f t="shared" si="55"/>
        <v>Current Practice Baseline Using 54% ENERGY STAR Penetration</v>
      </c>
      <c r="H184" s="462" t="str">
        <f t="shared" si="54"/>
        <v>CEE Tier 1</v>
      </c>
      <c r="I184" s="462" t="str">
        <f t="shared" si="60"/>
        <v>Electric DHW, Gas Dryer</v>
      </c>
      <c r="J184" s="462" t="str">
        <f t="shared" si="61"/>
        <v>Electric DHW</v>
      </c>
      <c r="K184" s="462" t="str">
        <f t="shared" si="62"/>
        <v>Gas Dryer</v>
      </c>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2" t="str">
        <f t="shared" si="64"/>
        <v>CEE Tier 1 Clothes Washer - Electric DHW, Gas Dryer - 54% ENERGY STAR Baseline</v>
      </c>
      <c r="BB184" s="464" t="s">
        <v>27</v>
      </c>
      <c r="BC184" s="465">
        <f ca="1">AH64*SFAssumptions!$C$26/1000</f>
        <v>2.2689844676199051</v>
      </c>
      <c r="BD184" s="466">
        <f t="shared" si="52"/>
        <v>14</v>
      </c>
      <c r="BE184" s="462">
        <v>0</v>
      </c>
      <c r="BF184" s="462"/>
      <c r="BG184" s="464" t="s">
        <v>160</v>
      </c>
      <c r="BH184" s="467">
        <f ca="1">AH64*SFAssumptions!$C$27/1000</f>
        <v>8.5265191237314468</v>
      </c>
      <c r="BI184" s="462"/>
      <c r="BJ184" s="462"/>
      <c r="BK184" s="462"/>
      <c r="BL184" s="462"/>
      <c r="BM184" s="462"/>
      <c r="BN184" s="462"/>
      <c r="BO184" s="462"/>
      <c r="BP184" s="462"/>
    </row>
    <row r="185" spans="1:68">
      <c r="A185" s="462">
        <f t="shared" si="63"/>
        <v>48</v>
      </c>
      <c r="B185" s="462">
        <f t="shared" si="56"/>
        <v>2</v>
      </c>
      <c r="C185" s="462">
        <f t="shared" si="57"/>
        <v>18</v>
      </c>
      <c r="D185" s="462">
        <f t="shared" si="58"/>
        <v>4</v>
      </c>
      <c r="E185" s="462">
        <f t="shared" si="59"/>
        <v>3</v>
      </c>
      <c r="F185" s="462"/>
      <c r="G185" s="462" t="str">
        <f t="shared" si="55"/>
        <v>Current Practice Baseline Using 54% ENERGY STAR Penetration</v>
      </c>
      <c r="H185" s="462" t="str">
        <f t="shared" si="54"/>
        <v>CEE Tier 1</v>
      </c>
      <c r="I185" s="462" t="str">
        <f t="shared" si="60"/>
        <v>Gas DHW, Electric Dryer</v>
      </c>
      <c r="J185" s="462" t="str">
        <f t="shared" si="61"/>
        <v>Gas DHW</v>
      </c>
      <c r="K185" s="462" t="str">
        <f t="shared" si="62"/>
        <v>Electric Dryer</v>
      </c>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2" t="str">
        <f t="shared" si="64"/>
        <v>CEE Tier 1 Clothes Washer - Gas DHW, Electric Dryer - 54% ENERGY STAR Baseline</v>
      </c>
      <c r="BB185" s="464" t="s">
        <v>27</v>
      </c>
      <c r="BC185" s="465">
        <f ca="1">AH65*SFAssumptions!$C$26/1000</f>
        <v>2.2689844676199051</v>
      </c>
      <c r="BD185" s="466">
        <f t="shared" si="52"/>
        <v>14</v>
      </c>
      <c r="BE185" s="462">
        <v>0</v>
      </c>
      <c r="BF185" s="462"/>
      <c r="BG185" s="464" t="s">
        <v>160</v>
      </c>
      <c r="BH185" s="467">
        <f ca="1">AH65*SFAssumptions!$C$27/1000</f>
        <v>8.5265191237314468</v>
      </c>
      <c r="BI185" s="462"/>
      <c r="BJ185" s="462"/>
      <c r="BK185" s="462"/>
      <c r="BL185" s="462"/>
      <c r="BM185" s="462"/>
      <c r="BN185" s="462"/>
      <c r="BO185" s="462"/>
      <c r="BP185" s="462"/>
    </row>
    <row r="186" spans="1:68">
      <c r="A186" s="462">
        <f t="shared" si="63"/>
        <v>49</v>
      </c>
      <c r="B186" s="462">
        <f t="shared" si="56"/>
        <v>2</v>
      </c>
      <c r="C186" s="462">
        <f t="shared" si="57"/>
        <v>19</v>
      </c>
      <c r="D186" s="462">
        <f t="shared" si="58"/>
        <v>4</v>
      </c>
      <c r="E186" s="462">
        <f t="shared" si="59"/>
        <v>4</v>
      </c>
      <c r="F186" s="462"/>
      <c r="G186" s="462" t="str">
        <f t="shared" si="55"/>
        <v>Current Practice Baseline Using 54% ENERGY STAR Penetration</v>
      </c>
      <c r="H186" s="462" t="str">
        <f t="shared" si="54"/>
        <v>CEE Tier 1</v>
      </c>
      <c r="I186" s="462" t="str">
        <f t="shared" si="60"/>
        <v>Gas DHW, Gas Dryer</v>
      </c>
      <c r="J186" s="462" t="str">
        <f t="shared" si="61"/>
        <v>Gas DHW</v>
      </c>
      <c r="K186" s="462" t="str">
        <f t="shared" si="62"/>
        <v>Gas Dryer</v>
      </c>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2" t="str">
        <f t="shared" si="64"/>
        <v>CEE Tier 1 Clothes Washer - Gas DHW, Gas Dryer - 54% ENERGY STAR Baseline</v>
      </c>
      <c r="BB186" s="464" t="s">
        <v>27</v>
      </c>
      <c r="BC186" s="465">
        <f ca="1">AH66*SFAssumptions!$C$26/1000</f>
        <v>2.2689844676199051</v>
      </c>
      <c r="BD186" s="466">
        <f t="shared" si="52"/>
        <v>14</v>
      </c>
      <c r="BE186" s="462">
        <v>0</v>
      </c>
      <c r="BF186" s="462"/>
      <c r="BG186" s="464" t="s">
        <v>160</v>
      </c>
      <c r="BH186" s="467">
        <f ca="1">AH66*SFAssumptions!$C$27/1000</f>
        <v>8.5265191237314468</v>
      </c>
      <c r="BI186" s="462"/>
      <c r="BJ186" s="462"/>
      <c r="BK186" s="462"/>
      <c r="BL186" s="462"/>
      <c r="BM186" s="462"/>
      <c r="BN186" s="462"/>
      <c r="BO186" s="462"/>
      <c r="BP186" s="462"/>
    </row>
    <row r="187" spans="1:68">
      <c r="A187" s="462">
        <f t="shared" si="63"/>
        <v>50</v>
      </c>
      <c r="B187" s="462">
        <f t="shared" si="56"/>
        <v>2</v>
      </c>
      <c r="C187" s="462">
        <f t="shared" si="57"/>
        <v>20</v>
      </c>
      <c r="D187" s="462">
        <f t="shared" si="58"/>
        <v>4</v>
      </c>
      <c r="E187" s="462">
        <f t="shared" si="59"/>
        <v>5</v>
      </c>
      <c r="F187" s="462"/>
      <c r="G187" s="462" t="str">
        <f t="shared" si="55"/>
        <v>Current Practice Baseline Using 54% ENERGY STAR Penetration</v>
      </c>
      <c r="H187" s="462" t="str">
        <f t="shared" si="54"/>
        <v>CEE Tier 1</v>
      </c>
      <c r="I187" s="462" t="str">
        <f t="shared" si="60"/>
        <v>Any DHW, Any Dryer</v>
      </c>
      <c r="J187" s="462" t="str">
        <f t="shared" si="61"/>
        <v>Any DHW</v>
      </c>
      <c r="K187" s="462" t="str">
        <f t="shared" si="62"/>
        <v>Any Dryer</v>
      </c>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2" t="str">
        <f t="shared" si="64"/>
        <v>CEE Tier 1 Clothes Washer - Any DHW, Any Dryer - 54% ENERGY STAR Baseline</v>
      </c>
      <c r="BB187" s="464" t="s">
        <v>27</v>
      </c>
      <c r="BC187" s="465">
        <f ca="1">AH67*SFAssumptions!$C$26/1000</f>
        <v>2.2689844676199051</v>
      </c>
      <c r="BD187" s="466">
        <f t="shared" si="52"/>
        <v>14</v>
      </c>
      <c r="BE187" s="462">
        <v>0</v>
      </c>
      <c r="BF187" s="462"/>
      <c r="BG187" s="464" t="s">
        <v>160</v>
      </c>
      <c r="BH187" s="467">
        <f ca="1">AH67*SFAssumptions!$C$27/1000</f>
        <v>8.5265191237314468</v>
      </c>
      <c r="BI187" s="462"/>
      <c r="BJ187" s="462"/>
      <c r="BK187" s="462"/>
      <c r="BL187" s="462"/>
      <c r="BM187" s="462"/>
      <c r="BN187" s="462"/>
      <c r="BO187" s="462"/>
      <c r="BP187" s="462"/>
    </row>
    <row r="188" spans="1:68">
      <c r="A188" s="462">
        <f t="shared" si="63"/>
        <v>51</v>
      </c>
      <c r="B188" s="462">
        <f t="shared" si="56"/>
        <v>2</v>
      </c>
      <c r="C188" s="462">
        <f t="shared" si="57"/>
        <v>21</v>
      </c>
      <c r="D188" s="462">
        <f t="shared" si="58"/>
        <v>5</v>
      </c>
      <c r="E188" s="462">
        <f t="shared" si="59"/>
        <v>1</v>
      </c>
      <c r="F188" s="462"/>
      <c r="G188" s="462" t="str">
        <f t="shared" si="55"/>
        <v>Current Practice Baseline Using 54% ENERGY STAR Penetration</v>
      </c>
      <c r="H188" s="462" t="str">
        <f t="shared" si="54"/>
        <v>CEE Tier 2</v>
      </c>
      <c r="I188" s="462" t="str">
        <f t="shared" si="60"/>
        <v>Electric DHW, Electric Dryer</v>
      </c>
      <c r="J188" s="462" t="str">
        <f t="shared" si="61"/>
        <v>Electric DHW</v>
      </c>
      <c r="K188" s="462" t="str">
        <f t="shared" si="62"/>
        <v>Electric Dryer</v>
      </c>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2" t="str">
        <f t="shared" si="64"/>
        <v>CEE Tier 2 Clothes Washer - Electric DHW, Electric Dryer - 54% ENERGY STAR Baseline</v>
      </c>
      <c r="BB188" s="464" t="s">
        <v>27</v>
      </c>
      <c r="BC188" s="465">
        <f ca="1">AH68*SFAssumptions!$C$26/1000</f>
        <v>3.3279524561015337</v>
      </c>
      <c r="BD188" s="466">
        <f t="shared" si="52"/>
        <v>14</v>
      </c>
      <c r="BE188" s="462">
        <v>0</v>
      </c>
      <c r="BF188" s="462"/>
      <c r="BG188" s="464" t="s">
        <v>160</v>
      </c>
      <c r="BH188" s="467">
        <f ca="1">AH68*SFAssumptions!$C$27/1000</f>
        <v>12.505969372978637</v>
      </c>
      <c r="BI188" s="462"/>
      <c r="BJ188" s="462"/>
      <c r="BK188" s="462"/>
      <c r="BL188" s="462"/>
      <c r="BM188" s="462"/>
      <c r="BN188" s="462"/>
      <c r="BO188" s="462"/>
      <c r="BP188" s="462"/>
    </row>
    <row r="189" spans="1:68">
      <c r="A189" s="462">
        <f t="shared" si="63"/>
        <v>52</v>
      </c>
      <c r="B189" s="462">
        <f t="shared" si="56"/>
        <v>2</v>
      </c>
      <c r="C189" s="462">
        <f t="shared" si="57"/>
        <v>22</v>
      </c>
      <c r="D189" s="462">
        <f t="shared" si="58"/>
        <v>5</v>
      </c>
      <c r="E189" s="462">
        <f t="shared" si="59"/>
        <v>2</v>
      </c>
      <c r="F189" s="462"/>
      <c r="G189" s="462" t="str">
        <f t="shared" si="55"/>
        <v>Current Practice Baseline Using 54% ENERGY STAR Penetration</v>
      </c>
      <c r="H189" s="462" t="str">
        <f t="shared" si="54"/>
        <v>CEE Tier 2</v>
      </c>
      <c r="I189" s="462" t="str">
        <f t="shared" si="60"/>
        <v>Electric DHW, Gas Dryer</v>
      </c>
      <c r="J189" s="462" t="str">
        <f t="shared" si="61"/>
        <v>Electric DHW</v>
      </c>
      <c r="K189" s="462" t="str">
        <f t="shared" si="62"/>
        <v>Gas Dryer</v>
      </c>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c r="AI189" s="463"/>
      <c r="AJ189" s="463"/>
      <c r="AK189" s="463"/>
      <c r="AL189" s="463"/>
      <c r="AM189" s="463"/>
      <c r="AN189" s="463"/>
      <c r="AO189" s="463"/>
      <c r="AP189" s="463"/>
      <c r="AQ189" s="463"/>
      <c r="AR189" s="463"/>
      <c r="AS189" s="463"/>
      <c r="AT189" s="463"/>
      <c r="AU189" s="463"/>
      <c r="AV189" s="463"/>
      <c r="AW189" s="463"/>
      <c r="AX189" s="463"/>
      <c r="AY189" s="463"/>
      <c r="AZ189" s="463"/>
      <c r="BA189" s="462" t="str">
        <f t="shared" si="64"/>
        <v>CEE Tier 2 Clothes Washer - Electric DHW, Gas Dryer - 54% ENERGY STAR Baseline</v>
      </c>
      <c r="BB189" s="464" t="s">
        <v>27</v>
      </c>
      <c r="BC189" s="465">
        <f ca="1">AH69*SFAssumptions!$C$26/1000</f>
        <v>3.3279524561015337</v>
      </c>
      <c r="BD189" s="466">
        <f t="shared" si="52"/>
        <v>14</v>
      </c>
      <c r="BE189" s="462">
        <v>0</v>
      </c>
      <c r="BF189" s="462"/>
      <c r="BG189" s="464" t="s">
        <v>160</v>
      </c>
      <c r="BH189" s="467">
        <f ca="1">AH69*SFAssumptions!$C$27/1000</f>
        <v>12.505969372978637</v>
      </c>
      <c r="BI189" s="462"/>
      <c r="BJ189" s="462"/>
      <c r="BK189" s="462"/>
      <c r="BL189" s="462"/>
      <c r="BM189" s="462"/>
      <c r="BN189" s="462"/>
      <c r="BO189" s="462"/>
      <c r="BP189" s="462"/>
    </row>
    <row r="190" spans="1:68">
      <c r="A190" s="462">
        <f t="shared" si="63"/>
        <v>53</v>
      </c>
      <c r="B190" s="462">
        <f t="shared" si="56"/>
        <v>2</v>
      </c>
      <c r="C190" s="462">
        <f t="shared" si="57"/>
        <v>23</v>
      </c>
      <c r="D190" s="462">
        <f t="shared" si="58"/>
        <v>5</v>
      </c>
      <c r="E190" s="462">
        <f t="shared" si="59"/>
        <v>3</v>
      </c>
      <c r="F190" s="462"/>
      <c r="G190" s="462" t="str">
        <f t="shared" si="55"/>
        <v>Current Practice Baseline Using 54% ENERGY STAR Penetration</v>
      </c>
      <c r="H190" s="462" t="str">
        <f t="shared" si="54"/>
        <v>CEE Tier 2</v>
      </c>
      <c r="I190" s="462" t="str">
        <f t="shared" si="60"/>
        <v>Gas DHW, Electric Dryer</v>
      </c>
      <c r="J190" s="462" t="str">
        <f t="shared" si="61"/>
        <v>Gas DHW</v>
      </c>
      <c r="K190" s="462" t="str">
        <f t="shared" si="62"/>
        <v>Electric Dryer</v>
      </c>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3"/>
      <c r="AY190" s="463"/>
      <c r="AZ190" s="463"/>
      <c r="BA190" s="462" t="str">
        <f t="shared" si="64"/>
        <v>CEE Tier 2 Clothes Washer - Gas DHW, Electric Dryer - 54% ENERGY STAR Baseline</v>
      </c>
      <c r="BB190" s="464" t="s">
        <v>27</v>
      </c>
      <c r="BC190" s="465">
        <f ca="1">AH70*SFAssumptions!$C$26/1000</f>
        <v>3.3279524561015337</v>
      </c>
      <c r="BD190" s="466">
        <f t="shared" si="52"/>
        <v>14</v>
      </c>
      <c r="BE190" s="462">
        <v>0</v>
      </c>
      <c r="BF190" s="462"/>
      <c r="BG190" s="464" t="s">
        <v>160</v>
      </c>
      <c r="BH190" s="467">
        <f ca="1">AH70*SFAssumptions!$C$27/1000</f>
        <v>12.505969372978637</v>
      </c>
      <c r="BI190" s="462"/>
      <c r="BJ190" s="462"/>
      <c r="BK190" s="462"/>
      <c r="BL190" s="462"/>
      <c r="BM190" s="462"/>
      <c r="BN190" s="462"/>
      <c r="BO190" s="462"/>
      <c r="BP190" s="462"/>
    </row>
    <row r="191" spans="1:68">
      <c r="A191" s="462">
        <f t="shared" si="63"/>
        <v>54</v>
      </c>
      <c r="B191" s="462">
        <f t="shared" si="56"/>
        <v>2</v>
      </c>
      <c r="C191" s="462">
        <f t="shared" si="57"/>
        <v>24</v>
      </c>
      <c r="D191" s="462">
        <f t="shared" si="58"/>
        <v>5</v>
      </c>
      <c r="E191" s="462">
        <f t="shared" si="59"/>
        <v>4</v>
      </c>
      <c r="F191" s="462"/>
      <c r="G191" s="462" t="str">
        <f t="shared" si="55"/>
        <v>Current Practice Baseline Using 54% ENERGY STAR Penetration</v>
      </c>
      <c r="H191" s="462" t="str">
        <f t="shared" si="54"/>
        <v>CEE Tier 2</v>
      </c>
      <c r="I191" s="462" t="str">
        <f t="shared" si="60"/>
        <v>Gas DHW, Gas Dryer</v>
      </c>
      <c r="J191" s="462" t="str">
        <f t="shared" si="61"/>
        <v>Gas DHW</v>
      </c>
      <c r="K191" s="462" t="str">
        <f t="shared" si="62"/>
        <v>Gas Dryer</v>
      </c>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63"/>
      <c r="AN191" s="463"/>
      <c r="AO191" s="463"/>
      <c r="AP191" s="463"/>
      <c r="AQ191" s="463"/>
      <c r="AR191" s="463"/>
      <c r="AS191" s="463"/>
      <c r="AT191" s="463"/>
      <c r="AU191" s="463"/>
      <c r="AV191" s="463"/>
      <c r="AW191" s="463"/>
      <c r="AX191" s="463"/>
      <c r="AY191" s="463"/>
      <c r="AZ191" s="463"/>
      <c r="BA191" s="462" t="str">
        <f t="shared" si="64"/>
        <v>CEE Tier 2 Clothes Washer - Gas DHW, Gas Dryer - 54% ENERGY STAR Baseline</v>
      </c>
      <c r="BB191" s="464" t="s">
        <v>27</v>
      </c>
      <c r="BC191" s="465">
        <f ca="1">AH71*SFAssumptions!$C$26/1000</f>
        <v>3.3279524561015337</v>
      </c>
      <c r="BD191" s="466">
        <f t="shared" si="52"/>
        <v>14</v>
      </c>
      <c r="BE191" s="462">
        <v>0</v>
      </c>
      <c r="BF191" s="462"/>
      <c r="BG191" s="464" t="s">
        <v>160</v>
      </c>
      <c r="BH191" s="467">
        <f ca="1">AH71*SFAssumptions!$C$27/1000</f>
        <v>12.505969372978637</v>
      </c>
      <c r="BI191" s="462"/>
      <c r="BJ191" s="462"/>
      <c r="BK191" s="462"/>
      <c r="BL191" s="462"/>
      <c r="BM191" s="462"/>
      <c r="BN191" s="462"/>
      <c r="BO191" s="462"/>
      <c r="BP191" s="462"/>
    </row>
    <row r="192" spans="1:68">
      <c r="A192" s="462">
        <f t="shared" si="63"/>
        <v>55</v>
      </c>
      <c r="B192" s="462">
        <f t="shared" si="56"/>
        <v>2</v>
      </c>
      <c r="C192" s="462">
        <f t="shared" si="57"/>
        <v>25</v>
      </c>
      <c r="D192" s="462">
        <f t="shared" si="58"/>
        <v>5</v>
      </c>
      <c r="E192" s="462">
        <f t="shared" si="59"/>
        <v>5</v>
      </c>
      <c r="F192" s="462"/>
      <c r="G192" s="462" t="str">
        <f t="shared" si="55"/>
        <v>Current Practice Baseline Using 54% ENERGY STAR Penetration</v>
      </c>
      <c r="H192" s="462" t="str">
        <f t="shared" si="54"/>
        <v>CEE Tier 2</v>
      </c>
      <c r="I192" s="462" t="str">
        <f t="shared" si="60"/>
        <v>Any DHW, Any Dryer</v>
      </c>
      <c r="J192" s="462" t="str">
        <f t="shared" si="61"/>
        <v>Any DHW</v>
      </c>
      <c r="K192" s="462" t="str">
        <f t="shared" si="62"/>
        <v>Any Dryer</v>
      </c>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c r="AI192" s="463"/>
      <c r="AJ192" s="463"/>
      <c r="AK192" s="463"/>
      <c r="AL192" s="463"/>
      <c r="AM192" s="463"/>
      <c r="AN192" s="463"/>
      <c r="AO192" s="463"/>
      <c r="AP192" s="463"/>
      <c r="AQ192" s="463"/>
      <c r="AR192" s="463"/>
      <c r="AS192" s="463"/>
      <c r="AT192" s="463"/>
      <c r="AU192" s="463"/>
      <c r="AV192" s="463"/>
      <c r="AW192" s="463"/>
      <c r="AX192" s="463"/>
      <c r="AY192" s="463"/>
      <c r="AZ192" s="463"/>
      <c r="BA192" s="462" t="str">
        <f t="shared" si="64"/>
        <v>CEE Tier 2 Clothes Washer - Any DHW, Any Dryer - 54% ENERGY STAR Baseline</v>
      </c>
      <c r="BB192" s="464" t="s">
        <v>27</v>
      </c>
      <c r="BC192" s="465">
        <f ca="1">AH72*SFAssumptions!$C$26/1000</f>
        <v>3.3279524561015337</v>
      </c>
      <c r="BD192" s="466">
        <f t="shared" si="52"/>
        <v>14</v>
      </c>
      <c r="BE192" s="462">
        <v>0</v>
      </c>
      <c r="BF192" s="462"/>
      <c r="BG192" s="464" t="s">
        <v>160</v>
      </c>
      <c r="BH192" s="467">
        <f ca="1">AH72*SFAssumptions!$C$27/1000</f>
        <v>12.505969372978637</v>
      </c>
      <c r="BI192" s="462"/>
      <c r="BJ192" s="462"/>
      <c r="BK192" s="462"/>
      <c r="BL192" s="462"/>
      <c r="BM192" s="462"/>
      <c r="BN192" s="462"/>
      <c r="BO192" s="462"/>
      <c r="BP192" s="462"/>
    </row>
    <row r="193" spans="1:68">
      <c r="A193" s="462">
        <f t="shared" si="63"/>
        <v>56</v>
      </c>
      <c r="B193" s="462">
        <f t="shared" si="56"/>
        <v>2</v>
      </c>
      <c r="C193" s="462">
        <f t="shared" si="57"/>
        <v>26</v>
      </c>
      <c r="D193" s="462">
        <f t="shared" si="58"/>
        <v>6</v>
      </c>
      <c r="E193" s="462">
        <f t="shared" si="59"/>
        <v>1</v>
      </c>
      <c r="F193" s="462"/>
      <c r="G193" s="462" t="str">
        <f t="shared" si="55"/>
        <v>Current Practice Baseline Using 54% ENERGY STAR Penetration</v>
      </c>
      <c r="H193" s="462" t="str">
        <f t="shared" si="54"/>
        <v>CEE Tier 3</v>
      </c>
      <c r="I193" s="462" t="str">
        <f t="shared" si="60"/>
        <v>Electric DHW, Electric Dryer</v>
      </c>
      <c r="J193" s="462" t="str">
        <f t="shared" si="61"/>
        <v>Electric DHW</v>
      </c>
      <c r="K193" s="462" t="str">
        <f t="shared" si="62"/>
        <v>Electric Dryer</v>
      </c>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c r="AI193" s="463"/>
      <c r="AJ193" s="463"/>
      <c r="AK193" s="463"/>
      <c r="AL193" s="463"/>
      <c r="AM193" s="463"/>
      <c r="AN193" s="463"/>
      <c r="AO193" s="463"/>
      <c r="AP193" s="463"/>
      <c r="AQ193" s="463"/>
      <c r="AR193" s="463"/>
      <c r="AS193" s="463"/>
      <c r="AT193" s="463"/>
      <c r="AU193" s="463"/>
      <c r="AV193" s="463"/>
      <c r="AW193" s="463"/>
      <c r="AX193" s="463"/>
      <c r="AY193" s="463"/>
      <c r="AZ193" s="463"/>
      <c r="BA193" s="462" t="str">
        <f t="shared" si="64"/>
        <v>CEE Tier 3 Clothes Washer - Electric DHW, Electric Dryer - 54% ENERGY STAR Baseline</v>
      </c>
      <c r="BB193" s="464" t="s">
        <v>27</v>
      </c>
      <c r="BC193" s="465">
        <f ca="1">AH73*SFAssumptions!$C$26/1000</f>
        <v>3.4194180213254715</v>
      </c>
      <c r="BD193" s="466">
        <f t="shared" si="52"/>
        <v>14</v>
      </c>
      <c r="BE193" s="462">
        <v>0</v>
      </c>
      <c r="BF193" s="462"/>
      <c r="BG193" s="464" t="s">
        <v>160</v>
      </c>
      <c r="BH193" s="467">
        <f ca="1">AH73*SFAssumptions!$C$27/1000</f>
        <v>12.849683885869453</v>
      </c>
      <c r="BI193" s="462"/>
      <c r="BJ193" s="462"/>
      <c r="BK193" s="462"/>
      <c r="BL193" s="462"/>
      <c r="BM193" s="462"/>
      <c r="BN193" s="462"/>
      <c r="BO193" s="462"/>
      <c r="BP193" s="462"/>
    </row>
    <row r="194" spans="1:68">
      <c r="A194" s="462">
        <f t="shared" si="63"/>
        <v>57</v>
      </c>
      <c r="B194" s="462">
        <f t="shared" si="56"/>
        <v>2</v>
      </c>
      <c r="C194" s="462">
        <f t="shared" si="57"/>
        <v>27</v>
      </c>
      <c r="D194" s="462">
        <f t="shared" si="58"/>
        <v>6</v>
      </c>
      <c r="E194" s="462">
        <f t="shared" si="59"/>
        <v>2</v>
      </c>
      <c r="F194" s="462"/>
      <c r="G194" s="462" t="str">
        <f t="shared" si="55"/>
        <v>Current Practice Baseline Using 54% ENERGY STAR Penetration</v>
      </c>
      <c r="H194" s="462" t="str">
        <f t="shared" si="54"/>
        <v>CEE Tier 3</v>
      </c>
      <c r="I194" s="462" t="str">
        <f t="shared" si="60"/>
        <v>Electric DHW, Gas Dryer</v>
      </c>
      <c r="J194" s="462" t="str">
        <f t="shared" si="61"/>
        <v>Electric DHW</v>
      </c>
      <c r="K194" s="462" t="str">
        <f t="shared" si="62"/>
        <v>Gas Dryer</v>
      </c>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2" t="str">
        <f t="shared" si="64"/>
        <v>CEE Tier 3 Clothes Washer - Electric DHW, Gas Dryer - 54% ENERGY STAR Baseline</v>
      </c>
      <c r="BB194" s="464" t="s">
        <v>27</v>
      </c>
      <c r="BC194" s="465">
        <f ca="1">AH74*SFAssumptions!$C$26/1000</f>
        <v>3.4194180213254715</v>
      </c>
      <c r="BD194" s="466">
        <f t="shared" si="52"/>
        <v>14</v>
      </c>
      <c r="BE194" s="462">
        <v>0</v>
      </c>
      <c r="BF194" s="462"/>
      <c r="BG194" s="464" t="s">
        <v>160</v>
      </c>
      <c r="BH194" s="467">
        <f ca="1">AH74*SFAssumptions!$C$27/1000</f>
        <v>12.849683885869453</v>
      </c>
      <c r="BI194" s="462"/>
      <c r="BJ194" s="462"/>
      <c r="BK194" s="462"/>
      <c r="BL194" s="462"/>
      <c r="BM194" s="462"/>
      <c r="BN194" s="462"/>
      <c r="BO194" s="462"/>
      <c r="BP194" s="462"/>
    </row>
    <row r="195" spans="1:68">
      <c r="A195" s="462">
        <f t="shared" si="63"/>
        <v>58</v>
      </c>
      <c r="B195" s="462">
        <f t="shared" si="56"/>
        <v>2</v>
      </c>
      <c r="C195" s="462">
        <f t="shared" si="57"/>
        <v>28</v>
      </c>
      <c r="D195" s="462">
        <f t="shared" si="58"/>
        <v>6</v>
      </c>
      <c r="E195" s="462">
        <f t="shared" si="59"/>
        <v>3</v>
      </c>
      <c r="F195" s="462"/>
      <c r="G195" s="462" t="str">
        <f t="shared" si="55"/>
        <v>Current Practice Baseline Using 54% ENERGY STAR Penetration</v>
      </c>
      <c r="H195" s="462" t="str">
        <f t="shared" si="54"/>
        <v>CEE Tier 3</v>
      </c>
      <c r="I195" s="462" t="str">
        <f t="shared" si="60"/>
        <v>Gas DHW, Electric Dryer</v>
      </c>
      <c r="J195" s="462" t="str">
        <f t="shared" si="61"/>
        <v>Gas DHW</v>
      </c>
      <c r="K195" s="462" t="str">
        <f t="shared" si="62"/>
        <v>Electric Dryer</v>
      </c>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463"/>
      <c r="AJ195" s="463"/>
      <c r="AK195" s="463"/>
      <c r="AL195" s="463"/>
      <c r="AM195" s="463"/>
      <c r="AN195" s="463"/>
      <c r="AO195" s="463"/>
      <c r="AP195" s="463"/>
      <c r="AQ195" s="463"/>
      <c r="AR195" s="463"/>
      <c r="AS195" s="463"/>
      <c r="AT195" s="463"/>
      <c r="AU195" s="463"/>
      <c r="AV195" s="463"/>
      <c r="AW195" s="463"/>
      <c r="AX195" s="463"/>
      <c r="AY195" s="463"/>
      <c r="AZ195" s="463"/>
      <c r="BA195" s="462" t="str">
        <f t="shared" si="64"/>
        <v>CEE Tier 3 Clothes Washer - Gas DHW, Electric Dryer - 54% ENERGY STAR Baseline</v>
      </c>
      <c r="BB195" s="464" t="s">
        <v>27</v>
      </c>
      <c r="BC195" s="465">
        <f ca="1">AH75*SFAssumptions!$C$26/1000</f>
        <v>3.4194180213254715</v>
      </c>
      <c r="BD195" s="466">
        <f t="shared" si="52"/>
        <v>14</v>
      </c>
      <c r="BE195" s="462">
        <v>0</v>
      </c>
      <c r="BF195" s="462"/>
      <c r="BG195" s="464" t="s">
        <v>160</v>
      </c>
      <c r="BH195" s="467">
        <f ca="1">AH75*SFAssumptions!$C$27/1000</f>
        <v>12.849683885869453</v>
      </c>
      <c r="BI195" s="462"/>
      <c r="BJ195" s="462"/>
      <c r="BK195" s="462"/>
      <c r="BL195" s="462"/>
      <c r="BM195" s="462"/>
      <c r="BN195" s="462"/>
      <c r="BO195" s="462"/>
      <c r="BP195" s="462"/>
    </row>
    <row r="196" spans="1:68">
      <c r="A196" s="462">
        <f t="shared" si="63"/>
        <v>59</v>
      </c>
      <c r="B196" s="462">
        <f t="shared" si="56"/>
        <v>2</v>
      </c>
      <c r="C196" s="462">
        <f t="shared" si="57"/>
        <v>29</v>
      </c>
      <c r="D196" s="462">
        <f t="shared" si="58"/>
        <v>6</v>
      </c>
      <c r="E196" s="462">
        <f t="shared" si="59"/>
        <v>4</v>
      </c>
      <c r="F196" s="462"/>
      <c r="G196" s="462" t="str">
        <f t="shared" si="55"/>
        <v>Current Practice Baseline Using 54% ENERGY STAR Penetration</v>
      </c>
      <c r="H196" s="462" t="str">
        <f t="shared" si="54"/>
        <v>CEE Tier 3</v>
      </c>
      <c r="I196" s="462" t="str">
        <f t="shared" si="60"/>
        <v>Gas DHW, Gas Dryer</v>
      </c>
      <c r="J196" s="462" t="str">
        <f t="shared" si="61"/>
        <v>Gas DHW</v>
      </c>
      <c r="K196" s="462" t="str">
        <f t="shared" si="62"/>
        <v>Gas Dryer</v>
      </c>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c r="AI196" s="463"/>
      <c r="AJ196" s="463"/>
      <c r="AK196" s="463"/>
      <c r="AL196" s="463"/>
      <c r="AM196" s="463"/>
      <c r="AN196" s="463"/>
      <c r="AO196" s="463"/>
      <c r="AP196" s="463"/>
      <c r="AQ196" s="463"/>
      <c r="AR196" s="463"/>
      <c r="AS196" s="463"/>
      <c r="AT196" s="463"/>
      <c r="AU196" s="463"/>
      <c r="AV196" s="463"/>
      <c r="AW196" s="463"/>
      <c r="AX196" s="463"/>
      <c r="AY196" s="463"/>
      <c r="AZ196" s="463"/>
      <c r="BA196" s="462" t="str">
        <f t="shared" si="64"/>
        <v>CEE Tier 3 Clothes Washer - Gas DHW, Gas Dryer - 54% ENERGY STAR Baseline</v>
      </c>
      <c r="BB196" s="464" t="s">
        <v>27</v>
      </c>
      <c r="BC196" s="465">
        <f ca="1">AH76*SFAssumptions!$C$26/1000</f>
        <v>3.4194180213254715</v>
      </c>
      <c r="BD196" s="466">
        <f t="shared" si="52"/>
        <v>14</v>
      </c>
      <c r="BE196" s="462">
        <v>0</v>
      </c>
      <c r="BF196" s="462"/>
      <c r="BG196" s="464" t="s">
        <v>160</v>
      </c>
      <c r="BH196" s="467">
        <f ca="1">AH76*SFAssumptions!$C$27/1000</f>
        <v>12.849683885869453</v>
      </c>
      <c r="BI196" s="462"/>
      <c r="BJ196" s="462"/>
      <c r="BK196" s="462"/>
      <c r="BL196" s="462"/>
      <c r="BM196" s="462"/>
      <c r="BN196" s="462"/>
      <c r="BO196" s="462"/>
      <c r="BP196" s="462"/>
    </row>
    <row r="197" spans="1:68">
      <c r="A197" s="462">
        <f t="shared" si="63"/>
        <v>60</v>
      </c>
      <c r="B197" s="462">
        <f t="shared" si="56"/>
        <v>2</v>
      </c>
      <c r="C197" s="462">
        <f t="shared" si="57"/>
        <v>30</v>
      </c>
      <c r="D197" s="462">
        <f t="shared" si="58"/>
        <v>6</v>
      </c>
      <c r="E197" s="462">
        <f t="shared" si="59"/>
        <v>5</v>
      </c>
      <c r="F197" s="462"/>
      <c r="G197" s="462" t="str">
        <f t="shared" si="55"/>
        <v>Current Practice Baseline Using 54% ENERGY STAR Penetration</v>
      </c>
      <c r="H197" s="462" t="str">
        <f t="shared" si="54"/>
        <v>CEE Tier 3</v>
      </c>
      <c r="I197" s="462" t="str">
        <f t="shared" si="60"/>
        <v>Any DHW, Any Dryer</v>
      </c>
      <c r="J197" s="462" t="str">
        <f t="shared" si="61"/>
        <v>Any DHW</v>
      </c>
      <c r="K197" s="462" t="str">
        <f t="shared" si="62"/>
        <v>Any Dryer</v>
      </c>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463"/>
      <c r="AM197" s="463"/>
      <c r="AN197" s="463"/>
      <c r="AO197" s="463"/>
      <c r="AP197" s="463"/>
      <c r="AQ197" s="463"/>
      <c r="AR197" s="463"/>
      <c r="AS197" s="463"/>
      <c r="AT197" s="463"/>
      <c r="AU197" s="463"/>
      <c r="AV197" s="463"/>
      <c r="AW197" s="463"/>
      <c r="AX197" s="463"/>
      <c r="AY197" s="463"/>
      <c r="AZ197" s="463"/>
      <c r="BA197" s="462" t="str">
        <f t="shared" si="64"/>
        <v>CEE Tier 3 Clothes Washer - Any DHW, Any Dryer - 54% ENERGY STAR Baseline</v>
      </c>
      <c r="BB197" s="464" t="s">
        <v>27</v>
      </c>
      <c r="BC197" s="465">
        <f ca="1">AH77*SFAssumptions!$C$26/1000</f>
        <v>3.4194180213254715</v>
      </c>
      <c r="BD197" s="466">
        <f t="shared" si="52"/>
        <v>14</v>
      </c>
      <c r="BE197" s="462">
        <v>0</v>
      </c>
      <c r="BF197" s="462"/>
      <c r="BG197" s="464" t="s">
        <v>160</v>
      </c>
      <c r="BH197" s="467">
        <f ca="1">AH77*SFAssumptions!$C$27/1000</f>
        <v>12.849683885869453</v>
      </c>
      <c r="BI197" s="462"/>
      <c r="BJ197" s="462"/>
      <c r="BK197" s="462"/>
      <c r="BL197" s="462"/>
      <c r="BM197" s="462"/>
      <c r="BN197" s="462"/>
      <c r="BO197" s="462"/>
      <c r="BP197" s="462"/>
    </row>
  </sheetData>
  <mergeCells count="9">
    <mergeCell ref="AM16:AO16"/>
    <mergeCell ref="BI16:BN16"/>
    <mergeCell ref="BO16:BP16"/>
    <mergeCell ref="K1:N1"/>
    <mergeCell ref="P16:R16"/>
    <mergeCell ref="S16:U16"/>
    <mergeCell ref="Z16:AB16"/>
    <mergeCell ref="AC16:AE16"/>
    <mergeCell ref="AJ16:AL16"/>
  </mergeCells>
  <pageMargins left="0.7" right="0.7" top="0.75" bottom="0.75" header="0.3" footer="0.3"/>
  <pageSetup orientation="portrait" verticalDpi="0" r:id="rId1"/>
  <legacyDrawing r:id="rId2"/>
</worksheet>
</file>

<file path=xl/worksheets/sheet24.xml><?xml version="1.0" encoding="utf-8"?>
<worksheet xmlns="http://schemas.openxmlformats.org/spreadsheetml/2006/main" xmlns:r="http://schemas.openxmlformats.org/officeDocument/2006/relationships">
  <dimension ref="A1:BQ197"/>
  <sheetViews>
    <sheetView zoomScale="80" zoomScaleNormal="80" workbookViewId="0">
      <selection activeCell="A20" sqref="A20"/>
    </sheetView>
  </sheetViews>
  <sheetFormatPr defaultColWidth="8.85546875" defaultRowHeight="12.75"/>
  <cols>
    <col min="1" max="6" width="8.85546875" style="9"/>
    <col min="7" max="7" width="34.85546875" style="9" customWidth="1"/>
    <col min="8" max="8" width="38.7109375" style="9" customWidth="1"/>
    <col min="9" max="9" width="26" style="9" customWidth="1"/>
    <col min="10" max="10" width="13" style="9" customWidth="1"/>
    <col min="11" max="11" width="12.7109375" style="9" customWidth="1"/>
    <col min="12" max="13" width="12.42578125" style="9" customWidth="1"/>
    <col min="14" max="14" width="13.7109375" style="9" customWidth="1"/>
    <col min="15" max="15" width="17.28515625" style="9" customWidth="1"/>
    <col min="16" max="22" width="12.42578125" style="9" customWidth="1"/>
    <col min="23" max="23" width="5.42578125" style="9" customWidth="1"/>
    <col min="24" max="24" width="13.85546875" style="9" customWidth="1"/>
    <col min="25" max="32" width="12.42578125" style="9" customWidth="1"/>
    <col min="33" max="33" width="6.42578125" style="9" customWidth="1"/>
    <col min="34" max="34" width="14" style="9" customWidth="1"/>
    <col min="35" max="43" width="12.140625" style="9" customWidth="1"/>
    <col min="44" max="44" width="100.28515625" style="9" bestFit="1" customWidth="1"/>
    <col min="45" max="45" width="15.85546875" style="9" customWidth="1"/>
    <col min="46" max="46" width="12.140625" style="9" customWidth="1"/>
    <col min="47" max="47" width="14.85546875" style="9" customWidth="1"/>
    <col min="48" max="52" width="12.140625" style="9" customWidth="1"/>
    <col min="53" max="53" width="110" style="9" customWidth="1"/>
    <col min="54" max="54" width="29" style="9" customWidth="1"/>
    <col min="55" max="58" width="8.85546875" style="9"/>
    <col min="59" max="59" width="11.5703125" style="9" customWidth="1"/>
    <col min="60" max="60" width="10.7109375" style="9" bestFit="1" customWidth="1"/>
    <col min="61" max="16384" width="8.85546875" style="9"/>
  </cols>
  <sheetData>
    <row r="1" spans="2:68" s="198" customFormat="1">
      <c r="B1" s="394">
        <v>2</v>
      </c>
      <c r="C1" s="395" t="s">
        <v>1084</v>
      </c>
      <c r="D1" s="396"/>
      <c r="E1" s="397"/>
      <c r="G1" s="398" t="s">
        <v>1085</v>
      </c>
      <c r="H1" s="398" t="s">
        <v>1086</v>
      </c>
      <c r="I1" s="201"/>
      <c r="J1" s="399" t="s">
        <v>1087</v>
      </c>
      <c r="K1" s="921" t="s">
        <v>1088</v>
      </c>
      <c r="L1" s="921"/>
      <c r="M1" s="921"/>
      <c r="N1" s="921"/>
      <c r="W1" s="318"/>
      <c r="AG1" s="318"/>
      <c r="AI1" s="399" t="s">
        <v>1089</v>
      </c>
      <c r="AJ1" s="399" t="s">
        <v>1090</v>
      </c>
      <c r="AK1" s="399" t="s">
        <v>1091</v>
      </c>
      <c r="AL1" s="399" t="s">
        <v>1092</v>
      </c>
      <c r="AQ1" s="400"/>
      <c r="AR1" s="400"/>
      <c r="AS1" s="400"/>
      <c r="AT1" s="400"/>
      <c r="AU1" s="400"/>
      <c r="AV1" s="400"/>
      <c r="AW1" s="400"/>
      <c r="AX1" s="400"/>
      <c r="AY1" s="400"/>
      <c r="AZ1" s="400"/>
    </row>
    <row r="2" spans="2:68" s="198" customFormat="1">
      <c r="B2" s="394">
        <v>6</v>
      </c>
      <c r="C2" s="401" t="s">
        <v>1355</v>
      </c>
      <c r="D2" s="402"/>
      <c r="E2" s="403"/>
      <c r="G2" s="404">
        <v>1</v>
      </c>
      <c r="H2" s="471" t="str">
        <f>'MHBaselines and Measures'!C3</f>
        <v>Current Practice Baseline Using 31% ENERGY STAR Penetration</v>
      </c>
      <c r="J2" s="742">
        <v>1</v>
      </c>
      <c r="K2" s="743" t="str">
        <f>'MHBaselines and Measures'!F3</f>
        <v>ENERGY STAR - Top-Load</v>
      </c>
      <c r="L2" s="744"/>
      <c r="M2" s="744"/>
      <c r="N2" s="745"/>
      <c r="O2" s="405" t="str">
        <f>K2</f>
        <v>ENERGY STAR - Top-Load</v>
      </c>
      <c r="W2" s="318"/>
      <c r="AG2" s="318"/>
      <c r="AI2" s="404">
        <v>1</v>
      </c>
      <c r="AJ2" s="406" t="s">
        <v>1093</v>
      </c>
      <c r="AK2" s="406" t="s">
        <v>177</v>
      </c>
      <c r="AL2" s="406" t="s">
        <v>182</v>
      </c>
      <c r="AQ2" s="400"/>
      <c r="AR2" s="400"/>
      <c r="AS2" s="400"/>
      <c r="AT2" s="400"/>
      <c r="AU2" s="400"/>
      <c r="AV2" s="400"/>
      <c r="AW2" s="400"/>
      <c r="AX2" s="400"/>
      <c r="AY2" s="400"/>
      <c r="AZ2" s="400"/>
    </row>
    <row r="3" spans="2:68" s="198" customFormat="1">
      <c r="B3" s="394">
        <v>5</v>
      </c>
      <c r="C3" s="407" t="s">
        <v>1094</v>
      </c>
      <c r="D3" s="408"/>
      <c r="E3" s="409"/>
      <c r="G3" s="404">
        <v>2</v>
      </c>
      <c r="H3" s="471" t="str">
        <f>'MHBaselines and Measures'!D3</f>
        <v>Current Practice Baseline Using 54% ENERGY STAR Penetration</v>
      </c>
      <c r="J3" s="742">
        <v>2</v>
      </c>
      <c r="K3" s="743" t="str">
        <f>'MHBaselines and Measures'!G3</f>
        <v>ENERGY STAR - Front-Load</v>
      </c>
      <c r="L3" s="744"/>
      <c r="M3" s="744"/>
      <c r="N3" s="745"/>
      <c r="O3" s="405" t="str">
        <f t="shared" ref="O3:O7" si="0">K3</f>
        <v>ENERGY STAR - Front-Load</v>
      </c>
      <c r="W3" s="318"/>
      <c r="AG3" s="318"/>
      <c r="AI3" s="404">
        <f>AI2+1</f>
        <v>2</v>
      </c>
      <c r="AJ3" s="406" t="s">
        <v>1095</v>
      </c>
      <c r="AK3" s="406" t="s">
        <v>177</v>
      </c>
      <c r="AL3" s="406" t="s">
        <v>183</v>
      </c>
      <c r="AQ3" s="400"/>
      <c r="AR3" s="400"/>
      <c r="AS3" s="400"/>
      <c r="AT3" s="400"/>
      <c r="AU3" s="400"/>
      <c r="AV3" s="400"/>
      <c r="AW3" s="400"/>
      <c r="AX3" s="400"/>
      <c r="AY3" s="400"/>
      <c r="AZ3" s="400"/>
    </row>
    <row r="4" spans="2:68" s="198" customFormat="1">
      <c r="J4" s="742">
        <v>3</v>
      </c>
      <c r="K4" s="743" t="str">
        <f>'MHBaselines and Measures'!H3</f>
        <v>Any ENERGY STAR (Top- or Front-Load)</v>
      </c>
      <c r="L4" s="744"/>
      <c r="M4" s="744"/>
      <c r="N4" s="745"/>
      <c r="O4" s="405" t="str">
        <f t="shared" si="0"/>
        <v>Any ENERGY STAR (Top- or Front-Load)</v>
      </c>
      <c r="W4" s="318"/>
      <c r="AG4" s="318"/>
      <c r="AI4" s="404">
        <f>AI3+1</f>
        <v>3</v>
      </c>
      <c r="AJ4" s="406" t="s">
        <v>1096</v>
      </c>
      <c r="AK4" s="406" t="s">
        <v>178</v>
      </c>
      <c r="AL4" s="394" t="str">
        <f>AL2</f>
        <v>Electric Dryer</v>
      </c>
      <c r="AQ4" s="400"/>
      <c r="AR4" s="400"/>
      <c r="AS4" s="400"/>
      <c r="AT4" s="400"/>
      <c r="AU4" s="400"/>
      <c r="AV4" s="400"/>
      <c r="AW4" s="400"/>
      <c r="AX4" s="400"/>
      <c r="AY4" s="400"/>
      <c r="AZ4" s="400"/>
    </row>
    <row r="5" spans="2:68" s="198" customFormat="1">
      <c r="B5" s="201"/>
      <c r="J5" s="742">
        <v>4</v>
      </c>
      <c r="K5" s="743" t="str">
        <f>'MHBaselines and Measures'!I3</f>
        <v>CEE Tier 1</v>
      </c>
      <c r="L5" s="744"/>
      <c r="M5" s="744"/>
      <c r="N5" s="745"/>
      <c r="O5" s="405" t="str">
        <f t="shared" si="0"/>
        <v>CEE Tier 1</v>
      </c>
      <c r="W5" s="318"/>
      <c r="AG5" s="318"/>
      <c r="AI5" s="404">
        <f>AI4+1</f>
        <v>4</v>
      </c>
      <c r="AJ5" s="406" t="s">
        <v>1097</v>
      </c>
      <c r="AK5" s="406" t="s">
        <v>178</v>
      </c>
      <c r="AL5" s="394" t="str">
        <f>AL3</f>
        <v>Gas Dryer</v>
      </c>
      <c r="AQ5" s="400"/>
      <c r="AR5" s="400"/>
      <c r="AS5" s="400"/>
      <c r="AT5" s="400"/>
      <c r="AU5" s="400"/>
      <c r="AV5" s="400"/>
      <c r="AW5" s="400"/>
      <c r="AX5" s="400"/>
      <c r="AY5" s="400"/>
      <c r="AZ5" s="400"/>
    </row>
    <row r="6" spans="2:68" s="198" customFormat="1">
      <c r="J6" s="742">
        <v>5</v>
      </c>
      <c r="K6" s="743" t="str">
        <f>'MHBaselines and Measures'!J3</f>
        <v>CEE Tier 2</v>
      </c>
      <c r="L6" s="744"/>
      <c r="M6" s="744"/>
      <c r="N6" s="745"/>
      <c r="O6" s="405" t="str">
        <f t="shared" si="0"/>
        <v>CEE Tier 2</v>
      </c>
      <c r="W6" s="318"/>
      <c r="AG6" s="318"/>
      <c r="AI6" s="404">
        <f>AI5+1</f>
        <v>5</v>
      </c>
      <c r="AJ6" s="406" t="s">
        <v>1098</v>
      </c>
      <c r="AK6" s="406" t="s">
        <v>179</v>
      </c>
      <c r="AL6" s="406" t="s">
        <v>185</v>
      </c>
      <c r="AQ6" s="400"/>
      <c r="AR6" s="400"/>
      <c r="AS6" s="400"/>
      <c r="AT6" s="400"/>
      <c r="AU6" s="400"/>
      <c r="AV6" s="400"/>
      <c r="AW6" s="400"/>
      <c r="AX6" s="400"/>
      <c r="AY6" s="400"/>
      <c r="AZ6" s="400"/>
    </row>
    <row r="7" spans="2:68" s="198" customFormat="1">
      <c r="J7" s="742">
        <v>6</v>
      </c>
      <c r="K7" s="743" t="str">
        <f>'MHBaselines and Measures'!K3</f>
        <v>CEE Tier 3</v>
      </c>
      <c r="L7" s="744"/>
      <c r="M7" s="744"/>
      <c r="N7" s="745"/>
      <c r="O7" s="405" t="str">
        <f t="shared" si="0"/>
        <v>CEE Tier 3</v>
      </c>
      <c r="W7" s="318"/>
      <c r="AG7" s="318"/>
      <c r="AQ7" s="400"/>
      <c r="AR7" s="400"/>
      <c r="AS7" s="400"/>
      <c r="AT7" s="400"/>
      <c r="AU7" s="400"/>
      <c r="AV7" s="400"/>
      <c r="AW7" s="400"/>
      <c r="AX7" s="400"/>
      <c r="AY7" s="400"/>
      <c r="AZ7" s="400"/>
    </row>
    <row r="8" spans="2:68" s="198" customFormat="1">
      <c r="W8" s="318"/>
      <c r="AG8" s="318"/>
      <c r="AQ8" s="400"/>
      <c r="AR8" s="400"/>
      <c r="AS8" s="400"/>
      <c r="AT8" s="400"/>
      <c r="AU8" s="400"/>
      <c r="AV8" s="400"/>
      <c r="AW8" s="400"/>
      <c r="AX8" s="400"/>
      <c r="AY8" s="400"/>
      <c r="AZ8" s="400"/>
    </row>
    <row r="9" spans="2:68" s="198" customFormat="1">
      <c r="J9" s="410"/>
      <c r="K9" s="411"/>
      <c r="L9" s="411"/>
      <c r="M9" s="411"/>
      <c r="N9" s="411"/>
      <c r="O9" s="412"/>
      <c r="W9" s="318"/>
      <c r="AG9" s="318"/>
      <c r="AQ9" s="400"/>
      <c r="AR9" s="400"/>
      <c r="AS9" s="400"/>
      <c r="AT9" s="400"/>
      <c r="AU9" s="400"/>
      <c r="AV9" s="400"/>
      <c r="AW9" s="400"/>
      <c r="AX9" s="400"/>
      <c r="AY9" s="400"/>
      <c r="AZ9" s="400"/>
    </row>
    <row r="10" spans="2:68" s="198" customFormat="1">
      <c r="J10" s="410"/>
      <c r="K10" s="318"/>
      <c r="L10" s="318"/>
      <c r="M10" s="318"/>
      <c r="N10" s="318"/>
      <c r="O10" s="318"/>
      <c r="W10" s="318"/>
      <c r="AG10" s="318"/>
      <c r="AQ10" s="400"/>
      <c r="AR10" s="400"/>
      <c r="AS10" s="400"/>
      <c r="AT10" s="400"/>
      <c r="AU10" s="400"/>
      <c r="AV10" s="400"/>
      <c r="AW10" s="400"/>
      <c r="AX10" s="400"/>
      <c r="AY10" s="400"/>
      <c r="AZ10" s="400"/>
    </row>
    <row r="11" spans="2:68" s="198" customFormat="1">
      <c r="W11" s="318"/>
      <c r="AG11" s="318"/>
      <c r="AQ11" s="400"/>
      <c r="AR11" s="400"/>
      <c r="AS11" s="400"/>
      <c r="AT11" s="400"/>
      <c r="AU11" s="400"/>
      <c r="AV11" s="400"/>
      <c r="AW11" s="400"/>
      <c r="AX11" s="400"/>
      <c r="AY11" s="400"/>
      <c r="AZ11" s="400"/>
    </row>
    <row r="12" spans="2:68" s="198" customFormat="1">
      <c r="W12" s="318"/>
      <c r="AG12" s="318"/>
      <c r="AQ12" s="400"/>
      <c r="AR12" s="400"/>
      <c r="AS12" s="400"/>
      <c r="AT12" s="400"/>
      <c r="AU12" s="400"/>
      <c r="AV12" s="400"/>
      <c r="AW12" s="400"/>
      <c r="AX12" s="400"/>
      <c r="AY12" s="400"/>
      <c r="AZ12" s="400"/>
    </row>
    <row r="13" spans="2:68" s="198" customFormat="1">
      <c r="W13" s="318"/>
      <c r="AG13" s="318"/>
      <c r="AQ13" s="400"/>
      <c r="AR13" s="400"/>
      <c r="AS13" s="400"/>
      <c r="AT13" s="400"/>
      <c r="AU13" s="400"/>
      <c r="AV13" s="400"/>
      <c r="AW13" s="400"/>
      <c r="AX13" s="400"/>
      <c r="AY13" s="400"/>
      <c r="AZ13" s="400"/>
    </row>
    <row r="14" spans="2:68" s="198" customFormat="1">
      <c r="W14" s="318"/>
      <c r="AG14" s="318"/>
      <c r="AQ14" s="400"/>
      <c r="AR14" s="400"/>
      <c r="AS14" s="400"/>
      <c r="AT14" s="400"/>
      <c r="AU14" s="400"/>
      <c r="AV14" s="400"/>
      <c r="AW14" s="400"/>
      <c r="AX14" s="400"/>
      <c r="AY14" s="400"/>
      <c r="AZ14" s="400"/>
    </row>
    <row r="15" spans="2:68" s="198" customFormat="1">
      <c r="N15" s="413" t="s">
        <v>1099</v>
      </c>
      <c r="O15" s="414"/>
      <c r="P15" s="414"/>
      <c r="Q15" s="414"/>
      <c r="R15" s="414"/>
      <c r="S15" s="414"/>
      <c r="T15" s="414"/>
      <c r="U15" s="414"/>
      <c r="V15" s="414"/>
      <c r="W15" s="318"/>
      <c r="X15" s="308" t="s">
        <v>1100</v>
      </c>
      <c r="Y15" s="309"/>
      <c r="Z15" s="309"/>
      <c r="AA15" s="309"/>
      <c r="AB15" s="309"/>
      <c r="AC15" s="309"/>
      <c r="AD15" s="309"/>
      <c r="AE15" s="309"/>
      <c r="AF15" s="309"/>
      <c r="AG15" s="318"/>
      <c r="AH15" s="415" t="s">
        <v>1101</v>
      </c>
      <c r="AI15" s="416"/>
      <c r="AJ15" s="416"/>
      <c r="AK15" s="416"/>
      <c r="AL15" s="416"/>
      <c r="AM15" s="416"/>
      <c r="AN15" s="416"/>
      <c r="AO15" s="416"/>
      <c r="AP15" s="416"/>
      <c r="AQ15" s="400"/>
      <c r="AR15" s="400"/>
      <c r="AS15" s="400"/>
      <c r="AT15" s="400"/>
      <c r="AU15" s="400"/>
      <c r="AV15" s="400"/>
      <c r="AW15" s="400"/>
      <c r="AX15" s="400"/>
      <c r="AY15" s="400"/>
      <c r="AZ15" s="400"/>
    </row>
    <row r="16" spans="2:68" s="198" customFormat="1">
      <c r="P16" s="922" t="s">
        <v>1076</v>
      </c>
      <c r="Q16" s="922"/>
      <c r="R16" s="922"/>
      <c r="S16" s="923" t="s">
        <v>1080</v>
      </c>
      <c r="T16" s="923"/>
      <c r="U16" s="923"/>
      <c r="V16" s="549"/>
      <c r="W16" s="417"/>
      <c r="Z16" s="924" t="s">
        <v>1076</v>
      </c>
      <c r="AA16" s="924"/>
      <c r="AB16" s="924"/>
      <c r="AC16" s="925" t="s">
        <v>1080</v>
      </c>
      <c r="AD16" s="925"/>
      <c r="AE16" s="925"/>
      <c r="AF16" s="550"/>
      <c r="AG16" s="417"/>
      <c r="AJ16" s="918" t="s">
        <v>1076</v>
      </c>
      <c r="AK16" s="918"/>
      <c r="AL16" s="918"/>
      <c r="AM16" s="918" t="s">
        <v>1080</v>
      </c>
      <c r="AN16" s="918"/>
      <c r="AO16" s="918"/>
      <c r="AP16" s="548"/>
      <c r="AQ16" s="400"/>
      <c r="AR16" s="400"/>
      <c r="AS16" s="400"/>
      <c r="AT16" s="418" t="s">
        <v>1102</v>
      </c>
      <c r="AU16" s="419"/>
      <c r="AV16" s="419"/>
      <c r="AW16" s="419"/>
      <c r="AX16" s="419"/>
      <c r="AY16" s="419"/>
      <c r="AZ16" s="400"/>
      <c r="BA16" s="420" t="s">
        <v>3</v>
      </c>
      <c r="BB16" s="421"/>
      <c r="BC16" s="421"/>
      <c r="BD16" s="421"/>
      <c r="BE16" s="421"/>
      <c r="BF16" s="421"/>
      <c r="BG16" s="422"/>
      <c r="BH16" s="423"/>
      <c r="BI16" s="894" t="s">
        <v>4</v>
      </c>
      <c r="BJ16" s="895"/>
      <c r="BK16" s="895"/>
      <c r="BL16" s="895"/>
      <c r="BM16" s="895"/>
      <c r="BN16" s="896"/>
      <c r="BO16" s="919" t="s">
        <v>5</v>
      </c>
      <c r="BP16" s="920"/>
    </row>
    <row r="17" spans="1:69" s="198" customFormat="1" ht="38.25">
      <c r="A17" s="424" t="s">
        <v>1103</v>
      </c>
      <c r="B17" s="424" t="s">
        <v>1104</v>
      </c>
      <c r="C17" s="424" t="s">
        <v>1105</v>
      </c>
      <c r="D17" s="424" t="s">
        <v>22</v>
      </c>
      <c r="E17" s="424" t="s">
        <v>1106</v>
      </c>
      <c r="F17" s="424"/>
      <c r="G17" s="424" t="s">
        <v>1086</v>
      </c>
      <c r="H17" s="424" t="s">
        <v>1088</v>
      </c>
      <c r="I17" s="424" t="s">
        <v>1090</v>
      </c>
      <c r="J17" s="424" t="s">
        <v>1107</v>
      </c>
      <c r="K17" s="424" t="s">
        <v>1108</v>
      </c>
      <c r="L17" s="425" t="s">
        <v>1109</v>
      </c>
      <c r="M17" s="426" t="s">
        <v>1110</v>
      </c>
      <c r="N17" s="426" t="s">
        <v>1111</v>
      </c>
      <c r="O17" s="426" t="s">
        <v>1112</v>
      </c>
      <c r="P17" s="426" t="s">
        <v>1077</v>
      </c>
      <c r="Q17" s="426" t="s">
        <v>1078</v>
      </c>
      <c r="R17" s="426" t="s">
        <v>1079</v>
      </c>
      <c r="S17" s="426" t="s">
        <v>1081</v>
      </c>
      <c r="T17" s="426" t="s">
        <v>1082</v>
      </c>
      <c r="U17" s="426" t="s">
        <v>1083</v>
      </c>
      <c r="V17" s="426" t="s">
        <v>1113</v>
      </c>
      <c r="W17" s="427"/>
      <c r="X17" s="426" t="str">
        <f t="shared" ref="X17:AE17" si="1">N17</f>
        <v>gallons/year</v>
      </c>
      <c r="Y17" s="426" t="str">
        <f t="shared" si="1"/>
        <v>cost $2006</v>
      </c>
      <c r="Z17" s="426" t="str">
        <f t="shared" si="1"/>
        <v>kWh machine</v>
      </c>
      <c r="AA17" s="426" t="str">
        <f t="shared" si="1"/>
        <v>kWh dryer</v>
      </c>
      <c r="AB17" s="426" t="str">
        <f t="shared" si="1"/>
        <v>kWh hot water</v>
      </c>
      <c r="AC17" s="426" t="str">
        <f t="shared" si="1"/>
        <v>therms machine</v>
      </c>
      <c r="AD17" s="426" t="str">
        <f t="shared" si="1"/>
        <v>therms dryer</v>
      </c>
      <c r="AE17" s="426" t="str">
        <f t="shared" si="1"/>
        <v>therms hot water</v>
      </c>
      <c r="AF17" s="426" t="s">
        <v>1113</v>
      </c>
      <c r="AG17" s="427"/>
      <c r="AH17" s="426" t="str">
        <f t="shared" ref="AH17:AO17" si="2">X17</f>
        <v>gallons/year</v>
      </c>
      <c r="AI17" s="426" t="str">
        <f t="shared" si="2"/>
        <v>cost $2006</v>
      </c>
      <c r="AJ17" s="426" t="str">
        <f t="shared" si="2"/>
        <v>kWh machine</v>
      </c>
      <c r="AK17" s="426" t="str">
        <f t="shared" si="2"/>
        <v>kWh dryer</v>
      </c>
      <c r="AL17" s="426" t="str">
        <f t="shared" si="2"/>
        <v>kWh hot water</v>
      </c>
      <c r="AM17" s="426" t="str">
        <f t="shared" si="2"/>
        <v>therms machine</v>
      </c>
      <c r="AN17" s="426" t="str">
        <f t="shared" si="2"/>
        <v>therms dryer</v>
      </c>
      <c r="AO17" s="426" t="str">
        <f t="shared" si="2"/>
        <v>therms hot water</v>
      </c>
      <c r="AP17" s="426" t="s">
        <v>1113</v>
      </c>
      <c r="AQ17" s="400"/>
      <c r="AR17" s="428" t="s">
        <v>7</v>
      </c>
      <c r="AS17" s="428" t="s">
        <v>1114</v>
      </c>
      <c r="AT17" s="429" t="s">
        <v>1115</v>
      </c>
      <c r="AU17" s="429" t="s">
        <v>1116</v>
      </c>
      <c r="AV17" s="429" t="s">
        <v>1117</v>
      </c>
      <c r="AW17" s="429" t="s">
        <v>1118</v>
      </c>
      <c r="AX17" s="428" t="s">
        <v>1119</v>
      </c>
      <c r="AY17" s="428" t="s">
        <v>1120</v>
      </c>
      <c r="AZ17" s="430"/>
      <c r="BA17" s="23" t="s">
        <v>6</v>
      </c>
      <c r="BB17" s="23" t="s">
        <v>7</v>
      </c>
      <c r="BC17" s="23" t="s">
        <v>8</v>
      </c>
      <c r="BD17" s="23" t="s">
        <v>9</v>
      </c>
      <c r="BE17" s="23" t="s">
        <v>10</v>
      </c>
      <c r="BF17" s="23" t="s">
        <v>11</v>
      </c>
      <c r="BG17" s="23" t="s">
        <v>12</v>
      </c>
      <c r="BH17" s="23" t="s">
        <v>13</v>
      </c>
      <c r="BI17" s="23" t="s">
        <v>14</v>
      </c>
      <c r="BJ17" s="23" t="s">
        <v>15</v>
      </c>
      <c r="BK17" s="23" t="s">
        <v>16</v>
      </c>
      <c r="BL17" s="23" t="s">
        <v>17</v>
      </c>
      <c r="BM17" s="23" t="s">
        <v>18</v>
      </c>
      <c r="BN17" s="23" t="s">
        <v>19</v>
      </c>
      <c r="BO17" s="431" t="s">
        <v>20</v>
      </c>
      <c r="BP17" s="23" t="s">
        <v>12</v>
      </c>
    </row>
    <row r="18" spans="1:69" s="414" customFormat="1">
      <c r="A18" s="432">
        <v>1</v>
      </c>
      <c r="B18" s="433">
        <f t="shared" ref="B18:B153" si="3">CEILING(A18/($B$2*$B$3),1)</f>
        <v>1</v>
      </c>
      <c r="C18" s="433">
        <f t="shared" ref="C18:C153" si="4">CEILING(A18-(B18-1)*$B$2*$B$3,1)</f>
        <v>1</v>
      </c>
      <c r="D18" s="433">
        <f t="shared" ref="D18:D153" si="5">CEILING(C18/$B$3,1)</f>
        <v>1</v>
      </c>
      <c r="E18" s="433">
        <f t="shared" ref="E18:E153" si="6">C18-((D18-1)*$B$3)</f>
        <v>1</v>
      </c>
      <c r="F18" s="433"/>
      <c r="G18" s="433" t="str">
        <f>VLOOKUP(B18,$G$2:$H$13,2,FALSE)</f>
        <v>Current Practice Baseline Using 31% ENERGY STAR Penetration</v>
      </c>
      <c r="H18" s="433" t="str">
        <f>VLOOKUP(D18,$J$2:$O$12,6,FALSE)</f>
        <v>ENERGY STAR - Top-Load</v>
      </c>
      <c r="I18" s="433" t="str">
        <f t="shared" ref="I18:I153" si="7">VLOOKUP($E18,$AI$2:$AL$12,2,FALSE)</f>
        <v>Electric DHW, Electric Dryer</v>
      </c>
      <c r="J18" s="433" t="str">
        <f t="shared" ref="J18:J153" si="8">VLOOKUP($E18,$AI$2:$AL$12,3,FALSE)</f>
        <v>Electric DHW</v>
      </c>
      <c r="K18" s="433" t="str">
        <f t="shared" ref="K18:K153" si="9">VLOOKUP($E18,$AI$2:$AL$12,4,FALSE)</f>
        <v>Electric Dryer</v>
      </c>
      <c r="L18" s="434">
        <f>VLOOKUP(J18,SFAssumptions!$A$14:$B$16,2,FALSE)</f>
        <v>1</v>
      </c>
      <c r="M18" s="435">
        <f>VLOOKUP(K18,SFAssumptions!$A$18:$B$20,2,FALSE)</f>
        <v>1</v>
      </c>
      <c r="N18" s="436">
        <f ca="1">HLOOKUP($G18,'MHBaselines and Measures'!$C$3:$V$33,7,FALSE)</f>
        <v>4047.8861059902265</v>
      </c>
      <c r="O18" s="437">
        <f ca="1">HLOOKUP($G18,'MHBaselines and Measures'!$C$3:$V$33,8,FALSE)</f>
        <v>776.31603614450796</v>
      </c>
      <c r="P18" s="438">
        <f ca="1">HLOOKUP($G18,'MHBaselines and Measures'!$C$3:$V$33,25,FALSE)</f>
        <v>53.16702252961997</v>
      </c>
      <c r="Q18" s="438"/>
      <c r="R18" s="438">
        <f ca="1">HLOOKUP($G18,'MHBaselines and Measures'!$C$3:$V$33,27,FALSE)</f>
        <v>97.367659267916409</v>
      </c>
      <c r="S18" s="439">
        <f>HLOOKUP($G18,'MHBaselines and Measures'!$C$3:$V$33,29,FALSE)</f>
        <v>0</v>
      </c>
      <c r="T18" s="439"/>
      <c r="U18" s="439">
        <f ca="1">HLOOKUP($G18,'MHBaselines and Measures'!$C$3:$V$33,31,FALSE)</f>
        <v>4.430877614418649</v>
      </c>
      <c r="V18" s="440">
        <f ca="1">HLOOKUP($G18,'MHBaselines and Measures'!$C$3:$V$33,9,FALSE)</f>
        <v>43.208420677956539</v>
      </c>
      <c r="W18" s="441"/>
      <c r="X18" s="436">
        <f ca="1">HLOOKUP($H18,'MHBaselines and Measures'!$C$2:$V$33,8,FALSE)</f>
        <v>3967.88847049284</v>
      </c>
      <c r="Y18" s="437">
        <f ca="1">HLOOKUP($H18,'MHBaselines and Measures'!$C$2:$V$33,9,FALSE)</f>
        <v>754.7360149776722</v>
      </c>
      <c r="Z18" s="438">
        <f ca="1">HLOOKUP($H18,'MHBaselines and Measures'!$C$2:$V$33,26,FALSE)</f>
        <v>50.709214711535168</v>
      </c>
      <c r="AA18" s="438"/>
      <c r="AB18" s="438">
        <f ca="1">HLOOKUP($H18,'MHBaselines and Measures'!$C$2:$V$33,28,FALSE)</f>
        <v>91.031237619012302</v>
      </c>
      <c r="AC18" s="439">
        <f>HLOOKUP($H18,'MHBaselines and Measures'!$C$2:$V$33,30,FALSE)</f>
        <v>0</v>
      </c>
      <c r="AD18" s="439"/>
      <c r="AE18" s="439">
        <f ca="1">HLOOKUP($H18,'MHBaselines and Measures'!$C$2:$V$33,32,FALSE)</f>
        <v>4.1425281865825196</v>
      </c>
      <c r="AF18" s="440">
        <f ca="1">HLOOKUP($H18,'MHBaselines and Measures'!$C$2:$V$33,10,FALSE)</f>
        <v>42.354500533637861</v>
      </c>
      <c r="AG18" s="441"/>
      <c r="AH18" s="436">
        <f ca="1">N18-X18</f>
        <v>79.997635497386455</v>
      </c>
      <c r="AI18" s="437">
        <f ca="1">Y18-O18</f>
        <v>-21.580021166835763</v>
      </c>
      <c r="AJ18" s="438">
        <f t="shared" ref="AJ18:AJ77" ca="1" si="10">P18-Z18</f>
        <v>2.4578078180848024</v>
      </c>
      <c r="AK18" s="438"/>
      <c r="AL18" s="438">
        <f t="shared" ref="AL18:AM33" ca="1" si="11">R18-AB18</f>
        <v>6.336421648904107</v>
      </c>
      <c r="AM18" s="439">
        <f t="shared" si="11"/>
        <v>0</v>
      </c>
      <c r="AN18" s="439"/>
      <c r="AO18" s="439">
        <f ca="1">U18-AE18</f>
        <v>0.28834942783612938</v>
      </c>
      <c r="AP18" s="442">
        <f ca="1">V18-AF18</f>
        <v>0.85392014431867835</v>
      </c>
      <c r="AQ18" s="443"/>
      <c r="AR18" s="435" t="str">
        <f>BA18</f>
        <v>ENERGY STAR - Top-Load Clothes Washer - Electric DHW, Electric Dryer - 31% ENERGY STAR Baseline</v>
      </c>
      <c r="AS18" s="437">
        <f ca="1">BE18</f>
        <v>-21.580021166835763</v>
      </c>
      <c r="AT18" s="438">
        <f ca="1">AJ18+AL18*L18+AK18*M18</f>
        <v>8.7942294669889094</v>
      </c>
      <c r="AU18" s="439">
        <f ca="1">AO18*(1-L18)+AN18*(1-M18)</f>
        <v>0</v>
      </c>
      <c r="AV18" s="439">
        <f ca="1">AH18</f>
        <v>79.997635497386455</v>
      </c>
      <c r="AW18" s="439"/>
      <c r="AX18" s="438">
        <f t="shared" ref="AX18:AX77" ca="1" si="12">AT18+BC138</f>
        <v>9.0889523109857517</v>
      </c>
      <c r="AY18" s="438">
        <f ca="1">AP18</f>
        <v>0.85392014431867835</v>
      </c>
      <c r="AZ18" s="443"/>
      <c r="BA18" s="433" t="str">
        <f>CONCATENATE(H18," Clothes Washer - ",I18," - 31% ENERGY STAR Baseline")</f>
        <v>ENERGY STAR - Top-Load Clothes Washer - Electric DHW, Electric Dryer - 31% ENERGY STAR Baseline</v>
      </c>
      <c r="BB18" s="433" t="s">
        <v>25</v>
      </c>
      <c r="BC18" s="438">
        <f ca="1">AT18</f>
        <v>8.7942294669889094</v>
      </c>
      <c r="BD18" s="438">
        <f>SFAssumptions!$C$7</f>
        <v>14</v>
      </c>
      <c r="BE18" s="444">
        <f ca="1">AI18</f>
        <v>-21.580021166835763</v>
      </c>
      <c r="BF18" s="433"/>
      <c r="BG18" s="432" t="s">
        <v>157</v>
      </c>
      <c r="BH18" s="445">
        <f ca="1">AY18</f>
        <v>0.85392014431867835</v>
      </c>
      <c r="BI18" s="433"/>
      <c r="BJ18" s="433"/>
      <c r="BK18" s="433"/>
      <c r="BL18" s="433"/>
      <c r="BM18" s="433"/>
      <c r="BN18" s="433"/>
      <c r="BO18" s="446">
        <f ca="1">AU18</f>
        <v>0</v>
      </c>
      <c r="BP18" s="433" t="s">
        <v>158</v>
      </c>
    </row>
    <row r="19" spans="1:69" s="414" customFormat="1">
      <c r="A19" s="433">
        <f>A18+1</f>
        <v>2</v>
      </c>
      <c r="B19" s="433">
        <f t="shared" si="3"/>
        <v>1</v>
      </c>
      <c r="C19" s="433">
        <f t="shared" si="4"/>
        <v>2</v>
      </c>
      <c r="D19" s="433">
        <f t="shared" si="5"/>
        <v>1</v>
      </c>
      <c r="E19" s="433">
        <f t="shared" si="6"/>
        <v>2</v>
      </c>
      <c r="F19" s="433"/>
      <c r="G19" s="433" t="str">
        <f t="shared" ref="G19:G152" si="13">VLOOKUP(B19,$G$2:$H$13,2,FALSE)</f>
        <v>Current Practice Baseline Using 31% ENERGY STAR Penetration</v>
      </c>
      <c r="H19" s="433" t="str">
        <f t="shared" ref="H19:H82" si="14">VLOOKUP(D19,$J$2:$O$12,6,FALSE)</f>
        <v>ENERGY STAR - Top-Load</v>
      </c>
      <c r="I19" s="433" t="str">
        <f t="shared" si="7"/>
        <v>Electric DHW, Gas Dryer</v>
      </c>
      <c r="J19" s="433" t="str">
        <f t="shared" si="8"/>
        <v>Electric DHW</v>
      </c>
      <c r="K19" s="433" t="str">
        <f t="shared" si="9"/>
        <v>Gas Dryer</v>
      </c>
      <c r="L19" s="434">
        <f>VLOOKUP(J19,SFAssumptions!$A$14:$B$16,2,FALSE)</f>
        <v>1</v>
      </c>
      <c r="M19" s="435">
        <f>VLOOKUP(K19,SFAssumptions!$A$18:$B$20,2,FALSE)</f>
        <v>0</v>
      </c>
      <c r="N19" s="436">
        <f ca="1">HLOOKUP($G19,'MHBaselines and Measures'!$C$3:$V$33,7,FALSE)</f>
        <v>4047.8861059902265</v>
      </c>
      <c r="O19" s="437">
        <f ca="1">HLOOKUP($G19,'MHBaselines and Measures'!$C$3:$V$33,8,FALSE)</f>
        <v>776.31603614450796</v>
      </c>
      <c r="P19" s="438">
        <f ca="1">HLOOKUP($G19,'MHBaselines and Measures'!$C$3:$V$33,25,FALSE)</f>
        <v>53.16702252961997</v>
      </c>
      <c r="Q19" s="438"/>
      <c r="R19" s="438">
        <f ca="1">HLOOKUP($G19,'MHBaselines and Measures'!$C$3:$V$33,27,FALSE)</f>
        <v>97.367659267916409</v>
      </c>
      <c r="S19" s="439">
        <f>HLOOKUP($G19,'MHBaselines and Measures'!$C$3:$V$33,29,FALSE)</f>
        <v>0</v>
      </c>
      <c r="T19" s="439"/>
      <c r="U19" s="439">
        <f ca="1">HLOOKUP($G19,'MHBaselines and Measures'!$C$3:$V$33,31,FALSE)</f>
        <v>4.430877614418649</v>
      </c>
      <c r="V19" s="440">
        <f ca="1">HLOOKUP($G19,'MHBaselines and Measures'!$C$3:$V$33,9,FALSE)</f>
        <v>43.208420677956539</v>
      </c>
      <c r="W19" s="441"/>
      <c r="X19" s="436">
        <f ca="1">HLOOKUP($H19,'MHBaselines and Measures'!$C$2:$V$33,8,FALSE)</f>
        <v>3967.88847049284</v>
      </c>
      <c r="Y19" s="437">
        <f ca="1">HLOOKUP($H19,'MHBaselines and Measures'!$C$2:$V$33,9,FALSE)</f>
        <v>754.7360149776722</v>
      </c>
      <c r="Z19" s="438">
        <f ca="1">HLOOKUP($H19,'MHBaselines and Measures'!$C$2:$V$33,26,FALSE)</f>
        <v>50.709214711535168</v>
      </c>
      <c r="AA19" s="438"/>
      <c r="AB19" s="438">
        <f ca="1">HLOOKUP($H19,'MHBaselines and Measures'!$C$2:$V$33,28,FALSE)</f>
        <v>91.031237619012302</v>
      </c>
      <c r="AC19" s="439">
        <f>HLOOKUP($H19,'MHBaselines and Measures'!$C$2:$V$33,30,FALSE)</f>
        <v>0</v>
      </c>
      <c r="AD19" s="439"/>
      <c r="AE19" s="439">
        <f ca="1">HLOOKUP($H19,'MHBaselines and Measures'!$C$2:$V$33,32,FALSE)</f>
        <v>4.1425281865825196</v>
      </c>
      <c r="AF19" s="440">
        <f ca="1">HLOOKUP($H19,'MHBaselines and Measures'!$C$2:$V$33,10,FALSE)</f>
        <v>42.354500533637861</v>
      </c>
      <c r="AG19" s="441"/>
      <c r="AH19" s="436">
        <f t="shared" ref="AH19:AH77" ca="1" si="15">N19-X19</f>
        <v>79.997635497386455</v>
      </c>
      <c r="AI19" s="437">
        <f t="shared" ref="AI19:AI77" ca="1" si="16">Y19-O19</f>
        <v>-21.580021166835763</v>
      </c>
      <c r="AJ19" s="438">
        <f t="shared" ca="1" si="10"/>
        <v>2.4578078180848024</v>
      </c>
      <c r="AK19" s="438"/>
      <c r="AL19" s="438">
        <f t="shared" ca="1" si="11"/>
        <v>6.336421648904107</v>
      </c>
      <c r="AM19" s="439">
        <f t="shared" si="11"/>
        <v>0</v>
      </c>
      <c r="AN19" s="439"/>
      <c r="AO19" s="439">
        <f t="shared" ref="AO19:AP34" ca="1" si="17">U19-AE19</f>
        <v>0.28834942783612938</v>
      </c>
      <c r="AP19" s="442">
        <f t="shared" ca="1" si="17"/>
        <v>0.85392014431867835</v>
      </c>
      <c r="AQ19" s="443"/>
      <c r="AR19" s="435" t="str">
        <f t="shared" ref="AR19:AR82" si="18">BA19</f>
        <v>ENERGY STAR - Top-Load Clothes Washer - Electric DHW, Gas Dryer - 31% ENERGY STAR Baseline</v>
      </c>
      <c r="AS19" s="437">
        <f t="shared" ref="AS19:AS82" ca="1" si="19">BE19</f>
        <v>-21.580021166835763</v>
      </c>
      <c r="AT19" s="438">
        <f t="shared" ref="AT19:AT82" ca="1" si="20">AJ19+AL19*L19+AK19*M19</f>
        <v>8.7942294669889094</v>
      </c>
      <c r="AU19" s="439">
        <f t="shared" ref="AU19:AU82" ca="1" si="21">AO19*(1-L19)+AN19*(1-M19)</f>
        <v>0</v>
      </c>
      <c r="AV19" s="439">
        <f t="shared" ref="AV19:AV82" ca="1" si="22">AH19</f>
        <v>79.997635497386455</v>
      </c>
      <c r="AW19" s="439"/>
      <c r="AX19" s="438">
        <f t="shared" ca="1" si="12"/>
        <v>9.0889523109857517</v>
      </c>
      <c r="AY19" s="438">
        <f t="shared" ref="AY19:AY77" ca="1" si="23">AP19</f>
        <v>0.85392014431867835</v>
      </c>
      <c r="AZ19" s="443"/>
      <c r="BA19" s="433" t="str">
        <f t="shared" ref="BA19:BA47" si="24">CONCATENATE(H19," Clothes Washer - ",I19," - 31% ENERGY STAR Baseline")</f>
        <v>ENERGY STAR - Top-Load Clothes Washer - Electric DHW, Gas Dryer - 31% ENERGY STAR Baseline</v>
      </c>
      <c r="BB19" s="433" t="s">
        <v>25</v>
      </c>
      <c r="BC19" s="438">
        <f t="shared" ref="BC19:BC82" ca="1" si="25">AT19</f>
        <v>8.7942294669889094</v>
      </c>
      <c r="BD19" s="438">
        <f>SFAssumptions!$C$7</f>
        <v>14</v>
      </c>
      <c r="BE19" s="444">
        <f t="shared" ref="BE19:BE82" ca="1" si="26">AI19</f>
        <v>-21.580021166835763</v>
      </c>
      <c r="BF19" s="433"/>
      <c r="BG19" s="432" t="s">
        <v>157</v>
      </c>
      <c r="BH19" s="445">
        <f t="shared" ref="BH19:BH77" ca="1" si="27">AY19</f>
        <v>0.85392014431867835</v>
      </c>
      <c r="BI19" s="433"/>
      <c r="BJ19" s="433"/>
      <c r="BK19" s="433"/>
      <c r="BL19" s="433"/>
      <c r="BM19" s="433"/>
      <c r="BN19" s="433"/>
      <c r="BO19" s="446">
        <f t="shared" ref="BO19:BO82" ca="1" si="28">AU19</f>
        <v>0</v>
      </c>
      <c r="BP19" s="433" t="s">
        <v>158</v>
      </c>
    </row>
    <row r="20" spans="1:69" s="414" customFormat="1">
      <c r="A20" s="433">
        <f t="shared" ref="A20:A77" si="29">A19+1</f>
        <v>3</v>
      </c>
      <c r="B20" s="433">
        <f t="shared" si="3"/>
        <v>1</v>
      </c>
      <c r="C20" s="433">
        <f t="shared" si="4"/>
        <v>3</v>
      </c>
      <c r="D20" s="433">
        <f t="shared" si="5"/>
        <v>1</v>
      </c>
      <c r="E20" s="433">
        <f t="shared" si="6"/>
        <v>3</v>
      </c>
      <c r="F20" s="433"/>
      <c r="G20" s="433" t="str">
        <f t="shared" si="13"/>
        <v>Current Practice Baseline Using 31% ENERGY STAR Penetration</v>
      </c>
      <c r="H20" s="433" t="str">
        <f t="shared" si="14"/>
        <v>ENERGY STAR - Top-Load</v>
      </c>
      <c r="I20" s="433" t="str">
        <f t="shared" si="7"/>
        <v>Gas DHW, Electric Dryer</v>
      </c>
      <c r="J20" s="433" t="str">
        <f t="shared" si="8"/>
        <v>Gas DHW</v>
      </c>
      <c r="K20" s="433" t="str">
        <f t="shared" si="9"/>
        <v>Electric Dryer</v>
      </c>
      <c r="L20" s="434">
        <f>VLOOKUP(J20,SFAssumptions!$A$14:$B$16,2,FALSE)</f>
        <v>0</v>
      </c>
      <c r="M20" s="435">
        <f>VLOOKUP(K20,SFAssumptions!$A$18:$B$20,2,FALSE)</f>
        <v>1</v>
      </c>
      <c r="N20" s="436">
        <f ca="1">HLOOKUP($G20,'MHBaselines and Measures'!$C$3:$V$33,7,FALSE)</f>
        <v>4047.8861059902265</v>
      </c>
      <c r="O20" s="437">
        <f ca="1">HLOOKUP($G20,'MHBaselines and Measures'!$C$3:$V$33,8,FALSE)</f>
        <v>776.31603614450796</v>
      </c>
      <c r="P20" s="438">
        <f ca="1">HLOOKUP($G20,'MHBaselines and Measures'!$C$3:$V$33,25,FALSE)</f>
        <v>53.16702252961997</v>
      </c>
      <c r="Q20" s="438"/>
      <c r="R20" s="438">
        <f ca="1">HLOOKUP($G20,'MHBaselines and Measures'!$C$3:$V$33,27,FALSE)</f>
        <v>97.367659267916409</v>
      </c>
      <c r="S20" s="439">
        <f>HLOOKUP($G20,'MHBaselines and Measures'!$C$3:$V$33,29,FALSE)</f>
        <v>0</v>
      </c>
      <c r="T20" s="439"/>
      <c r="U20" s="439">
        <f ca="1">HLOOKUP($G20,'MHBaselines and Measures'!$C$3:$V$33,31,FALSE)</f>
        <v>4.430877614418649</v>
      </c>
      <c r="V20" s="440">
        <f ca="1">HLOOKUP($G20,'MHBaselines and Measures'!$C$3:$V$33,9,FALSE)</f>
        <v>43.208420677956539</v>
      </c>
      <c r="W20" s="441"/>
      <c r="X20" s="436">
        <f ca="1">HLOOKUP($H20,'MHBaselines and Measures'!$C$2:$V$33,8,FALSE)</f>
        <v>3967.88847049284</v>
      </c>
      <c r="Y20" s="437">
        <f ca="1">HLOOKUP($H20,'MHBaselines and Measures'!$C$2:$V$33,9,FALSE)</f>
        <v>754.7360149776722</v>
      </c>
      <c r="Z20" s="438">
        <f ca="1">HLOOKUP($H20,'MHBaselines and Measures'!$C$2:$V$33,26,FALSE)</f>
        <v>50.709214711535168</v>
      </c>
      <c r="AA20" s="438"/>
      <c r="AB20" s="438">
        <f ca="1">HLOOKUP($H20,'MHBaselines and Measures'!$C$2:$V$33,28,FALSE)</f>
        <v>91.031237619012302</v>
      </c>
      <c r="AC20" s="439">
        <f>HLOOKUP($H20,'MHBaselines and Measures'!$C$2:$V$33,30,FALSE)</f>
        <v>0</v>
      </c>
      <c r="AD20" s="439"/>
      <c r="AE20" s="439">
        <f ca="1">HLOOKUP($H20,'MHBaselines and Measures'!$C$2:$V$33,32,FALSE)</f>
        <v>4.1425281865825196</v>
      </c>
      <c r="AF20" s="440">
        <f ca="1">HLOOKUP($H20,'MHBaselines and Measures'!$C$2:$V$33,10,FALSE)</f>
        <v>42.354500533637861</v>
      </c>
      <c r="AG20" s="441"/>
      <c r="AH20" s="436">
        <f t="shared" ca="1" si="15"/>
        <v>79.997635497386455</v>
      </c>
      <c r="AI20" s="437">
        <f t="shared" ca="1" si="16"/>
        <v>-21.580021166835763</v>
      </c>
      <c r="AJ20" s="438">
        <f t="shared" ca="1" si="10"/>
        <v>2.4578078180848024</v>
      </c>
      <c r="AK20" s="438"/>
      <c r="AL20" s="438">
        <f t="shared" ca="1" si="11"/>
        <v>6.336421648904107</v>
      </c>
      <c r="AM20" s="439">
        <f t="shared" si="11"/>
        <v>0</v>
      </c>
      <c r="AN20" s="439"/>
      <c r="AO20" s="439">
        <f t="shared" ca="1" si="17"/>
        <v>0.28834942783612938</v>
      </c>
      <c r="AP20" s="442">
        <f t="shared" ca="1" si="17"/>
        <v>0.85392014431867835</v>
      </c>
      <c r="AQ20" s="443"/>
      <c r="AR20" s="435" t="str">
        <f t="shared" si="18"/>
        <v>ENERGY STAR - Top-Load Clothes Washer - Gas DHW, Electric Dryer - 31% ENERGY STAR Baseline</v>
      </c>
      <c r="AS20" s="437">
        <f t="shared" ca="1" si="19"/>
        <v>-21.580021166835763</v>
      </c>
      <c r="AT20" s="438">
        <f t="shared" ca="1" si="20"/>
        <v>2.4578078180848024</v>
      </c>
      <c r="AU20" s="439">
        <f t="shared" ca="1" si="21"/>
        <v>0.28834942783612938</v>
      </c>
      <c r="AV20" s="439">
        <f t="shared" ca="1" si="22"/>
        <v>79.997635497386455</v>
      </c>
      <c r="AW20" s="439"/>
      <c r="AX20" s="438">
        <f t="shared" ca="1" si="12"/>
        <v>2.7525306620816448</v>
      </c>
      <c r="AY20" s="438">
        <f t="shared" ca="1" si="23"/>
        <v>0.85392014431867835</v>
      </c>
      <c r="AZ20" s="443"/>
      <c r="BA20" s="433" t="str">
        <f t="shared" si="24"/>
        <v>ENERGY STAR - Top-Load Clothes Washer - Gas DHW, Electric Dryer - 31% ENERGY STAR Baseline</v>
      </c>
      <c r="BB20" s="433" t="s">
        <v>25</v>
      </c>
      <c r="BC20" s="438">
        <f t="shared" ca="1" si="25"/>
        <v>2.4578078180848024</v>
      </c>
      <c r="BD20" s="438">
        <f>SFAssumptions!$C$7</f>
        <v>14</v>
      </c>
      <c r="BE20" s="444">
        <f t="shared" ca="1" si="26"/>
        <v>-21.580021166835763</v>
      </c>
      <c r="BF20" s="433"/>
      <c r="BG20" s="432" t="s">
        <v>157</v>
      </c>
      <c r="BH20" s="445">
        <f t="shared" ca="1" si="27"/>
        <v>0.85392014431867835</v>
      </c>
      <c r="BI20" s="433"/>
      <c r="BJ20" s="433"/>
      <c r="BK20" s="433"/>
      <c r="BL20" s="433"/>
      <c r="BM20" s="433"/>
      <c r="BN20" s="433"/>
      <c r="BO20" s="446">
        <f t="shared" ca="1" si="28"/>
        <v>0.28834942783612938</v>
      </c>
      <c r="BP20" s="433" t="s">
        <v>158</v>
      </c>
    </row>
    <row r="21" spans="1:69" s="414" customFormat="1">
      <c r="A21" s="433">
        <f t="shared" si="29"/>
        <v>4</v>
      </c>
      <c r="B21" s="433">
        <f t="shared" si="3"/>
        <v>1</v>
      </c>
      <c r="C21" s="433">
        <f t="shared" si="4"/>
        <v>4</v>
      </c>
      <c r="D21" s="433">
        <f t="shared" si="5"/>
        <v>1</v>
      </c>
      <c r="E21" s="433">
        <f t="shared" si="6"/>
        <v>4</v>
      </c>
      <c r="F21" s="433"/>
      <c r="G21" s="433" t="str">
        <f t="shared" si="13"/>
        <v>Current Practice Baseline Using 31% ENERGY STAR Penetration</v>
      </c>
      <c r="H21" s="433" t="str">
        <f t="shared" si="14"/>
        <v>ENERGY STAR - Top-Load</v>
      </c>
      <c r="I21" s="433" t="str">
        <f t="shared" si="7"/>
        <v>Gas DHW, Gas Dryer</v>
      </c>
      <c r="J21" s="433" t="str">
        <f t="shared" si="8"/>
        <v>Gas DHW</v>
      </c>
      <c r="K21" s="433" t="str">
        <f t="shared" si="9"/>
        <v>Gas Dryer</v>
      </c>
      <c r="L21" s="434">
        <f>VLOOKUP(J21,SFAssumptions!$A$14:$B$16,2,FALSE)</f>
        <v>0</v>
      </c>
      <c r="M21" s="435">
        <f>VLOOKUP(K21,SFAssumptions!$A$18:$B$20,2,FALSE)</f>
        <v>0</v>
      </c>
      <c r="N21" s="436">
        <f ca="1">HLOOKUP($G21,'MHBaselines and Measures'!$C$3:$V$33,7,FALSE)</f>
        <v>4047.8861059902265</v>
      </c>
      <c r="O21" s="437">
        <f ca="1">HLOOKUP($G21,'MHBaselines and Measures'!$C$3:$V$33,8,FALSE)</f>
        <v>776.31603614450796</v>
      </c>
      <c r="P21" s="438">
        <f ca="1">HLOOKUP($G21,'MHBaselines and Measures'!$C$3:$V$33,25,FALSE)</f>
        <v>53.16702252961997</v>
      </c>
      <c r="Q21" s="438"/>
      <c r="R21" s="438">
        <f ca="1">HLOOKUP($G21,'MHBaselines and Measures'!$C$3:$V$33,27,FALSE)</f>
        <v>97.367659267916409</v>
      </c>
      <c r="S21" s="439">
        <f>HLOOKUP($G21,'MHBaselines and Measures'!$C$3:$V$33,29,FALSE)</f>
        <v>0</v>
      </c>
      <c r="T21" s="439"/>
      <c r="U21" s="439">
        <f ca="1">HLOOKUP($G21,'MHBaselines and Measures'!$C$3:$V$33,31,FALSE)</f>
        <v>4.430877614418649</v>
      </c>
      <c r="V21" s="440">
        <f ca="1">HLOOKUP($G21,'MHBaselines and Measures'!$C$3:$V$33,9,FALSE)</f>
        <v>43.208420677956539</v>
      </c>
      <c r="W21" s="441"/>
      <c r="X21" s="436">
        <f ca="1">HLOOKUP($H21,'MHBaselines and Measures'!$C$2:$V$33,8,FALSE)</f>
        <v>3967.88847049284</v>
      </c>
      <c r="Y21" s="437">
        <f ca="1">HLOOKUP($H21,'MHBaselines and Measures'!$C$2:$V$33,9,FALSE)</f>
        <v>754.7360149776722</v>
      </c>
      <c r="Z21" s="438">
        <f ca="1">HLOOKUP($H21,'MHBaselines and Measures'!$C$2:$V$33,26,FALSE)</f>
        <v>50.709214711535168</v>
      </c>
      <c r="AA21" s="438"/>
      <c r="AB21" s="438">
        <f ca="1">HLOOKUP($H21,'MHBaselines and Measures'!$C$2:$V$33,28,FALSE)</f>
        <v>91.031237619012302</v>
      </c>
      <c r="AC21" s="439">
        <f>HLOOKUP($H21,'MHBaselines and Measures'!$C$2:$V$33,30,FALSE)</f>
        <v>0</v>
      </c>
      <c r="AD21" s="439"/>
      <c r="AE21" s="439">
        <f ca="1">HLOOKUP($H21,'MHBaselines and Measures'!$C$2:$V$33,32,FALSE)</f>
        <v>4.1425281865825196</v>
      </c>
      <c r="AF21" s="440">
        <f ca="1">HLOOKUP($H21,'MHBaselines and Measures'!$C$2:$V$33,10,FALSE)</f>
        <v>42.354500533637861</v>
      </c>
      <c r="AG21" s="441"/>
      <c r="AH21" s="436">
        <f t="shared" ca="1" si="15"/>
        <v>79.997635497386455</v>
      </c>
      <c r="AI21" s="437">
        <f t="shared" ca="1" si="16"/>
        <v>-21.580021166835763</v>
      </c>
      <c r="AJ21" s="438">
        <f t="shared" ca="1" si="10"/>
        <v>2.4578078180848024</v>
      </c>
      <c r="AK21" s="438"/>
      <c r="AL21" s="438">
        <f t="shared" ca="1" si="11"/>
        <v>6.336421648904107</v>
      </c>
      <c r="AM21" s="439">
        <f t="shared" si="11"/>
        <v>0</v>
      </c>
      <c r="AN21" s="439"/>
      <c r="AO21" s="439">
        <f t="shared" ca="1" si="17"/>
        <v>0.28834942783612938</v>
      </c>
      <c r="AP21" s="442">
        <f t="shared" ca="1" si="17"/>
        <v>0.85392014431867835</v>
      </c>
      <c r="AQ21" s="443"/>
      <c r="AR21" s="435" t="str">
        <f t="shared" si="18"/>
        <v>ENERGY STAR - Top-Load Clothes Washer - Gas DHW, Gas Dryer - 31% ENERGY STAR Baseline</v>
      </c>
      <c r="AS21" s="437">
        <f t="shared" ca="1" si="19"/>
        <v>-21.580021166835763</v>
      </c>
      <c r="AT21" s="438">
        <f t="shared" ca="1" si="20"/>
        <v>2.4578078180848024</v>
      </c>
      <c r="AU21" s="439">
        <f t="shared" ca="1" si="21"/>
        <v>0.28834942783612938</v>
      </c>
      <c r="AV21" s="439">
        <f t="shared" ca="1" si="22"/>
        <v>79.997635497386455</v>
      </c>
      <c r="AW21" s="439"/>
      <c r="AX21" s="438">
        <f t="shared" ca="1" si="12"/>
        <v>2.7525306620816448</v>
      </c>
      <c r="AY21" s="438">
        <f t="shared" ca="1" si="23"/>
        <v>0.85392014431867835</v>
      </c>
      <c r="AZ21" s="443"/>
      <c r="BA21" s="433" t="str">
        <f t="shared" si="24"/>
        <v>ENERGY STAR - Top-Load Clothes Washer - Gas DHW, Gas Dryer - 31% ENERGY STAR Baseline</v>
      </c>
      <c r="BB21" s="433" t="s">
        <v>25</v>
      </c>
      <c r="BC21" s="438">
        <f t="shared" ca="1" si="25"/>
        <v>2.4578078180848024</v>
      </c>
      <c r="BD21" s="438">
        <f>SFAssumptions!$C$7</f>
        <v>14</v>
      </c>
      <c r="BE21" s="444">
        <f t="shared" ca="1" si="26"/>
        <v>-21.580021166835763</v>
      </c>
      <c r="BF21" s="433"/>
      <c r="BG21" s="432" t="s">
        <v>157</v>
      </c>
      <c r="BH21" s="445">
        <f t="shared" ca="1" si="27"/>
        <v>0.85392014431867835</v>
      </c>
      <c r="BI21" s="433"/>
      <c r="BJ21" s="433"/>
      <c r="BK21" s="433"/>
      <c r="BL21" s="433"/>
      <c r="BM21" s="433"/>
      <c r="BN21" s="433"/>
      <c r="BO21" s="446">
        <f t="shared" ca="1" si="28"/>
        <v>0.28834942783612938</v>
      </c>
      <c r="BP21" s="433" t="s">
        <v>158</v>
      </c>
      <c r="BQ21" s="447"/>
    </row>
    <row r="22" spans="1:69" s="414" customFormat="1">
      <c r="A22" s="433">
        <f t="shared" si="29"/>
        <v>5</v>
      </c>
      <c r="B22" s="433">
        <f t="shared" si="3"/>
        <v>1</v>
      </c>
      <c r="C22" s="433">
        <f t="shared" si="4"/>
        <v>5</v>
      </c>
      <c r="D22" s="433">
        <f t="shared" si="5"/>
        <v>1</v>
      </c>
      <c r="E22" s="433">
        <f t="shared" si="6"/>
        <v>5</v>
      </c>
      <c r="F22" s="433"/>
      <c r="G22" s="433" t="str">
        <f t="shared" si="13"/>
        <v>Current Practice Baseline Using 31% ENERGY STAR Penetration</v>
      </c>
      <c r="H22" s="433" t="str">
        <f t="shared" si="14"/>
        <v>ENERGY STAR - Top-Load</v>
      </c>
      <c r="I22" s="433" t="str">
        <f t="shared" si="7"/>
        <v>Any DHW, Any Dryer</v>
      </c>
      <c r="J22" s="433" t="str">
        <f t="shared" si="8"/>
        <v>Any DHW</v>
      </c>
      <c r="K22" s="433" t="str">
        <f t="shared" si="9"/>
        <v>Any Dryer</v>
      </c>
      <c r="L22" s="434">
        <f>VLOOKUP(J22,SFAssumptions!$A$14:$B$16,2,FALSE)</f>
        <v>0.55200000000000005</v>
      </c>
      <c r="M22" s="435">
        <f>VLOOKUP(K22,SFAssumptions!$A$18:$B$20,2,FALSE)</f>
        <v>0.95</v>
      </c>
      <c r="N22" s="436">
        <f ca="1">HLOOKUP($G22,'MHBaselines and Measures'!$C$3:$V$33,7,FALSE)</f>
        <v>4047.8861059902265</v>
      </c>
      <c r="O22" s="437">
        <f ca="1">HLOOKUP($G22,'MHBaselines and Measures'!$C$3:$V$33,8,FALSE)</f>
        <v>776.31603614450796</v>
      </c>
      <c r="P22" s="438">
        <f ca="1">HLOOKUP($G22,'MHBaselines and Measures'!$C$3:$V$33,25,FALSE)</f>
        <v>53.16702252961997</v>
      </c>
      <c r="Q22" s="438"/>
      <c r="R22" s="438">
        <f ca="1">HLOOKUP($G22,'MHBaselines and Measures'!$C$3:$V$33,27,FALSE)</f>
        <v>97.367659267916409</v>
      </c>
      <c r="S22" s="439">
        <f>HLOOKUP($G22,'MHBaselines and Measures'!$C$3:$V$33,29,FALSE)</f>
        <v>0</v>
      </c>
      <c r="T22" s="439"/>
      <c r="U22" s="439">
        <f ca="1">HLOOKUP($G22,'MHBaselines and Measures'!$C$3:$V$33,31,FALSE)</f>
        <v>4.430877614418649</v>
      </c>
      <c r="V22" s="440">
        <f ca="1">HLOOKUP($G22,'MHBaselines and Measures'!$C$3:$V$33,9,FALSE)</f>
        <v>43.208420677956539</v>
      </c>
      <c r="W22" s="441"/>
      <c r="X22" s="436">
        <f ca="1">HLOOKUP($H22,'MHBaselines and Measures'!$C$2:$V$33,8,FALSE)</f>
        <v>3967.88847049284</v>
      </c>
      <c r="Y22" s="437">
        <f ca="1">HLOOKUP($H22,'MHBaselines and Measures'!$C$2:$V$33,9,FALSE)</f>
        <v>754.7360149776722</v>
      </c>
      <c r="Z22" s="438">
        <f ca="1">HLOOKUP($H22,'MHBaselines and Measures'!$C$2:$V$33,26,FALSE)</f>
        <v>50.709214711535168</v>
      </c>
      <c r="AA22" s="438"/>
      <c r="AB22" s="438">
        <f ca="1">HLOOKUP($H22,'MHBaselines and Measures'!$C$2:$V$33,28,FALSE)</f>
        <v>91.031237619012302</v>
      </c>
      <c r="AC22" s="439">
        <f>HLOOKUP($H22,'MHBaselines and Measures'!$C$2:$V$33,30,FALSE)</f>
        <v>0</v>
      </c>
      <c r="AD22" s="439"/>
      <c r="AE22" s="439">
        <f ca="1">HLOOKUP($H22,'MHBaselines and Measures'!$C$2:$V$33,32,FALSE)</f>
        <v>4.1425281865825196</v>
      </c>
      <c r="AF22" s="440">
        <f ca="1">HLOOKUP($H22,'MHBaselines and Measures'!$C$2:$V$33,10,FALSE)</f>
        <v>42.354500533637861</v>
      </c>
      <c r="AG22" s="441"/>
      <c r="AH22" s="436">
        <f t="shared" ca="1" si="15"/>
        <v>79.997635497386455</v>
      </c>
      <c r="AI22" s="437">
        <f t="shared" ca="1" si="16"/>
        <v>-21.580021166835763</v>
      </c>
      <c r="AJ22" s="438">
        <f t="shared" ca="1" si="10"/>
        <v>2.4578078180848024</v>
      </c>
      <c r="AK22" s="438"/>
      <c r="AL22" s="438">
        <f t="shared" ca="1" si="11"/>
        <v>6.336421648904107</v>
      </c>
      <c r="AM22" s="439">
        <f t="shared" si="11"/>
        <v>0</v>
      </c>
      <c r="AN22" s="439"/>
      <c r="AO22" s="439">
        <f t="shared" ca="1" si="17"/>
        <v>0.28834942783612938</v>
      </c>
      <c r="AP22" s="442">
        <f t="shared" ca="1" si="17"/>
        <v>0.85392014431867835</v>
      </c>
      <c r="AQ22" s="443"/>
      <c r="AR22" s="435" t="str">
        <f t="shared" si="18"/>
        <v>ENERGY STAR - Top-Load Clothes Washer - Any DHW, Any Dryer - 31% ENERGY STAR Baseline</v>
      </c>
      <c r="AS22" s="437">
        <f t="shared" ca="1" si="19"/>
        <v>-21.580021166835763</v>
      </c>
      <c r="AT22" s="438">
        <f t="shared" ca="1" si="20"/>
        <v>5.95551256827987</v>
      </c>
      <c r="AU22" s="439">
        <f t="shared" ca="1" si="21"/>
        <v>0.12918054367058596</v>
      </c>
      <c r="AV22" s="439">
        <f t="shared" ca="1" si="22"/>
        <v>79.997635497386455</v>
      </c>
      <c r="AW22" s="439"/>
      <c r="AX22" s="438">
        <f t="shared" ca="1" si="12"/>
        <v>6.2502354122767123</v>
      </c>
      <c r="AY22" s="438">
        <f t="shared" ca="1" si="23"/>
        <v>0.85392014431867835</v>
      </c>
      <c r="AZ22" s="443"/>
      <c r="BA22" s="433" t="str">
        <f t="shared" si="24"/>
        <v>ENERGY STAR - Top-Load Clothes Washer - Any DHW, Any Dryer - 31% ENERGY STAR Baseline</v>
      </c>
      <c r="BB22" s="433" t="s">
        <v>25</v>
      </c>
      <c r="BC22" s="438">
        <f t="shared" ca="1" si="25"/>
        <v>5.95551256827987</v>
      </c>
      <c r="BD22" s="438">
        <f>SFAssumptions!$C$7</f>
        <v>14</v>
      </c>
      <c r="BE22" s="444">
        <f t="shared" ca="1" si="26"/>
        <v>-21.580021166835763</v>
      </c>
      <c r="BF22" s="433"/>
      <c r="BG22" s="432" t="s">
        <v>157</v>
      </c>
      <c r="BH22" s="445">
        <f t="shared" ca="1" si="27"/>
        <v>0.85392014431867835</v>
      </c>
      <c r="BI22" s="433"/>
      <c r="BJ22" s="433"/>
      <c r="BK22" s="433"/>
      <c r="BL22" s="433"/>
      <c r="BM22" s="433"/>
      <c r="BN22" s="433"/>
      <c r="BO22" s="446">
        <f t="shared" ca="1" si="28"/>
        <v>0.12918054367058596</v>
      </c>
      <c r="BP22" s="433" t="s">
        <v>158</v>
      </c>
    </row>
    <row r="23" spans="1:69" s="414" customFormat="1">
      <c r="A23" s="433">
        <f t="shared" si="29"/>
        <v>6</v>
      </c>
      <c r="B23" s="433">
        <f t="shared" si="3"/>
        <v>1</v>
      </c>
      <c r="C23" s="433">
        <f t="shared" si="4"/>
        <v>6</v>
      </c>
      <c r="D23" s="433">
        <f t="shared" si="5"/>
        <v>2</v>
      </c>
      <c r="E23" s="433">
        <f t="shared" si="6"/>
        <v>1</v>
      </c>
      <c r="F23" s="433"/>
      <c r="G23" s="433" t="str">
        <f t="shared" si="13"/>
        <v>Current Practice Baseline Using 31% ENERGY STAR Penetration</v>
      </c>
      <c r="H23" s="433" t="str">
        <f t="shared" si="14"/>
        <v>ENERGY STAR - Front-Load</v>
      </c>
      <c r="I23" s="433" t="str">
        <f t="shared" si="7"/>
        <v>Electric DHW, Electric Dryer</v>
      </c>
      <c r="J23" s="433" t="str">
        <f t="shared" si="8"/>
        <v>Electric DHW</v>
      </c>
      <c r="K23" s="433" t="str">
        <f t="shared" si="9"/>
        <v>Electric Dryer</v>
      </c>
      <c r="L23" s="434">
        <f>VLOOKUP(J23,SFAssumptions!$A$14:$B$16,2,FALSE)</f>
        <v>1</v>
      </c>
      <c r="M23" s="435">
        <f>VLOOKUP(K23,SFAssumptions!$A$18:$B$20,2,FALSE)</f>
        <v>1</v>
      </c>
      <c r="N23" s="436">
        <f ca="1">HLOOKUP($G23,'MHBaselines and Measures'!$C$3:$V$33,7,FALSE)</f>
        <v>4047.8861059902265</v>
      </c>
      <c r="O23" s="437">
        <f ca="1">HLOOKUP($G23,'MHBaselines and Measures'!$C$3:$V$33,8,FALSE)</f>
        <v>776.31603614450796</v>
      </c>
      <c r="P23" s="438">
        <f ca="1">HLOOKUP($G23,'MHBaselines and Measures'!$C$3:$V$33,25,FALSE)</f>
        <v>53.16702252961997</v>
      </c>
      <c r="Q23" s="438"/>
      <c r="R23" s="438">
        <f ca="1">HLOOKUP($G23,'MHBaselines and Measures'!$C$3:$V$33,27,FALSE)</f>
        <v>97.367659267916409</v>
      </c>
      <c r="S23" s="439">
        <f>HLOOKUP($G23,'MHBaselines and Measures'!$C$3:$V$33,29,FALSE)</f>
        <v>0</v>
      </c>
      <c r="T23" s="439"/>
      <c r="U23" s="439">
        <f ca="1">HLOOKUP($G23,'MHBaselines and Measures'!$C$3:$V$33,31,FALSE)</f>
        <v>4.430877614418649</v>
      </c>
      <c r="V23" s="440">
        <f ca="1">HLOOKUP($G23,'MHBaselines and Measures'!$C$3:$V$33,9,FALSE)</f>
        <v>43.208420677956539</v>
      </c>
      <c r="W23" s="441"/>
      <c r="X23" s="436">
        <f ca="1">HLOOKUP($H23,'MHBaselines and Measures'!$C$2:$V$33,8,FALSE)</f>
        <v>3066.8078198141188</v>
      </c>
      <c r="Y23" s="437">
        <f ca="1">HLOOKUP($H23,'MHBaselines and Measures'!$C$2:$V$33,9,FALSE)</f>
        <v>969.81887509547198</v>
      </c>
      <c r="Z23" s="438">
        <f ca="1">HLOOKUP($H23,'MHBaselines and Measures'!$C$2:$V$33,26,FALSE)</f>
        <v>47.783551903949871</v>
      </c>
      <c r="AA23" s="438"/>
      <c r="AB23" s="438">
        <f ca="1">HLOOKUP($H23,'MHBaselines and Measures'!$C$2:$V$33,28,FALSE)</f>
        <v>66.299323460376783</v>
      </c>
      <c r="AC23" s="439">
        <f>HLOOKUP($H23,'MHBaselines and Measures'!$C$2:$V$33,30,FALSE)</f>
        <v>0</v>
      </c>
      <c r="AD23" s="439"/>
      <c r="AE23" s="439">
        <f ca="1">HLOOKUP($H23,'MHBaselines and Measures'!$C$2:$V$33,32,FALSE)</f>
        <v>3.0170612129368792</v>
      </c>
      <c r="AF23" s="440">
        <f ca="1">HLOOKUP($H23,'MHBaselines and Measures'!$C$2:$V$33,10,FALSE)</f>
        <v>32.736079757994865</v>
      </c>
      <c r="AG23" s="441"/>
      <c r="AH23" s="436">
        <f t="shared" ca="1" si="15"/>
        <v>981.07828617610767</v>
      </c>
      <c r="AI23" s="437">
        <f t="shared" ca="1" si="16"/>
        <v>193.50283895096402</v>
      </c>
      <c r="AJ23" s="438">
        <f t="shared" ca="1" si="10"/>
        <v>5.3834706256700997</v>
      </c>
      <c r="AK23" s="438"/>
      <c r="AL23" s="438">
        <f t="shared" ca="1" si="11"/>
        <v>31.068335807539626</v>
      </c>
      <c r="AM23" s="439">
        <f t="shared" si="11"/>
        <v>0</v>
      </c>
      <c r="AN23" s="439"/>
      <c r="AO23" s="439">
        <f t="shared" ca="1" si="17"/>
        <v>1.4138164014817698</v>
      </c>
      <c r="AP23" s="442">
        <f t="shared" ca="1" si="17"/>
        <v>10.472340919961674</v>
      </c>
      <c r="AQ23" s="443"/>
      <c r="AR23" s="435" t="str">
        <f t="shared" si="18"/>
        <v>ENERGY STAR - Front-Load Clothes Washer - Electric DHW, Electric Dryer - 31% ENERGY STAR Baseline</v>
      </c>
      <c r="AS23" s="437">
        <f t="shared" ca="1" si="19"/>
        <v>193.50283895096402</v>
      </c>
      <c r="AT23" s="438">
        <f t="shared" ca="1" si="20"/>
        <v>36.451806433209725</v>
      </c>
      <c r="AU23" s="439">
        <f t="shared" ca="1" si="21"/>
        <v>0</v>
      </c>
      <c r="AV23" s="439">
        <f t="shared" ca="1" si="22"/>
        <v>981.07828617610767</v>
      </c>
      <c r="AW23" s="439"/>
      <c r="AX23" s="438">
        <f t="shared" ca="1" si="12"/>
        <v>40.066240546013184</v>
      </c>
      <c r="AY23" s="438">
        <f t="shared" ca="1" si="23"/>
        <v>10.472340919961674</v>
      </c>
      <c r="AZ23" s="443"/>
      <c r="BA23" s="433" t="str">
        <f t="shared" si="24"/>
        <v>ENERGY STAR - Front-Load Clothes Washer - Electric DHW, Electric Dryer - 31% ENERGY STAR Baseline</v>
      </c>
      <c r="BB23" s="433" t="s">
        <v>25</v>
      </c>
      <c r="BC23" s="438">
        <f t="shared" ca="1" si="25"/>
        <v>36.451806433209725</v>
      </c>
      <c r="BD23" s="438">
        <f>SFAssumptions!$C$7</f>
        <v>14</v>
      </c>
      <c r="BE23" s="444">
        <f t="shared" ca="1" si="26"/>
        <v>193.50283895096402</v>
      </c>
      <c r="BF23" s="433"/>
      <c r="BG23" s="432" t="s">
        <v>157</v>
      </c>
      <c r="BH23" s="445">
        <f t="shared" ca="1" si="27"/>
        <v>10.472340919961674</v>
      </c>
      <c r="BI23" s="433"/>
      <c r="BJ23" s="433"/>
      <c r="BK23" s="433"/>
      <c r="BL23" s="433"/>
      <c r="BM23" s="433"/>
      <c r="BN23" s="433"/>
      <c r="BO23" s="446">
        <f t="shared" ca="1" si="28"/>
        <v>0</v>
      </c>
      <c r="BP23" s="433" t="s">
        <v>158</v>
      </c>
    </row>
    <row r="24" spans="1:69" s="414" customFormat="1">
      <c r="A24" s="433">
        <f t="shared" si="29"/>
        <v>7</v>
      </c>
      <c r="B24" s="433">
        <f t="shared" si="3"/>
        <v>1</v>
      </c>
      <c r="C24" s="433">
        <f t="shared" si="4"/>
        <v>7</v>
      </c>
      <c r="D24" s="433">
        <f t="shared" si="5"/>
        <v>2</v>
      </c>
      <c r="E24" s="433">
        <f t="shared" si="6"/>
        <v>2</v>
      </c>
      <c r="F24" s="433"/>
      <c r="G24" s="433" t="str">
        <f t="shared" si="13"/>
        <v>Current Practice Baseline Using 31% ENERGY STAR Penetration</v>
      </c>
      <c r="H24" s="433" t="str">
        <f t="shared" si="14"/>
        <v>ENERGY STAR - Front-Load</v>
      </c>
      <c r="I24" s="433" t="str">
        <f t="shared" si="7"/>
        <v>Electric DHW, Gas Dryer</v>
      </c>
      <c r="J24" s="433" t="str">
        <f t="shared" si="8"/>
        <v>Electric DHW</v>
      </c>
      <c r="K24" s="433" t="str">
        <f t="shared" si="9"/>
        <v>Gas Dryer</v>
      </c>
      <c r="L24" s="434">
        <f>VLOOKUP(J24,SFAssumptions!$A$14:$B$16,2,FALSE)</f>
        <v>1</v>
      </c>
      <c r="M24" s="435">
        <f>VLOOKUP(K24,SFAssumptions!$A$18:$B$20,2,FALSE)</f>
        <v>0</v>
      </c>
      <c r="N24" s="436">
        <f ca="1">HLOOKUP($G24,'MHBaselines and Measures'!$C$3:$V$33,7,FALSE)</f>
        <v>4047.8861059902265</v>
      </c>
      <c r="O24" s="437">
        <f ca="1">HLOOKUP($G24,'MHBaselines and Measures'!$C$3:$V$33,8,FALSE)</f>
        <v>776.31603614450796</v>
      </c>
      <c r="P24" s="438">
        <f ca="1">HLOOKUP($G24,'MHBaselines and Measures'!$C$3:$V$33,25,FALSE)</f>
        <v>53.16702252961997</v>
      </c>
      <c r="Q24" s="438"/>
      <c r="R24" s="438">
        <f ca="1">HLOOKUP($G24,'MHBaselines and Measures'!$C$3:$V$33,27,FALSE)</f>
        <v>97.367659267916409</v>
      </c>
      <c r="S24" s="439">
        <f>HLOOKUP($G24,'MHBaselines and Measures'!$C$3:$V$33,29,FALSE)</f>
        <v>0</v>
      </c>
      <c r="T24" s="439"/>
      <c r="U24" s="439">
        <f ca="1">HLOOKUP($G24,'MHBaselines and Measures'!$C$3:$V$33,31,FALSE)</f>
        <v>4.430877614418649</v>
      </c>
      <c r="V24" s="440">
        <f ca="1">HLOOKUP($G24,'MHBaselines and Measures'!$C$3:$V$33,9,FALSE)</f>
        <v>43.208420677956539</v>
      </c>
      <c r="W24" s="441"/>
      <c r="X24" s="436">
        <f ca="1">HLOOKUP($H24,'MHBaselines and Measures'!$C$2:$V$33,8,FALSE)</f>
        <v>3066.8078198141188</v>
      </c>
      <c r="Y24" s="437">
        <f ca="1">HLOOKUP($H24,'MHBaselines and Measures'!$C$2:$V$33,9,FALSE)</f>
        <v>969.81887509547198</v>
      </c>
      <c r="Z24" s="438">
        <f ca="1">HLOOKUP($H24,'MHBaselines and Measures'!$C$2:$V$33,26,FALSE)</f>
        <v>47.783551903949871</v>
      </c>
      <c r="AA24" s="438"/>
      <c r="AB24" s="438">
        <f ca="1">HLOOKUP($H24,'MHBaselines and Measures'!$C$2:$V$33,28,FALSE)</f>
        <v>66.299323460376783</v>
      </c>
      <c r="AC24" s="439">
        <f>HLOOKUP($H24,'MHBaselines and Measures'!$C$2:$V$33,30,FALSE)</f>
        <v>0</v>
      </c>
      <c r="AD24" s="439"/>
      <c r="AE24" s="439">
        <f ca="1">HLOOKUP($H24,'MHBaselines and Measures'!$C$2:$V$33,32,FALSE)</f>
        <v>3.0170612129368792</v>
      </c>
      <c r="AF24" s="440">
        <f ca="1">HLOOKUP($H24,'MHBaselines and Measures'!$C$2:$V$33,10,FALSE)</f>
        <v>32.736079757994865</v>
      </c>
      <c r="AG24" s="441"/>
      <c r="AH24" s="436">
        <f t="shared" ca="1" si="15"/>
        <v>981.07828617610767</v>
      </c>
      <c r="AI24" s="437">
        <f t="shared" ca="1" si="16"/>
        <v>193.50283895096402</v>
      </c>
      <c r="AJ24" s="438">
        <f t="shared" ca="1" si="10"/>
        <v>5.3834706256700997</v>
      </c>
      <c r="AK24" s="438"/>
      <c r="AL24" s="438">
        <f t="shared" ca="1" si="11"/>
        <v>31.068335807539626</v>
      </c>
      <c r="AM24" s="439">
        <f t="shared" si="11"/>
        <v>0</v>
      </c>
      <c r="AN24" s="439"/>
      <c r="AO24" s="439">
        <f t="shared" ca="1" si="17"/>
        <v>1.4138164014817698</v>
      </c>
      <c r="AP24" s="442">
        <f t="shared" ca="1" si="17"/>
        <v>10.472340919961674</v>
      </c>
      <c r="AQ24" s="443"/>
      <c r="AR24" s="435" t="str">
        <f t="shared" si="18"/>
        <v>ENERGY STAR - Front-Load Clothes Washer - Electric DHW, Gas Dryer - 31% ENERGY STAR Baseline</v>
      </c>
      <c r="AS24" s="437">
        <f t="shared" ca="1" si="19"/>
        <v>193.50283895096402</v>
      </c>
      <c r="AT24" s="438">
        <f t="shared" ca="1" si="20"/>
        <v>36.451806433209725</v>
      </c>
      <c r="AU24" s="439">
        <f t="shared" ca="1" si="21"/>
        <v>0</v>
      </c>
      <c r="AV24" s="439">
        <f t="shared" ca="1" si="22"/>
        <v>981.07828617610767</v>
      </c>
      <c r="AW24" s="439"/>
      <c r="AX24" s="438">
        <f t="shared" ca="1" si="12"/>
        <v>40.066240546013184</v>
      </c>
      <c r="AY24" s="438">
        <f t="shared" ca="1" si="23"/>
        <v>10.472340919961674</v>
      </c>
      <c r="AZ24" s="443"/>
      <c r="BA24" s="433" t="str">
        <f t="shared" si="24"/>
        <v>ENERGY STAR - Front-Load Clothes Washer - Electric DHW, Gas Dryer - 31% ENERGY STAR Baseline</v>
      </c>
      <c r="BB24" s="433" t="s">
        <v>25</v>
      </c>
      <c r="BC24" s="438">
        <f t="shared" ca="1" si="25"/>
        <v>36.451806433209725</v>
      </c>
      <c r="BD24" s="438">
        <f>SFAssumptions!$C$7</f>
        <v>14</v>
      </c>
      <c r="BE24" s="444">
        <f t="shared" ca="1" si="26"/>
        <v>193.50283895096402</v>
      </c>
      <c r="BF24" s="433"/>
      <c r="BG24" s="432" t="s">
        <v>157</v>
      </c>
      <c r="BH24" s="445">
        <f t="shared" ca="1" si="27"/>
        <v>10.472340919961674</v>
      </c>
      <c r="BI24" s="433"/>
      <c r="BJ24" s="433"/>
      <c r="BK24" s="433"/>
      <c r="BL24" s="433"/>
      <c r="BM24" s="433"/>
      <c r="BN24" s="433"/>
      <c r="BO24" s="446">
        <f t="shared" ca="1" si="28"/>
        <v>0</v>
      </c>
      <c r="BP24" s="433" t="s">
        <v>158</v>
      </c>
    </row>
    <row r="25" spans="1:69" s="414" customFormat="1">
      <c r="A25" s="433">
        <f t="shared" si="29"/>
        <v>8</v>
      </c>
      <c r="B25" s="433">
        <f t="shared" si="3"/>
        <v>1</v>
      </c>
      <c r="C25" s="433">
        <f t="shared" si="4"/>
        <v>8</v>
      </c>
      <c r="D25" s="433">
        <f t="shared" si="5"/>
        <v>2</v>
      </c>
      <c r="E25" s="433">
        <f t="shared" si="6"/>
        <v>3</v>
      </c>
      <c r="F25" s="433"/>
      <c r="G25" s="433" t="str">
        <f t="shared" si="13"/>
        <v>Current Practice Baseline Using 31% ENERGY STAR Penetration</v>
      </c>
      <c r="H25" s="433" t="str">
        <f t="shared" si="14"/>
        <v>ENERGY STAR - Front-Load</v>
      </c>
      <c r="I25" s="433" t="str">
        <f t="shared" si="7"/>
        <v>Gas DHW, Electric Dryer</v>
      </c>
      <c r="J25" s="433" t="str">
        <f t="shared" si="8"/>
        <v>Gas DHW</v>
      </c>
      <c r="K25" s="433" t="str">
        <f t="shared" si="9"/>
        <v>Electric Dryer</v>
      </c>
      <c r="L25" s="434">
        <f>VLOOKUP(J25,SFAssumptions!$A$14:$B$16,2,FALSE)</f>
        <v>0</v>
      </c>
      <c r="M25" s="435">
        <f>VLOOKUP(K25,SFAssumptions!$A$18:$B$20,2,FALSE)</f>
        <v>1</v>
      </c>
      <c r="N25" s="436">
        <f ca="1">HLOOKUP($G25,'MHBaselines and Measures'!$C$3:$V$33,7,FALSE)</f>
        <v>4047.8861059902265</v>
      </c>
      <c r="O25" s="437">
        <f ca="1">HLOOKUP($G25,'MHBaselines and Measures'!$C$3:$V$33,8,FALSE)</f>
        <v>776.31603614450796</v>
      </c>
      <c r="P25" s="438">
        <f ca="1">HLOOKUP($G25,'MHBaselines and Measures'!$C$3:$V$33,25,FALSE)</f>
        <v>53.16702252961997</v>
      </c>
      <c r="Q25" s="438"/>
      <c r="R25" s="438">
        <f ca="1">HLOOKUP($G25,'MHBaselines and Measures'!$C$3:$V$33,27,FALSE)</f>
        <v>97.367659267916409</v>
      </c>
      <c r="S25" s="439">
        <f>HLOOKUP($G25,'MHBaselines and Measures'!$C$3:$V$33,29,FALSE)</f>
        <v>0</v>
      </c>
      <c r="T25" s="439"/>
      <c r="U25" s="439">
        <f ca="1">HLOOKUP($G25,'MHBaselines and Measures'!$C$3:$V$33,31,FALSE)</f>
        <v>4.430877614418649</v>
      </c>
      <c r="V25" s="440">
        <f ca="1">HLOOKUP($G25,'MHBaselines and Measures'!$C$3:$V$33,9,FALSE)</f>
        <v>43.208420677956539</v>
      </c>
      <c r="W25" s="441"/>
      <c r="X25" s="436">
        <f ca="1">HLOOKUP($H25,'MHBaselines and Measures'!$C$2:$V$33,8,FALSE)</f>
        <v>3066.8078198141188</v>
      </c>
      <c r="Y25" s="437">
        <f ca="1">HLOOKUP($H25,'MHBaselines and Measures'!$C$2:$V$33,9,FALSE)</f>
        <v>969.81887509547198</v>
      </c>
      <c r="Z25" s="438">
        <f ca="1">HLOOKUP($H25,'MHBaselines and Measures'!$C$2:$V$33,26,FALSE)</f>
        <v>47.783551903949871</v>
      </c>
      <c r="AA25" s="438"/>
      <c r="AB25" s="438">
        <f ca="1">HLOOKUP($H25,'MHBaselines and Measures'!$C$2:$V$33,28,FALSE)</f>
        <v>66.299323460376783</v>
      </c>
      <c r="AC25" s="439">
        <f>HLOOKUP($H25,'MHBaselines and Measures'!$C$2:$V$33,30,FALSE)</f>
        <v>0</v>
      </c>
      <c r="AD25" s="439"/>
      <c r="AE25" s="439">
        <f ca="1">HLOOKUP($H25,'MHBaselines and Measures'!$C$2:$V$33,32,FALSE)</f>
        <v>3.0170612129368792</v>
      </c>
      <c r="AF25" s="440">
        <f ca="1">HLOOKUP($H25,'MHBaselines and Measures'!$C$2:$V$33,10,FALSE)</f>
        <v>32.736079757994865</v>
      </c>
      <c r="AG25" s="441"/>
      <c r="AH25" s="436">
        <f t="shared" ca="1" si="15"/>
        <v>981.07828617610767</v>
      </c>
      <c r="AI25" s="437">
        <f t="shared" ca="1" si="16"/>
        <v>193.50283895096402</v>
      </c>
      <c r="AJ25" s="438">
        <f t="shared" ca="1" si="10"/>
        <v>5.3834706256700997</v>
      </c>
      <c r="AK25" s="438"/>
      <c r="AL25" s="438">
        <f t="shared" ca="1" si="11"/>
        <v>31.068335807539626</v>
      </c>
      <c r="AM25" s="439">
        <f t="shared" si="11"/>
        <v>0</v>
      </c>
      <c r="AN25" s="439"/>
      <c r="AO25" s="439">
        <f t="shared" ca="1" si="17"/>
        <v>1.4138164014817698</v>
      </c>
      <c r="AP25" s="442">
        <f t="shared" ca="1" si="17"/>
        <v>10.472340919961674</v>
      </c>
      <c r="AQ25" s="443"/>
      <c r="AR25" s="435" t="str">
        <f t="shared" si="18"/>
        <v>ENERGY STAR - Front-Load Clothes Washer - Gas DHW, Electric Dryer - 31% ENERGY STAR Baseline</v>
      </c>
      <c r="AS25" s="437">
        <f t="shared" ca="1" si="19"/>
        <v>193.50283895096402</v>
      </c>
      <c r="AT25" s="438">
        <f t="shared" ca="1" si="20"/>
        <v>5.3834706256700997</v>
      </c>
      <c r="AU25" s="439">
        <f t="shared" ca="1" si="21"/>
        <v>1.4138164014817698</v>
      </c>
      <c r="AV25" s="439">
        <f t="shared" ca="1" si="22"/>
        <v>981.07828617610767</v>
      </c>
      <c r="AW25" s="439"/>
      <c r="AX25" s="438">
        <f t="shared" ca="1" si="12"/>
        <v>8.9979047384735544</v>
      </c>
      <c r="AY25" s="438">
        <f t="shared" ca="1" si="23"/>
        <v>10.472340919961674</v>
      </c>
      <c r="AZ25" s="443"/>
      <c r="BA25" s="433" t="str">
        <f t="shared" si="24"/>
        <v>ENERGY STAR - Front-Load Clothes Washer - Gas DHW, Electric Dryer - 31% ENERGY STAR Baseline</v>
      </c>
      <c r="BB25" s="433" t="s">
        <v>25</v>
      </c>
      <c r="BC25" s="438">
        <f t="shared" ca="1" si="25"/>
        <v>5.3834706256700997</v>
      </c>
      <c r="BD25" s="438">
        <f>SFAssumptions!$C$7</f>
        <v>14</v>
      </c>
      <c r="BE25" s="444">
        <f t="shared" ca="1" si="26"/>
        <v>193.50283895096402</v>
      </c>
      <c r="BF25" s="433"/>
      <c r="BG25" s="432" t="s">
        <v>157</v>
      </c>
      <c r="BH25" s="445">
        <f t="shared" ca="1" si="27"/>
        <v>10.472340919961674</v>
      </c>
      <c r="BI25" s="433"/>
      <c r="BJ25" s="433"/>
      <c r="BK25" s="433"/>
      <c r="BL25" s="433"/>
      <c r="BM25" s="433"/>
      <c r="BN25" s="433"/>
      <c r="BO25" s="446">
        <f t="shared" ca="1" si="28"/>
        <v>1.4138164014817698</v>
      </c>
      <c r="BP25" s="433" t="s">
        <v>158</v>
      </c>
      <c r="BQ25" s="447"/>
    </row>
    <row r="26" spans="1:69" s="414" customFormat="1">
      <c r="A26" s="433">
        <f t="shared" si="29"/>
        <v>9</v>
      </c>
      <c r="B26" s="433">
        <f t="shared" si="3"/>
        <v>1</v>
      </c>
      <c r="C26" s="433">
        <f t="shared" si="4"/>
        <v>9</v>
      </c>
      <c r="D26" s="433">
        <f t="shared" si="5"/>
        <v>2</v>
      </c>
      <c r="E26" s="433">
        <f t="shared" si="6"/>
        <v>4</v>
      </c>
      <c r="F26" s="433"/>
      <c r="G26" s="433" t="str">
        <f t="shared" si="13"/>
        <v>Current Practice Baseline Using 31% ENERGY STAR Penetration</v>
      </c>
      <c r="H26" s="433" t="str">
        <f t="shared" si="14"/>
        <v>ENERGY STAR - Front-Load</v>
      </c>
      <c r="I26" s="433" t="str">
        <f t="shared" si="7"/>
        <v>Gas DHW, Gas Dryer</v>
      </c>
      <c r="J26" s="433" t="str">
        <f t="shared" si="8"/>
        <v>Gas DHW</v>
      </c>
      <c r="K26" s="433" t="str">
        <f t="shared" si="9"/>
        <v>Gas Dryer</v>
      </c>
      <c r="L26" s="434">
        <f>VLOOKUP(J26,SFAssumptions!$A$14:$B$16,2,FALSE)</f>
        <v>0</v>
      </c>
      <c r="M26" s="435">
        <f>VLOOKUP(K26,SFAssumptions!$A$18:$B$20,2,FALSE)</f>
        <v>0</v>
      </c>
      <c r="N26" s="436">
        <f ca="1">HLOOKUP($G26,'MHBaselines and Measures'!$C$3:$V$33,7,FALSE)</f>
        <v>4047.8861059902265</v>
      </c>
      <c r="O26" s="437">
        <f ca="1">HLOOKUP($G26,'MHBaselines and Measures'!$C$3:$V$33,8,FALSE)</f>
        <v>776.31603614450796</v>
      </c>
      <c r="P26" s="438">
        <f ca="1">HLOOKUP($G26,'MHBaselines and Measures'!$C$3:$V$33,25,FALSE)</f>
        <v>53.16702252961997</v>
      </c>
      <c r="Q26" s="438"/>
      <c r="R26" s="438">
        <f ca="1">HLOOKUP($G26,'MHBaselines and Measures'!$C$3:$V$33,27,FALSE)</f>
        <v>97.367659267916409</v>
      </c>
      <c r="S26" s="439">
        <f>HLOOKUP($G26,'MHBaselines and Measures'!$C$3:$V$33,29,FALSE)</f>
        <v>0</v>
      </c>
      <c r="T26" s="439"/>
      <c r="U26" s="439">
        <f ca="1">HLOOKUP($G26,'MHBaselines and Measures'!$C$3:$V$33,31,FALSE)</f>
        <v>4.430877614418649</v>
      </c>
      <c r="V26" s="440">
        <f ca="1">HLOOKUP($G26,'MHBaselines and Measures'!$C$3:$V$33,9,FALSE)</f>
        <v>43.208420677956539</v>
      </c>
      <c r="W26" s="441"/>
      <c r="X26" s="436">
        <f ca="1">HLOOKUP($H26,'MHBaselines and Measures'!$C$2:$V$33,8,FALSE)</f>
        <v>3066.8078198141188</v>
      </c>
      <c r="Y26" s="437">
        <f ca="1">HLOOKUP($H26,'MHBaselines and Measures'!$C$2:$V$33,9,FALSE)</f>
        <v>969.81887509547198</v>
      </c>
      <c r="Z26" s="438">
        <f ca="1">HLOOKUP($H26,'MHBaselines and Measures'!$C$2:$V$33,26,FALSE)</f>
        <v>47.783551903949871</v>
      </c>
      <c r="AA26" s="438"/>
      <c r="AB26" s="438">
        <f ca="1">HLOOKUP($H26,'MHBaselines and Measures'!$C$2:$V$33,28,FALSE)</f>
        <v>66.299323460376783</v>
      </c>
      <c r="AC26" s="439">
        <f>HLOOKUP($H26,'MHBaselines and Measures'!$C$2:$V$33,30,FALSE)</f>
        <v>0</v>
      </c>
      <c r="AD26" s="439"/>
      <c r="AE26" s="439">
        <f ca="1">HLOOKUP($H26,'MHBaselines and Measures'!$C$2:$V$33,32,FALSE)</f>
        <v>3.0170612129368792</v>
      </c>
      <c r="AF26" s="440">
        <f ca="1">HLOOKUP($H26,'MHBaselines and Measures'!$C$2:$V$33,10,FALSE)</f>
        <v>32.736079757994865</v>
      </c>
      <c r="AG26" s="441"/>
      <c r="AH26" s="436">
        <f t="shared" ca="1" si="15"/>
        <v>981.07828617610767</v>
      </c>
      <c r="AI26" s="437">
        <f t="shared" ca="1" si="16"/>
        <v>193.50283895096402</v>
      </c>
      <c r="AJ26" s="438">
        <f t="shared" ca="1" si="10"/>
        <v>5.3834706256700997</v>
      </c>
      <c r="AK26" s="438"/>
      <c r="AL26" s="438">
        <f t="shared" ca="1" si="11"/>
        <v>31.068335807539626</v>
      </c>
      <c r="AM26" s="439">
        <f t="shared" si="11"/>
        <v>0</v>
      </c>
      <c r="AN26" s="439"/>
      <c r="AO26" s="439">
        <f t="shared" ca="1" si="17"/>
        <v>1.4138164014817698</v>
      </c>
      <c r="AP26" s="442">
        <f t="shared" ca="1" si="17"/>
        <v>10.472340919961674</v>
      </c>
      <c r="AQ26" s="443"/>
      <c r="AR26" s="435" t="str">
        <f t="shared" si="18"/>
        <v>ENERGY STAR - Front-Load Clothes Washer - Gas DHW, Gas Dryer - 31% ENERGY STAR Baseline</v>
      </c>
      <c r="AS26" s="437">
        <f t="shared" ca="1" si="19"/>
        <v>193.50283895096402</v>
      </c>
      <c r="AT26" s="438">
        <f t="shared" ca="1" si="20"/>
        <v>5.3834706256700997</v>
      </c>
      <c r="AU26" s="439">
        <f t="shared" ca="1" si="21"/>
        <v>1.4138164014817698</v>
      </c>
      <c r="AV26" s="439">
        <f t="shared" ca="1" si="22"/>
        <v>981.07828617610767</v>
      </c>
      <c r="AW26" s="439"/>
      <c r="AX26" s="438">
        <f t="shared" ca="1" si="12"/>
        <v>8.9979047384735544</v>
      </c>
      <c r="AY26" s="438">
        <f t="shared" ca="1" si="23"/>
        <v>10.472340919961674</v>
      </c>
      <c r="AZ26" s="443"/>
      <c r="BA26" s="433" t="str">
        <f t="shared" si="24"/>
        <v>ENERGY STAR - Front-Load Clothes Washer - Gas DHW, Gas Dryer - 31% ENERGY STAR Baseline</v>
      </c>
      <c r="BB26" s="433" t="s">
        <v>25</v>
      </c>
      <c r="BC26" s="438">
        <f t="shared" ca="1" si="25"/>
        <v>5.3834706256700997</v>
      </c>
      <c r="BD26" s="438">
        <f>SFAssumptions!$C$7</f>
        <v>14</v>
      </c>
      <c r="BE26" s="444">
        <f t="shared" ca="1" si="26"/>
        <v>193.50283895096402</v>
      </c>
      <c r="BF26" s="433"/>
      <c r="BG26" s="432" t="s">
        <v>157</v>
      </c>
      <c r="BH26" s="445">
        <f t="shared" ca="1" si="27"/>
        <v>10.472340919961674</v>
      </c>
      <c r="BI26" s="433"/>
      <c r="BJ26" s="433"/>
      <c r="BK26" s="433"/>
      <c r="BL26" s="433"/>
      <c r="BM26" s="433"/>
      <c r="BN26" s="433"/>
      <c r="BO26" s="446">
        <f t="shared" ca="1" si="28"/>
        <v>1.4138164014817698</v>
      </c>
      <c r="BP26" s="433" t="s">
        <v>158</v>
      </c>
      <c r="BQ26" s="448"/>
    </row>
    <row r="27" spans="1:69" s="414" customFormat="1">
      <c r="A27" s="433">
        <f t="shared" si="29"/>
        <v>10</v>
      </c>
      <c r="B27" s="433">
        <f t="shared" si="3"/>
        <v>1</v>
      </c>
      <c r="C27" s="433">
        <f t="shared" si="4"/>
        <v>10</v>
      </c>
      <c r="D27" s="433">
        <f t="shared" si="5"/>
        <v>2</v>
      </c>
      <c r="E27" s="433">
        <f t="shared" si="6"/>
        <v>5</v>
      </c>
      <c r="F27" s="433"/>
      <c r="G27" s="433" t="str">
        <f t="shared" si="13"/>
        <v>Current Practice Baseline Using 31% ENERGY STAR Penetration</v>
      </c>
      <c r="H27" s="433" t="str">
        <f t="shared" si="14"/>
        <v>ENERGY STAR - Front-Load</v>
      </c>
      <c r="I27" s="433" t="str">
        <f t="shared" si="7"/>
        <v>Any DHW, Any Dryer</v>
      </c>
      <c r="J27" s="433" t="str">
        <f t="shared" si="8"/>
        <v>Any DHW</v>
      </c>
      <c r="K27" s="433" t="str">
        <f t="shared" si="9"/>
        <v>Any Dryer</v>
      </c>
      <c r="L27" s="434">
        <f>VLOOKUP(J27,SFAssumptions!$A$14:$B$16,2,FALSE)</f>
        <v>0.55200000000000005</v>
      </c>
      <c r="M27" s="435">
        <f>VLOOKUP(K27,SFAssumptions!$A$18:$B$20,2,FALSE)</f>
        <v>0.95</v>
      </c>
      <c r="N27" s="436">
        <f ca="1">HLOOKUP($G27,'MHBaselines and Measures'!$C$3:$V$33,7,FALSE)</f>
        <v>4047.8861059902265</v>
      </c>
      <c r="O27" s="437">
        <f ca="1">HLOOKUP($G27,'MHBaselines and Measures'!$C$3:$V$33,8,FALSE)</f>
        <v>776.31603614450796</v>
      </c>
      <c r="P27" s="438">
        <f ca="1">HLOOKUP($G27,'MHBaselines and Measures'!$C$3:$V$33,25,FALSE)</f>
        <v>53.16702252961997</v>
      </c>
      <c r="Q27" s="438"/>
      <c r="R27" s="438">
        <f ca="1">HLOOKUP($G27,'MHBaselines and Measures'!$C$3:$V$33,27,FALSE)</f>
        <v>97.367659267916409</v>
      </c>
      <c r="S27" s="439">
        <f>HLOOKUP($G27,'MHBaselines and Measures'!$C$3:$V$33,29,FALSE)</f>
        <v>0</v>
      </c>
      <c r="T27" s="439"/>
      <c r="U27" s="439">
        <f ca="1">HLOOKUP($G27,'MHBaselines and Measures'!$C$3:$V$33,31,FALSE)</f>
        <v>4.430877614418649</v>
      </c>
      <c r="V27" s="440">
        <f ca="1">HLOOKUP($G27,'MHBaselines and Measures'!$C$3:$V$33,9,FALSE)</f>
        <v>43.208420677956539</v>
      </c>
      <c r="W27" s="441"/>
      <c r="X27" s="436">
        <f ca="1">HLOOKUP($H27,'MHBaselines and Measures'!$C$2:$V$33,8,FALSE)</f>
        <v>3066.8078198141188</v>
      </c>
      <c r="Y27" s="437">
        <f ca="1">HLOOKUP($H27,'MHBaselines and Measures'!$C$2:$V$33,9,FALSE)</f>
        <v>969.81887509547198</v>
      </c>
      <c r="Z27" s="438">
        <f ca="1">HLOOKUP($H27,'MHBaselines and Measures'!$C$2:$V$33,26,FALSE)</f>
        <v>47.783551903949871</v>
      </c>
      <c r="AA27" s="438"/>
      <c r="AB27" s="438">
        <f ca="1">HLOOKUP($H27,'MHBaselines and Measures'!$C$2:$V$33,28,FALSE)</f>
        <v>66.299323460376783</v>
      </c>
      <c r="AC27" s="439">
        <f>HLOOKUP($H27,'MHBaselines and Measures'!$C$2:$V$33,30,FALSE)</f>
        <v>0</v>
      </c>
      <c r="AD27" s="439"/>
      <c r="AE27" s="439">
        <f ca="1">HLOOKUP($H27,'MHBaselines and Measures'!$C$2:$V$33,32,FALSE)</f>
        <v>3.0170612129368792</v>
      </c>
      <c r="AF27" s="440">
        <f ca="1">HLOOKUP($H27,'MHBaselines and Measures'!$C$2:$V$33,10,FALSE)</f>
        <v>32.736079757994865</v>
      </c>
      <c r="AG27" s="441"/>
      <c r="AH27" s="436">
        <f t="shared" ca="1" si="15"/>
        <v>981.07828617610767</v>
      </c>
      <c r="AI27" s="437">
        <f t="shared" ca="1" si="16"/>
        <v>193.50283895096402</v>
      </c>
      <c r="AJ27" s="438">
        <f t="shared" ca="1" si="10"/>
        <v>5.3834706256700997</v>
      </c>
      <c r="AK27" s="438"/>
      <c r="AL27" s="438">
        <f t="shared" ca="1" si="11"/>
        <v>31.068335807539626</v>
      </c>
      <c r="AM27" s="439">
        <f t="shared" si="11"/>
        <v>0</v>
      </c>
      <c r="AN27" s="439"/>
      <c r="AO27" s="439">
        <f t="shared" ca="1" si="17"/>
        <v>1.4138164014817698</v>
      </c>
      <c r="AP27" s="442">
        <f t="shared" ca="1" si="17"/>
        <v>10.472340919961674</v>
      </c>
      <c r="AQ27" s="443"/>
      <c r="AR27" s="435" t="str">
        <f t="shared" si="18"/>
        <v>ENERGY STAR - Front-Load Clothes Washer - Any DHW, Any Dryer - 31% ENERGY STAR Baseline</v>
      </c>
      <c r="AS27" s="437">
        <f t="shared" ca="1" si="19"/>
        <v>193.50283895096402</v>
      </c>
      <c r="AT27" s="438">
        <f t="shared" ca="1" si="20"/>
        <v>22.533191991431973</v>
      </c>
      <c r="AU27" s="439">
        <f t="shared" ca="1" si="21"/>
        <v>0.63338974786383284</v>
      </c>
      <c r="AV27" s="439">
        <f t="shared" ca="1" si="22"/>
        <v>981.07828617610767</v>
      </c>
      <c r="AW27" s="439"/>
      <c r="AX27" s="438">
        <f t="shared" ca="1" si="12"/>
        <v>26.147626104235428</v>
      </c>
      <c r="AY27" s="438">
        <f t="shared" ca="1" si="23"/>
        <v>10.472340919961674</v>
      </c>
      <c r="AZ27" s="443"/>
      <c r="BA27" s="433" t="str">
        <f t="shared" si="24"/>
        <v>ENERGY STAR - Front-Load Clothes Washer - Any DHW, Any Dryer - 31% ENERGY STAR Baseline</v>
      </c>
      <c r="BB27" s="433" t="s">
        <v>25</v>
      </c>
      <c r="BC27" s="438">
        <f t="shared" ca="1" si="25"/>
        <v>22.533191991431973</v>
      </c>
      <c r="BD27" s="438">
        <f>SFAssumptions!$C$7</f>
        <v>14</v>
      </c>
      <c r="BE27" s="444">
        <f t="shared" ca="1" si="26"/>
        <v>193.50283895096402</v>
      </c>
      <c r="BF27" s="433"/>
      <c r="BG27" s="432" t="s">
        <v>157</v>
      </c>
      <c r="BH27" s="445">
        <f t="shared" ca="1" si="27"/>
        <v>10.472340919961674</v>
      </c>
      <c r="BI27" s="433"/>
      <c r="BJ27" s="433"/>
      <c r="BK27" s="433"/>
      <c r="BL27" s="433"/>
      <c r="BM27" s="433"/>
      <c r="BN27" s="433"/>
      <c r="BO27" s="446">
        <f t="shared" ca="1" si="28"/>
        <v>0.63338974786383284</v>
      </c>
      <c r="BP27" s="433" t="s">
        <v>158</v>
      </c>
      <c r="BQ27" s="448"/>
    </row>
    <row r="28" spans="1:69" s="414" customFormat="1">
      <c r="A28" s="433">
        <f t="shared" si="29"/>
        <v>11</v>
      </c>
      <c r="B28" s="433">
        <f t="shared" si="3"/>
        <v>1</v>
      </c>
      <c r="C28" s="433">
        <f t="shared" si="4"/>
        <v>11</v>
      </c>
      <c r="D28" s="433">
        <f t="shared" si="5"/>
        <v>3</v>
      </c>
      <c r="E28" s="433">
        <f t="shared" si="6"/>
        <v>1</v>
      </c>
      <c r="F28" s="433"/>
      <c r="G28" s="433" t="str">
        <f t="shared" si="13"/>
        <v>Current Practice Baseline Using 31% ENERGY STAR Penetration</v>
      </c>
      <c r="H28" s="433" t="str">
        <f t="shared" si="14"/>
        <v>Any ENERGY STAR (Top- or Front-Load)</v>
      </c>
      <c r="I28" s="433" t="str">
        <f t="shared" si="7"/>
        <v>Electric DHW, Electric Dryer</v>
      </c>
      <c r="J28" s="433" t="str">
        <f t="shared" si="8"/>
        <v>Electric DHW</v>
      </c>
      <c r="K28" s="433" t="str">
        <f t="shared" si="9"/>
        <v>Electric Dryer</v>
      </c>
      <c r="L28" s="434">
        <f>VLOOKUP(J28,SFAssumptions!$A$14:$B$16,2,FALSE)</f>
        <v>1</v>
      </c>
      <c r="M28" s="435">
        <f>VLOOKUP(K28,SFAssumptions!$A$18:$B$20,2,FALSE)</f>
        <v>1</v>
      </c>
      <c r="N28" s="436">
        <f ca="1">HLOOKUP($G28,'MHBaselines and Measures'!$C$3:$V$33,7,FALSE)</f>
        <v>4047.8861059902265</v>
      </c>
      <c r="O28" s="437">
        <f ca="1">HLOOKUP($G28,'MHBaselines and Measures'!$C$3:$V$33,8,FALSE)</f>
        <v>776.31603614450796</v>
      </c>
      <c r="P28" s="438">
        <f ca="1">HLOOKUP($G28,'MHBaselines and Measures'!$C$3:$V$33,25,FALSE)</f>
        <v>53.16702252961997</v>
      </c>
      <c r="Q28" s="438"/>
      <c r="R28" s="438">
        <f ca="1">HLOOKUP($G28,'MHBaselines and Measures'!$C$3:$V$33,27,FALSE)</f>
        <v>97.367659267916409</v>
      </c>
      <c r="S28" s="439">
        <f>HLOOKUP($G28,'MHBaselines and Measures'!$C$3:$V$33,29,FALSE)</f>
        <v>0</v>
      </c>
      <c r="T28" s="439"/>
      <c r="U28" s="439">
        <f ca="1">HLOOKUP($G28,'MHBaselines and Measures'!$C$3:$V$33,31,FALSE)</f>
        <v>4.430877614418649</v>
      </c>
      <c r="V28" s="440">
        <f ca="1">HLOOKUP($G28,'MHBaselines and Measures'!$C$3:$V$33,9,FALSE)</f>
        <v>43.208420677956539</v>
      </c>
      <c r="W28" s="441"/>
      <c r="X28" s="436">
        <f ca="1">HLOOKUP($H28,'MHBaselines and Measures'!$C$2:$V$33,8,FALSE)</f>
        <v>3321.230591770463</v>
      </c>
      <c r="Y28" s="437">
        <f ca="1">HLOOKUP($H28,'MHBaselines and Measures'!$C$2:$V$33,9,FALSE)</f>
        <v>921.19144585144784</v>
      </c>
      <c r="Z28" s="438">
        <f ca="1">HLOOKUP($H28,'MHBaselines and Measures'!$C$2:$V$33,26,FALSE)</f>
        <v>48.753369263051916</v>
      </c>
      <c r="AA28" s="438"/>
      <c r="AB28" s="438">
        <f ca="1">HLOOKUP($H28,'MHBaselines and Measures'!$C$2:$V$33,28,FALSE)</f>
        <v>73.256770606095856</v>
      </c>
      <c r="AC28" s="439">
        <f>HLOOKUP($H28,'MHBaselines and Measures'!$C$2:$V$33,30,FALSE)</f>
        <v>0</v>
      </c>
      <c r="AD28" s="439"/>
      <c r="AE28" s="439">
        <f ca="1">HLOOKUP($H28,'MHBaselines and Measures'!$C$2:$V$33,32,FALSE)</f>
        <v>3.3336714410480686</v>
      </c>
      <c r="AF28" s="440">
        <f ca="1">HLOOKUP($H28,'MHBaselines and Measures'!$C$2:$V$33,10,FALSE)</f>
        <v>35.45186915347054</v>
      </c>
      <c r="AG28" s="441"/>
      <c r="AH28" s="436">
        <f t="shared" ca="1" si="15"/>
        <v>726.65551421976352</v>
      </c>
      <c r="AI28" s="437">
        <f t="shared" ca="1" si="16"/>
        <v>144.87540970693988</v>
      </c>
      <c r="AJ28" s="438">
        <f t="shared" ca="1" si="10"/>
        <v>4.4136532665680548</v>
      </c>
      <c r="AK28" s="438"/>
      <c r="AL28" s="438">
        <f t="shared" ca="1" si="11"/>
        <v>24.110888661820553</v>
      </c>
      <c r="AM28" s="439">
        <f t="shared" si="11"/>
        <v>0</v>
      </c>
      <c r="AN28" s="439"/>
      <c r="AO28" s="439">
        <f t="shared" ca="1" si="17"/>
        <v>1.0972061733705805</v>
      </c>
      <c r="AP28" s="442">
        <f t="shared" ca="1" si="17"/>
        <v>7.7565515244859995</v>
      </c>
      <c r="AQ28" s="443"/>
      <c r="AR28" s="435" t="str">
        <f t="shared" si="18"/>
        <v>Any ENERGY STAR (Top- or Front-Load) Clothes Washer - Electric DHW, Electric Dryer - 31% ENERGY STAR Baseline</v>
      </c>
      <c r="AS28" s="437">
        <f t="shared" ca="1" si="19"/>
        <v>144.87540970693988</v>
      </c>
      <c r="AT28" s="438">
        <f t="shared" ca="1" si="20"/>
        <v>28.524541928388608</v>
      </c>
      <c r="AU28" s="439">
        <f t="shared" ca="1" si="21"/>
        <v>0</v>
      </c>
      <c r="AV28" s="439">
        <f t="shared" ca="1" si="22"/>
        <v>726.65551421976352</v>
      </c>
      <c r="AW28" s="439"/>
      <c r="AX28" s="438">
        <f t="shared" ca="1" si="12"/>
        <v>31.201645800587844</v>
      </c>
      <c r="AY28" s="438">
        <f t="shared" ca="1" si="23"/>
        <v>7.7565515244859995</v>
      </c>
      <c r="AZ28" s="443"/>
      <c r="BA28" s="433" t="str">
        <f t="shared" si="24"/>
        <v>Any ENERGY STAR (Top- or Front-Load) Clothes Washer - Electric DHW, Electric Dryer - 31% ENERGY STAR Baseline</v>
      </c>
      <c r="BB28" s="433" t="s">
        <v>25</v>
      </c>
      <c r="BC28" s="438">
        <f t="shared" ca="1" si="25"/>
        <v>28.524541928388608</v>
      </c>
      <c r="BD28" s="438">
        <f>SFAssumptions!$C$7</f>
        <v>14</v>
      </c>
      <c r="BE28" s="444">
        <f t="shared" ca="1" si="26"/>
        <v>144.87540970693988</v>
      </c>
      <c r="BF28" s="433"/>
      <c r="BG28" s="432" t="s">
        <v>157</v>
      </c>
      <c r="BH28" s="445">
        <f t="shared" ca="1" si="27"/>
        <v>7.7565515244859995</v>
      </c>
      <c r="BI28" s="433"/>
      <c r="BJ28" s="433"/>
      <c r="BK28" s="433"/>
      <c r="BL28" s="433"/>
      <c r="BM28" s="433"/>
      <c r="BN28" s="433"/>
      <c r="BO28" s="446">
        <f t="shared" ca="1" si="28"/>
        <v>0</v>
      </c>
      <c r="BP28" s="433" t="s">
        <v>158</v>
      </c>
      <c r="BQ28" s="448"/>
    </row>
    <row r="29" spans="1:69" s="414" customFormat="1">
      <c r="A29" s="433">
        <f t="shared" si="29"/>
        <v>12</v>
      </c>
      <c r="B29" s="433">
        <f t="shared" si="3"/>
        <v>1</v>
      </c>
      <c r="C29" s="433">
        <f t="shared" si="4"/>
        <v>12</v>
      </c>
      <c r="D29" s="433">
        <f t="shared" si="5"/>
        <v>3</v>
      </c>
      <c r="E29" s="433">
        <f t="shared" si="6"/>
        <v>2</v>
      </c>
      <c r="F29" s="433"/>
      <c r="G29" s="433" t="str">
        <f t="shared" si="13"/>
        <v>Current Practice Baseline Using 31% ENERGY STAR Penetration</v>
      </c>
      <c r="H29" s="433" t="str">
        <f t="shared" si="14"/>
        <v>Any ENERGY STAR (Top- or Front-Load)</v>
      </c>
      <c r="I29" s="433" t="str">
        <f t="shared" si="7"/>
        <v>Electric DHW, Gas Dryer</v>
      </c>
      <c r="J29" s="433" t="str">
        <f t="shared" si="8"/>
        <v>Electric DHW</v>
      </c>
      <c r="K29" s="433" t="str">
        <f t="shared" si="9"/>
        <v>Gas Dryer</v>
      </c>
      <c r="L29" s="434">
        <f>VLOOKUP(J29,SFAssumptions!$A$14:$B$16,2,FALSE)</f>
        <v>1</v>
      </c>
      <c r="M29" s="435">
        <f>VLOOKUP(K29,SFAssumptions!$A$18:$B$20,2,FALSE)</f>
        <v>0</v>
      </c>
      <c r="N29" s="436">
        <f ca="1">HLOOKUP($G29,'MHBaselines and Measures'!$C$3:$V$33,7,FALSE)</f>
        <v>4047.8861059902265</v>
      </c>
      <c r="O29" s="437">
        <f ca="1">HLOOKUP($G29,'MHBaselines and Measures'!$C$3:$V$33,8,FALSE)</f>
        <v>776.31603614450796</v>
      </c>
      <c r="P29" s="438">
        <f ca="1">HLOOKUP($G29,'MHBaselines and Measures'!$C$3:$V$33,25,FALSE)</f>
        <v>53.16702252961997</v>
      </c>
      <c r="Q29" s="438"/>
      <c r="R29" s="438">
        <f ca="1">HLOOKUP($G29,'MHBaselines and Measures'!$C$3:$V$33,27,FALSE)</f>
        <v>97.367659267916409</v>
      </c>
      <c r="S29" s="439">
        <f>HLOOKUP($G29,'MHBaselines and Measures'!$C$3:$V$33,29,FALSE)</f>
        <v>0</v>
      </c>
      <c r="T29" s="439"/>
      <c r="U29" s="439">
        <f ca="1">HLOOKUP($G29,'MHBaselines and Measures'!$C$3:$V$33,31,FALSE)</f>
        <v>4.430877614418649</v>
      </c>
      <c r="V29" s="440">
        <f ca="1">HLOOKUP($G29,'MHBaselines and Measures'!$C$3:$V$33,9,FALSE)</f>
        <v>43.208420677956539</v>
      </c>
      <c r="W29" s="441"/>
      <c r="X29" s="436">
        <f ca="1">HLOOKUP($H29,'MHBaselines and Measures'!$C$2:$V$33,8,FALSE)</f>
        <v>3321.230591770463</v>
      </c>
      <c r="Y29" s="437">
        <f ca="1">HLOOKUP($H29,'MHBaselines and Measures'!$C$2:$V$33,9,FALSE)</f>
        <v>921.19144585144784</v>
      </c>
      <c r="Z29" s="438">
        <f ca="1">HLOOKUP($H29,'MHBaselines and Measures'!$C$2:$V$33,26,FALSE)</f>
        <v>48.753369263051916</v>
      </c>
      <c r="AA29" s="438"/>
      <c r="AB29" s="438">
        <f ca="1">HLOOKUP($H29,'MHBaselines and Measures'!$C$2:$V$33,28,FALSE)</f>
        <v>73.256770606095856</v>
      </c>
      <c r="AC29" s="439">
        <f>HLOOKUP($H29,'MHBaselines and Measures'!$C$2:$V$33,30,FALSE)</f>
        <v>0</v>
      </c>
      <c r="AD29" s="439"/>
      <c r="AE29" s="439">
        <f ca="1">HLOOKUP($H29,'MHBaselines and Measures'!$C$2:$V$33,32,FALSE)</f>
        <v>3.3336714410480686</v>
      </c>
      <c r="AF29" s="440">
        <f ca="1">HLOOKUP($H29,'MHBaselines and Measures'!$C$2:$V$33,10,FALSE)</f>
        <v>35.45186915347054</v>
      </c>
      <c r="AG29" s="441"/>
      <c r="AH29" s="436">
        <f t="shared" ca="1" si="15"/>
        <v>726.65551421976352</v>
      </c>
      <c r="AI29" s="437">
        <f t="shared" ca="1" si="16"/>
        <v>144.87540970693988</v>
      </c>
      <c r="AJ29" s="438">
        <f t="shared" ca="1" si="10"/>
        <v>4.4136532665680548</v>
      </c>
      <c r="AK29" s="438"/>
      <c r="AL29" s="438">
        <f t="shared" ca="1" si="11"/>
        <v>24.110888661820553</v>
      </c>
      <c r="AM29" s="439">
        <f t="shared" si="11"/>
        <v>0</v>
      </c>
      <c r="AN29" s="439"/>
      <c r="AO29" s="439">
        <f t="shared" ca="1" si="17"/>
        <v>1.0972061733705805</v>
      </c>
      <c r="AP29" s="442">
        <f t="shared" ca="1" si="17"/>
        <v>7.7565515244859995</v>
      </c>
      <c r="AQ29" s="443"/>
      <c r="AR29" s="435" t="str">
        <f t="shared" si="18"/>
        <v>Any ENERGY STAR (Top- or Front-Load) Clothes Washer - Electric DHW, Gas Dryer - 31% ENERGY STAR Baseline</v>
      </c>
      <c r="AS29" s="437">
        <f t="shared" ca="1" si="19"/>
        <v>144.87540970693988</v>
      </c>
      <c r="AT29" s="438">
        <f t="shared" ca="1" si="20"/>
        <v>28.524541928388608</v>
      </c>
      <c r="AU29" s="439">
        <f t="shared" ca="1" si="21"/>
        <v>0</v>
      </c>
      <c r="AV29" s="439">
        <f t="shared" ca="1" si="22"/>
        <v>726.65551421976352</v>
      </c>
      <c r="AW29" s="439"/>
      <c r="AX29" s="438">
        <f t="shared" ca="1" si="12"/>
        <v>31.201645800587844</v>
      </c>
      <c r="AY29" s="438">
        <f t="shared" ca="1" si="23"/>
        <v>7.7565515244859995</v>
      </c>
      <c r="AZ29" s="443"/>
      <c r="BA29" s="433" t="str">
        <f t="shared" si="24"/>
        <v>Any ENERGY STAR (Top- or Front-Load) Clothes Washer - Electric DHW, Gas Dryer - 31% ENERGY STAR Baseline</v>
      </c>
      <c r="BB29" s="433" t="s">
        <v>25</v>
      </c>
      <c r="BC29" s="438">
        <f t="shared" ca="1" si="25"/>
        <v>28.524541928388608</v>
      </c>
      <c r="BD29" s="438">
        <f>SFAssumptions!$C$7</f>
        <v>14</v>
      </c>
      <c r="BE29" s="444">
        <f t="shared" ca="1" si="26"/>
        <v>144.87540970693988</v>
      </c>
      <c r="BF29" s="433"/>
      <c r="BG29" s="432" t="s">
        <v>157</v>
      </c>
      <c r="BH29" s="445">
        <f t="shared" ca="1" si="27"/>
        <v>7.7565515244859995</v>
      </c>
      <c r="BI29" s="433"/>
      <c r="BJ29" s="433"/>
      <c r="BK29" s="433"/>
      <c r="BL29" s="433"/>
      <c r="BM29" s="433"/>
      <c r="BN29" s="433"/>
      <c r="BO29" s="446">
        <f t="shared" ca="1" si="28"/>
        <v>0</v>
      </c>
      <c r="BP29" s="433" t="s">
        <v>158</v>
      </c>
      <c r="BQ29" s="447"/>
    </row>
    <row r="30" spans="1:69" s="414" customFormat="1">
      <c r="A30" s="433">
        <f t="shared" si="29"/>
        <v>13</v>
      </c>
      <c r="B30" s="433">
        <f t="shared" si="3"/>
        <v>1</v>
      </c>
      <c r="C30" s="433">
        <f t="shared" si="4"/>
        <v>13</v>
      </c>
      <c r="D30" s="433">
        <f t="shared" si="5"/>
        <v>3</v>
      </c>
      <c r="E30" s="433">
        <f t="shared" si="6"/>
        <v>3</v>
      </c>
      <c r="F30" s="433"/>
      <c r="G30" s="433" t="str">
        <f t="shared" si="13"/>
        <v>Current Practice Baseline Using 31% ENERGY STAR Penetration</v>
      </c>
      <c r="H30" s="433" t="str">
        <f t="shared" si="14"/>
        <v>Any ENERGY STAR (Top- or Front-Load)</v>
      </c>
      <c r="I30" s="433" t="str">
        <f t="shared" si="7"/>
        <v>Gas DHW, Electric Dryer</v>
      </c>
      <c r="J30" s="433" t="str">
        <f t="shared" si="8"/>
        <v>Gas DHW</v>
      </c>
      <c r="K30" s="433" t="str">
        <f t="shared" si="9"/>
        <v>Electric Dryer</v>
      </c>
      <c r="L30" s="434">
        <f>VLOOKUP(J30,SFAssumptions!$A$14:$B$16,2,FALSE)</f>
        <v>0</v>
      </c>
      <c r="M30" s="435">
        <f>VLOOKUP(K30,SFAssumptions!$A$18:$B$20,2,FALSE)</f>
        <v>1</v>
      </c>
      <c r="N30" s="436">
        <f ca="1">HLOOKUP($G30,'MHBaselines and Measures'!$C$3:$V$33,7,FALSE)</f>
        <v>4047.8861059902265</v>
      </c>
      <c r="O30" s="437">
        <f ca="1">HLOOKUP($G30,'MHBaselines and Measures'!$C$3:$V$33,8,FALSE)</f>
        <v>776.31603614450796</v>
      </c>
      <c r="P30" s="438">
        <f ca="1">HLOOKUP($G30,'MHBaselines and Measures'!$C$3:$V$33,25,FALSE)</f>
        <v>53.16702252961997</v>
      </c>
      <c r="Q30" s="438"/>
      <c r="R30" s="438">
        <f ca="1">HLOOKUP($G30,'MHBaselines and Measures'!$C$3:$V$33,27,FALSE)</f>
        <v>97.367659267916409</v>
      </c>
      <c r="S30" s="439">
        <f>HLOOKUP($G30,'MHBaselines and Measures'!$C$3:$V$33,29,FALSE)</f>
        <v>0</v>
      </c>
      <c r="T30" s="439"/>
      <c r="U30" s="439">
        <f ca="1">HLOOKUP($G30,'MHBaselines and Measures'!$C$3:$V$33,31,FALSE)</f>
        <v>4.430877614418649</v>
      </c>
      <c r="V30" s="440">
        <f ca="1">HLOOKUP($G30,'MHBaselines and Measures'!$C$3:$V$33,9,FALSE)</f>
        <v>43.208420677956539</v>
      </c>
      <c r="W30" s="441"/>
      <c r="X30" s="436">
        <f ca="1">HLOOKUP($H30,'MHBaselines and Measures'!$C$2:$V$33,8,FALSE)</f>
        <v>3321.230591770463</v>
      </c>
      <c r="Y30" s="437">
        <f ca="1">HLOOKUP($H30,'MHBaselines and Measures'!$C$2:$V$33,9,FALSE)</f>
        <v>921.19144585144784</v>
      </c>
      <c r="Z30" s="438">
        <f ca="1">HLOOKUP($H30,'MHBaselines and Measures'!$C$2:$V$33,26,FALSE)</f>
        <v>48.753369263051916</v>
      </c>
      <c r="AA30" s="438"/>
      <c r="AB30" s="438">
        <f ca="1">HLOOKUP($H30,'MHBaselines and Measures'!$C$2:$V$33,28,FALSE)</f>
        <v>73.256770606095856</v>
      </c>
      <c r="AC30" s="439">
        <f>HLOOKUP($H30,'MHBaselines and Measures'!$C$2:$V$33,30,FALSE)</f>
        <v>0</v>
      </c>
      <c r="AD30" s="439"/>
      <c r="AE30" s="439">
        <f ca="1">HLOOKUP($H30,'MHBaselines and Measures'!$C$2:$V$33,32,FALSE)</f>
        <v>3.3336714410480686</v>
      </c>
      <c r="AF30" s="440">
        <f ca="1">HLOOKUP($H30,'MHBaselines and Measures'!$C$2:$V$33,10,FALSE)</f>
        <v>35.45186915347054</v>
      </c>
      <c r="AG30" s="441"/>
      <c r="AH30" s="436">
        <f t="shared" ca="1" si="15"/>
        <v>726.65551421976352</v>
      </c>
      <c r="AI30" s="437">
        <f t="shared" ca="1" si="16"/>
        <v>144.87540970693988</v>
      </c>
      <c r="AJ30" s="438">
        <f t="shared" ca="1" si="10"/>
        <v>4.4136532665680548</v>
      </c>
      <c r="AK30" s="438"/>
      <c r="AL30" s="438">
        <f t="shared" ca="1" si="11"/>
        <v>24.110888661820553</v>
      </c>
      <c r="AM30" s="439">
        <f t="shared" si="11"/>
        <v>0</v>
      </c>
      <c r="AN30" s="439"/>
      <c r="AO30" s="439">
        <f t="shared" ca="1" si="17"/>
        <v>1.0972061733705805</v>
      </c>
      <c r="AP30" s="442">
        <f t="shared" ca="1" si="17"/>
        <v>7.7565515244859995</v>
      </c>
      <c r="AQ30" s="443"/>
      <c r="AR30" s="435" t="str">
        <f t="shared" si="18"/>
        <v>Any ENERGY STAR (Top- or Front-Load) Clothes Washer - Gas DHW, Electric Dryer - 31% ENERGY STAR Baseline</v>
      </c>
      <c r="AS30" s="437">
        <f t="shared" ca="1" si="19"/>
        <v>144.87540970693988</v>
      </c>
      <c r="AT30" s="438">
        <f t="shared" ca="1" si="20"/>
        <v>4.4136532665680548</v>
      </c>
      <c r="AU30" s="439">
        <f t="shared" ca="1" si="21"/>
        <v>1.0972061733705805</v>
      </c>
      <c r="AV30" s="439">
        <f t="shared" ca="1" si="22"/>
        <v>726.65551421976352</v>
      </c>
      <c r="AW30" s="439"/>
      <c r="AX30" s="438">
        <f t="shared" ca="1" si="12"/>
        <v>7.0907571387672927</v>
      </c>
      <c r="AY30" s="438">
        <f t="shared" ca="1" si="23"/>
        <v>7.7565515244859995</v>
      </c>
      <c r="AZ30" s="443"/>
      <c r="BA30" s="433" t="str">
        <f t="shared" si="24"/>
        <v>Any ENERGY STAR (Top- or Front-Load) Clothes Washer - Gas DHW, Electric Dryer - 31% ENERGY STAR Baseline</v>
      </c>
      <c r="BB30" s="433" t="s">
        <v>25</v>
      </c>
      <c r="BC30" s="438">
        <f t="shared" ca="1" si="25"/>
        <v>4.4136532665680548</v>
      </c>
      <c r="BD30" s="438">
        <f>SFAssumptions!$C$7</f>
        <v>14</v>
      </c>
      <c r="BE30" s="444">
        <f t="shared" ca="1" si="26"/>
        <v>144.87540970693988</v>
      </c>
      <c r="BF30" s="433"/>
      <c r="BG30" s="432" t="s">
        <v>157</v>
      </c>
      <c r="BH30" s="445">
        <f t="shared" ca="1" si="27"/>
        <v>7.7565515244859995</v>
      </c>
      <c r="BI30" s="433"/>
      <c r="BJ30" s="433"/>
      <c r="BK30" s="433"/>
      <c r="BL30" s="433"/>
      <c r="BM30" s="433"/>
      <c r="BN30" s="433"/>
      <c r="BO30" s="446">
        <f t="shared" ca="1" si="28"/>
        <v>1.0972061733705805</v>
      </c>
      <c r="BP30" s="433" t="s">
        <v>158</v>
      </c>
    </row>
    <row r="31" spans="1:69" s="414" customFormat="1">
      <c r="A31" s="433">
        <f t="shared" si="29"/>
        <v>14</v>
      </c>
      <c r="B31" s="433">
        <f t="shared" si="3"/>
        <v>1</v>
      </c>
      <c r="C31" s="433">
        <f t="shared" si="4"/>
        <v>14</v>
      </c>
      <c r="D31" s="433">
        <f t="shared" si="5"/>
        <v>3</v>
      </c>
      <c r="E31" s="433">
        <f t="shared" si="6"/>
        <v>4</v>
      </c>
      <c r="F31" s="433"/>
      <c r="G31" s="433" t="str">
        <f t="shared" si="13"/>
        <v>Current Practice Baseline Using 31% ENERGY STAR Penetration</v>
      </c>
      <c r="H31" s="433" t="str">
        <f t="shared" si="14"/>
        <v>Any ENERGY STAR (Top- or Front-Load)</v>
      </c>
      <c r="I31" s="433" t="str">
        <f t="shared" si="7"/>
        <v>Gas DHW, Gas Dryer</v>
      </c>
      <c r="J31" s="433" t="str">
        <f t="shared" si="8"/>
        <v>Gas DHW</v>
      </c>
      <c r="K31" s="433" t="str">
        <f t="shared" si="9"/>
        <v>Gas Dryer</v>
      </c>
      <c r="L31" s="434">
        <f>VLOOKUP(J31,SFAssumptions!$A$14:$B$16,2,FALSE)</f>
        <v>0</v>
      </c>
      <c r="M31" s="435">
        <f>VLOOKUP(K31,SFAssumptions!$A$18:$B$20,2,FALSE)</f>
        <v>0</v>
      </c>
      <c r="N31" s="436">
        <f ca="1">HLOOKUP($G31,'MHBaselines and Measures'!$C$3:$V$33,7,FALSE)</f>
        <v>4047.8861059902265</v>
      </c>
      <c r="O31" s="437">
        <f ca="1">HLOOKUP($G31,'MHBaselines and Measures'!$C$3:$V$33,8,FALSE)</f>
        <v>776.31603614450796</v>
      </c>
      <c r="P31" s="438">
        <f ca="1">HLOOKUP($G31,'MHBaselines and Measures'!$C$3:$V$33,25,FALSE)</f>
        <v>53.16702252961997</v>
      </c>
      <c r="Q31" s="438"/>
      <c r="R31" s="438">
        <f ca="1">HLOOKUP($G31,'MHBaselines and Measures'!$C$3:$V$33,27,FALSE)</f>
        <v>97.367659267916409</v>
      </c>
      <c r="S31" s="439">
        <f>HLOOKUP($G31,'MHBaselines and Measures'!$C$3:$V$33,29,FALSE)</f>
        <v>0</v>
      </c>
      <c r="T31" s="439"/>
      <c r="U31" s="439">
        <f ca="1">HLOOKUP($G31,'MHBaselines and Measures'!$C$3:$V$33,31,FALSE)</f>
        <v>4.430877614418649</v>
      </c>
      <c r="V31" s="440">
        <f ca="1">HLOOKUP($G31,'MHBaselines and Measures'!$C$3:$V$33,9,FALSE)</f>
        <v>43.208420677956539</v>
      </c>
      <c r="W31" s="441"/>
      <c r="X31" s="436">
        <f ca="1">HLOOKUP($H31,'MHBaselines and Measures'!$C$2:$V$33,8,FALSE)</f>
        <v>3321.230591770463</v>
      </c>
      <c r="Y31" s="437">
        <f ca="1">HLOOKUP($H31,'MHBaselines and Measures'!$C$2:$V$33,9,FALSE)</f>
        <v>921.19144585144784</v>
      </c>
      <c r="Z31" s="438">
        <f ca="1">HLOOKUP($H31,'MHBaselines and Measures'!$C$2:$V$33,26,FALSE)</f>
        <v>48.753369263051916</v>
      </c>
      <c r="AA31" s="438"/>
      <c r="AB31" s="438">
        <f ca="1">HLOOKUP($H31,'MHBaselines and Measures'!$C$2:$V$33,28,FALSE)</f>
        <v>73.256770606095856</v>
      </c>
      <c r="AC31" s="439">
        <f>HLOOKUP($H31,'MHBaselines and Measures'!$C$2:$V$33,30,FALSE)</f>
        <v>0</v>
      </c>
      <c r="AD31" s="439"/>
      <c r="AE31" s="439">
        <f ca="1">HLOOKUP($H31,'MHBaselines and Measures'!$C$2:$V$33,32,FALSE)</f>
        <v>3.3336714410480686</v>
      </c>
      <c r="AF31" s="440">
        <f ca="1">HLOOKUP($H31,'MHBaselines and Measures'!$C$2:$V$33,10,FALSE)</f>
        <v>35.45186915347054</v>
      </c>
      <c r="AG31" s="441"/>
      <c r="AH31" s="436">
        <f t="shared" ca="1" si="15"/>
        <v>726.65551421976352</v>
      </c>
      <c r="AI31" s="437">
        <f t="shared" ca="1" si="16"/>
        <v>144.87540970693988</v>
      </c>
      <c r="AJ31" s="438">
        <f t="shared" ca="1" si="10"/>
        <v>4.4136532665680548</v>
      </c>
      <c r="AK31" s="438"/>
      <c r="AL31" s="438">
        <f t="shared" ca="1" si="11"/>
        <v>24.110888661820553</v>
      </c>
      <c r="AM31" s="439">
        <f t="shared" si="11"/>
        <v>0</v>
      </c>
      <c r="AN31" s="439"/>
      <c r="AO31" s="439">
        <f t="shared" ca="1" si="17"/>
        <v>1.0972061733705805</v>
      </c>
      <c r="AP31" s="442">
        <f t="shared" ca="1" si="17"/>
        <v>7.7565515244859995</v>
      </c>
      <c r="AQ31" s="443"/>
      <c r="AR31" s="435" t="str">
        <f t="shared" si="18"/>
        <v>Any ENERGY STAR (Top- or Front-Load) Clothes Washer - Gas DHW, Gas Dryer - 31% ENERGY STAR Baseline</v>
      </c>
      <c r="AS31" s="437">
        <f t="shared" ca="1" si="19"/>
        <v>144.87540970693988</v>
      </c>
      <c r="AT31" s="438">
        <f t="shared" ca="1" si="20"/>
        <v>4.4136532665680548</v>
      </c>
      <c r="AU31" s="439">
        <f t="shared" ca="1" si="21"/>
        <v>1.0972061733705805</v>
      </c>
      <c r="AV31" s="439">
        <f t="shared" ca="1" si="22"/>
        <v>726.65551421976352</v>
      </c>
      <c r="AW31" s="439"/>
      <c r="AX31" s="438">
        <f t="shared" ca="1" si="12"/>
        <v>7.0907571387672927</v>
      </c>
      <c r="AY31" s="438">
        <f t="shared" ca="1" si="23"/>
        <v>7.7565515244859995</v>
      </c>
      <c r="AZ31" s="443"/>
      <c r="BA31" s="433" t="str">
        <f t="shared" si="24"/>
        <v>Any ENERGY STAR (Top- or Front-Load) Clothes Washer - Gas DHW, Gas Dryer - 31% ENERGY STAR Baseline</v>
      </c>
      <c r="BB31" s="433" t="s">
        <v>25</v>
      </c>
      <c r="BC31" s="438">
        <f t="shared" ca="1" si="25"/>
        <v>4.4136532665680548</v>
      </c>
      <c r="BD31" s="438">
        <f>SFAssumptions!$C$7</f>
        <v>14</v>
      </c>
      <c r="BE31" s="444">
        <f t="shared" ca="1" si="26"/>
        <v>144.87540970693988</v>
      </c>
      <c r="BF31" s="433"/>
      <c r="BG31" s="432" t="s">
        <v>157</v>
      </c>
      <c r="BH31" s="445">
        <f t="shared" ca="1" si="27"/>
        <v>7.7565515244859995</v>
      </c>
      <c r="BI31" s="433"/>
      <c r="BJ31" s="433"/>
      <c r="BK31" s="433"/>
      <c r="BL31" s="433"/>
      <c r="BM31" s="433"/>
      <c r="BN31" s="433"/>
      <c r="BO31" s="446">
        <f t="shared" ca="1" si="28"/>
        <v>1.0972061733705805</v>
      </c>
      <c r="BP31" s="433" t="s">
        <v>158</v>
      </c>
    </row>
    <row r="32" spans="1:69" s="414" customFormat="1">
      <c r="A32" s="433">
        <f t="shared" si="29"/>
        <v>15</v>
      </c>
      <c r="B32" s="433">
        <f t="shared" si="3"/>
        <v>1</v>
      </c>
      <c r="C32" s="433">
        <f t="shared" si="4"/>
        <v>15</v>
      </c>
      <c r="D32" s="433">
        <f t="shared" si="5"/>
        <v>3</v>
      </c>
      <c r="E32" s="433">
        <f t="shared" si="6"/>
        <v>5</v>
      </c>
      <c r="F32" s="433"/>
      <c r="G32" s="433" t="str">
        <f t="shared" si="13"/>
        <v>Current Practice Baseline Using 31% ENERGY STAR Penetration</v>
      </c>
      <c r="H32" s="433" t="str">
        <f t="shared" si="14"/>
        <v>Any ENERGY STAR (Top- or Front-Load)</v>
      </c>
      <c r="I32" s="433" t="str">
        <f t="shared" si="7"/>
        <v>Any DHW, Any Dryer</v>
      </c>
      <c r="J32" s="433" t="str">
        <f t="shared" si="8"/>
        <v>Any DHW</v>
      </c>
      <c r="K32" s="433" t="str">
        <f t="shared" si="9"/>
        <v>Any Dryer</v>
      </c>
      <c r="L32" s="434">
        <f>VLOOKUP(J32,SFAssumptions!$A$14:$B$16,2,FALSE)</f>
        <v>0.55200000000000005</v>
      </c>
      <c r="M32" s="435">
        <f>VLOOKUP(K32,SFAssumptions!$A$18:$B$20,2,FALSE)</f>
        <v>0.95</v>
      </c>
      <c r="N32" s="436">
        <f ca="1">HLOOKUP($G32,'MHBaselines and Measures'!$C$3:$V$33,7,FALSE)</f>
        <v>4047.8861059902265</v>
      </c>
      <c r="O32" s="437">
        <f ca="1">HLOOKUP($G32,'MHBaselines and Measures'!$C$3:$V$33,8,FALSE)</f>
        <v>776.31603614450796</v>
      </c>
      <c r="P32" s="438">
        <f ca="1">HLOOKUP($G32,'MHBaselines and Measures'!$C$3:$V$33,25,FALSE)</f>
        <v>53.16702252961997</v>
      </c>
      <c r="Q32" s="438"/>
      <c r="R32" s="438">
        <f ca="1">HLOOKUP($G32,'MHBaselines and Measures'!$C$3:$V$33,27,FALSE)</f>
        <v>97.367659267916409</v>
      </c>
      <c r="S32" s="439">
        <f>HLOOKUP($G32,'MHBaselines and Measures'!$C$3:$V$33,29,FALSE)</f>
        <v>0</v>
      </c>
      <c r="T32" s="439"/>
      <c r="U32" s="439">
        <f ca="1">HLOOKUP($G32,'MHBaselines and Measures'!$C$3:$V$33,31,FALSE)</f>
        <v>4.430877614418649</v>
      </c>
      <c r="V32" s="440">
        <f ca="1">HLOOKUP($G32,'MHBaselines and Measures'!$C$3:$V$33,9,FALSE)</f>
        <v>43.208420677956539</v>
      </c>
      <c r="W32" s="441"/>
      <c r="X32" s="436">
        <f ca="1">HLOOKUP($H32,'MHBaselines and Measures'!$C$2:$V$33,8,FALSE)</f>
        <v>3321.230591770463</v>
      </c>
      <c r="Y32" s="437">
        <f ca="1">HLOOKUP($H32,'MHBaselines and Measures'!$C$2:$V$33,9,FALSE)</f>
        <v>921.19144585144784</v>
      </c>
      <c r="Z32" s="438">
        <f ca="1">HLOOKUP($H32,'MHBaselines and Measures'!$C$2:$V$33,26,FALSE)</f>
        <v>48.753369263051916</v>
      </c>
      <c r="AA32" s="438"/>
      <c r="AB32" s="438">
        <f ca="1">HLOOKUP($H32,'MHBaselines and Measures'!$C$2:$V$33,28,FALSE)</f>
        <v>73.256770606095856</v>
      </c>
      <c r="AC32" s="439">
        <f>HLOOKUP($H32,'MHBaselines and Measures'!$C$2:$V$33,30,FALSE)</f>
        <v>0</v>
      </c>
      <c r="AD32" s="439"/>
      <c r="AE32" s="439">
        <f ca="1">HLOOKUP($H32,'MHBaselines and Measures'!$C$2:$V$33,32,FALSE)</f>
        <v>3.3336714410480686</v>
      </c>
      <c r="AF32" s="440">
        <f ca="1">HLOOKUP($H32,'MHBaselines and Measures'!$C$2:$V$33,10,FALSE)</f>
        <v>35.45186915347054</v>
      </c>
      <c r="AG32" s="441"/>
      <c r="AH32" s="436">
        <f t="shared" ca="1" si="15"/>
        <v>726.65551421976352</v>
      </c>
      <c r="AI32" s="437">
        <f t="shared" ca="1" si="16"/>
        <v>144.87540970693988</v>
      </c>
      <c r="AJ32" s="438">
        <f t="shared" ca="1" si="10"/>
        <v>4.4136532665680548</v>
      </c>
      <c r="AK32" s="438"/>
      <c r="AL32" s="438">
        <f t="shared" ca="1" si="11"/>
        <v>24.110888661820553</v>
      </c>
      <c r="AM32" s="439">
        <f t="shared" si="11"/>
        <v>0</v>
      </c>
      <c r="AN32" s="439"/>
      <c r="AO32" s="439">
        <f t="shared" ca="1" si="17"/>
        <v>1.0972061733705805</v>
      </c>
      <c r="AP32" s="442">
        <f t="shared" ca="1" si="17"/>
        <v>7.7565515244859995</v>
      </c>
      <c r="AQ32" s="443"/>
      <c r="AR32" s="435" t="str">
        <f t="shared" si="18"/>
        <v>Any ENERGY STAR (Top- or Front-Load) Clothes Washer - Any DHW, Any Dryer - 31% ENERGY STAR Baseline</v>
      </c>
      <c r="AS32" s="437">
        <f t="shared" ca="1" si="19"/>
        <v>144.87540970693988</v>
      </c>
      <c r="AT32" s="438">
        <f t="shared" ca="1" si="20"/>
        <v>17.722863807892999</v>
      </c>
      <c r="AU32" s="439">
        <f t="shared" ca="1" si="21"/>
        <v>0.49154836567001997</v>
      </c>
      <c r="AV32" s="439">
        <f t="shared" ca="1" si="22"/>
        <v>726.65551421976352</v>
      </c>
      <c r="AW32" s="439"/>
      <c r="AX32" s="438">
        <f t="shared" ca="1" si="12"/>
        <v>20.399967680092235</v>
      </c>
      <c r="AY32" s="438">
        <f t="shared" ca="1" si="23"/>
        <v>7.7565515244859995</v>
      </c>
      <c r="AZ32" s="443"/>
      <c r="BA32" s="433" t="str">
        <f t="shared" si="24"/>
        <v>Any ENERGY STAR (Top- or Front-Load) Clothes Washer - Any DHW, Any Dryer - 31% ENERGY STAR Baseline</v>
      </c>
      <c r="BB32" s="433" t="s">
        <v>25</v>
      </c>
      <c r="BC32" s="438">
        <f t="shared" ca="1" si="25"/>
        <v>17.722863807892999</v>
      </c>
      <c r="BD32" s="438">
        <f>SFAssumptions!$C$7</f>
        <v>14</v>
      </c>
      <c r="BE32" s="444">
        <f t="shared" ca="1" si="26"/>
        <v>144.87540970693988</v>
      </c>
      <c r="BF32" s="433"/>
      <c r="BG32" s="432" t="s">
        <v>157</v>
      </c>
      <c r="BH32" s="445">
        <f t="shared" ca="1" si="27"/>
        <v>7.7565515244859995</v>
      </c>
      <c r="BI32" s="433"/>
      <c r="BJ32" s="433"/>
      <c r="BK32" s="433"/>
      <c r="BL32" s="433"/>
      <c r="BM32" s="433"/>
      <c r="BN32" s="433"/>
      <c r="BO32" s="446">
        <f t="shared" ca="1" si="28"/>
        <v>0.49154836567001997</v>
      </c>
      <c r="BP32" s="433" t="s">
        <v>158</v>
      </c>
    </row>
    <row r="33" spans="1:68" s="414" customFormat="1">
      <c r="A33" s="433">
        <f t="shared" si="29"/>
        <v>16</v>
      </c>
      <c r="B33" s="433">
        <f t="shared" si="3"/>
        <v>1</v>
      </c>
      <c r="C33" s="433">
        <f t="shared" si="4"/>
        <v>16</v>
      </c>
      <c r="D33" s="433">
        <f t="shared" si="5"/>
        <v>4</v>
      </c>
      <c r="E33" s="433">
        <f t="shared" si="6"/>
        <v>1</v>
      </c>
      <c r="F33" s="433"/>
      <c r="G33" s="433" t="str">
        <f t="shared" si="13"/>
        <v>Current Practice Baseline Using 31% ENERGY STAR Penetration</v>
      </c>
      <c r="H33" s="433" t="str">
        <f t="shared" si="14"/>
        <v>CEE Tier 1</v>
      </c>
      <c r="I33" s="433" t="str">
        <f t="shared" si="7"/>
        <v>Electric DHW, Electric Dryer</v>
      </c>
      <c r="J33" s="433" t="str">
        <f t="shared" si="8"/>
        <v>Electric DHW</v>
      </c>
      <c r="K33" s="433" t="str">
        <f t="shared" si="9"/>
        <v>Electric Dryer</v>
      </c>
      <c r="L33" s="434">
        <f>VLOOKUP(J33,SFAssumptions!$A$14:$B$16,2,FALSE)</f>
        <v>1</v>
      </c>
      <c r="M33" s="435">
        <f>VLOOKUP(K33,SFAssumptions!$A$18:$B$20,2,FALSE)</f>
        <v>1</v>
      </c>
      <c r="N33" s="436">
        <f ca="1">HLOOKUP($G33,'MHBaselines and Measures'!$C$3:$V$33,7,FALSE)</f>
        <v>4047.8861059902265</v>
      </c>
      <c r="O33" s="437">
        <f ca="1">HLOOKUP($G33,'MHBaselines and Measures'!$C$3:$V$33,8,FALSE)</f>
        <v>776.31603614450796</v>
      </c>
      <c r="P33" s="438">
        <f ca="1">HLOOKUP($G33,'MHBaselines and Measures'!$C$3:$V$33,25,FALSE)</f>
        <v>53.16702252961997</v>
      </c>
      <c r="Q33" s="438"/>
      <c r="R33" s="438">
        <f ca="1">HLOOKUP($G33,'MHBaselines and Measures'!$C$3:$V$33,27,FALSE)</f>
        <v>97.367659267916409</v>
      </c>
      <c r="S33" s="439">
        <f>HLOOKUP($G33,'MHBaselines and Measures'!$C$3:$V$33,29,FALSE)</f>
        <v>0</v>
      </c>
      <c r="T33" s="439"/>
      <c r="U33" s="439">
        <f ca="1">HLOOKUP($G33,'MHBaselines and Measures'!$C$3:$V$33,31,FALSE)</f>
        <v>4.430877614418649</v>
      </c>
      <c r="V33" s="440">
        <f ca="1">HLOOKUP($G33,'MHBaselines and Measures'!$C$3:$V$33,9,FALSE)</f>
        <v>43.208420677956539</v>
      </c>
      <c r="W33" s="441"/>
      <c r="X33" s="436">
        <f ca="1">HLOOKUP($H33,'MHBaselines and Measures'!$C$2:$V$33,8,FALSE)</f>
        <v>3186.6458062683578</v>
      </c>
      <c r="Y33" s="437">
        <f ca="1">HLOOKUP($H33,'MHBaselines and Measures'!$C$2:$V$33,9,FALSE)</f>
        <v>951.49912384722427</v>
      </c>
      <c r="Z33" s="438">
        <f ca="1">HLOOKUP($H33,'MHBaselines and Measures'!$C$2:$V$33,26,FALSE)</f>
        <v>48.776644495762561</v>
      </c>
      <c r="AA33" s="438"/>
      <c r="AB33" s="438">
        <f ca="1">HLOOKUP($H33,'MHBaselines and Measures'!$C$2:$V$33,28,FALSE)</f>
        <v>70.321774427010425</v>
      </c>
      <c r="AC33" s="439">
        <f>HLOOKUP($H33,'MHBaselines and Measures'!$C$2:$V$33,30,FALSE)</f>
        <v>0</v>
      </c>
      <c r="AD33" s="439"/>
      <c r="AE33" s="439">
        <f ca="1">HLOOKUP($H33,'MHBaselines and Measures'!$C$2:$V$33,32,FALSE)</f>
        <v>3.2001095482584874</v>
      </c>
      <c r="AF33" s="440">
        <f ca="1">HLOOKUP($H33,'MHBaselines and Measures'!$C$2:$V$33,10,FALSE)</f>
        <v>34.015268449655785</v>
      </c>
      <c r="AG33" s="441"/>
      <c r="AH33" s="436">
        <f t="shared" ca="1" si="15"/>
        <v>861.24029972186872</v>
      </c>
      <c r="AI33" s="437">
        <f t="shared" ca="1" si="16"/>
        <v>175.18308770271631</v>
      </c>
      <c r="AJ33" s="438">
        <f t="shared" ca="1" si="10"/>
        <v>4.3903780338574094</v>
      </c>
      <c r="AK33" s="438"/>
      <c r="AL33" s="438">
        <f t="shared" ca="1" si="11"/>
        <v>27.045884840905984</v>
      </c>
      <c r="AM33" s="439">
        <f t="shared" si="11"/>
        <v>0</v>
      </c>
      <c r="AN33" s="439"/>
      <c r="AO33" s="439">
        <f t="shared" ca="1" si="17"/>
        <v>1.2307680661601617</v>
      </c>
      <c r="AP33" s="442">
        <f t="shared" ca="1" si="17"/>
        <v>9.1931522283007538</v>
      </c>
      <c r="AQ33" s="443"/>
      <c r="AR33" s="435" t="str">
        <f t="shared" si="18"/>
        <v>CEE Tier 1 Clothes Washer - Electric DHW, Electric Dryer - 31% ENERGY STAR Baseline</v>
      </c>
      <c r="AS33" s="437">
        <f t="shared" ca="1" si="19"/>
        <v>175.18308770271631</v>
      </c>
      <c r="AT33" s="438">
        <f t="shared" ca="1" si="20"/>
        <v>31.436262874763393</v>
      </c>
      <c r="AU33" s="439">
        <f t="shared" ca="1" si="21"/>
        <v>0</v>
      </c>
      <c r="AV33" s="439">
        <f t="shared" ca="1" si="22"/>
        <v>861.24029972186872</v>
      </c>
      <c r="AW33" s="439"/>
      <c r="AX33" s="438">
        <f t="shared" ca="1" si="12"/>
        <v>34.609196536121601</v>
      </c>
      <c r="AY33" s="438">
        <f t="shared" ca="1" si="23"/>
        <v>9.1931522283007538</v>
      </c>
      <c r="AZ33" s="443"/>
      <c r="BA33" s="433" t="str">
        <f t="shared" si="24"/>
        <v>CEE Tier 1 Clothes Washer - Electric DHW, Electric Dryer - 31% ENERGY STAR Baseline</v>
      </c>
      <c r="BB33" s="433" t="s">
        <v>25</v>
      </c>
      <c r="BC33" s="438">
        <f t="shared" ca="1" si="25"/>
        <v>31.436262874763393</v>
      </c>
      <c r="BD33" s="438">
        <f>SFAssumptions!$C$7</f>
        <v>14</v>
      </c>
      <c r="BE33" s="444">
        <f t="shared" ca="1" si="26"/>
        <v>175.18308770271631</v>
      </c>
      <c r="BF33" s="433"/>
      <c r="BG33" s="432" t="s">
        <v>157</v>
      </c>
      <c r="BH33" s="445">
        <f t="shared" ca="1" si="27"/>
        <v>9.1931522283007538</v>
      </c>
      <c r="BI33" s="433"/>
      <c r="BJ33" s="433"/>
      <c r="BK33" s="433"/>
      <c r="BL33" s="433"/>
      <c r="BM33" s="433"/>
      <c r="BN33" s="433"/>
      <c r="BO33" s="446">
        <f t="shared" ca="1" si="28"/>
        <v>0</v>
      </c>
      <c r="BP33" s="433" t="s">
        <v>158</v>
      </c>
    </row>
    <row r="34" spans="1:68" s="414" customFormat="1">
      <c r="A34" s="433">
        <f t="shared" si="29"/>
        <v>17</v>
      </c>
      <c r="B34" s="433">
        <f t="shared" si="3"/>
        <v>1</v>
      </c>
      <c r="C34" s="433">
        <f t="shared" si="4"/>
        <v>17</v>
      </c>
      <c r="D34" s="433">
        <f t="shared" si="5"/>
        <v>4</v>
      </c>
      <c r="E34" s="433">
        <f t="shared" si="6"/>
        <v>2</v>
      </c>
      <c r="F34" s="433"/>
      <c r="G34" s="433" t="str">
        <f t="shared" si="13"/>
        <v>Current Practice Baseline Using 31% ENERGY STAR Penetration</v>
      </c>
      <c r="H34" s="433" t="str">
        <f t="shared" si="14"/>
        <v>CEE Tier 1</v>
      </c>
      <c r="I34" s="433" t="str">
        <f t="shared" si="7"/>
        <v>Electric DHW, Gas Dryer</v>
      </c>
      <c r="J34" s="433" t="str">
        <f t="shared" si="8"/>
        <v>Electric DHW</v>
      </c>
      <c r="K34" s="433" t="str">
        <f t="shared" si="9"/>
        <v>Gas Dryer</v>
      </c>
      <c r="L34" s="434">
        <f>VLOOKUP(J34,SFAssumptions!$A$14:$B$16,2,FALSE)</f>
        <v>1</v>
      </c>
      <c r="M34" s="435">
        <f>VLOOKUP(K34,SFAssumptions!$A$18:$B$20,2,FALSE)</f>
        <v>0</v>
      </c>
      <c r="N34" s="436">
        <f ca="1">HLOOKUP($G34,'MHBaselines and Measures'!$C$3:$V$33,7,FALSE)</f>
        <v>4047.8861059902265</v>
      </c>
      <c r="O34" s="437">
        <f ca="1">HLOOKUP($G34,'MHBaselines and Measures'!$C$3:$V$33,8,FALSE)</f>
        <v>776.31603614450796</v>
      </c>
      <c r="P34" s="438">
        <f ca="1">HLOOKUP($G34,'MHBaselines and Measures'!$C$3:$V$33,25,FALSE)</f>
        <v>53.16702252961997</v>
      </c>
      <c r="Q34" s="438"/>
      <c r="R34" s="438">
        <f ca="1">HLOOKUP($G34,'MHBaselines and Measures'!$C$3:$V$33,27,FALSE)</f>
        <v>97.367659267916409</v>
      </c>
      <c r="S34" s="439">
        <f>HLOOKUP($G34,'MHBaselines and Measures'!$C$3:$V$33,29,FALSE)</f>
        <v>0</v>
      </c>
      <c r="T34" s="439"/>
      <c r="U34" s="439">
        <f ca="1">HLOOKUP($G34,'MHBaselines and Measures'!$C$3:$V$33,31,FALSE)</f>
        <v>4.430877614418649</v>
      </c>
      <c r="V34" s="440">
        <f ca="1">HLOOKUP($G34,'MHBaselines and Measures'!$C$3:$V$33,9,FALSE)</f>
        <v>43.208420677956539</v>
      </c>
      <c r="W34" s="441"/>
      <c r="X34" s="436">
        <f ca="1">HLOOKUP($H34,'MHBaselines and Measures'!$C$2:$V$33,8,FALSE)</f>
        <v>3186.6458062683578</v>
      </c>
      <c r="Y34" s="437">
        <f ca="1">HLOOKUP($H34,'MHBaselines and Measures'!$C$2:$V$33,9,FALSE)</f>
        <v>951.49912384722427</v>
      </c>
      <c r="Z34" s="438">
        <f ca="1">HLOOKUP($H34,'MHBaselines and Measures'!$C$2:$V$33,26,FALSE)</f>
        <v>48.776644495762561</v>
      </c>
      <c r="AA34" s="438"/>
      <c r="AB34" s="438">
        <f ca="1">HLOOKUP($H34,'MHBaselines and Measures'!$C$2:$V$33,28,FALSE)</f>
        <v>70.321774427010425</v>
      </c>
      <c r="AC34" s="439">
        <f>HLOOKUP($H34,'MHBaselines and Measures'!$C$2:$V$33,30,FALSE)</f>
        <v>0</v>
      </c>
      <c r="AD34" s="439"/>
      <c r="AE34" s="439">
        <f ca="1">HLOOKUP($H34,'MHBaselines and Measures'!$C$2:$V$33,32,FALSE)</f>
        <v>3.2001095482584874</v>
      </c>
      <c r="AF34" s="440">
        <f ca="1">HLOOKUP($H34,'MHBaselines and Measures'!$C$2:$V$33,10,FALSE)</f>
        <v>34.015268449655785</v>
      </c>
      <c r="AG34" s="441"/>
      <c r="AH34" s="436">
        <f t="shared" ca="1" si="15"/>
        <v>861.24029972186872</v>
      </c>
      <c r="AI34" s="437">
        <f t="shared" ca="1" si="16"/>
        <v>175.18308770271631</v>
      </c>
      <c r="AJ34" s="438">
        <f t="shared" ca="1" si="10"/>
        <v>4.3903780338574094</v>
      </c>
      <c r="AK34" s="438"/>
      <c r="AL34" s="438">
        <f t="shared" ref="AL34:AM49" ca="1" si="30">R34-AB34</f>
        <v>27.045884840905984</v>
      </c>
      <c r="AM34" s="439">
        <f t="shared" si="30"/>
        <v>0</v>
      </c>
      <c r="AN34" s="439"/>
      <c r="AO34" s="439">
        <f t="shared" ca="1" si="17"/>
        <v>1.2307680661601617</v>
      </c>
      <c r="AP34" s="442">
        <f t="shared" ca="1" si="17"/>
        <v>9.1931522283007538</v>
      </c>
      <c r="AQ34" s="443"/>
      <c r="AR34" s="435" t="str">
        <f t="shared" si="18"/>
        <v>CEE Tier 1 Clothes Washer - Electric DHW, Gas Dryer - 31% ENERGY STAR Baseline</v>
      </c>
      <c r="AS34" s="437">
        <f t="shared" ca="1" si="19"/>
        <v>175.18308770271631</v>
      </c>
      <c r="AT34" s="438">
        <f t="shared" ca="1" si="20"/>
        <v>31.436262874763393</v>
      </c>
      <c r="AU34" s="439">
        <f t="shared" ca="1" si="21"/>
        <v>0</v>
      </c>
      <c r="AV34" s="439">
        <f t="shared" ca="1" si="22"/>
        <v>861.24029972186872</v>
      </c>
      <c r="AW34" s="439"/>
      <c r="AX34" s="438">
        <f t="shared" ca="1" si="12"/>
        <v>34.609196536121601</v>
      </c>
      <c r="AY34" s="438">
        <f t="shared" ca="1" si="23"/>
        <v>9.1931522283007538</v>
      </c>
      <c r="AZ34" s="443"/>
      <c r="BA34" s="433" t="str">
        <f t="shared" si="24"/>
        <v>CEE Tier 1 Clothes Washer - Electric DHW, Gas Dryer - 31% ENERGY STAR Baseline</v>
      </c>
      <c r="BB34" s="433" t="s">
        <v>25</v>
      </c>
      <c r="BC34" s="438">
        <f t="shared" ca="1" si="25"/>
        <v>31.436262874763393</v>
      </c>
      <c r="BD34" s="438">
        <f>SFAssumptions!$C$7</f>
        <v>14</v>
      </c>
      <c r="BE34" s="444">
        <f t="shared" ca="1" si="26"/>
        <v>175.18308770271631</v>
      </c>
      <c r="BF34" s="433"/>
      <c r="BG34" s="432" t="s">
        <v>157</v>
      </c>
      <c r="BH34" s="445">
        <f t="shared" ca="1" si="27"/>
        <v>9.1931522283007538</v>
      </c>
      <c r="BI34" s="433"/>
      <c r="BJ34" s="433"/>
      <c r="BK34" s="433"/>
      <c r="BL34" s="433"/>
      <c r="BM34" s="433"/>
      <c r="BN34" s="433"/>
      <c r="BO34" s="446">
        <f t="shared" ca="1" si="28"/>
        <v>0</v>
      </c>
      <c r="BP34" s="433" t="s">
        <v>158</v>
      </c>
    </row>
    <row r="35" spans="1:68" s="414" customFormat="1">
      <c r="A35" s="433">
        <f t="shared" si="29"/>
        <v>18</v>
      </c>
      <c r="B35" s="433">
        <f t="shared" si="3"/>
        <v>1</v>
      </c>
      <c r="C35" s="433">
        <f t="shared" si="4"/>
        <v>18</v>
      </c>
      <c r="D35" s="433">
        <f t="shared" si="5"/>
        <v>4</v>
      </c>
      <c r="E35" s="433">
        <f t="shared" si="6"/>
        <v>3</v>
      </c>
      <c r="F35" s="433"/>
      <c r="G35" s="433" t="str">
        <f t="shared" si="13"/>
        <v>Current Practice Baseline Using 31% ENERGY STAR Penetration</v>
      </c>
      <c r="H35" s="433" t="str">
        <f t="shared" si="14"/>
        <v>CEE Tier 1</v>
      </c>
      <c r="I35" s="433" t="str">
        <f t="shared" si="7"/>
        <v>Gas DHW, Electric Dryer</v>
      </c>
      <c r="J35" s="433" t="str">
        <f t="shared" si="8"/>
        <v>Gas DHW</v>
      </c>
      <c r="K35" s="433" t="str">
        <f t="shared" si="9"/>
        <v>Electric Dryer</v>
      </c>
      <c r="L35" s="434">
        <f>VLOOKUP(J35,SFAssumptions!$A$14:$B$16,2,FALSE)</f>
        <v>0</v>
      </c>
      <c r="M35" s="435">
        <f>VLOOKUP(K35,SFAssumptions!$A$18:$B$20,2,FALSE)</f>
        <v>1</v>
      </c>
      <c r="N35" s="436">
        <f ca="1">HLOOKUP($G35,'MHBaselines and Measures'!$C$3:$V$33,7,FALSE)</f>
        <v>4047.8861059902265</v>
      </c>
      <c r="O35" s="437">
        <f ca="1">HLOOKUP($G35,'MHBaselines and Measures'!$C$3:$V$33,8,FALSE)</f>
        <v>776.31603614450796</v>
      </c>
      <c r="P35" s="438">
        <f ca="1">HLOOKUP($G35,'MHBaselines and Measures'!$C$3:$V$33,25,FALSE)</f>
        <v>53.16702252961997</v>
      </c>
      <c r="Q35" s="438"/>
      <c r="R35" s="438">
        <f ca="1">HLOOKUP($G35,'MHBaselines and Measures'!$C$3:$V$33,27,FALSE)</f>
        <v>97.367659267916409</v>
      </c>
      <c r="S35" s="439">
        <f>HLOOKUP($G35,'MHBaselines and Measures'!$C$3:$V$33,29,FALSE)</f>
        <v>0</v>
      </c>
      <c r="T35" s="439"/>
      <c r="U35" s="439">
        <f ca="1">HLOOKUP($G35,'MHBaselines and Measures'!$C$3:$V$33,31,FALSE)</f>
        <v>4.430877614418649</v>
      </c>
      <c r="V35" s="440">
        <f ca="1">HLOOKUP($G35,'MHBaselines and Measures'!$C$3:$V$33,9,FALSE)</f>
        <v>43.208420677956539</v>
      </c>
      <c r="W35" s="441"/>
      <c r="X35" s="436">
        <f ca="1">HLOOKUP($H35,'MHBaselines and Measures'!$C$2:$V$33,8,FALSE)</f>
        <v>3186.6458062683578</v>
      </c>
      <c r="Y35" s="437">
        <f ca="1">HLOOKUP($H35,'MHBaselines and Measures'!$C$2:$V$33,9,FALSE)</f>
        <v>951.49912384722427</v>
      </c>
      <c r="Z35" s="438">
        <f ca="1">HLOOKUP($H35,'MHBaselines and Measures'!$C$2:$V$33,26,FALSE)</f>
        <v>48.776644495762561</v>
      </c>
      <c r="AA35" s="438"/>
      <c r="AB35" s="438">
        <f ca="1">HLOOKUP($H35,'MHBaselines and Measures'!$C$2:$V$33,28,FALSE)</f>
        <v>70.321774427010425</v>
      </c>
      <c r="AC35" s="439">
        <f>HLOOKUP($H35,'MHBaselines and Measures'!$C$2:$V$33,30,FALSE)</f>
        <v>0</v>
      </c>
      <c r="AD35" s="439"/>
      <c r="AE35" s="439">
        <f ca="1">HLOOKUP($H35,'MHBaselines and Measures'!$C$2:$V$33,32,FALSE)</f>
        <v>3.2001095482584874</v>
      </c>
      <c r="AF35" s="440">
        <f ca="1">HLOOKUP($H35,'MHBaselines and Measures'!$C$2:$V$33,10,FALSE)</f>
        <v>34.015268449655785</v>
      </c>
      <c r="AG35" s="441"/>
      <c r="AH35" s="436">
        <f t="shared" ca="1" si="15"/>
        <v>861.24029972186872</v>
      </c>
      <c r="AI35" s="437">
        <f t="shared" ca="1" si="16"/>
        <v>175.18308770271631</v>
      </c>
      <c r="AJ35" s="438">
        <f t="shared" ca="1" si="10"/>
        <v>4.3903780338574094</v>
      </c>
      <c r="AK35" s="438"/>
      <c r="AL35" s="438">
        <f t="shared" ca="1" si="30"/>
        <v>27.045884840905984</v>
      </c>
      <c r="AM35" s="439">
        <f t="shared" si="30"/>
        <v>0</v>
      </c>
      <c r="AN35" s="439"/>
      <c r="AO35" s="439">
        <f t="shared" ref="AO35:AP50" ca="1" si="31">U35-AE35</f>
        <v>1.2307680661601617</v>
      </c>
      <c r="AP35" s="442">
        <f t="shared" ca="1" si="31"/>
        <v>9.1931522283007538</v>
      </c>
      <c r="AQ35" s="443"/>
      <c r="AR35" s="435" t="str">
        <f t="shared" si="18"/>
        <v>CEE Tier 1 Clothes Washer - Gas DHW, Electric Dryer - 31% ENERGY STAR Baseline</v>
      </c>
      <c r="AS35" s="437">
        <f t="shared" ca="1" si="19"/>
        <v>175.18308770271631</v>
      </c>
      <c r="AT35" s="438">
        <f t="shared" ca="1" si="20"/>
        <v>4.3903780338574094</v>
      </c>
      <c r="AU35" s="439">
        <f t="shared" ca="1" si="21"/>
        <v>1.2307680661601617</v>
      </c>
      <c r="AV35" s="439">
        <f t="shared" ca="1" si="22"/>
        <v>861.24029972186872</v>
      </c>
      <c r="AW35" s="439"/>
      <c r="AX35" s="438">
        <f t="shared" ca="1" si="12"/>
        <v>7.563311695215619</v>
      </c>
      <c r="AY35" s="438">
        <f t="shared" ca="1" si="23"/>
        <v>9.1931522283007538</v>
      </c>
      <c r="AZ35" s="443"/>
      <c r="BA35" s="433" t="str">
        <f t="shared" si="24"/>
        <v>CEE Tier 1 Clothes Washer - Gas DHW, Electric Dryer - 31% ENERGY STAR Baseline</v>
      </c>
      <c r="BB35" s="433" t="s">
        <v>25</v>
      </c>
      <c r="BC35" s="438">
        <f t="shared" ca="1" si="25"/>
        <v>4.3903780338574094</v>
      </c>
      <c r="BD35" s="438">
        <f>SFAssumptions!$C$7</f>
        <v>14</v>
      </c>
      <c r="BE35" s="444">
        <f t="shared" ca="1" si="26"/>
        <v>175.18308770271631</v>
      </c>
      <c r="BF35" s="433"/>
      <c r="BG35" s="432" t="s">
        <v>157</v>
      </c>
      <c r="BH35" s="445">
        <f t="shared" ca="1" si="27"/>
        <v>9.1931522283007538</v>
      </c>
      <c r="BI35" s="433"/>
      <c r="BJ35" s="433"/>
      <c r="BK35" s="433"/>
      <c r="BL35" s="433"/>
      <c r="BM35" s="433"/>
      <c r="BN35" s="433"/>
      <c r="BO35" s="446">
        <f t="shared" ca="1" si="28"/>
        <v>1.2307680661601617</v>
      </c>
      <c r="BP35" s="433" t="s">
        <v>158</v>
      </c>
    </row>
    <row r="36" spans="1:68" s="414" customFormat="1">
      <c r="A36" s="433">
        <f t="shared" si="29"/>
        <v>19</v>
      </c>
      <c r="B36" s="433">
        <f t="shared" si="3"/>
        <v>1</v>
      </c>
      <c r="C36" s="433">
        <f t="shared" si="4"/>
        <v>19</v>
      </c>
      <c r="D36" s="433">
        <f t="shared" si="5"/>
        <v>4</v>
      </c>
      <c r="E36" s="433">
        <f t="shared" si="6"/>
        <v>4</v>
      </c>
      <c r="F36" s="433"/>
      <c r="G36" s="433" t="str">
        <f t="shared" si="13"/>
        <v>Current Practice Baseline Using 31% ENERGY STAR Penetration</v>
      </c>
      <c r="H36" s="433" t="str">
        <f t="shared" si="14"/>
        <v>CEE Tier 1</v>
      </c>
      <c r="I36" s="433" t="str">
        <f t="shared" si="7"/>
        <v>Gas DHW, Gas Dryer</v>
      </c>
      <c r="J36" s="433" t="str">
        <f t="shared" si="8"/>
        <v>Gas DHW</v>
      </c>
      <c r="K36" s="433" t="str">
        <f t="shared" si="9"/>
        <v>Gas Dryer</v>
      </c>
      <c r="L36" s="434">
        <f>VLOOKUP(J36,SFAssumptions!$A$14:$B$16,2,FALSE)</f>
        <v>0</v>
      </c>
      <c r="M36" s="435">
        <f>VLOOKUP(K36,SFAssumptions!$A$18:$B$20,2,FALSE)</f>
        <v>0</v>
      </c>
      <c r="N36" s="436">
        <f ca="1">HLOOKUP($G36,'MHBaselines and Measures'!$C$3:$V$33,7,FALSE)</f>
        <v>4047.8861059902265</v>
      </c>
      <c r="O36" s="437">
        <f ca="1">HLOOKUP($G36,'MHBaselines and Measures'!$C$3:$V$33,8,FALSE)</f>
        <v>776.31603614450796</v>
      </c>
      <c r="P36" s="438">
        <f ca="1">HLOOKUP($G36,'MHBaselines and Measures'!$C$3:$V$33,25,FALSE)</f>
        <v>53.16702252961997</v>
      </c>
      <c r="Q36" s="438"/>
      <c r="R36" s="438">
        <f ca="1">HLOOKUP($G36,'MHBaselines and Measures'!$C$3:$V$33,27,FALSE)</f>
        <v>97.367659267916409</v>
      </c>
      <c r="S36" s="439">
        <f>HLOOKUP($G36,'MHBaselines and Measures'!$C$3:$V$33,29,FALSE)</f>
        <v>0</v>
      </c>
      <c r="T36" s="439"/>
      <c r="U36" s="439">
        <f ca="1">HLOOKUP($G36,'MHBaselines and Measures'!$C$3:$V$33,31,FALSE)</f>
        <v>4.430877614418649</v>
      </c>
      <c r="V36" s="440">
        <f ca="1">HLOOKUP($G36,'MHBaselines and Measures'!$C$3:$V$33,9,FALSE)</f>
        <v>43.208420677956539</v>
      </c>
      <c r="W36" s="441"/>
      <c r="X36" s="436">
        <f ca="1">HLOOKUP($H36,'MHBaselines and Measures'!$C$2:$V$33,8,FALSE)</f>
        <v>3186.6458062683578</v>
      </c>
      <c r="Y36" s="437">
        <f ca="1">HLOOKUP($H36,'MHBaselines and Measures'!$C$2:$V$33,9,FALSE)</f>
        <v>951.49912384722427</v>
      </c>
      <c r="Z36" s="438">
        <f ca="1">HLOOKUP($H36,'MHBaselines and Measures'!$C$2:$V$33,26,FALSE)</f>
        <v>48.776644495762561</v>
      </c>
      <c r="AA36" s="438"/>
      <c r="AB36" s="438">
        <f ca="1">HLOOKUP($H36,'MHBaselines and Measures'!$C$2:$V$33,28,FALSE)</f>
        <v>70.321774427010425</v>
      </c>
      <c r="AC36" s="439">
        <f>HLOOKUP($H36,'MHBaselines and Measures'!$C$2:$V$33,30,FALSE)</f>
        <v>0</v>
      </c>
      <c r="AD36" s="439"/>
      <c r="AE36" s="439">
        <f ca="1">HLOOKUP($H36,'MHBaselines and Measures'!$C$2:$V$33,32,FALSE)</f>
        <v>3.2001095482584874</v>
      </c>
      <c r="AF36" s="440">
        <f ca="1">HLOOKUP($H36,'MHBaselines and Measures'!$C$2:$V$33,10,FALSE)</f>
        <v>34.015268449655785</v>
      </c>
      <c r="AG36" s="441"/>
      <c r="AH36" s="436">
        <f t="shared" ca="1" si="15"/>
        <v>861.24029972186872</v>
      </c>
      <c r="AI36" s="437">
        <f t="shared" ca="1" si="16"/>
        <v>175.18308770271631</v>
      </c>
      <c r="AJ36" s="438">
        <f t="shared" ca="1" si="10"/>
        <v>4.3903780338574094</v>
      </c>
      <c r="AK36" s="438"/>
      <c r="AL36" s="438">
        <f t="shared" ca="1" si="30"/>
        <v>27.045884840905984</v>
      </c>
      <c r="AM36" s="439">
        <f t="shared" si="30"/>
        <v>0</v>
      </c>
      <c r="AN36" s="439"/>
      <c r="AO36" s="439">
        <f t="shared" ca="1" si="31"/>
        <v>1.2307680661601617</v>
      </c>
      <c r="AP36" s="442">
        <f t="shared" ca="1" si="31"/>
        <v>9.1931522283007538</v>
      </c>
      <c r="AQ36" s="443"/>
      <c r="AR36" s="435" t="str">
        <f t="shared" si="18"/>
        <v>CEE Tier 1 Clothes Washer - Gas DHW, Gas Dryer - 31% ENERGY STAR Baseline</v>
      </c>
      <c r="AS36" s="437">
        <f t="shared" ca="1" si="19"/>
        <v>175.18308770271631</v>
      </c>
      <c r="AT36" s="438">
        <f t="shared" ca="1" si="20"/>
        <v>4.3903780338574094</v>
      </c>
      <c r="AU36" s="439">
        <f t="shared" ca="1" si="21"/>
        <v>1.2307680661601617</v>
      </c>
      <c r="AV36" s="439">
        <f t="shared" ca="1" si="22"/>
        <v>861.24029972186872</v>
      </c>
      <c r="AW36" s="439"/>
      <c r="AX36" s="438">
        <f t="shared" ca="1" si="12"/>
        <v>7.563311695215619</v>
      </c>
      <c r="AY36" s="438">
        <f t="shared" ca="1" si="23"/>
        <v>9.1931522283007538</v>
      </c>
      <c r="AZ36" s="443"/>
      <c r="BA36" s="433" t="str">
        <f t="shared" si="24"/>
        <v>CEE Tier 1 Clothes Washer - Gas DHW, Gas Dryer - 31% ENERGY STAR Baseline</v>
      </c>
      <c r="BB36" s="433" t="s">
        <v>25</v>
      </c>
      <c r="BC36" s="438">
        <f t="shared" ca="1" si="25"/>
        <v>4.3903780338574094</v>
      </c>
      <c r="BD36" s="438">
        <f>SFAssumptions!$C$7</f>
        <v>14</v>
      </c>
      <c r="BE36" s="444">
        <f t="shared" ca="1" si="26"/>
        <v>175.18308770271631</v>
      </c>
      <c r="BF36" s="433"/>
      <c r="BG36" s="432" t="s">
        <v>157</v>
      </c>
      <c r="BH36" s="445">
        <f t="shared" ca="1" si="27"/>
        <v>9.1931522283007538</v>
      </c>
      <c r="BI36" s="433"/>
      <c r="BJ36" s="433"/>
      <c r="BK36" s="433"/>
      <c r="BL36" s="433"/>
      <c r="BM36" s="433"/>
      <c r="BN36" s="433"/>
      <c r="BO36" s="446">
        <f t="shared" ca="1" si="28"/>
        <v>1.2307680661601617</v>
      </c>
      <c r="BP36" s="433" t="s">
        <v>158</v>
      </c>
    </row>
    <row r="37" spans="1:68" s="414" customFormat="1">
      <c r="A37" s="433">
        <f t="shared" si="29"/>
        <v>20</v>
      </c>
      <c r="B37" s="433">
        <f t="shared" si="3"/>
        <v>1</v>
      </c>
      <c r="C37" s="433">
        <f t="shared" si="4"/>
        <v>20</v>
      </c>
      <c r="D37" s="433">
        <f t="shared" si="5"/>
        <v>4</v>
      </c>
      <c r="E37" s="433">
        <f t="shared" si="6"/>
        <v>5</v>
      </c>
      <c r="F37" s="433"/>
      <c r="G37" s="433" t="str">
        <f t="shared" si="13"/>
        <v>Current Practice Baseline Using 31% ENERGY STAR Penetration</v>
      </c>
      <c r="H37" s="433" t="str">
        <f t="shared" si="14"/>
        <v>CEE Tier 1</v>
      </c>
      <c r="I37" s="433" t="str">
        <f t="shared" si="7"/>
        <v>Any DHW, Any Dryer</v>
      </c>
      <c r="J37" s="433" t="str">
        <f t="shared" si="8"/>
        <v>Any DHW</v>
      </c>
      <c r="K37" s="433" t="str">
        <f t="shared" si="9"/>
        <v>Any Dryer</v>
      </c>
      <c r="L37" s="434">
        <f>VLOOKUP(J37,SFAssumptions!$A$14:$B$16,2,FALSE)</f>
        <v>0.55200000000000005</v>
      </c>
      <c r="M37" s="435">
        <f>VLOOKUP(K37,SFAssumptions!$A$18:$B$20,2,FALSE)</f>
        <v>0.95</v>
      </c>
      <c r="N37" s="436">
        <f ca="1">HLOOKUP($G37,'MHBaselines and Measures'!$C$3:$V$33,7,FALSE)</f>
        <v>4047.8861059902265</v>
      </c>
      <c r="O37" s="437">
        <f ca="1">HLOOKUP($G37,'MHBaselines and Measures'!$C$3:$V$33,8,FALSE)</f>
        <v>776.31603614450796</v>
      </c>
      <c r="P37" s="438">
        <f ca="1">HLOOKUP($G37,'MHBaselines and Measures'!$C$3:$V$33,25,FALSE)</f>
        <v>53.16702252961997</v>
      </c>
      <c r="Q37" s="438"/>
      <c r="R37" s="438">
        <f ca="1">HLOOKUP($G37,'MHBaselines and Measures'!$C$3:$V$33,27,FALSE)</f>
        <v>97.367659267916409</v>
      </c>
      <c r="S37" s="439">
        <f>HLOOKUP($G37,'MHBaselines and Measures'!$C$3:$V$33,29,FALSE)</f>
        <v>0</v>
      </c>
      <c r="T37" s="439"/>
      <c r="U37" s="439">
        <f ca="1">HLOOKUP($G37,'MHBaselines and Measures'!$C$3:$V$33,31,FALSE)</f>
        <v>4.430877614418649</v>
      </c>
      <c r="V37" s="440">
        <f ca="1">HLOOKUP($G37,'MHBaselines and Measures'!$C$3:$V$33,9,FALSE)</f>
        <v>43.208420677956539</v>
      </c>
      <c r="W37" s="441"/>
      <c r="X37" s="436">
        <f ca="1">HLOOKUP($H37,'MHBaselines and Measures'!$C$2:$V$33,8,FALSE)</f>
        <v>3186.6458062683578</v>
      </c>
      <c r="Y37" s="437">
        <f ca="1">HLOOKUP($H37,'MHBaselines and Measures'!$C$2:$V$33,9,FALSE)</f>
        <v>951.49912384722427</v>
      </c>
      <c r="Z37" s="438">
        <f ca="1">HLOOKUP($H37,'MHBaselines and Measures'!$C$2:$V$33,26,FALSE)</f>
        <v>48.776644495762561</v>
      </c>
      <c r="AA37" s="438"/>
      <c r="AB37" s="438">
        <f ca="1">HLOOKUP($H37,'MHBaselines and Measures'!$C$2:$V$33,28,FALSE)</f>
        <v>70.321774427010425</v>
      </c>
      <c r="AC37" s="439">
        <f>HLOOKUP($H37,'MHBaselines and Measures'!$C$2:$V$33,30,FALSE)</f>
        <v>0</v>
      </c>
      <c r="AD37" s="439"/>
      <c r="AE37" s="439">
        <f ca="1">HLOOKUP($H37,'MHBaselines and Measures'!$C$2:$V$33,32,FALSE)</f>
        <v>3.2001095482584874</v>
      </c>
      <c r="AF37" s="440">
        <f ca="1">HLOOKUP($H37,'MHBaselines and Measures'!$C$2:$V$33,10,FALSE)</f>
        <v>34.015268449655785</v>
      </c>
      <c r="AG37" s="441"/>
      <c r="AH37" s="436">
        <f t="shared" ca="1" si="15"/>
        <v>861.24029972186872</v>
      </c>
      <c r="AI37" s="437">
        <f t="shared" ca="1" si="16"/>
        <v>175.18308770271631</v>
      </c>
      <c r="AJ37" s="438">
        <f t="shared" ca="1" si="10"/>
        <v>4.3903780338574094</v>
      </c>
      <c r="AK37" s="438"/>
      <c r="AL37" s="438">
        <f t="shared" ca="1" si="30"/>
        <v>27.045884840905984</v>
      </c>
      <c r="AM37" s="439">
        <f t="shared" si="30"/>
        <v>0</v>
      </c>
      <c r="AN37" s="439"/>
      <c r="AO37" s="439">
        <f t="shared" ca="1" si="31"/>
        <v>1.2307680661601617</v>
      </c>
      <c r="AP37" s="442">
        <f t="shared" ca="1" si="31"/>
        <v>9.1931522283007538</v>
      </c>
      <c r="AQ37" s="443"/>
      <c r="AR37" s="435" t="str">
        <f t="shared" si="18"/>
        <v>CEE Tier 1 Clothes Washer - Any DHW, Any Dryer - 31% ENERGY STAR Baseline</v>
      </c>
      <c r="AS37" s="437">
        <f t="shared" ca="1" si="19"/>
        <v>175.18308770271631</v>
      </c>
      <c r="AT37" s="438">
        <f t="shared" ca="1" si="20"/>
        <v>19.319706466037516</v>
      </c>
      <c r="AU37" s="439">
        <f t="shared" ca="1" si="21"/>
        <v>0.55138409363975238</v>
      </c>
      <c r="AV37" s="439">
        <f t="shared" ca="1" si="22"/>
        <v>861.24029972186872</v>
      </c>
      <c r="AW37" s="439"/>
      <c r="AX37" s="438">
        <f t="shared" ca="1" si="12"/>
        <v>22.492640127395727</v>
      </c>
      <c r="AY37" s="438">
        <f t="shared" ca="1" si="23"/>
        <v>9.1931522283007538</v>
      </c>
      <c r="AZ37" s="443"/>
      <c r="BA37" s="433" t="str">
        <f t="shared" si="24"/>
        <v>CEE Tier 1 Clothes Washer - Any DHW, Any Dryer - 31% ENERGY STAR Baseline</v>
      </c>
      <c r="BB37" s="433" t="s">
        <v>25</v>
      </c>
      <c r="BC37" s="438">
        <f t="shared" ca="1" si="25"/>
        <v>19.319706466037516</v>
      </c>
      <c r="BD37" s="438">
        <f>SFAssumptions!$C$7</f>
        <v>14</v>
      </c>
      <c r="BE37" s="444">
        <f t="shared" ca="1" si="26"/>
        <v>175.18308770271631</v>
      </c>
      <c r="BF37" s="433"/>
      <c r="BG37" s="432" t="s">
        <v>157</v>
      </c>
      <c r="BH37" s="445">
        <f t="shared" ca="1" si="27"/>
        <v>9.1931522283007538</v>
      </c>
      <c r="BI37" s="433"/>
      <c r="BJ37" s="433"/>
      <c r="BK37" s="433"/>
      <c r="BL37" s="433"/>
      <c r="BM37" s="433"/>
      <c r="BN37" s="433"/>
      <c r="BO37" s="446">
        <f t="shared" ca="1" si="28"/>
        <v>0.55138409363975238</v>
      </c>
      <c r="BP37" s="433" t="s">
        <v>158</v>
      </c>
    </row>
    <row r="38" spans="1:68" s="414" customFormat="1">
      <c r="A38" s="433">
        <f>A37+1</f>
        <v>21</v>
      </c>
      <c r="B38" s="433">
        <f t="shared" si="3"/>
        <v>1</v>
      </c>
      <c r="C38" s="433">
        <f t="shared" si="4"/>
        <v>21</v>
      </c>
      <c r="D38" s="433">
        <f t="shared" si="5"/>
        <v>5</v>
      </c>
      <c r="E38" s="433">
        <f t="shared" si="6"/>
        <v>1</v>
      </c>
      <c r="F38" s="433"/>
      <c r="G38" s="433" t="str">
        <f t="shared" si="13"/>
        <v>Current Practice Baseline Using 31% ENERGY STAR Penetration</v>
      </c>
      <c r="H38" s="433" t="str">
        <f t="shared" si="14"/>
        <v>CEE Tier 2</v>
      </c>
      <c r="I38" s="433" t="str">
        <f t="shared" si="7"/>
        <v>Electric DHW, Electric Dryer</v>
      </c>
      <c r="J38" s="433" t="str">
        <f t="shared" si="8"/>
        <v>Electric DHW</v>
      </c>
      <c r="K38" s="433" t="str">
        <f t="shared" si="9"/>
        <v>Electric Dryer</v>
      </c>
      <c r="L38" s="434">
        <f>VLOOKUP(J38,SFAssumptions!$A$14:$B$16,2,FALSE)</f>
        <v>1</v>
      </c>
      <c r="M38" s="435">
        <f>VLOOKUP(K38,SFAssumptions!$A$18:$B$20,2,FALSE)</f>
        <v>1</v>
      </c>
      <c r="N38" s="436">
        <f ca="1">HLOOKUP($G38,'MHBaselines and Measures'!$C$3:$V$33,7,FALSE)</f>
        <v>4047.8861059902265</v>
      </c>
      <c r="O38" s="437">
        <f ca="1">HLOOKUP($G38,'MHBaselines and Measures'!$C$3:$V$33,8,FALSE)</f>
        <v>776.31603614450796</v>
      </c>
      <c r="P38" s="438">
        <f ca="1">HLOOKUP($G38,'MHBaselines and Measures'!$C$3:$V$33,25,FALSE)</f>
        <v>53.16702252961997</v>
      </c>
      <c r="Q38" s="438"/>
      <c r="R38" s="438">
        <f ca="1">HLOOKUP($G38,'MHBaselines and Measures'!$C$3:$V$33,27,FALSE)</f>
        <v>97.367659267916409</v>
      </c>
      <c r="S38" s="439">
        <f>HLOOKUP($G38,'MHBaselines and Measures'!$C$3:$V$33,29,FALSE)</f>
        <v>0</v>
      </c>
      <c r="T38" s="439"/>
      <c r="U38" s="439">
        <f ca="1">HLOOKUP($G38,'MHBaselines and Measures'!$C$3:$V$33,31,FALSE)</f>
        <v>4.430877614418649</v>
      </c>
      <c r="V38" s="440">
        <f ca="1">HLOOKUP($G38,'MHBaselines and Measures'!$C$3:$V$33,9,FALSE)</f>
        <v>43.208420677956539</v>
      </c>
      <c r="W38" s="441"/>
      <c r="X38" s="436">
        <f ca="1">HLOOKUP($H38,'MHBaselines and Measures'!$C$2:$V$33,8,FALSE)</f>
        <v>2899.206481928567</v>
      </c>
      <c r="Y38" s="437">
        <f ca="1">HLOOKUP($H38,'MHBaselines and Measures'!$C$2:$V$33,9,FALSE)</f>
        <v>1001.0825583529517</v>
      </c>
      <c r="Z38" s="438">
        <f ca="1">HLOOKUP($H38,'MHBaselines and Measures'!$C$2:$V$33,26,FALSE)</f>
        <v>46.405924501548718</v>
      </c>
      <c r="AA38" s="438"/>
      <c r="AB38" s="438">
        <f ca="1">HLOOKUP($H38,'MHBaselines and Measures'!$C$2:$V$33,28,FALSE)</f>
        <v>60.869072163758943</v>
      </c>
      <c r="AC38" s="439">
        <f>HLOOKUP($H38,'MHBaselines and Measures'!$C$2:$V$33,30,FALSE)</f>
        <v>0</v>
      </c>
      <c r="AD38" s="439"/>
      <c r="AE38" s="439">
        <f ca="1">HLOOKUP($H38,'MHBaselines and Measures'!$C$2:$V$33,32,FALSE)</f>
        <v>2.7699485772654566</v>
      </c>
      <c r="AF38" s="440">
        <f ca="1">HLOOKUP($H38,'MHBaselines and Measures'!$C$2:$V$33,10,FALSE)</f>
        <v>30.947049897982122</v>
      </c>
      <c r="AG38" s="441"/>
      <c r="AH38" s="436">
        <f t="shared" ca="1" si="15"/>
        <v>1148.6796240616595</v>
      </c>
      <c r="AI38" s="437">
        <f t="shared" ca="1" si="16"/>
        <v>224.76652220844369</v>
      </c>
      <c r="AJ38" s="438">
        <f t="shared" ca="1" si="10"/>
        <v>6.7610980280712525</v>
      </c>
      <c r="AK38" s="438"/>
      <c r="AL38" s="438">
        <f t="shared" ca="1" si="30"/>
        <v>36.498587104157465</v>
      </c>
      <c r="AM38" s="439">
        <f t="shared" si="30"/>
        <v>0</v>
      </c>
      <c r="AN38" s="439"/>
      <c r="AO38" s="439">
        <f t="shared" ca="1" si="31"/>
        <v>1.6609290371531924</v>
      </c>
      <c r="AP38" s="442">
        <f t="shared" ca="1" si="31"/>
        <v>12.261370779974417</v>
      </c>
      <c r="AQ38" s="443"/>
      <c r="AR38" s="435" t="str">
        <f t="shared" si="18"/>
        <v>CEE Tier 2 Clothes Washer - Electric DHW, Electric Dryer - 31% ENERGY STAR Baseline</v>
      </c>
      <c r="AS38" s="437">
        <f t="shared" ca="1" si="19"/>
        <v>224.76652220844369</v>
      </c>
      <c r="AT38" s="438">
        <f t="shared" ca="1" si="20"/>
        <v>43.259685132228718</v>
      </c>
      <c r="AU38" s="439">
        <f t="shared" ca="1" si="21"/>
        <v>0</v>
      </c>
      <c r="AV38" s="439">
        <f t="shared" ca="1" si="22"/>
        <v>1148.6796240616595</v>
      </c>
      <c r="AW38" s="439"/>
      <c r="AX38" s="438">
        <f t="shared" ca="1" si="12"/>
        <v>47.491586782068559</v>
      </c>
      <c r="AY38" s="438">
        <f t="shared" ca="1" si="23"/>
        <v>12.261370779974417</v>
      </c>
      <c r="AZ38" s="443"/>
      <c r="BA38" s="433" t="str">
        <f t="shared" si="24"/>
        <v>CEE Tier 2 Clothes Washer - Electric DHW, Electric Dryer - 31% ENERGY STAR Baseline</v>
      </c>
      <c r="BB38" s="433" t="s">
        <v>25</v>
      </c>
      <c r="BC38" s="438">
        <f t="shared" ca="1" si="25"/>
        <v>43.259685132228718</v>
      </c>
      <c r="BD38" s="438">
        <f>SFAssumptions!$C$7</f>
        <v>14</v>
      </c>
      <c r="BE38" s="444">
        <f t="shared" ca="1" si="26"/>
        <v>224.76652220844369</v>
      </c>
      <c r="BF38" s="433"/>
      <c r="BG38" s="432" t="s">
        <v>157</v>
      </c>
      <c r="BH38" s="445">
        <f t="shared" ca="1" si="27"/>
        <v>12.261370779974417</v>
      </c>
      <c r="BI38" s="433"/>
      <c r="BJ38" s="433"/>
      <c r="BK38" s="433"/>
      <c r="BL38" s="433"/>
      <c r="BM38" s="433"/>
      <c r="BN38" s="433"/>
      <c r="BO38" s="446">
        <f t="shared" ca="1" si="28"/>
        <v>0</v>
      </c>
      <c r="BP38" s="433" t="s">
        <v>158</v>
      </c>
    </row>
    <row r="39" spans="1:68" s="414" customFormat="1">
      <c r="A39" s="433">
        <f t="shared" si="29"/>
        <v>22</v>
      </c>
      <c r="B39" s="433">
        <f t="shared" si="3"/>
        <v>1</v>
      </c>
      <c r="C39" s="433">
        <f t="shared" si="4"/>
        <v>22</v>
      </c>
      <c r="D39" s="433">
        <f t="shared" si="5"/>
        <v>5</v>
      </c>
      <c r="E39" s="433">
        <f t="shared" si="6"/>
        <v>2</v>
      </c>
      <c r="F39" s="433"/>
      <c r="G39" s="433" t="str">
        <f t="shared" si="13"/>
        <v>Current Practice Baseline Using 31% ENERGY STAR Penetration</v>
      </c>
      <c r="H39" s="433" t="str">
        <f t="shared" si="14"/>
        <v>CEE Tier 2</v>
      </c>
      <c r="I39" s="433" t="str">
        <f t="shared" si="7"/>
        <v>Electric DHW, Gas Dryer</v>
      </c>
      <c r="J39" s="433" t="str">
        <f t="shared" si="8"/>
        <v>Electric DHW</v>
      </c>
      <c r="K39" s="433" t="str">
        <f t="shared" si="9"/>
        <v>Gas Dryer</v>
      </c>
      <c r="L39" s="434">
        <f>VLOOKUP(J39,SFAssumptions!$A$14:$B$16,2,FALSE)</f>
        <v>1</v>
      </c>
      <c r="M39" s="435">
        <f>VLOOKUP(K39,SFAssumptions!$A$18:$B$20,2,FALSE)</f>
        <v>0</v>
      </c>
      <c r="N39" s="436">
        <f ca="1">HLOOKUP($G39,'MHBaselines and Measures'!$C$3:$V$33,7,FALSE)</f>
        <v>4047.8861059902265</v>
      </c>
      <c r="O39" s="437">
        <f ca="1">HLOOKUP($G39,'MHBaselines and Measures'!$C$3:$V$33,8,FALSE)</f>
        <v>776.31603614450796</v>
      </c>
      <c r="P39" s="438">
        <f ca="1">HLOOKUP($G39,'MHBaselines and Measures'!$C$3:$V$33,25,FALSE)</f>
        <v>53.16702252961997</v>
      </c>
      <c r="Q39" s="438"/>
      <c r="R39" s="438">
        <f ca="1">HLOOKUP($G39,'MHBaselines and Measures'!$C$3:$V$33,27,FALSE)</f>
        <v>97.367659267916409</v>
      </c>
      <c r="S39" s="439">
        <f>HLOOKUP($G39,'MHBaselines and Measures'!$C$3:$V$33,29,FALSE)</f>
        <v>0</v>
      </c>
      <c r="T39" s="439"/>
      <c r="U39" s="439">
        <f ca="1">HLOOKUP($G39,'MHBaselines and Measures'!$C$3:$V$33,31,FALSE)</f>
        <v>4.430877614418649</v>
      </c>
      <c r="V39" s="440">
        <f ca="1">HLOOKUP($G39,'MHBaselines and Measures'!$C$3:$V$33,9,FALSE)</f>
        <v>43.208420677956539</v>
      </c>
      <c r="W39" s="441"/>
      <c r="X39" s="436">
        <f ca="1">HLOOKUP($H39,'MHBaselines and Measures'!$C$2:$V$33,8,FALSE)</f>
        <v>2899.206481928567</v>
      </c>
      <c r="Y39" s="437">
        <f ca="1">HLOOKUP($H39,'MHBaselines and Measures'!$C$2:$V$33,9,FALSE)</f>
        <v>1001.0825583529517</v>
      </c>
      <c r="Z39" s="438">
        <f ca="1">HLOOKUP($H39,'MHBaselines and Measures'!$C$2:$V$33,26,FALSE)</f>
        <v>46.405924501548718</v>
      </c>
      <c r="AA39" s="438"/>
      <c r="AB39" s="438">
        <f ca="1">HLOOKUP($H39,'MHBaselines and Measures'!$C$2:$V$33,28,FALSE)</f>
        <v>60.869072163758943</v>
      </c>
      <c r="AC39" s="439">
        <f>HLOOKUP($H39,'MHBaselines and Measures'!$C$2:$V$33,30,FALSE)</f>
        <v>0</v>
      </c>
      <c r="AD39" s="439"/>
      <c r="AE39" s="439">
        <f ca="1">HLOOKUP($H39,'MHBaselines and Measures'!$C$2:$V$33,32,FALSE)</f>
        <v>2.7699485772654566</v>
      </c>
      <c r="AF39" s="440">
        <f ca="1">HLOOKUP($H39,'MHBaselines and Measures'!$C$2:$V$33,10,FALSE)</f>
        <v>30.947049897982122</v>
      </c>
      <c r="AG39" s="441"/>
      <c r="AH39" s="436">
        <f t="shared" ca="1" si="15"/>
        <v>1148.6796240616595</v>
      </c>
      <c r="AI39" s="437">
        <f t="shared" ca="1" si="16"/>
        <v>224.76652220844369</v>
      </c>
      <c r="AJ39" s="438">
        <f t="shared" ca="1" si="10"/>
        <v>6.7610980280712525</v>
      </c>
      <c r="AK39" s="438"/>
      <c r="AL39" s="438">
        <f t="shared" ca="1" si="30"/>
        <v>36.498587104157465</v>
      </c>
      <c r="AM39" s="439">
        <f t="shared" si="30"/>
        <v>0</v>
      </c>
      <c r="AN39" s="439"/>
      <c r="AO39" s="439">
        <f t="shared" ca="1" si="31"/>
        <v>1.6609290371531924</v>
      </c>
      <c r="AP39" s="442">
        <f t="shared" ca="1" si="31"/>
        <v>12.261370779974417</v>
      </c>
      <c r="AQ39" s="443"/>
      <c r="AR39" s="435" t="str">
        <f t="shared" si="18"/>
        <v>CEE Tier 2 Clothes Washer - Electric DHW, Gas Dryer - 31% ENERGY STAR Baseline</v>
      </c>
      <c r="AS39" s="437">
        <f t="shared" ca="1" si="19"/>
        <v>224.76652220844369</v>
      </c>
      <c r="AT39" s="438">
        <f t="shared" ca="1" si="20"/>
        <v>43.259685132228718</v>
      </c>
      <c r="AU39" s="439">
        <f t="shared" ca="1" si="21"/>
        <v>0</v>
      </c>
      <c r="AV39" s="439">
        <f t="shared" ca="1" si="22"/>
        <v>1148.6796240616595</v>
      </c>
      <c r="AW39" s="439"/>
      <c r="AX39" s="438">
        <f t="shared" ca="1" si="12"/>
        <v>47.491586782068559</v>
      </c>
      <c r="AY39" s="438">
        <f t="shared" ca="1" si="23"/>
        <v>12.261370779974417</v>
      </c>
      <c r="AZ39" s="443"/>
      <c r="BA39" s="433" t="str">
        <f t="shared" si="24"/>
        <v>CEE Tier 2 Clothes Washer - Electric DHW, Gas Dryer - 31% ENERGY STAR Baseline</v>
      </c>
      <c r="BB39" s="433" t="s">
        <v>25</v>
      </c>
      <c r="BC39" s="438">
        <f t="shared" ca="1" si="25"/>
        <v>43.259685132228718</v>
      </c>
      <c r="BD39" s="438">
        <f>SFAssumptions!$C$7</f>
        <v>14</v>
      </c>
      <c r="BE39" s="444">
        <f t="shared" ca="1" si="26"/>
        <v>224.76652220844369</v>
      </c>
      <c r="BF39" s="433"/>
      <c r="BG39" s="432" t="s">
        <v>157</v>
      </c>
      <c r="BH39" s="445">
        <f t="shared" ca="1" si="27"/>
        <v>12.261370779974417</v>
      </c>
      <c r="BI39" s="433"/>
      <c r="BJ39" s="433"/>
      <c r="BK39" s="433"/>
      <c r="BL39" s="433"/>
      <c r="BM39" s="433"/>
      <c r="BN39" s="433"/>
      <c r="BO39" s="446">
        <f t="shared" ca="1" si="28"/>
        <v>0</v>
      </c>
      <c r="BP39" s="433" t="s">
        <v>158</v>
      </c>
    </row>
    <row r="40" spans="1:68" s="414" customFormat="1">
      <c r="A40" s="433">
        <f t="shared" si="29"/>
        <v>23</v>
      </c>
      <c r="B40" s="433">
        <f t="shared" si="3"/>
        <v>1</v>
      </c>
      <c r="C40" s="433">
        <f t="shared" si="4"/>
        <v>23</v>
      </c>
      <c r="D40" s="433">
        <f t="shared" si="5"/>
        <v>5</v>
      </c>
      <c r="E40" s="433">
        <f t="shared" si="6"/>
        <v>3</v>
      </c>
      <c r="F40" s="433"/>
      <c r="G40" s="433" t="str">
        <f t="shared" si="13"/>
        <v>Current Practice Baseline Using 31% ENERGY STAR Penetration</v>
      </c>
      <c r="H40" s="433" t="str">
        <f t="shared" si="14"/>
        <v>CEE Tier 2</v>
      </c>
      <c r="I40" s="433" t="str">
        <f t="shared" si="7"/>
        <v>Gas DHW, Electric Dryer</v>
      </c>
      <c r="J40" s="433" t="str">
        <f t="shared" si="8"/>
        <v>Gas DHW</v>
      </c>
      <c r="K40" s="433" t="str">
        <f t="shared" si="9"/>
        <v>Electric Dryer</v>
      </c>
      <c r="L40" s="434">
        <f>VLOOKUP(J40,SFAssumptions!$A$14:$B$16,2,FALSE)</f>
        <v>0</v>
      </c>
      <c r="M40" s="435">
        <f>VLOOKUP(K40,SFAssumptions!$A$18:$B$20,2,FALSE)</f>
        <v>1</v>
      </c>
      <c r="N40" s="436">
        <f ca="1">HLOOKUP($G40,'MHBaselines and Measures'!$C$3:$V$33,7,FALSE)</f>
        <v>4047.8861059902265</v>
      </c>
      <c r="O40" s="437">
        <f ca="1">HLOOKUP($G40,'MHBaselines and Measures'!$C$3:$V$33,8,FALSE)</f>
        <v>776.31603614450796</v>
      </c>
      <c r="P40" s="438">
        <f ca="1">HLOOKUP($G40,'MHBaselines and Measures'!$C$3:$V$33,25,FALSE)</f>
        <v>53.16702252961997</v>
      </c>
      <c r="Q40" s="438"/>
      <c r="R40" s="438">
        <f ca="1">HLOOKUP($G40,'MHBaselines and Measures'!$C$3:$V$33,27,FALSE)</f>
        <v>97.367659267916409</v>
      </c>
      <c r="S40" s="439">
        <f>HLOOKUP($G40,'MHBaselines and Measures'!$C$3:$V$33,29,FALSE)</f>
        <v>0</v>
      </c>
      <c r="T40" s="439"/>
      <c r="U40" s="439">
        <f ca="1">HLOOKUP($G40,'MHBaselines and Measures'!$C$3:$V$33,31,FALSE)</f>
        <v>4.430877614418649</v>
      </c>
      <c r="V40" s="440">
        <f ca="1">HLOOKUP($G40,'MHBaselines and Measures'!$C$3:$V$33,9,FALSE)</f>
        <v>43.208420677956539</v>
      </c>
      <c r="W40" s="441"/>
      <c r="X40" s="436">
        <f ca="1">HLOOKUP($H40,'MHBaselines and Measures'!$C$2:$V$33,8,FALSE)</f>
        <v>2899.206481928567</v>
      </c>
      <c r="Y40" s="437">
        <f ca="1">HLOOKUP($H40,'MHBaselines and Measures'!$C$2:$V$33,9,FALSE)</f>
        <v>1001.0825583529517</v>
      </c>
      <c r="Z40" s="438">
        <f ca="1">HLOOKUP($H40,'MHBaselines and Measures'!$C$2:$V$33,26,FALSE)</f>
        <v>46.405924501548718</v>
      </c>
      <c r="AA40" s="438"/>
      <c r="AB40" s="438">
        <f ca="1">HLOOKUP($H40,'MHBaselines and Measures'!$C$2:$V$33,28,FALSE)</f>
        <v>60.869072163758943</v>
      </c>
      <c r="AC40" s="439">
        <f>HLOOKUP($H40,'MHBaselines and Measures'!$C$2:$V$33,30,FALSE)</f>
        <v>0</v>
      </c>
      <c r="AD40" s="439"/>
      <c r="AE40" s="439">
        <f ca="1">HLOOKUP($H40,'MHBaselines and Measures'!$C$2:$V$33,32,FALSE)</f>
        <v>2.7699485772654566</v>
      </c>
      <c r="AF40" s="440">
        <f ca="1">HLOOKUP($H40,'MHBaselines and Measures'!$C$2:$V$33,10,FALSE)</f>
        <v>30.947049897982122</v>
      </c>
      <c r="AG40" s="441"/>
      <c r="AH40" s="436">
        <f t="shared" ca="1" si="15"/>
        <v>1148.6796240616595</v>
      </c>
      <c r="AI40" s="437">
        <f t="shared" ca="1" si="16"/>
        <v>224.76652220844369</v>
      </c>
      <c r="AJ40" s="438">
        <f t="shared" ca="1" si="10"/>
        <v>6.7610980280712525</v>
      </c>
      <c r="AK40" s="438"/>
      <c r="AL40" s="438">
        <f t="shared" ca="1" si="30"/>
        <v>36.498587104157465</v>
      </c>
      <c r="AM40" s="439">
        <f t="shared" si="30"/>
        <v>0</v>
      </c>
      <c r="AN40" s="439"/>
      <c r="AO40" s="439">
        <f t="shared" ca="1" si="31"/>
        <v>1.6609290371531924</v>
      </c>
      <c r="AP40" s="442">
        <f t="shared" ca="1" si="31"/>
        <v>12.261370779974417</v>
      </c>
      <c r="AQ40" s="443"/>
      <c r="AR40" s="435" t="str">
        <f t="shared" si="18"/>
        <v>CEE Tier 2 Clothes Washer - Gas DHW, Electric Dryer - 31% ENERGY STAR Baseline</v>
      </c>
      <c r="AS40" s="437">
        <f t="shared" ca="1" si="19"/>
        <v>224.76652220844369</v>
      </c>
      <c r="AT40" s="438">
        <f t="shared" ca="1" si="20"/>
        <v>6.7610980280712525</v>
      </c>
      <c r="AU40" s="439">
        <f t="shared" ca="1" si="21"/>
        <v>1.6609290371531924</v>
      </c>
      <c r="AV40" s="439">
        <f t="shared" ca="1" si="22"/>
        <v>1148.6796240616595</v>
      </c>
      <c r="AW40" s="439"/>
      <c r="AX40" s="438">
        <f t="shared" ca="1" si="12"/>
        <v>10.99299967791109</v>
      </c>
      <c r="AY40" s="438">
        <f t="shared" ca="1" si="23"/>
        <v>12.261370779974417</v>
      </c>
      <c r="AZ40" s="443"/>
      <c r="BA40" s="433" t="str">
        <f t="shared" si="24"/>
        <v>CEE Tier 2 Clothes Washer - Gas DHW, Electric Dryer - 31% ENERGY STAR Baseline</v>
      </c>
      <c r="BB40" s="433" t="s">
        <v>25</v>
      </c>
      <c r="BC40" s="438">
        <f t="shared" ca="1" si="25"/>
        <v>6.7610980280712525</v>
      </c>
      <c r="BD40" s="438">
        <f>SFAssumptions!$C$7</f>
        <v>14</v>
      </c>
      <c r="BE40" s="444">
        <f t="shared" ca="1" si="26"/>
        <v>224.76652220844369</v>
      </c>
      <c r="BF40" s="433"/>
      <c r="BG40" s="432" t="s">
        <v>157</v>
      </c>
      <c r="BH40" s="445">
        <f t="shared" ca="1" si="27"/>
        <v>12.261370779974417</v>
      </c>
      <c r="BI40" s="433"/>
      <c r="BJ40" s="433"/>
      <c r="BK40" s="433"/>
      <c r="BL40" s="433"/>
      <c r="BM40" s="433"/>
      <c r="BN40" s="433"/>
      <c r="BO40" s="446">
        <f t="shared" ca="1" si="28"/>
        <v>1.6609290371531924</v>
      </c>
      <c r="BP40" s="433" t="s">
        <v>158</v>
      </c>
    </row>
    <row r="41" spans="1:68" s="414" customFormat="1">
      <c r="A41" s="433">
        <f t="shared" si="29"/>
        <v>24</v>
      </c>
      <c r="B41" s="433">
        <f t="shared" si="3"/>
        <v>1</v>
      </c>
      <c r="C41" s="433">
        <f t="shared" si="4"/>
        <v>24</v>
      </c>
      <c r="D41" s="433">
        <f t="shared" si="5"/>
        <v>5</v>
      </c>
      <c r="E41" s="433">
        <f t="shared" si="6"/>
        <v>4</v>
      </c>
      <c r="F41" s="433"/>
      <c r="G41" s="433" t="str">
        <f t="shared" si="13"/>
        <v>Current Practice Baseline Using 31% ENERGY STAR Penetration</v>
      </c>
      <c r="H41" s="433" t="str">
        <f t="shared" si="14"/>
        <v>CEE Tier 2</v>
      </c>
      <c r="I41" s="433" t="str">
        <f t="shared" si="7"/>
        <v>Gas DHW, Gas Dryer</v>
      </c>
      <c r="J41" s="433" t="str">
        <f t="shared" si="8"/>
        <v>Gas DHW</v>
      </c>
      <c r="K41" s="433" t="str">
        <f t="shared" si="9"/>
        <v>Gas Dryer</v>
      </c>
      <c r="L41" s="434">
        <f>VLOOKUP(J41,SFAssumptions!$A$14:$B$16,2,FALSE)</f>
        <v>0</v>
      </c>
      <c r="M41" s="435">
        <f>VLOOKUP(K41,SFAssumptions!$A$18:$B$20,2,FALSE)</f>
        <v>0</v>
      </c>
      <c r="N41" s="436">
        <f ca="1">HLOOKUP($G41,'MHBaselines and Measures'!$C$3:$V$33,7,FALSE)</f>
        <v>4047.8861059902265</v>
      </c>
      <c r="O41" s="437">
        <f ca="1">HLOOKUP($G41,'MHBaselines and Measures'!$C$3:$V$33,8,FALSE)</f>
        <v>776.31603614450796</v>
      </c>
      <c r="P41" s="438">
        <f ca="1">HLOOKUP($G41,'MHBaselines and Measures'!$C$3:$V$33,25,FALSE)</f>
        <v>53.16702252961997</v>
      </c>
      <c r="Q41" s="438"/>
      <c r="R41" s="438">
        <f ca="1">HLOOKUP($G41,'MHBaselines and Measures'!$C$3:$V$33,27,FALSE)</f>
        <v>97.367659267916409</v>
      </c>
      <c r="S41" s="439">
        <f>HLOOKUP($G41,'MHBaselines and Measures'!$C$3:$V$33,29,FALSE)</f>
        <v>0</v>
      </c>
      <c r="T41" s="439"/>
      <c r="U41" s="439">
        <f ca="1">HLOOKUP($G41,'MHBaselines and Measures'!$C$3:$V$33,31,FALSE)</f>
        <v>4.430877614418649</v>
      </c>
      <c r="V41" s="440">
        <f ca="1">HLOOKUP($G41,'MHBaselines and Measures'!$C$3:$V$33,9,FALSE)</f>
        <v>43.208420677956539</v>
      </c>
      <c r="W41" s="441"/>
      <c r="X41" s="436">
        <f ca="1">HLOOKUP($H41,'MHBaselines and Measures'!$C$2:$V$33,8,FALSE)</f>
        <v>2899.206481928567</v>
      </c>
      <c r="Y41" s="437">
        <f ca="1">HLOOKUP($H41,'MHBaselines and Measures'!$C$2:$V$33,9,FALSE)</f>
        <v>1001.0825583529517</v>
      </c>
      <c r="Z41" s="438">
        <f ca="1">HLOOKUP($H41,'MHBaselines and Measures'!$C$2:$V$33,26,FALSE)</f>
        <v>46.405924501548718</v>
      </c>
      <c r="AA41" s="438"/>
      <c r="AB41" s="438">
        <f ca="1">HLOOKUP($H41,'MHBaselines and Measures'!$C$2:$V$33,28,FALSE)</f>
        <v>60.869072163758943</v>
      </c>
      <c r="AC41" s="439">
        <f>HLOOKUP($H41,'MHBaselines and Measures'!$C$2:$V$33,30,FALSE)</f>
        <v>0</v>
      </c>
      <c r="AD41" s="439"/>
      <c r="AE41" s="439">
        <f ca="1">HLOOKUP($H41,'MHBaselines and Measures'!$C$2:$V$33,32,FALSE)</f>
        <v>2.7699485772654566</v>
      </c>
      <c r="AF41" s="440">
        <f ca="1">HLOOKUP($H41,'MHBaselines and Measures'!$C$2:$V$33,10,FALSE)</f>
        <v>30.947049897982122</v>
      </c>
      <c r="AG41" s="441"/>
      <c r="AH41" s="436">
        <f t="shared" ca="1" si="15"/>
        <v>1148.6796240616595</v>
      </c>
      <c r="AI41" s="437">
        <f t="shared" ca="1" si="16"/>
        <v>224.76652220844369</v>
      </c>
      <c r="AJ41" s="438">
        <f t="shared" ca="1" si="10"/>
        <v>6.7610980280712525</v>
      </c>
      <c r="AK41" s="438"/>
      <c r="AL41" s="438">
        <f t="shared" ca="1" si="30"/>
        <v>36.498587104157465</v>
      </c>
      <c r="AM41" s="439">
        <f t="shared" si="30"/>
        <v>0</v>
      </c>
      <c r="AN41" s="439"/>
      <c r="AO41" s="439">
        <f t="shared" ca="1" si="31"/>
        <v>1.6609290371531924</v>
      </c>
      <c r="AP41" s="442">
        <f t="shared" ca="1" si="31"/>
        <v>12.261370779974417</v>
      </c>
      <c r="AQ41" s="443"/>
      <c r="AR41" s="435" t="str">
        <f t="shared" si="18"/>
        <v>CEE Tier 2 Clothes Washer - Gas DHW, Gas Dryer - 31% ENERGY STAR Baseline</v>
      </c>
      <c r="AS41" s="437">
        <f t="shared" ca="1" si="19"/>
        <v>224.76652220844369</v>
      </c>
      <c r="AT41" s="438">
        <f t="shared" ca="1" si="20"/>
        <v>6.7610980280712525</v>
      </c>
      <c r="AU41" s="439">
        <f t="shared" ca="1" si="21"/>
        <v>1.6609290371531924</v>
      </c>
      <c r="AV41" s="439">
        <f t="shared" ca="1" si="22"/>
        <v>1148.6796240616595</v>
      </c>
      <c r="AW41" s="439"/>
      <c r="AX41" s="438">
        <f t="shared" ca="1" si="12"/>
        <v>10.99299967791109</v>
      </c>
      <c r="AY41" s="438">
        <f t="shared" ca="1" si="23"/>
        <v>12.261370779974417</v>
      </c>
      <c r="AZ41" s="443"/>
      <c r="BA41" s="433" t="str">
        <f t="shared" si="24"/>
        <v>CEE Tier 2 Clothes Washer - Gas DHW, Gas Dryer - 31% ENERGY STAR Baseline</v>
      </c>
      <c r="BB41" s="433" t="s">
        <v>25</v>
      </c>
      <c r="BC41" s="438">
        <f t="shared" ca="1" si="25"/>
        <v>6.7610980280712525</v>
      </c>
      <c r="BD41" s="438">
        <f>SFAssumptions!$C$7</f>
        <v>14</v>
      </c>
      <c r="BE41" s="444">
        <f t="shared" ca="1" si="26"/>
        <v>224.76652220844369</v>
      </c>
      <c r="BF41" s="433"/>
      <c r="BG41" s="432" t="s">
        <v>157</v>
      </c>
      <c r="BH41" s="445">
        <f t="shared" ca="1" si="27"/>
        <v>12.261370779974417</v>
      </c>
      <c r="BI41" s="433"/>
      <c r="BJ41" s="433"/>
      <c r="BK41" s="433"/>
      <c r="BL41" s="433"/>
      <c r="BM41" s="433"/>
      <c r="BN41" s="433"/>
      <c r="BO41" s="446">
        <f t="shared" ca="1" si="28"/>
        <v>1.6609290371531924</v>
      </c>
      <c r="BP41" s="433" t="s">
        <v>158</v>
      </c>
    </row>
    <row r="42" spans="1:68" s="414" customFormat="1">
      <c r="A42" s="433">
        <f t="shared" si="29"/>
        <v>25</v>
      </c>
      <c r="B42" s="433">
        <f t="shared" si="3"/>
        <v>1</v>
      </c>
      <c r="C42" s="433">
        <f t="shared" si="4"/>
        <v>25</v>
      </c>
      <c r="D42" s="433">
        <f t="shared" si="5"/>
        <v>5</v>
      </c>
      <c r="E42" s="433">
        <f t="shared" si="6"/>
        <v>5</v>
      </c>
      <c r="F42" s="433"/>
      <c r="G42" s="433" t="str">
        <f t="shared" si="13"/>
        <v>Current Practice Baseline Using 31% ENERGY STAR Penetration</v>
      </c>
      <c r="H42" s="433" t="str">
        <f t="shared" si="14"/>
        <v>CEE Tier 2</v>
      </c>
      <c r="I42" s="433" t="str">
        <f t="shared" si="7"/>
        <v>Any DHW, Any Dryer</v>
      </c>
      <c r="J42" s="433" t="str">
        <f t="shared" si="8"/>
        <v>Any DHW</v>
      </c>
      <c r="K42" s="433" t="str">
        <f t="shared" si="9"/>
        <v>Any Dryer</v>
      </c>
      <c r="L42" s="434">
        <f>VLOOKUP(J42,SFAssumptions!$A$14:$B$16,2,FALSE)</f>
        <v>0.55200000000000005</v>
      </c>
      <c r="M42" s="435">
        <f>VLOOKUP(K42,SFAssumptions!$A$18:$B$20,2,FALSE)</f>
        <v>0.95</v>
      </c>
      <c r="N42" s="436">
        <f ca="1">HLOOKUP($G42,'MHBaselines and Measures'!$C$3:$V$33,7,FALSE)</f>
        <v>4047.8861059902265</v>
      </c>
      <c r="O42" s="437">
        <f ca="1">HLOOKUP($G42,'MHBaselines and Measures'!$C$3:$V$33,8,FALSE)</f>
        <v>776.31603614450796</v>
      </c>
      <c r="P42" s="438">
        <f ca="1">HLOOKUP($G42,'MHBaselines and Measures'!$C$3:$V$33,25,FALSE)</f>
        <v>53.16702252961997</v>
      </c>
      <c r="Q42" s="438"/>
      <c r="R42" s="438">
        <f ca="1">HLOOKUP($G42,'MHBaselines and Measures'!$C$3:$V$33,27,FALSE)</f>
        <v>97.367659267916409</v>
      </c>
      <c r="S42" s="439">
        <f>HLOOKUP($G42,'MHBaselines and Measures'!$C$3:$V$33,29,FALSE)</f>
        <v>0</v>
      </c>
      <c r="T42" s="439"/>
      <c r="U42" s="439">
        <f ca="1">HLOOKUP($G42,'MHBaselines and Measures'!$C$3:$V$33,31,FALSE)</f>
        <v>4.430877614418649</v>
      </c>
      <c r="V42" s="440">
        <f ca="1">HLOOKUP($G42,'MHBaselines and Measures'!$C$3:$V$33,9,FALSE)</f>
        <v>43.208420677956539</v>
      </c>
      <c r="W42" s="441"/>
      <c r="X42" s="436">
        <f ca="1">HLOOKUP($H42,'MHBaselines and Measures'!$C$2:$V$33,8,FALSE)</f>
        <v>2899.206481928567</v>
      </c>
      <c r="Y42" s="437">
        <f ca="1">HLOOKUP($H42,'MHBaselines and Measures'!$C$2:$V$33,9,FALSE)</f>
        <v>1001.0825583529517</v>
      </c>
      <c r="Z42" s="438">
        <f ca="1">HLOOKUP($H42,'MHBaselines and Measures'!$C$2:$V$33,26,FALSE)</f>
        <v>46.405924501548718</v>
      </c>
      <c r="AA42" s="438"/>
      <c r="AB42" s="438">
        <f ca="1">HLOOKUP($H42,'MHBaselines and Measures'!$C$2:$V$33,28,FALSE)</f>
        <v>60.869072163758943</v>
      </c>
      <c r="AC42" s="439">
        <f>HLOOKUP($H42,'MHBaselines and Measures'!$C$2:$V$33,30,FALSE)</f>
        <v>0</v>
      </c>
      <c r="AD42" s="439"/>
      <c r="AE42" s="439">
        <f ca="1">HLOOKUP($H42,'MHBaselines and Measures'!$C$2:$V$33,32,FALSE)</f>
        <v>2.7699485772654566</v>
      </c>
      <c r="AF42" s="440">
        <f ca="1">HLOOKUP($H42,'MHBaselines and Measures'!$C$2:$V$33,10,FALSE)</f>
        <v>30.947049897982122</v>
      </c>
      <c r="AG42" s="441"/>
      <c r="AH42" s="436">
        <f t="shared" ca="1" si="15"/>
        <v>1148.6796240616595</v>
      </c>
      <c r="AI42" s="437">
        <f t="shared" ca="1" si="16"/>
        <v>224.76652220844369</v>
      </c>
      <c r="AJ42" s="438">
        <f t="shared" ca="1" si="10"/>
        <v>6.7610980280712525</v>
      </c>
      <c r="AK42" s="438"/>
      <c r="AL42" s="438">
        <f t="shared" ca="1" si="30"/>
        <v>36.498587104157465</v>
      </c>
      <c r="AM42" s="439">
        <f t="shared" si="30"/>
        <v>0</v>
      </c>
      <c r="AN42" s="439"/>
      <c r="AO42" s="439">
        <f t="shared" ca="1" si="31"/>
        <v>1.6609290371531924</v>
      </c>
      <c r="AP42" s="442">
        <f t="shared" ca="1" si="31"/>
        <v>12.261370779974417</v>
      </c>
      <c r="AQ42" s="443"/>
      <c r="AR42" s="435" t="str">
        <f t="shared" si="18"/>
        <v>CEE Tier 2 Clothes Washer - Any DHW, Any Dryer - 31% ENERGY STAR Baseline</v>
      </c>
      <c r="AS42" s="437">
        <f t="shared" ca="1" si="19"/>
        <v>224.76652220844369</v>
      </c>
      <c r="AT42" s="438">
        <f t="shared" ca="1" si="20"/>
        <v>26.908318109566174</v>
      </c>
      <c r="AU42" s="439">
        <f t="shared" ca="1" si="21"/>
        <v>0.74409620864463011</v>
      </c>
      <c r="AV42" s="439">
        <f t="shared" ca="1" si="22"/>
        <v>1148.6796240616595</v>
      </c>
      <c r="AW42" s="439"/>
      <c r="AX42" s="438">
        <f t="shared" ca="1" si="12"/>
        <v>31.140219759406012</v>
      </c>
      <c r="AY42" s="438">
        <f t="shared" ca="1" si="23"/>
        <v>12.261370779974417</v>
      </c>
      <c r="AZ42" s="443"/>
      <c r="BA42" s="433" t="str">
        <f t="shared" si="24"/>
        <v>CEE Tier 2 Clothes Washer - Any DHW, Any Dryer - 31% ENERGY STAR Baseline</v>
      </c>
      <c r="BB42" s="433" t="s">
        <v>25</v>
      </c>
      <c r="BC42" s="438">
        <f t="shared" ca="1" si="25"/>
        <v>26.908318109566174</v>
      </c>
      <c r="BD42" s="438">
        <f>SFAssumptions!$C$7</f>
        <v>14</v>
      </c>
      <c r="BE42" s="444">
        <f t="shared" ca="1" si="26"/>
        <v>224.76652220844369</v>
      </c>
      <c r="BF42" s="433"/>
      <c r="BG42" s="432" t="s">
        <v>157</v>
      </c>
      <c r="BH42" s="445">
        <f t="shared" ca="1" si="27"/>
        <v>12.261370779974417</v>
      </c>
      <c r="BI42" s="433"/>
      <c r="BJ42" s="433"/>
      <c r="BK42" s="433"/>
      <c r="BL42" s="433"/>
      <c r="BM42" s="433"/>
      <c r="BN42" s="433"/>
      <c r="BO42" s="446">
        <f t="shared" ca="1" si="28"/>
        <v>0.74409620864463011</v>
      </c>
      <c r="BP42" s="433" t="s">
        <v>158</v>
      </c>
    </row>
    <row r="43" spans="1:68" s="414" customFormat="1">
      <c r="A43" s="433">
        <f t="shared" si="29"/>
        <v>26</v>
      </c>
      <c r="B43" s="433">
        <f t="shared" si="3"/>
        <v>1</v>
      </c>
      <c r="C43" s="433">
        <f t="shared" si="4"/>
        <v>26</v>
      </c>
      <c r="D43" s="433">
        <f t="shared" si="5"/>
        <v>6</v>
      </c>
      <c r="E43" s="433">
        <f t="shared" si="6"/>
        <v>1</v>
      </c>
      <c r="F43" s="433"/>
      <c r="G43" s="433" t="str">
        <f t="shared" si="13"/>
        <v>Current Practice Baseline Using 31% ENERGY STAR Penetration</v>
      </c>
      <c r="H43" s="433" t="str">
        <f t="shared" si="14"/>
        <v>CEE Tier 3</v>
      </c>
      <c r="I43" s="433" t="str">
        <f t="shared" si="7"/>
        <v>Electric DHW, Electric Dryer</v>
      </c>
      <c r="J43" s="433" t="str">
        <f t="shared" si="8"/>
        <v>Electric DHW</v>
      </c>
      <c r="K43" s="433" t="str">
        <f t="shared" si="9"/>
        <v>Electric Dryer</v>
      </c>
      <c r="L43" s="434">
        <f>VLOOKUP(J43,SFAssumptions!$A$14:$B$16,2,FALSE)</f>
        <v>1</v>
      </c>
      <c r="M43" s="435">
        <f>VLOOKUP(K43,SFAssumptions!$A$18:$B$20,2,FALSE)</f>
        <v>1</v>
      </c>
      <c r="N43" s="436">
        <f ca="1">HLOOKUP($G43,'MHBaselines and Measures'!$C$3:$V$33,7,FALSE)</f>
        <v>4047.8861059902265</v>
      </c>
      <c r="O43" s="437">
        <f ca="1">HLOOKUP($G43,'MHBaselines and Measures'!$C$3:$V$33,8,FALSE)</f>
        <v>776.31603614450796</v>
      </c>
      <c r="P43" s="438">
        <f ca="1">HLOOKUP($G43,'MHBaselines and Measures'!$C$3:$V$33,25,FALSE)</f>
        <v>53.16702252961997</v>
      </c>
      <c r="Q43" s="438"/>
      <c r="R43" s="438">
        <f ca="1">HLOOKUP($G43,'MHBaselines and Measures'!$C$3:$V$33,27,FALSE)</f>
        <v>97.367659267916409</v>
      </c>
      <c r="S43" s="439">
        <f>HLOOKUP($G43,'MHBaselines and Measures'!$C$3:$V$33,29,FALSE)</f>
        <v>0</v>
      </c>
      <c r="T43" s="439"/>
      <c r="U43" s="439">
        <f ca="1">HLOOKUP($G43,'MHBaselines and Measures'!$C$3:$V$33,31,FALSE)</f>
        <v>4.430877614418649</v>
      </c>
      <c r="V43" s="440">
        <f ca="1">HLOOKUP($G43,'MHBaselines and Measures'!$C$3:$V$33,9,FALSE)</f>
        <v>43.208420677956539</v>
      </c>
      <c r="W43" s="441"/>
      <c r="X43" s="436">
        <f ca="1">HLOOKUP($H43,'MHBaselines and Measures'!$C$2:$V$33,8,FALSE)</f>
        <v>2874.3796688857838</v>
      </c>
      <c r="Y43" s="437">
        <f ca="1">HLOOKUP($H43,'MHBaselines and Measures'!$C$2:$V$33,9,FALSE)</f>
        <v>996.04811179834417</v>
      </c>
      <c r="Z43" s="438">
        <f ca="1">HLOOKUP($H43,'MHBaselines and Measures'!$C$2:$V$33,26,FALSE)</f>
        <v>45.755461176337676</v>
      </c>
      <c r="AA43" s="438"/>
      <c r="AB43" s="438">
        <f ca="1">HLOOKUP($H43,'MHBaselines and Measures'!$C$2:$V$33,28,FALSE)</f>
        <v>59.501946763926178</v>
      </c>
      <c r="AC43" s="439">
        <f>HLOOKUP($H43,'MHBaselines and Measures'!$C$2:$V$33,30,FALSE)</f>
        <v>0</v>
      </c>
      <c r="AD43" s="439"/>
      <c r="AE43" s="439">
        <f ca="1">HLOOKUP($H43,'MHBaselines and Measures'!$C$2:$V$33,32,FALSE)</f>
        <v>2.7077352574037339</v>
      </c>
      <c r="AF43" s="440">
        <f ca="1">HLOOKUP($H43,'MHBaselines and Measures'!$C$2:$V$33,10,FALSE)</f>
        <v>30.68204061808709</v>
      </c>
      <c r="AG43" s="441"/>
      <c r="AH43" s="436">
        <f t="shared" ca="1" si="15"/>
        <v>1173.5064371044427</v>
      </c>
      <c r="AI43" s="437">
        <f t="shared" ca="1" si="16"/>
        <v>219.7320756538362</v>
      </c>
      <c r="AJ43" s="438">
        <f t="shared" ca="1" si="10"/>
        <v>7.4115613532822948</v>
      </c>
      <c r="AK43" s="438"/>
      <c r="AL43" s="438">
        <f t="shared" ca="1" si="30"/>
        <v>37.865712503990231</v>
      </c>
      <c r="AM43" s="439">
        <f t="shared" si="30"/>
        <v>0</v>
      </c>
      <c r="AN43" s="439"/>
      <c r="AO43" s="439">
        <f t="shared" ca="1" si="31"/>
        <v>1.7231423570149151</v>
      </c>
      <c r="AP43" s="442">
        <f t="shared" ca="1" si="31"/>
        <v>12.526380059869449</v>
      </c>
      <c r="AQ43" s="443"/>
      <c r="AR43" s="435" t="str">
        <f t="shared" si="18"/>
        <v>CEE Tier 3 Clothes Washer - Electric DHW, Electric Dryer - 31% ENERGY STAR Baseline</v>
      </c>
      <c r="AS43" s="437">
        <f t="shared" ca="1" si="19"/>
        <v>219.7320756538362</v>
      </c>
      <c r="AT43" s="438">
        <f t="shared" ca="1" si="20"/>
        <v>45.277273857272526</v>
      </c>
      <c r="AU43" s="439">
        <f t="shared" ca="1" si="21"/>
        <v>0</v>
      </c>
      <c r="AV43" s="439">
        <f t="shared" ca="1" si="22"/>
        <v>1173.5064371044427</v>
      </c>
      <c r="AW43" s="439"/>
      <c r="AX43" s="438">
        <f t="shared" ca="1" si="12"/>
        <v>49.600641072336302</v>
      </c>
      <c r="AY43" s="438">
        <f t="shared" ca="1" si="23"/>
        <v>12.526380059869449</v>
      </c>
      <c r="AZ43" s="443"/>
      <c r="BA43" s="433" t="str">
        <f t="shared" si="24"/>
        <v>CEE Tier 3 Clothes Washer - Electric DHW, Electric Dryer - 31% ENERGY STAR Baseline</v>
      </c>
      <c r="BB43" s="433" t="s">
        <v>25</v>
      </c>
      <c r="BC43" s="438">
        <f t="shared" ca="1" si="25"/>
        <v>45.277273857272526</v>
      </c>
      <c r="BD43" s="438">
        <f>SFAssumptions!$C$7</f>
        <v>14</v>
      </c>
      <c r="BE43" s="444">
        <f t="shared" ca="1" si="26"/>
        <v>219.7320756538362</v>
      </c>
      <c r="BF43" s="433"/>
      <c r="BG43" s="432" t="s">
        <v>157</v>
      </c>
      <c r="BH43" s="445">
        <f t="shared" ca="1" si="27"/>
        <v>12.526380059869449</v>
      </c>
      <c r="BI43" s="433"/>
      <c r="BJ43" s="433"/>
      <c r="BK43" s="433"/>
      <c r="BL43" s="433"/>
      <c r="BM43" s="433"/>
      <c r="BN43" s="433"/>
      <c r="BO43" s="446">
        <f t="shared" ca="1" si="28"/>
        <v>0</v>
      </c>
      <c r="BP43" s="433" t="s">
        <v>158</v>
      </c>
    </row>
    <row r="44" spans="1:68" s="414" customFormat="1">
      <c r="A44" s="433">
        <f t="shared" si="29"/>
        <v>27</v>
      </c>
      <c r="B44" s="433">
        <f t="shared" si="3"/>
        <v>1</v>
      </c>
      <c r="C44" s="433">
        <f t="shared" si="4"/>
        <v>27</v>
      </c>
      <c r="D44" s="433">
        <f t="shared" si="5"/>
        <v>6</v>
      </c>
      <c r="E44" s="433">
        <f t="shared" si="6"/>
        <v>2</v>
      </c>
      <c r="F44" s="433"/>
      <c r="G44" s="433" t="str">
        <f t="shared" si="13"/>
        <v>Current Practice Baseline Using 31% ENERGY STAR Penetration</v>
      </c>
      <c r="H44" s="433" t="str">
        <f t="shared" si="14"/>
        <v>CEE Tier 3</v>
      </c>
      <c r="I44" s="433" t="str">
        <f t="shared" si="7"/>
        <v>Electric DHW, Gas Dryer</v>
      </c>
      <c r="J44" s="433" t="str">
        <f t="shared" si="8"/>
        <v>Electric DHW</v>
      </c>
      <c r="K44" s="433" t="str">
        <f t="shared" si="9"/>
        <v>Gas Dryer</v>
      </c>
      <c r="L44" s="434">
        <f>VLOOKUP(J44,SFAssumptions!$A$14:$B$16,2,FALSE)</f>
        <v>1</v>
      </c>
      <c r="M44" s="435">
        <f>VLOOKUP(K44,SFAssumptions!$A$18:$B$20,2,FALSE)</f>
        <v>0</v>
      </c>
      <c r="N44" s="436">
        <f ca="1">HLOOKUP($G44,'MHBaselines and Measures'!$C$3:$V$33,7,FALSE)</f>
        <v>4047.8861059902265</v>
      </c>
      <c r="O44" s="437">
        <f ca="1">HLOOKUP($G44,'MHBaselines and Measures'!$C$3:$V$33,8,FALSE)</f>
        <v>776.31603614450796</v>
      </c>
      <c r="P44" s="438">
        <f ca="1">HLOOKUP($G44,'MHBaselines and Measures'!$C$3:$V$33,25,FALSE)</f>
        <v>53.16702252961997</v>
      </c>
      <c r="Q44" s="438"/>
      <c r="R44" s="438">
        <f ca="1">HLOOKUP($G44,'MHBaselines and Measures'!$C$3:$V$33,27,FALSE)</f>
        <v>97.367659267916409</v>
      </c>
      <c r="S44" s="439">
        <f>HLOOKUP($G44,'MHBaselines and Measures'!$C$3:$V$33,29,FALSE)</f>
        <v>0</v>
      </c>
      <c r="T44" s="439"/>
      <c r="U44" s="439">
        <f ca="1">HLOOKUP($G44,'MHBaselines and Measures'!$C$3:$V$33,31,FALSE)</f>
        <v>4.430877614418649</v>
      </c>
      <c r="V44" s="440">
        <f ca="1">HLOOKUP($G44,'MHBaselines and Measures'!$C$3:$V$33,9,FALSE)</f>
        <v>43.208420677956539</v>
      </c>
      <c r="W44" s="441"/>
      <c r="X44" s="436">
        <f ca="1">HLOOKUP($H44,'MHBaselines and Measures'!$C$2:$V$33,8,FALSE)</f>
        <v>2874.3796688857838</v>
      </c>
      <c r="Y44" s="437">
        <f ca="1">HLOOKUP($H44,'MHBaselines and Measures'!$C$2:$V$33,9,FALSE)</f>
        <v>996.04811179834417</v>
      </c>
      <c r="Z44" s="438">
        <f ca="1">HLOOKUP($H44,'MHBaselines and Measures'!$C$2:$V$33,26,FALSE)</f>
        <v>45.755461176337676</v>
      </c>
      <c r="AA44" s="438"/>
      <c r="AB44" s="438">
        <f ca="1">HLOOKUP($H44,'MHBaselines and Measures'!$C$2:$V$33,28,FALSE)</f>
        <v>59.501946763926178</v>
      </c>
      <c r="AC44" s="439">
        <f>HLOOKUP($H44,'MHBaselines and Measures'!$C$2:$V$33,30,FALSE)</f>
        <v>0</v>
      </c>
      <c r="AD44" s="439"/>
      <c r="AE44" s="439">
        <f ca="1">HLOOKUP($H44,'MHBaselines and Measures'!$C$2:$V$33,32,FALSE)</f>
        <v>2.7077352574037339</v>
      </c>
      <c r="AF44" s="440">
        <f ca="1">HLOOKUP($H44,'MHBaselines and Measures'!$C$2:$V$33,10,FALSE)</f>
        <v>30.68204061808709</v>
      </c>
      <c r="AG44" s="441"/>
      <c r="AH44" s="436">
        <f t="shared" ca="1" si="15"/>
        <v>1173.5064371044427</v>
      </c>
      <c r="AI44" s="437">
        <f t="shared" ca="1" si="16"/>
        <v>219.7320756538362</v>
      </c>
      <c r="AJ44" s="438">
        <f t="shared" ca="1" si="10"/>
        <v>7.4115613532822948</v>
      </c>
      <c r="AK44" s="438"/>
      <c r="AL44" s="438">
        <f t="shared" ca="1" si="30"/>
        <v>37.865712503990231</v>
      </c>
      <c r="AM44" s="439">
        <f t="shared" si="30"/>
        <v>0</v>
      </c>
      <c r="AN44" s="439"/>
      <c r="AO44" s="439">
        <f t="shared" ca="1" si="31"/>
        <v>1.7231423570149151</v>
      </c>
      <c r="AP44" s="442">
        <f t="shared" ca="1" si="31"/>
        <v>12.526380059869449</v>
      </c>
      <c r="AQ44" s="443"/>
      <c r="AR44" s="435" t="str">
        <f t="shared" si="18"/>
        <v>CEE Tier 3 Clothes Washer - Electric DHW, Gas Dryer - 31% ENERGY STAR Baseline</v>
      </c>
      <c r="AS44" s="437">
        <f t="shared" ca="1" si="19"/>
        <v>219.7320756538362</v>
      </c>
      <c r="AT44" s="438">
        <f t="shared" ca="1" si="20"/>
        <v>45.277273857272526</v>
      </c>
      <c r="AU44" s="439">
        <f t="shared" ca="1" si="21"/>
        <v>0</v>
      </c>
      <c r="AV44" s="439">
        <f t="shared" ca="1" si="22"/>
        <v>1173.5064371044427</v>
      </c>
      <c r="AW44" s="439"/>
      <c r="AX44" s="438">
        <f t="shared" ca="1" si="12"/>
        <v>49.600641072336302</v>
      </c>
      <c r="AY44" s="438">
        <f t="shared" ca="1" si="23"/>
        <v>12.526380059869449</v>
      </c>
      <c r="AZ44" s="443"/>
      <c r="BA44" s="433" t="str">
        <f t="shared" si="24"/>
        <v>CEE Tier 3 Clothes Washer - Electric DHW, Gas Dryer - 31% ENERGY STAR Baseline</v>
      </c>
      <c r="BB44" s="433" t="s">
        <v>25</v>
      </c>
      <c r="BC44" s="438">
        <f t="shared" ca="1" si="25"/>
        <v>45.277273857272526</v>
      </c>
      <c r="BD44" s="438">
        <f>SFAssumptions!$C$7</f>
        <v>14</v>
      </c>
      <c r="BE44" s="444">
        <f t="shared" ca="1" si="26"/>
        <v>219.7320756538362</v>
      </c>
      <c r="BF44" s="433"/>
      <c r="BG44" s="432" t="s">
        <v>157</v>
      </c>
      <c r="BH44" s="445">
        <f t="shared" ca="1" si="27"/>
        <v>12.526380059869449</v>
      </c>
      <c r="BI44" s="433"/>
      <c r="BJ44" s="433"/>
      <c r="BK44" s="433"/>
      <c r="BL44" s="433"/>
      <c r="BM44" s="433"/>
      <c r="BN44" s="433"/>
      <c r="BO44" s="446">
        <f t="shared" ca="1" si="28"/>
        <v>0</v>
      </c>
      <c r="BP44" s="433" t="s">
        <v>158</v>
      </c>
    </row>
    <row r="45" spans="1:68" s="414" customFormat="1">
      <c r="A45" s="433">
        <f t="shared" si="29"/>
        <v>28</v>
      </c>
      <c r="B45" s="433">
        <f t="shared" si="3"/>
        <v>1</v>
      </c>
      <c r="C45" s="433">
        <f t="shared" si="4"/>
        <v>28</v>
      </c>
      <c r="D45" s="433">
        <f t="shared" si="5"/>
        <v>6</v>
      </c>
      <c r="E45" s="433">
        <f t="shared" si="6"/>
        <v>3</v>
      </c>
      <c r="F45" s="433"/>
      <c r="G45" s="433" t="str">
        <f t="shared" si="13"/>
        <v>Current Practice Baseline Using 31% ENERGY STAR Penetration</v>
      </c>
      <c r="H45" s="433" t="str">
        <f t="shared" si="14"/>
        <v>CEE Tier 3</v>
      </c>
      <c r="I45" s="433" t="str">
        <f t="shared" si="7"/>
        <v>Gas DHW, Electric Dryer</v>
      </c>
      <c r="J45" s="433" t="str">
        <f t="shared" si="8"/>
        <v>Gas DHW</v>
      </c>
      <c r="K45" s="433" t="str">
        <f t="shared" si="9"/>
        <v>Electric Dryer</v>
      </c>
      <c r="L45" s="434">
        <f>VLOOKUP(J45,SFAssumptions!$A$14:$B$16,2,FALSE)</f>
        <v>0</v>
      </c>
      <c r="M45" s="435">
        <f>VLOOKUP(K45,SFAssumptions!$A$18:$B$20,2,FALSE)</f>
        <v>1</v>
      </c>
      <c r="N45" s="436">
        <f ca="1">HLOOKUP($G45,'MHBaselines and Measures'!$C$3:$V$33,7,FALSE)</f>
        <v>4047.8861059902265</v>
      </c>
      <c r="O45" s="437">
        <f ca="1">HLOOKUP($G45,'MHBaselines and Measures'!$C$3:$V$33,8,FALSE)</f>
        <v>776.31603614450796</v>
      </c>
      <c r="P45" s="438">
        <f ca="1">HLOOKUP($G45,'MHBaselines and Measures'!$C$3:$V$33,25,FALSE)</f>
        <v>53.16702252961997</v>
      </c>
      <c r="Q45" s="438"/>
      <c r="R45" s="438">
        <f ca="1">HLOOKUP($G45,'MHBaselines and Measures'!$C$3:$V$33,27,FALSE)</f>
        <v>97.367659267916409</v>
      </c>
      <c r="S45" s="439">
        <f>HLOOKUP($G45,'MHBaselines and Measures'!$C$3:$V$33,29,FALSE)</f>
        <v>0</v>
      </c>
      <c r="T45" s="439"/>
      <c r="U45" s="439">
        <f ca="1">HLOOKUP($G45,'MHBaselines and Measures'!$C$3:$V$33,31,FALSE)</f>
        <v>4.430877614418649</v>
      </c>
      <c r="V45" s="440">
        <f ca="1">HLOOKUP($G45,'MHBaselines and Measures'!$C$3:$V$33,9,FALSE)</f>
        <v>43.208420677956539</v>
      </c>
      <c r="W45" s="441"/>
      <c r="X45" s="436">
        <f ca="1">HLOOKUP($H45,'MHBaselines and Measures'!$C$2:$V$33,8,FALSE)</f>
        <v>2874.3796688857838</v>
      </c>
      <c r="Y45" s="437">
        <f ca="1">HLOOKUP($H45,'MHBaselines and Measures'!$C$2:$V$33,9,FALSE)</f>
        <v>996.04811179834417</v>
      </c>
      <c r="Z45" s="438">
        <f ca="1">HLOOKUP($H45,'MHBaselines and Measures'!$C$2:$V$33,26,FALSE)</f>
        <v>45.755461176337676</v>
      </c>
      <c r="AA45" s="438"/>
      <c r="AB45" s="438">
        <f ca="1">HLOOKUP($H45,'MHBaselines and Measures'!$C$2:$V$33,28,FALSE)</f>
        <v>59.501946763926178</v>
      </c>
      <c r="AC45" s="439">
        <f>HLOOKUP($H45,'MHBaselines and Measures'!$C$2:$V$33,30,FALSE)</f>
        <v>0</v>
      </c>
      <c r="AD45" s="439"/>
      <c r="AE45" s="439">
        <f ca="1">HLOOKUP($H45,'MHBaselines and Measures'!$C$2:$V$33,32,FALSE)</f>
        <v>2.7077352574037339</v>
      </c>
      <c r="AF45" s="440">
        <f ca="1">HLOOKUP($H45,'MHBaselines and Measures'!$C$2:$V$33,10,FALSE)</f>
        <v>30.68204061808709</v>
      </c>
      <c r="AG45" s="441"/>
      <c r="AH45" s="436">
        <f t="shared" ca="1" si="15"/>
        <v>1173.5064371044427</v>
      </c>
      <c r="AI45" s="437">
        <f t="shared" ca="1" si="16"/>
        <v>219.7320756538362</v>
      </c>
      <c r="AJ45" s="438">
        <f t="shared" ca="1" si="10"/>
        <v>7.4115613532822948</v>
      </c>
      <c r="AK45" s="438"/>
      <c r="AL45" s="438">
        <f t="shared" ca="1" si="30"/>
        <v>37.865712503990231</v>
      </c>
      <c r="AM45" s="439">
        <f t="shared" si="30"/>
        <v>0</v>
      </c>
      <c r="AN45" s="439"/>
      <c r="AO45" s="439">
        <f t="shared" ca="1" si="31"/>
        <v>1.7231423570149151</v>
      </c>
      <c r="AP45" s="442">
        <f t="shared" ca="1" si="31"/>
        <v>12.526380059869449</v>
      </c>
      <c r="AQ45" s="443"/>
      <c r="AR45" s="435" t="str">
        <f t="shared" si="18"/>
        <v>CEE Tier 3 Clothes Washer - Gas DHW, Electric Dryer - 31% ENERGY STAR Baseline</v>
      </c>
      <c r="AS45" s="437">
        <f t="shared" ca="1" si="19"/>
        <v>219.7320756538362</v>
      </c>
      <c r="AT45" s="438">
        <f t="shared" ca="1" si="20"/>
        <v>7.4115613532822948</v>
      </c>
      <c r="AU45" s="439">
        <f t="shared" ca="1" si="21"/>
        <v>1.7231423570149151</v>
      </c>
      <c r="AV45" s="439">
        <f t="shared" ca="1" si="22"/>
        <v>1173.5064371044427</v>
      </c>
      <c r="AW45" s="439"/>
      <c r="AX45" s="438">
        <f t="shared" ca="1" si="12"/>
        <v>11.734928568346071</v>
      </c>
      <c r="AY45" s="438">
        <f t="shared" ca="1" si="23"/>
        <v>12.526380059869449</v>
      </c>
      <c r="AZ45" s="443"/>
      <c r="BA45" s="433" t="str">
        <f t="shared" si="24"/>
        <v>CEE Tier 3 Clothes Washer - Gas DHW, Electric Dryer - 31% ENERGY STAR Baseline</v>
      </c>
      <c r="BB45" s="433" t="s">
        <v>25</v>
      </c>
      <c r="BC45" s="438">
        <f t="shared" ca="1" si="25"/>
        <v>7.4115613532822948</v>
      </c>
      <c r="BD45" s="438">
        <f>SFAssumptions!$C$7</f>
        <v>14</v>
      </c>
      <c r="BE45" s="444">
        <f t="shared" ca="1" si="26"/>
        <v>219.7320756538362</v>
      </c>
      <c r="BF45" s="433"/>
      <c r="BG45" s="432" t="s">
        <v>157</v>
      </c>
      <c r="BH45" s="445">
        <f t="shared" ca="1" si="27"/>
        <v>12.526380059869449</v>
      </c>
      <c r="BI45" s="433"/>
      <c r="BJ45" s="433"/>
      <c r="BK45" s="433"/>
      <c r="BL45" s="433"/>
      <c r="BM45" s="433"/>
      <c r="BN45" s="433"/>
      <c r="BO45" s="446">
        <f t="shared" ca="1" si="28"/>
        <v>1.7231423570149151</v>
      </c>
      <c r="BP45" s="433" t="s">
        <v>158</v>
      </c>
    </row>
    <row r="46" spans="1:68" s="414" customFormat="1">
      <c r="A46" s="433">
        <f t="shared" si="29"/>
        <v>29</v>
      </c>
      <c r="B46" s="433">
        <f t="shared" si="3"/>
        <v>1</v>
      </c>
      <c r="C46" s="433">
        <f t="shared" si="4"/>
        <v>29</v>
      </c>
      <c r="D46" s="433">
        <f t="shared" si="5"/>
        <v>6</v>
      </c>
      <c r="E46" s="433">
        <f t="shared" si="6"/>
        <v>4</v>
      </c>
      <c r="F46" s="433"/>
      <c r="G46" s="433" t="str">
        <f t="shared" si="13"/>
        <v>Current Practice Baseline Using 31% ENERGY STAR Penetration</v>
      </c>
      <c r="H46" s="433" t="str">
        <f t="shared" si="14"/>
        <v>CEE Tier 3</v>
      </c>
      <c r="I46" s="433" t="str">
        <f t="shared" si="7"/>
        <v>Gas DHW, Gas Dryer</v>
      </c>
      <c r="J46" s="433" t="str">
        <f t="shared" si="8"/>
        <v>Gas DHW</v>
      </c>
      <c r="K46" s="433" t="str">
        <f t="shared" si="9"/>
        <v>Gas Dryer</v>
      </c>
      <c r="L46" s="434">
        <f>VLOOKUP(J46,SFAssumptions!$A$14:$B$16,2,FALSE)</f>
        <v>0</v>
      </c>
      <c r="M46" s="435">
        <f>VLOOKUP(K46,SFAssumptions!$A$18:$B$20,2,FALSE)</f>
        <v>0</v>
      </c>
      <c r="N46" s="436">
        <f ca="1">HLOOKUP($G46,'MHBaselines and Measures'!$C$3:$V$33,7,FALSE)</f>
        <v>4047.8861059902265</v>
      </c>
      <c r="O46" s="437">
        <f ca="1">HLOOKUP($G46,'MHBaselines and Measures'!$C$3:$V$33,8,FALSE)</f>
        <v>776.31603614450796</v>
      </c>
      <c r="P46" s="438">
        <f ca="1">HLOOKUP($G46,'MHBaselines and Measures'!$C$3:$V$33,25,FALSE)</f>
        <v>53.16702252961997</v>
      </c>
      <c r="Q46" s="438"/>
      <c r="R46" s="438">
        <f ca="1">HLOOKUP($G46,'MHBaselines and Measures'!$C$3:$V$33,27,FALSE)</f>
        <v>97.367659267916409</v>
      </c>
      <c r="S46" s="439">
        <f>HLOOKUP($G46,'MHBaselines and Measures'!$C$3:$V$33,29,FALSE)</f>
        <v>0</v>
      </c>
      <c r="T46" s="439"/>
      <c r="U46" s="439">
        <f ca="1">HLOOKUP($G46,'MHBaselines and Measures'!$C$3:$V$33,31,FALSE)</f>
        <v>4.430877614418649</v>
      </c>
      <c r="V46" s="440">
        <f ca="1">HLOOKUP($G46,'MHBaselines and Measures'!$C$3:$V$33,9,FALSE)</f>
        <v>43.208420677956539</v>
      </c>
      <c r="W46" s="441"/>
      <c r="X46" s="436">
        <f ca="1">HLOOKUP($H46,'MHBaselines and Measures'!$C$2:$V$33,8,FALSE)</f>
        <v>2874.3796688857838</v>
      </c>
      <c r="Y46" s="437">
        <f ca="1">HLOOKUP($H46,'MHBaselines and Measures'!$C$2:$V$33,9,FALSE)</f>
        <v>996.04811179834417</v>
      </c>
      <c r="Z46" s="438">
        <f ca="1">HLOOKUP($H46,'MHBaselines and Measures'!$C$2:$V$33,26,FALSE)</f>
        <v>45.755461176337676</v>
      </c>
      <c r="AA46" s="438"/>
      <c r="AB46" s="438">
        <f ca="1">HLOOKUP($H46,'MHBaselines and Measures'!$C$2:$V$33,28,FALSE)</f>
        <v>59.501946763926178</v>
      </c>
      <c r="AC46" s="439">
        <f>HLOOKUP($H46,'MHBaselines and Measures'!$C$2:$V$33,30,FALSE)</f>
        <v>0</v>
      </c>
      <c r="AD46" s="439"/>
      <c r="AE46" s="439">
        <f ca="1">HLOOKUP($H46,'MHBaselines and Measures'!$C$2:$V$33,32,FALSE)</f>
        <v>2.7077352574037339</v>
      </c>
      <c r="AF46" s="440">
        <f ca="1">HLOOKUP($H46,'MHBaselines and Measures'!$C$2:$V$33,10,FALSE)</f>
        <v>30.68204061808709</v>
      </c>
      <c r="AG46" s="441"/>
      <c r="AH46" s="436">
        <f t="shared" ca="1" si="15"/>
        <v>1173.5064371044427</v>
      </c>
      <c r="AI46" s="437">
        <f t="shared" ca="1" si="16"/>
        <v>219.7320756538362</v>
      </c>
      <c r="AJ46" s="438">
        <f t="shared" ca="1" si="10"/>
        <v>7.4115613532822948</v>
      </c>
      <c r="AK46" s="438"/>
      <c r="AL46" s="438">
        <f t="shared" ca="1" si="30"/>
        <v>37.865712503990231</v>
      </c>
      <c r="AM46" s="439">
        <f t="shared" si="30"/>
        <v>0</v>
      </c>
      <c r="AN46" s="439"/>
      <c r="AO46" s="439">
        <f t="shared" ca="1" si="31"/>
        <v>1.7231423570149151</v>
      </c>
      <c r="AP46" s="442">
        <f t="shared" ca="1" si="31"/>
        <v>12.526380059869449</v>
      </c>
      <c r="AQ46" s="443"/>
      <c r="AR46" s="435" t="str">
        <f t="shared" si="18"/>
        <v>CEE Tier 3 Clothes Washer - Gas DHW, Gas Dryer - 31% ENERGY STAR Baseline</v>
      </c>
      <c r="AS46" s="437">
        <f t="shared" ca="1" si="19"/>
        <v>219.7320756538362</v>
      </c>
      <c r="AT46" s="438">
        <f t="shared" ca="1" si="20"/>
        <v>7.4115613532822948</v>
      </c>
      <c r="AU46" s="439">
        <f t="shared" ca="1" si="21"/>
        <v>1.7231423570149151</v>
      </c>
      <c r="AV46" s="439">
        <f t="shared" ca="1" si="22"/>
        <v>1173.5064371044427</v>
      </c>
      <c r="AW46" s="439"/>
      <c r="AX46" s="438">
        <f t="shared" ca="1" si="12"/>
        <v>11.734928568346071</v>
      </c>
      <c r="AY46" s="438">
        <f t="shared" ca="1" si="23"/>
        <v>12.526380059869449</v>
      </c>
      <c r="AZ46" s="443"/>
      <c r="BA46" s="433" t="str">
        <f t="shared" si="24"/>
        <v>CEE Tier 3 Clothes Washer - Gas DHW, Gas Dryer - 31% ENERGY STAR Baseline</v>
      </c>
      <c r="BB46" s="433" t="s">
        <v>25</v>
      </c>
      <c r="BC46" s="438">
        <f t="shared" ca="1" si="25"/>
        <v>7.4115613532822948</v>
      </c>
      <c r="BD46" s="438">
        <f>SFAssumptions!$C$7</f>
        <v>14</v>
      </c>
      <c r="BE46" s="444">
        <f t="shared" ca="1" si="26"/>
        <v>219.7320756538362</v>
      </c>
      <c r="BF46" s="433"/>
      <c r="BG46" s="432" t="s">
        <v>157</v>
      </c>
      <c r="BH46" s="445">
        <f t="shared" ca="1" si="27"/>
        <v>12.526380059869449</v>
      </c>
      <c r="BI46" s="433"/>
      <c r="BJ46" s="433"/>
      <c r="BK46" s="433"/>
      <c r="BL46" s="433"/>
      <c r="BM46" s="433"/>
      <c r="BN46" s="433"/>
      <c r="BO46" s="446">
        <f t="shared" ca="1" si="28"/>
        <v>1.7231423570149151</v>
      </c>
      <c r="BP46" s="433" t="s">
        <v>158</v>
      </c>
    </row>
    <row r="47" spans="1:68" s="414" customFormat="1">
      <c r="A47" s="433">
        <f t="shared" si="29"/>
        <v>30</v>
      </c>
      <c r="B47" s="433">
        <f t="shared" si="3"/>
        <v>1</v>
      </c>
      <c r="C47" s="433">
        <f t="shared" si="4"/>
        <v>30</v>
      </c>
      <c r="D47" s="433">
        <f t="shared" si="5"/>
        <v>6</v>
      </c>
      <c r="E47" s="433">
        <f t="shared" si="6"/>
        <v>5</v>
      </c>
      <c r="F47" s="433"/>
      <c r="G47" s="433" t="str">
        <f t="shared" si="13"/>
        <v>Current Practice Baseline Using 31% ENERGY STAR Penetration</v>
      </c>
      <c r="H47" s="433" t="str">
        <f t="shared" si="14"/>
        <v>CEE Tier 3</v>
      </c>
      <c r="I47" s="433" t="str">
        <f t="shared" si="7"/>
        <v>Any DHW, Any Dryer</v>
      </c>
      <c r="J47" s="433" t="str">
        <f t="shared" si="8"/>
        <v>Any DHW</v>
      </c>
      <c r="K47" s="433" t="str">
        <f t="shared" si="9"/>
        <v>Any Dryer</v>
      </c>
      <c r="L47" s="434">
        <f>VLOOKUP(J47,SFAssumptions!$A$14:$B$16,2,FALSE)</f>
        <v>0.55200000000000005</v>
      </c>
      <c r="M47" s="435">
        <f>VLOOKUP(K47,SFAssumptions!$A$18:$B$20,2,FALSE)</f>
        <v>0.95</v>
      </c>
      <c r="N47" s="436">
        <f ca="1">HLOOKUP($G47,'MHBaselines and Measures'!$C$3:$V$33,7,FALSE)</f>
        <v>4047.8861059902265</v>
      </c>
      <c r="O47" s="437">
        <f ca="1">HLOOKUP($G47,'MHBaselines and Measures'!$C$3:$V$33,8,FALSE)</f>
        <v>776.31603614450796</v>
      </c>
      <c r="P47" s="438">
        <f ca="1">HLOOKUP($G47,'MHBaselines and Measures'!$C$3:$V$33,25,FALSE)</f>
        <v>53.16702252961997</v>
      </c>
      <c r="Q47" s="438"/>
      <c r="R47" s="438">
        <f ca="1">HLOOKUP($G47,'MHBaselines and Measures'!$C$3:$V$33,27,FALSE)</f>
        <v>97.367659267916409</v>
      </c>
      <c r="S47" s="439">
        <f>HLOOKUP($G47,'MHBaselines and Measures'!$C$3:$V$33,29,FALSE)</f>
        <v>0</v>
      </c>
      <c r="T47" s="439"/>
      <c r="U47" s="439">
        <f ca="1">HLOOKUP($G47,'MHBaselines and Measures'!$C$3:$V$33,31,FALSE)</f>
        <v>4.430877614418649</v>
      </c>
      <c r="V47" s="440">
        <f ca="1">HLOOKUP($G47,'MHBaselines and Measures'!$C$3:$V$33,9,FALSE)</f>
        <v>43.208420677956539</v>
      </c>
      <c r="W47" s="441"/>
      <c r="X47" s="436">
        <f ca="1">HLOOKUP($H47,'MHBaselines and Measures'!$C$2:$V$33,8,FALSE)</f>
        <v>2874.3796688857838</v>
      </c>
      <c r="Y47" s="437">
        <f ca="1">HLOOKUP($H47,'MHBaselines and Measures'!$C$2:$V$33,9,FALSE)</f>
        <v>996.04811179834417</v>
      </c>
      <c r="Z47" s="438">
        <f ca="1">HLOOKUP($H47,'MHBaselines and Measures'!$C$2:$V$33,26,FALSE)</f>
        <v>45.755461176337676</v>
      </c>
      <c r="AA47" s="438"/>
      <c r="AB47" s="438">
        <f ca="1">HLOOKUP($H47,'MHBaselines and Measures'!$C$2:$V$33,28,FALSE)</f>
        <v>59.501946763926178</v>
      </c>
      <c r="AC47" s="439">
        <f>HLOOKUP($H47,'MHBaselines and Measures'!$C$2:$V$33,30,FALSE)</f>
        <v>0</v>
      </c>
      <c r="AD47" s="439"/>
      <c r="AE47" s="439">
        <f ca="1">HLOOKUP($H47,'MHBaselines and Measures'!$C$2:$V$33,32,FALSE)</f>
        <v>2.7077352574037339</v>
      </c>
      <c r="AF47" s="440">
        <f ca="1">HLOOKUP($H47,'MHBaselines and Measures'!$C$2:$V$33,10,FALSE)</f>
        <v>30.68204061808709</v>
      </c>
      <c r="AG47" s="441"/>
      <c r="AH47" s="436">
        <f t="shared" ca="1" si="15"/>
        <v>1173.5064371044427</v>
      </c>
      <c r="AI47" s="437">
        <f t="shared" ca="1" si="16"/>
        <v>219.7320756538362</v>
      </c>
      <c r="AJ47" s="438">
        <f t="shared" ca="1" si="10"/>
        <v>7.4115613532822948</v>
      </c>
      <c r="AK47" s="438"/>
      <c r="AL47" s="438">
        <f t="shared" ca="1" si="30"/>
        <v>37.865712503990231</v>
      </c>
      <c r="AM47" s="439">
        <f t="shared" si="30"/>
        <v>0</v>
      </c>
      <c r="AN47" s="439"/>
      <c r="AO47" s="439">
        <f t="shared" ca="1" si="31"/>
        <v>1.7231423570149151</v>
      </c>
      <c r="AP47" s="442">
        <f t="shared" ca="1" si="31"/>
        <v>12.526380059869449</v>
      </c>
      <c r="AQ47" s="443"/>
      <c r="AR47" s="435" t="str">
        <f t="shared" si="18"/>
        <v>CEE Tier 3 Clothes Washer - Any DHW, Any Dryer - 31% ENERGY STAR Baseline</v>
      </c>
      <c r="AS47" s="437">
        <f t="shared" ca="1" si="19"/>
        <v>219.7320756538362</v>
      </c>
      <c r="AT47" s="438">
        <f t="shared" ca="1" si="20"/>
        <v>28.313434655484905</v>
      </c>
      <c r="AU47" s="439">
        <f t="shared" ca="1" si="21"/>
        <v>0.77196777594268196</v>
      </c>
      <c r="AV47" s="439">
        <f t="shared" ca="1" si="22"/>
        <v>1173.5064371044427</v>
      </c>
      <c r="AW47" s="439"/>
      <c r="AX47" s="438">
        <f t="shared" ca="1" si="12"/>
        <v>32.63680187054868</v>
      </c>
      <c r="AY47" s="438">
        <f t="shared" ca="1" si="23"/>
        <v>12.526380059869449</v>
      </c>
      <c r="AZ47" s="443"/>
      <c r="BA47" s="433" t="str">
        <f t="shared" si="24"/>
        <v>CEE Tier 3 Clothes Washer - Any DHW, Any Dryer - 31% ENERGY STAR Baseline</v>
      </c>
      <c r="BB47" s="433" t="s">
        <v>25</v>
      </c>
      <c r="BC47" s="438">
        <f t="shared" ca="1" si="25"/>
        <v>28.313434655484905</v>
      </c>
      <c r="BD47" s="438">
        <f>SFAssumptions!$C$7</f>
        <v>14</v>
      </c>
      <c r="BE47" s="444">
        <f t="shared" ca="1" si="26"/>
        <v>219.7320756538362</v>
      </c>
      <c r="BF47" s="433"/>
      <c r="BG47" s="432" t="s">
        <v>157</v>
      </c>
      <c r="BH47" s="445">
        <f t="shared" ca="1" si="27"/>
        <v>12.526380059869449</v>
      </c>
      <c r="BI47" s="433"/>
      <c r="BJ47" s="433"/>
      <c r="BK47" s="433"/>
      <c r="BL47" s="433"/>
      <c r="BM47" s="433"/>
      <c r="BN47" s="433"/>
      <c r="BO47" s="446">
        <f t="shared" ca="1" si="28"/>
        <v>0.77196777594268196</v>
      </c>
      <c r="BP47" s="433" t="s">
        <v>158</v>
      </c>
    </row>
    <row r="48" spans="1:68" s="414" customFormat="1">
      <c r="A48" s="433">
        <f t="shared" si="29"/>
        <v>31</v>
      </c>
      <c r="B48" s="433">
        <f t="shared" si="3"/>
        <v>2</v>
      </c>
      <c r="C48" s="433">
        <f t="shared" si="4"/>
        <v>1</v>
      </c>
      <c r="D48" s="433">
        <f t="shared" si="5"/>
        <v>1</v>
      </c>
      <c r="E48" s="433">
        <f t="shared" si="6"/>
        <v>1</v>
      </c>
      <c r="F48" s="433"/>
      <c r="G48" s="433" t="str">
        <f t="shared" si="13"/>
        <v>Current Practice Baseline Using 54% ENERGY STAR Penetration</v>
      </c>
      <c r="H48" s="433" t="str">
        <f t="shared" si="14"/>
        <v>ENERGY STAR - Top-Load</v>
      </c>
      <c r="I48" s="433" t="str">
        <f t="shared" si="7"/>
        <v>Electric DHW, Electric Dryer</v>
      </c>
      <c r="J48" s="433" t="str">
        <f t="shared" si="8"/>
        <v>Electric DHW</v>
      </c>
      <c r="K48" s="433" t="str">
        <f t="shared" si="9"/>
        <v>Electric Dryer</v>
      </c>
      <c r="L48" s="434">
        <f>VLOOKUP(J48,SFAssumptions!$A$14:$B$16,2,FALSE)</f>
        <v>1</v>
      </c>
      <c r="M48" s="435">
        <f>VLOOKUP(K48,SFAssumptions!$A$18:$B$20,2,FALSE)</f>
        <v>1</v>
      </c>
      <c r="N48" s="436">
        <f ca="1">HLOOKUP($G48,'MHBaselines and Measures'!$C$3:$V$33,7,FALSE)</f>
        <v>3802.5240664273615</v>
      </c>
      <c r="O48" s="437">
        <f ca="1">HLOOKUP($G48,'MHBaselines and Measures'!$C$3:$V$33,8,FALSE)</f>
        <v>825.23457500176619</v>
      </c>
      <c r="P48" s="438">
        <f ca="1">HLOOKUP($G48,'MHBaselines and Measures'!$C$3:$V$33,25,FALSE)</f>
        <v>51.784607875448671</v>
      </c>
      <c r="Q48" s="438"/>
      <c r="R48" s="438">
        <f ca="1">HLOOKUP($G48,'MHBaselines and Measures'!$C$3:$V$33,27,FALSE)</f>
        <v>89.087499447547771</v>
      </c>
      <c r="S48" s="439">
        <f>HLOOKUP($G48,'MHBaselines and Measures'!$C$3:$V$33,29,FALSE)</f>
        <v>0</v>
      </c>
      <c r="T48" s="439"/>
      <c r="U48" s="439">
        <f ca="1">HLOOKUP($G48,'MHBaselines and Measures'!$C$3:$V$33,31,FALSE)</f>
        <v>4.0540751415264067</v>
      </c>
      <c r="V48" s="440">
        <f ca="1">HLOOKUP($G48,'MHBaselines and Measures'!$C$3:$V$33,9,FALSE)</f>
        <v>40.589348414993211</v>
      </c>
      <c r="W48" s="441"/>
      <c r="X48" s="436">
        <f ca="1">HLOOKUP($H48,'MHBaselines and Measures'!$C$2:$V$33,8,FALSE)</f>
        <v>3967.88847049284</v>
      </c>
      <c r="Y48" s="437">
        <f ca="1">HLOOKUP($H48,'MHBaselines and Measures'!$C$2:$V$33,9,FALSE)</f>
        <v>754.7360149776722</v>
      </c>
      <c r="Z48" s="438">
        <f ca="1">HLOOKUP($H48,'MHBaselines and Measures'!$C$2:$V$33,26,FALSE)</f>
        <v>50.709214711535168</v>
      </c>
      <c r="AA48" s="438"/>
      <c r="AB48" s="438">
        <f ca="1">HLOOKUP($H48,'MHBaselines and Measures'!$C$2:$V$33,28,FALSE)</f>
        <v>91.031237619012302</v>
      </c>
      <c r="AC48" s="439">
        <f>HLOOKUP($H48,'MHBaselines and Measures'!$C$2:$V$33,30,FALSE)</f>
        <v>0</v>
      </c>
      <c r="AD48" s="439"/>
      <c r="AE48" s="439">
        <f ca="1">HLOOKUP($H48,'MHBaselines and Measures'!$C$2:$V$33,32,FALSE)</f>
        <v>4.1425281865825196</v>
      </c>
      <c r="AF48" s="440">
        <f ca="1">HLOOKUP($H48,'MHBaselines and Measures'!$C$2:$V$33,10,FALSE)</f>
        <v>42.354500533637861</v>
      </c>
      <c r="AG48" s="441"/>
      <c r="AH48" s="436">
        <f t="shared" ca="1" si="15"/>
        <v>-165.36440406547854</v>
      </c>
      <c r="AI48" s="437">
        <f t="shared" ca="1" si="16"/>
        <v>-70.49856002409399</v>
      </c>
      <c r="AJ48" s="438">
        <f t="shared" ca="1" si="10"/>
        <v>1.0753931639135033</v>
      </c>
      <c r="AK48" s="438"/>
      <c r="AL48" s="438">
        <f t="shared" ca="1" si="30"/>
        <v>-1.9437381714645312</v>
      </c>
      <c r="AM48" s="439">
        <f t="shared" si="30"/>
        <v>0</v>
      </c>
      <c r="AN48" s="439"/>
      <c r="AO48" s="439">
        <f t="shared" ca="1" si="31"/>
        <v>-8.8453045056112956E-2</v>
      </c>
      <c r="AP48" s="442">
        <f t="shared" ca="1" si="31"/>
        <v>-1.7651521186446502</v>
      </c>
      <c r="AQ48" s="443"/>
      <c r="AR48" s="435" t="str">
        <f t="shared" si="18"/>
        <v>ENERGY STAR - Top-Load Clothes Washer - Electric DHW, Electric Dryer - 54% ENERGY STAR Baseline</v>
      </c>
      <c r="AS48" s="437">
        <f t="shared" ca="1" si="19"/>
        <v>-70.49856002409399</v>
      </c>
      <c r="AT48" s="438">
        <f t="shared" ca="1" si="20"/>
        <v>-0.86834500755102795</v>
      </c>
      <c r="AU48" s="439">
        <f t="shared" ca="1" si="21"/>
        <v>0</v>
      </c>
      <c r="AV48" s="439">
        <f t="shared" ca="1" si="22"/>
        <v>-165.36440406547854</v>
      </c>
      <c r="AW48" s="439"/>
      <c r="AX48" s="438">
        <f t="shared" ca="1" si="12"/>
        <v>-1.4775713572924905</v>
      </c>
      <c r="AY48" s="438">
        <f t="shared" ca="1" si="23"/>
        <v>-1.7651521186446502</v>
      </c>
      <c r="AZ48" s="443"/>
      <c r="BA48" s="433" t="str">
        <f>CONCATENATE(H48," Clothes Washer - ",I48," - 54% ENERGY STAR Baseline")</f>
        <v>ENERGY STAR - Top-Load Clothes Washer - Electric DHW, Electric Dryer - 54% ENERGY STAR Baseline</v>
      </c>
      <c r="BB48" s="433" t="s">
        <v>25</v>
      </c>
      <c r="BC48" s="438">
        <f t="shared" ca="1" si="25"/>
        <v>-0.86834500755102795</v>
      </c>
      <c r="BD48" s="438">
        <f>SFAssumptions!$C$7</f>
        <v>14</v>
      </c>
      <c r="BE48" s="444">
        <f t="shared" ca="1" si="26"/>
        <v>-70.49856002409399</v>
      </c>
      <c r="BF48" s="433"/>
      <c r="BG48" s="432" t="s">
        <v>157</v>
      </c>
      <c r="BH48" s="445">
        <f t="shared" ca="1" si="27"/>
        <v>-1.7651521186446502</v>
      </c>
      <c r="BI48" s="433"/>
      <c r="BJ48" s="433"/>
      <c r="BK48" s="433"/>
      <c r="BL48" s="433"/>
      <c r="BM48" s="433"/>
      <c r="BN48" s="433"/>
      <c r="BO48" s="446">
        <f t="shared" ca="1" si="28"/>
        <v>0</v>
      </c>
      <c r="BP48" s="433" t="s">
        <v>158</v>
      </c>
    </row>
    <row r="49" spans="1:68" s="414" customFormat="1">
      <c r="A49" s="433">
        <f t="shared" si="29"/>
        <v>32</v>
      </c>
      <c r="B49" s="433">
        <f t="shared" si="3"/>
        <v>2</v>
      </c>
      <c r="C49" s="433">
        <f t="shared" si="4"/>
        <v>2</v>
      </c>
      <c r="D49" s="433">
        <f t="shared" si="5"/>
        <v>1</v>
      </c>
      <c r="E49" s="433">
        <f t="shared" si="6"/>
        <v>2</v>
      </c>
      <c r="F49" s="433"/>
      <c r="G49" s="433" t="str">
        <f t="shared" si="13"/>
        <v>Current Practice Baseline Using 54% ENERGY STAR Penetration</v>
      </c>
      <c r="H49" s="433" t="str">
        <f t="shared" si="14"/>
        <v>ENERGY STAR - Top-Load</v>
      </c>
      <c r="I49" s="433" t="str">
        <f t="shared" si="7"/>
        <v>Electric DHW, Gas Dryer</v>
      </c>
      <c r="J49" s="433" t="str">
        <f t="shared" si="8"/>
        <v>Electric DHW</v>
      </c>
      <c r="K49" s="433" t="str">
        <f t="shared" si="9"/>
        <v>Gas Dryer</v>
      </c>
      <c r="L49" s="434">
        <f>VLOOKUP(J49,SFAssumptions!$A$14:$B$16,2,FALSE)</f>
        <v>1</v>
      </c>
      <c r="M49" s="435">
        <f>VLOOKUP(K49,SFAssumptions!$A$18:$B$20,2,FALSE)</f>
        <v>0</v>
      </c>
      <c r="N49" s="436">
        <f ca="1">HLOOKUP($G49,'MHBaselines and Measures'!$C$3:$V$33,7,FALSE)</f>
        <v>3802.5240664273615</v>
      </c>
      <c r="O49" s="437">
        <f ca="1">HLOOKUP($G49,'MHBaselines and Measures'!$C$3:$V$33,8,FALSE)</f>
        <v>825.23457500176619</v>
      </c>
      <c r="P49" s="438">
        <f ca="1">HLOOKUP($G49,'MHBaselines and Measures'!$C$3:$V$33,25,FALSE)</f>
        <v>51.784607875448671</v>
      </c>
      <c r="Q49" s="438"/>
      <c r="R49" s="438">
        <f ca="1">HLOOKUP($G49,'MHBaselines and Measures'!$C$3:$V$33,27,FALSE)</f>
        <v>89.087499447547771</v>
      </c>
      <c r="S49" s="439">
        <f>HLOOKUP($G49,'MHBaselines and Measures'!$C$3:$V$33,29,FALSE)</f>
        <v>0</v>
      </c>
      <c r="T49" s="439"/>
      <c r="U49" s="439">
        <f ca="1">HLOOKUP($G49,'MHBaselines and Measures'!$C$3:$V$33,31,FALSE)</f>
        <v>4.0540751415264067</v>
      </c>
      <c r="V49" s="440">
        <f ca="1">HLOOKUP($G49,'MHBaselines and Measures'!$C$3:$V$33,9,FALSE)</f>
        <v>40.589348414993211</v>
      </c>
      <c r="W49" s="441"/>
      <c r="X49" s="436">
        <f ca="1">HLOOKUP($H49,'MHBaselines and Measures'!$C$2:$V$33,8,FALSE)</f>
        <v>3967.88847049284</v>
      </c>
      <c r="Y49" s="437">
        <f ca="1">HLOOKUP($H49,'MHBaselines and Measures'!$C$2:$V$33,9,FALSE)</f>
        <v>754.7360149776722</v>
      </c>
      <c r="Z49" s="438">
        <f ca="1">HLOOKUP($H49,'MHBaselines and Measures'!$C$2:$V$33,26,FALSE)</f>
        <v>50.709214711535168</v>
      </c>
      <c r="AA49" s="438"/>
      <c r="AB49" s="438">
        <f ca="1">HLOOKUP($H49,'MHBaselines and Measures'!$C$2:$V$33,28,FALSE)</f>
        <v>91.031237619012302</v>
      </c>
      <c r="AC49" s="439">
        <f>HLOOKUP($H49,'MHBaselines and Measures'!$C$2:$V$33,30,FALSE)</f>
        <v>0</v>
      </c>
      <c r="AD49" s="439"/>
      <c r="AE49" s="439">
        <f ca="1">HLOOKUP($H49,'MHBaselines and Measures'!$C$2:$V$33,32,FALSE)</f>
        <v>4.1425281865825196</v>
      </c>
      <c r="AF49" s="440">
        <f ca="1">HLOOKUP($H49,'MHBaselines and Measures'!$C$2:$V$33,10,FALSE)</f>
        <v>42.354500533637861</v>
      </c>
      <c r="AG49" s="441"/>
      <c r="AH49" s="436">
        <f t="shared" ca="1" si="15"/>
        <v>-165.36440406547854</v>
      </c>
      <c r="AI49" s="437">
        <f t="shared" ca="1" si="16"/>
        <v>-70.49856002409399</v>
      </c>
      <c r="AJ49" s="438">
        <f t="shared" ca="1" si="10"/>
        <v>1.0753931639135033</v>
      </c>
      <c r="AK49" s="438"/>
      <c r="AL49" s="438">
        <f t="shared" ca="1" si="30"/>
        <v>-1.9437381714645312</v>
      </c>
      <c r="AM49" s="439">
        <f t="shared" si="30"/>
        <v>0</v>
      </c>
      <c r="AN49" s="439"/>
      <c r="AO49" s="439">
        <f t="shared" ca="1" si="31"/>
        <v>-8.8453045056112956E-2</v>
      </c>
      <c r="AP49" s="442">
        <f t="shared" ca="1" si="31"/>
        <v>-1.7651521186446502</v>
      </c>
      <c r="AQ49" s="443"/>
      <c r="AR49" s="435" t="str">
        <f t="shared" si="18"/>
        <v>ENERGY STAR - Top-Load Clothes Washer - Electric DHW, Gas Dryer - 54% ENERGY STAR Baseline</v>
      </c>
      <c r="AS49" s="437">
        <f t="shared" ca="1" si="19"/>
        <v>-70.49856002409399</v>
      </c>
      <c r="AT49" s="438">
        <f t="shared" ca="1" si="20"/>
        <v>-0.86834500755102795</v>
      </c>
      <c r="AU49" s="439">
        <f t="shared" ca="1" si="21"/>
        <v>0</v>
      </c>
      <c r="AV49" s="439">
        <f t="shared" ca="1" si="22"/>
        <v>-165.36440406547854</v>
      </c>
      <c r="AW49" s="439"/>
      <c r="AX49" s="438">
        <f t="shared" ca="1" si="12"/>
        <v>-1.4775713572924905</v>
      </c>
      <c r="AY49" s="438">
        <f t="shared" ca="1" si="23"/>
        <v>-1.7651521186446502</v>
      </c>
      <c r="AZ49" s="443"/>
      <c r="BA49" s="433" t="str">
        <f t="shared" ref="BA49:BA77" si="32">CONCATENATE(H49," Clothes Washer - ",I49," - 54% ENERGY STAR Baseline")</f>
        <v>ENERGY STAR - Top-Load Clothes Washer - Electric DHW, Gas Dryer - 54% ENERGY STAR Baseline</v>
      </c>
      <c r="BB49" s="433" t="s">
        <v>25</v>
      </c>
      <c r="BC49" s="438">
        <f t="shared" ca="1" si="25"/>
        <v>-0.86834500755102795</v>
      </c>
      <c r="BD49" s="438">
        <f>SFAssumptions!$C$7</f>
        <v>14</v>
      </c>
      <c r="BE49" s="444">
        <f t="shared" ca="1" si="26"/>
        <v>-70.49856002409399</v>
      </c>
      <c r="BF49" s="433"/>
      <c r="BG49" s="432" t="s">
        <v>157</v>
      </c>
      <c r="BH49" s="445">
        <f t="shared" ca="1" si="27"/>
        <v>-1.7651521186446502</v>
      </c>
      <c r="BI49" s="433"/>
      <c r="BJ49" s="433"/>
      <c r="BK49" s="433"/>
      <c r="BL49" s="433"/>
      <c r="BM49" s="433"/>
      <c r="BN49" s="433"/>
      <c r="BO49" s="446">
        <f t="shared" ca="1" si="28"/>
        <v>0</v>
      </c>
      <c r="BP49" s="433" t="s">
        <v>158</v>
      </c>
    </row>
    <row r="50" spans="1:68" s="414" customFormat="1">
      <c r="A50" s="433">
        <f t="shared" si="29"/>
        <v>33</v>
      </c>
      <c r="B50" s="433">
        <f t="shared" si="3"/>
        <v>2</v>
      </c>
      <c r="C50" s="433">
        <f t="shared" si="4"/>
        <v>3</v>
      </c>
      <c r="D50" s="433">
        <f t="shared" si="5"/>
        <v>1</v>
      </c>
      <c r="E50" s="433">
        <f t="shared" si="6"/>
        <v>3</v>
      </c>
      <c r="F50" s="433"/>
      <c r="G50" s="433" t="str">
        <f t="shared" si="13"/>
        <v>Current Practice Baseline Using 54% ENERGY STAR Penetration</v>
      </c>
      <c r="H50" s="433" t="str">
        <f t="shared" si="14"/>
        <v>ENERGY STAR - Top-Load</v>
      </c>
      <c r="I50" s="433" t="str">
        <f t="shared" si="7"/>
        <v>Gas DHW, Electric Dryer</v>
      </c>
      <c r="J50" s="433" t="str">
        <f t="shared" si="8"/>
        <v>Gas DHW</v>
      </c>
      <c r="K50" s="433" t="str">
        <f t="shared" si="9"/>
        <v>Electric Dryer</v>
      </c>
      <c r="L50" s="434">
        <f>VLOOKUP(J50,SFAssumptions!$A$14:$B$16,2,FALSE)</f>
        <v>0</v>
      </c>
      <c r="M50" s="435">
        <f>VLOOKUP(K50,SFAssumptions!$A$18:$B$20,2,FALSE)</f>
        <v>1</v>
      </c>
      <c r="N50" s="436">
        <f ca="1">HLOOKUP($G50,'MHBaselines and Measures'!$C$3:$V$33,7,FALSE)</f>
        <v>3802.5240664273615</v>
      </c>
      <c r="O50" s="437">
        <f ca="1">HLOOKUP($G50,'MHBaselines and Measures'!$C$3:$V$33,8,FALSE)</f>
        <v>825.23457500176619</v>
      </c>
      <c r="P50" s="438">
        <f ca="1">HLOOKUP($G50,'MHBaselines and Measures'!$C$3:$V$33,25,FALSE)</f>
        <v>51.784607875448671</v>
      </c>
      <c r="Q50" s="438"/>
      <c r="R50" s="438">
        <f ca="1">HLOOKUP($G50,'MHBaselines and Measures'!$C$3:$V$33,27,FALSE)</f>
        <v>89.087499447547771</v>
      </c>
      <c r="S50" s="439">
        <f>HLOOKUP($G50,'MHBaselines and Measures'!$C$3:$V$33,29,FALSE)</f>
        <v>0</v>
      </c>
      <c r="T50" s="439"/>
      <c r="U50" s="439">
        <f ca="1">HLOOKUP($G50,'MHBaselines and Measures'!$C$3:$V$33,31,FALSE)</f>
        <v>4.0540751415264067</v>
      </c>
      <c r="V50" s="440">
        <f ca="1">HLOOKUP($G50,'MHBaselines and Measures'!$C$3:$V$33,9,FALSE)</f>
        <v>40.589348414993211</v>
      </c>
      <c r="W50" s="441"/>
      <c r="X50" s="436">
        <f ca="1">HLOOKUP($H50,'MHBaselines and Measures'!$C$2:$V$33,8,FALSE)</f>
        <v>3967.88847049284</v>
      </c>
      <c r="Y50" s="437">
        <f ca="1">HLOOKUP($H50,'MHBaselines and Measures'!$C$2:$V$33,9,FALSE)</f>
        <v>754.7360149776722</v>
      </c>
      <c r="Z50" s="438">
        <f ca="1">HLOOKUP($H50,'MHBaselines and Measures'!$C$2:$V$33,26,FALSE)</f>
        <v>50.709214711535168</v>
      </c>
      <c r="AA50" s="438"/>
      <c r="AB50" s="438">
        <f ca="1">HLOOKUP($H50,'MHBaselines and Measures'!$C$2:$V$33,28,FALSE)</f>
        <v>91.031237619012302</v>
      </c>
      <c r="AC50" s="439">
        <f>HLOOKUP($H50,'MHBaselines and Measures'!$C$2:$V$33,30,FALSE)</f>
        <v>0</v>
      </c>
      <c r="AD50" s="439"/>
      <c r="AE50" s="439">
        <f ca="1">HLOOKUP($H50,'MHBaselines and Measures'!$C$2:$V$33,32,FALSE)</f>
        <v>4.1425281865825196</v>
      </c>
      <c r="AF50" s="440">
        <f ca="1">HLOOKUP($H50,'MHBaselines and Measures'!$C$2:$V$33,10,FALSE)</f>
        <v>42.354500533637861</v>
      </c>
      <c r="AG50" s="441"/>
      <c r="AH50" s="436">
        <f t="shared" ca="1" si="15"/>
        <v>-165.36440406547854</v>
      </c>
      <c r="AI50" s="437">
        <f t="shared" ca="1" si="16"/>
        <v>-70.49856002409399</v>
      </c>
      <c r="AJ50" s="438">
        <f t="shared" ca="1" si="10"/>
        <v>1.0753931639135033</v>
      </c>
      <c r="AK50" s="438"/>
      <c r="AL50" s="438">
        <f t="shared" ref="AL50:AM77" ca="1" si="33">R50-AB50</f>
        <v>-1.9437381714645312</v>
      </c>
      <c r="AM50" s="439">
        <f t="shared" si="33"/>
        <v>0</v>
      </c>
      <c r="AN50" s="439"/>
      <c r="AO50" s="439">
        <f t="shared" ca="1" si="31"/>
        <v>-8.8453045056112956E-2</v>
      </c>
      <c r="AP50" s="442">
        <f t="shared" ca="1" si="31"/>
        <v>-1.7651521186446502</v>
      </c>
      <c r="AQ50" s="443"/>
      <c r="AR50" s="435" t="str">
        <f t="shared" si="18"/>
        <v>ENERGY STAR - Top-Load Clothes Washer - Gas DHW, Electric Dryer - 54% ENERGY STAR Baseline</v>
      </c>
      <c r="AS50" s="437">
        <f t="shared" ca="1" si="19"/>
        <v>-70.49856002409399</v>
      </c>
      <c r="AT50" s="438">
        <f t="shared" ca="1" si="20"/>
        <v>1.0753931639135033</v>
      </c>
      <c r="AU50" s="439">
        <f t="shared" ca="1" si="21"/>
        <v>-8.8453045056112956E-2</v>
      </c>
      <c r="AV50" s="439">
        <f t="shared" ca="1" si="22"/>
        <v>-165.36440406547854</v>
      </c>
      <c r="AW50" s="439"/>
      <c r="AX50" s="438">
        <f t="shared" ca="1" si="12"/>
        <v>0.46616681417204064</v>
      </c>
      <c r="AY50" s="438">
        <f t="shared" ca="1" si="23"/>
        <v>-1.7651521186446502</v>
      </c>
      <c r="AZ50" s="443"/>
      <c r="BA50" s="433" t="str">
        <f t="shared" si="32"/>
        <v>ENERGY STAR - Top-Load Clothes Washer - Gas DHW, Electric Dryer - 54% ENERGY STAR Baseline</v>
      </c>
      <c r="BB50" s="433" t="s">
        <v>25</v>
      </c>
      <c r="BC50" s="438">
        <f t="shared" ca="1" si="25"/>
        <v>1.0753931639135033</v>
      </c>
      <c r="BD50" s="438">
        <f>SFAssumptions!$C$7</f>
        <v>14</v>
      </c>
      <c r="BE50" s="444">
        <f t="shared" ca="1" si="26"/>
        <v>-70.49856002409399</v>
      </c>
      <c r="BF50" s="433"/>
      <c r="BG50" s="432" t="s">
        <v>157</v>
      </c>
      <c r="BH50" s="445">
        <f t="shared" ca="1" si="27"/>
        <v>-1.7651521186446502</v>
      </c>
      <c r="BI50" s="433"/>
      <c r="BJ50" s="433"/>
      <c r="BK50" s="433"/>
      <c r="BL50" s="433"/>
      <c r="BM50" s="433"/>
      <c r="BN50" s="433"/>
      <c r="BO50" s="446">
        <f t="shared" ca="1" si="28"/>
        <v>-8.8453045056112956E-2</v>
      </c>
      <c r="BP50" s="433" t="s">
        <v>158</v>
      </c>
    </row>
    <row r="51" spans="1:68" s="414" customFormat="1">
      <c r="A51" s="433">
        <f t="shared" si="29"/>
        <v>34</v>
      </c>
      <c r="B51" s="433">
        <f t="shared" si="3"/>
        <v>2</v>
      </c>
      <c r="C51" s="433">
        <f t="shared" si="4"/>
        <v>4</v>
      </c>
      <c r="D51" s="433">
        <f t="shared" si="5"/>
        <v>1</v>
      </c>
      <c r="E51" s="433">
        <f t="shared" si="6"/>
        <v>4</v>
      </c>
      <c r="F51" s="433"/>
      <c r="G51" s="433" t="str">
        <f t="shared" si="13"/>
        <v>Current Practice Baseline Using 54% ENERGY STAR Penetration</v>
      </c>
      <c r="H51" s="433" t="str">
        <f t="shared" si="14"/>
        <v>ENERGY STAR - Top-Load</v>
      </c>
      <c r="I51" s="433" t="str">
        <f t="shared" si="7"/>
        <v>Gas DHW, Gas Dryer</v>
      </c>
      <c r="J51" s="433" t="str">
        <f t="shared" si="8"/>
        <v>Gas DHW</v>
      </c>
      <c r="K51" s="433" t="str">
        <f t="shared" si="9"/>
        <v>Gas Dryer</v>
      </c>
      <c r="L51" s="434">
        <f>VLOOKUP(J51,SFAssumptions!$A$14:$B$16,2,FALSE)</f>
        <v>0</v>
      </c>
      <c r="M51" s="435">
        <f>VLOOKUP(K51,SFAssumptions!$A$18:$B$20,2,FALSE)</f>
        <v>0</v>
      </c>
      <c r="N51" s="436">
        <f ca="1">HLOOKUP($G51,'MHBaselines and Measures'!$C$3:$V$33,7,FALSE)</f>
        <v>3802.5240664273615</v>
      </c>
      <c r="O51" s="437">
        <f ca="1">HLOOKUP($G51,'MHBaselines and Measures'!$C$3:$V$33,8,FALSE)</f>
        <v>825.23457500176619</v>
      </c>
      <c r="P51" s="438">
        <f ca="1">HLOOKUP($G51,'MHBaselines and Measures'!$C$3:$V$33,25,FALSE)</f>
        <v>51.784607875448671</v>
      </c>
      <c r="Q51" s="438"/>
      <c r="R51" s="438">
        <f ca="1">HLOOKUP($G51,'MHBaselines and Measures'!$C$3:$V$33,27,FALSE)</f>
        <v>89.087499447547771</v>
      </c>
      <c r="S51" s="439">
        <f>HLOOKUP($G51,'MHBaselines and Measures'!$C$3:$V$33,29,FALSE)</f>
        <v>0</v>
      </c>
      <c r="T51" s="439"/>
      <c r="U51" s="439">
        <f ca="1">HLOOKUP($G51,'MHBaselines and Measures'!$C$3:$V$33,31,FALSE)</f>
        <v>4.0540751415264067</v>
      </c>
      <c r="V51" s="440">
        <f ca="1">HLOOKUP($G51,'MHBaselines and Measures'!$C$3:$V$33,9,FALSE)</f>
        <v>40.589348414993211</v>
      </c>
      <c r="W51" s="441"/>
      <c r="X51" s="436">
        <f ca="1">HLOOKUP($H51,'MHBaselines and Measures'!$C$2:$V$33,8,FALSE)</f>
        <v>3967.88847049284</v>
      </c>
      <c r="Y51" s="437">
        <f ca="1">HLOOKUP($H51,'MHBaselines and Measures'!$C$2:$V$33,9,FALSE)</f>
        <v>754.7360149776722</v>
      </c>
      <c r="Z51" s="438">
        <f ca="1">HLOOKUP($H51,'MHBaselines and Measures'!$C$2:$V$33,26,FALSE)</f>
        <v>50.709214711535168</v>
      </c>
      <c r="AA51" s="438"/>
      <c r="AB51" s="438">
        <f ca="1">HLOOKUP($H51,'MHBaselines and Measures'!$C$2:$V$33,28,FALSE)</f>
        <v>91.031237619012302</v>
      </c>
      <c r="AC51" s="439">
        <f>HLOOKUP($H51,'MHBaselines and Measures'!$C$2:$V$33,30,FALSE)</f>
        <v>0</v>
      </c>
      <c r="AD51" s="439"/>
      <c r="AE51" s="439">
        <f ca="1">HLOOKUP($H51,'MHBaselines and Measures'!$C$2:$V$33,32,FALSE)</f>
        <v>4.1425281865825196</v>
      </c>
      <c r="AF51" s="440">
        <f ca="1">HLOOKUP($H51,'MHBaselines and Measures'!$C$2:$V$33,10,FALSE)</f>
        <v>42.354500533637861</v>
      </c>
      <c r="AG51" s="441"/>
      <c r="AH51" s="436">
        <f t="shared" ca="1" si="15"/>
        <v>-165.36440406547854</v>
      </c>
      <c r="AI51" s="437">
        <f t="shared" ca="1" si="16"/>
        <v>-70.49856002409399</v>
      </c>
      <c r="AJ51" s="438">
        <f t="shared" ca="1" si="10"/>
        <v>1.0753931639135033</v>
      </c>
      <c r="AK51" s="438"/>
      <c r="AL51" s="438">
        <f t="shared" ca="1" si="33"/>
        <v>-1.9437381714645312</v>
      </c>
      <c r="AM51" s="439">
        <f t="shared" si="33"/>
        <v>0</v>
      </c>
      <c r="AN51" s="439"/>
      <c r="AO51" s="439">
        <f t="shared" ref="AO51:AP77" ca="1" si="34">U51-AE51</f>
        <v>-8.8453045056112956E-2</v>
      </c>
      <c r="AP51" s="442">
        <f t="shared" ca="1" si="34"/>
        <v>-1.7651521186446502</v>
      </c>
      <c r="AQ51" s="443"/>
      <c r="AR51" s="435" t="str">
        <f t="shared" si="18"/>
        <v>ENERGY STAR - Top-Load Clothes Washer - Gas DHW, Gas Dryer - 54% ENERGY STAR Baseline</v>
      </c>
      <c r="AS51" s="437">
        <f t="shared" ca="1" si="19"/>
        <v>-70.49856002409399</v>
      </c>
      <c r="AT51" s="438">
        <f t="shared" ca="1" si="20"/>
        <v>1.0753931639135033</v>
      </c>
      <c r="AU51" s="439">
        <f t="shared" ca="1" si="21"/>
        <v>-8.8453045056112956E-2</v>
      </c>
      <c r="AV51" s="439">
        <f t="shared" ca="1" si="22"/>
        <v>-165.36440406547854</v>
      </c>
      <c r="AW51" s="439"/>
      <c r="AX51" s="438">
        <f t="shared" ca="1" si="12"/>
        <v>0.46616681417204064</v>
      </c>
      <c r="AY51" s="438">
        <f t="shared" ca="1" si="23"/>
        <v>-1.7651521186446502</v>
      </c>
      <c r="AZ51" s="443"/>
      <c r="BA51" s="433" t="str">
        <f t="shared" si="32"/>
        <v>ENERGY STAR - Top-Load Clothes Washer - Gas DHW, Gas Dryer - 54% ENERGY STAR Baseline</v>
      </c>
      <c r="BB51" s="433" t="s">
        <v>25</v>
      </c>
      <c r="BC51" s="438">
        <f t="shared" ca="1" si="25"/>
        <v>1.0753931639135033</v>
      </c>
      <c r="BD51" s="438">
        <f>SFAssumptions!$C$7</f>
        <v>14</v>
      </c>
      <c r="BE51" s="444">
        <f t="shared" ca="1" si="26"/>
        <v>-70.49856002409399</v>
      </c>
      <c r="BF51" s="433"/>
      <c r="BG51" s="432" t="s">
        <v>157</v>
      </c>
      <c r="BH51" s="445">
        <f t="shared" ca="1" si="27"/>
        <v>-1.7651521186446502</v>
      </c>
      <c r="BI51" s="433"/>
      <c r="BJ51" s="433"/>
      <c r="BK51" s="433"/>
      <c r="BL51" s="433"/>
      <c r="BM51" s="433"/>
      <c r="BN51" s="433"/>
      <c r="BO51" s="446">
        <f t="shared" ca="1" si="28"/>
        <v>-8.8453045056112956E-2</v>
      </c>
      <c r="BP51" s="433" t="s">
        <v>158</v>
      </c>
    </row>
    <row r="52" spans="1:68" s="414" customFormat="1">
      <c r="A52" s="433">
        <f t="shared" si="29"/>
        <v>35</v>
      </c>
      <c r="B52" s="433">
        <f t="shared" si="3"/>
        <v>2</v>
      </c>
      <c r="C52" s="433">
        <f t="shared" si="4"/>
        <v>5</v>
      </c>
      <c r="D52" s="433">
        <f t="shared" si="5"/>
        <v>1</v>
      </c>
      <c r="E52" s="433">
        <f t="shared" si="6"/>
        <v>5</v>
      </c>
      <c r="F52" s="433"/>
      <c r="G52" s="433" t="str">
        <f t="shared" si="13"/>
        <v>Current Practice Baseline Using 54% ENERGY STAR Penetration</v>
      </c>
      <c r="H52" s="433" t="str">
        <f t="shared" si="14"/>
        <v>ENERGY STAR - Top-Load</v>
      </c>
      <c r="I52" s="433" t="str">
        <f t="shared" si="7"/>
        <v>Any DHW, Any Dryer</v>
      </c>
      <c r="J52" s="433" t="str">
        <f t="shared" si="8"/>
        <v>Any DHW</v>
      </c>
      <c r="K52" s="433" t="str">
        <f t="shared" si="9"/>
        <v>Any Dryer</v>
      </c>
      <c r="L52" s="434">
        <f>VLOOKUP(J52,SFAssumptions!$A$14:$B$16,2,FALSE)</f>
        <v>0.55200000000000005</v>
      </c>
      <c r="M52" s="435">
        <f>VLOOKUP(K52,SFAssumptions!$A$18:$B$20,2,FALSE)</f>
        <v>0.95</v>
      </c>
      <c r="N52" s="436">
        <f ca="1">HLOOKUP($G52,'MHBaselines and Measures'!$C$3:$V$33,7,FALSE)</f>
        <v>3802.5240664273615</v>
      </c>
      <c r="O52" s="437">
        <f ca="1">HLOOKUP($G52,'MHBaselines and Measures'!$C$3:$V$33,8,FALSE)</f>
        <v>825.23457500176619</v>
      </c>
      <c r="P52" s="438">
        <f ca="1">HLOOKUP($G52,'MHBaselines and Measures'!$C$3:$V$33,25,FALSE)</f>
        <v>51.784607875448671</v>
      </c>
      <c r="Q52" s="438"/>
      <c r="R52" s="438">
        <f ca="1">HLOOKUP($G52,'MHBaselines and Measures'!$C$3:$V$33,27,FALSE)</f>
        <v>89.087499447547771</v>
      </c>
      <c r="S52" s="439">
        <f>HLOOKUP($G52,'MHBaselines and Measures'!$C$3:$V$33,29,FALSE)</f>
        <v>0</v>
      </c>
      <c r="T52" s="439"/>
      <c r="U52" s="439">
        <f ca="1">HLOOKUP($G52,'MHBaselines and Measures'!$C$3:$V$33,31,FALSE)</f>
        <v>4.0540751415264067</v>
      </c>
      <c r="V52" s="440">
        <f ca="1">HLOOKUP($G52,'MHBaselines and Measures'!$C$3:$V$33,9,FALSE)</f>
        <v>40.589348414993211</v>
      </c>
      <c r="W52" s="441"/>
      <c r="X52" s="436">
        <f ca="1">HLOOKUP($H52,'MHBaselines and Measures'!$C$2:$V$33,8,FALSE)</f>
        <v>3967.88847049284</v>
      </c>
      <c r="Y52" s="437">
        <f ca="1">HLOOKUP($H52,'MHBaselines and Measures'!$C$2:$V$33,9,FALSE)</f>
        <v>754.7360149776722</v>
      </c>
      <c r="Z52" s="438">
        <f ca="1">HLOOKUP($H52,'MHBaselines and Measures'!$C$2:$V$33,26,FALSE)</f>
        <v>50.709214711535168</v>
      </c>
      <c r="AA52" s="438"/>
      <c r="AB52" s="438">
        <f ca="1">HLOOKUP($H52,'MHBaselines and Measures'!$C$2:$V$33,28,FALSE)</f>
        <v>91.031237619012302</v>
      </c>
      <c r="AC52" s="439">
        <f>HLOOKUP($H52,'MHBaselines and Measures'!$C$2:$V$33,30,FALSE)</f>
        <v>0</v>
      </c>
      <c r="AD52" s="439"/>
      <c r="AE52" s="439">
        <f ca="1">HLOOKUP($H52,'MHBaselines and Measures'!$C$2:$V$33,32,FALSE)</f>
        <v>4.1425281865825196</v>
      </c>
      <c r="AF52" s="440">
        <f ca="1">HLOOKUP($H52,'MHBaselines and Measures'!$C$2:$V$33,10,FALSE)</f>
        <v>42.354500533637861</v>
      </c>
      <c r="AG52" s="441"/>
      <c r="AH52" s="436">
        <f t="shared" ca="1" si="15"/>
        <v>-165.36440406547854</v>
      </c>
      <c r="AI52" s="437">
        <f t="shared" ca="1" si="16"/>
        <v>-70.49856002409399</v>
      </c>
      <c r="AJ52" s="438">
        <f t="shared" ca="1" si="10"/>
        <v>1.0753931639135033</v>
      </c>
      <c r="AK52" s="438"/>
      <c r="AL52" s="438">
        <f t="shared" ca="1" si="33"/>
        <v>-1.9437381714645312</v>
      </c>
      <c r="AM52" s="439">
        <f t="shared" si="33"/>
        <v>0</v>
      </c>
      <c r="AN52" s="439"/>
      <c r="AO52" s="439">
        <f t="shared" ca="1" si="34"/>
        <v>-8.8453045056112956E-2</v>
      </c>
      <c r="AP52" s="442">
        <f t="shared" ca="1" si="34"/>
        <v>-1.7651521186446502</v>
      </c>
      <c r="AQ52" s="443"/>
      <c r="AR52" s="435" t="str">
        <f t="shared" si="18"/>
        <v>ENERGY STAR - Top-Load Clothes Washer - Any DHW, Any Dryer - 54% ENERGY STAR Baseline</v>
      </c>
      <c r="AS52" s="437">
        <f t="shared" ca="1" si="19"/>
        <v>-70.49856002409399</v>
      </c>
      <c r="AT52" s="438">
        <f t="shared" ca="1" si="20"/>
        <v>2.4496932650819314E-3</v>
      </c>
      <c r="AU52" s="439">
        <f t="shared" ca="1" si="21"/>
        <v>-3.96269641851386E-2</v>
      </c>
      <c r="AV52" s="439">
        <f t="shared" ca="1" si="22"/>
        <v>-165.36440406547854</v>
      </c>
      <c r="AW52" s="439"/>
      <c r="AX52" s="438">
        <f t="shared" ca="1" si="12"/>
        <v>-0.60677665647638068</v>
      </c>
      <c r="AY52" s="438">
        <f t="shared" ca="1" si="23"/>
        <v>-1.7651521186446502</v>
      </c>
      <c r="AZ52" s="443"/>
      <c r="BA52" s="433" t="str">
        <f t="shared" si="32"/>
        <v>ENERGY STAR - Top-Load Clothes Washer - Any DHW, Any Dryer - 54% ENERGY STAR Baseline</v>
      </c>
      <c r="BB52" s="433" t="s">
        <v>25</v>
      </c>
      <c r="BC52" s="438">
        <f t="shared" ca="1" si="25"/>
        <v>2.4496932650819314E-3</v>
      </c>
      <c r="BD52" s="438">
        <f>SFAssumptions!$C$7</f>
        <v>14</v>
      </c>
      <c r="BE52" s="444">
        <f t="shared" ca="1" si="26"/>
        <v>-70.49856002409399</v>
      </c>
      <c r="BF52" s="433"/>
      <c r="BG52" s="432" t="s">
        <v>157</v>
      </c>
      <c r="BH52" s="445">
        <f t="shared" ca="1" si="27"/>
        <v>-1.7651521186446502</v>
      </c>
      <c r="BI52" s="433"/>
      <c r="BJ52" s="433"/>
      <c r="BK52" s="433"/>
      <c r="BL52" s="433"/>
      <c r="BM52" s="433"/>
      <c r="BN52" s="433"/>
      <c r="BO52" s="446">
        <f t="shared" ca="1" si="28"/>
        <v>-3.96269641851386E-2</v>
      </c>
      <c r="BP52" s="433" t="s">
        <v>158</v>
      </c>
    </row>
    <row r="53" spans="1:68" s="414" customFormat="1">
      <c r="A53" s="433">
        <f t="shared" si="29"/>
        <v>36</v>
      </c>
      <c r="B53" s="433">
        <f t="shared" si="3"/>
        <v>2</v>
      </c>
      <c r="C53" s="433">
        <f t="shared" si="4"/>
        <v>6</v>
      </c>
      <c r="D53" s="433">
        <f t="shared" si="5"/>
        <v>2</v>
      </c>
      <c r="E53" s="433">
        <f t="shared" si="6"/>
        <v>1</v>
      </c>
      <c r="F53" s="433"/>
      <c r="G53" s="433" t="str">
        <f t="shared" si="13"/>
        <v>Current Practice Baseline Using 54% ENERGY STAR Penetration</v>
      </c>
      <c r="H53" s="433" t="str">
        <f t="shared" si="14"/>
        <v>ENERGY STAR - Front-Load</v>
      </c>
      <c r="I53" s="433" t="str">
        <f t="shared" si="7"/>
        <v>Electric DHW, Electric Dryer</v>
      </c>
      <c r="J53" s="433" t="str">
        <f t="shared" si="8"/>
        <v>Electric DHW</v>
      </c>
      <c r="K53" s="433" t="str">
        <f t="shared" si="9"/>
        <v>Electric Dryer</v>
      </c>
      <c r="L53" s="434">
        <f>VLOOKUP(J53,SFAssumptions!$A$14:$B$16,2,FALSE)</f>
        <v>1</v>
      </c>
      <c r="M53" s="435">
        <f>VLOOKUP(K53,SFAssumptions!$A$18:$B$20,2,FALSE)</f>
        <v>1</v>
      </c>
      <c r="N53" s="436">
        <f ca="1">HLOOKUP($G53,'MHBaselines and Measures'!$C$3:$V$33,7,FALSE)</f>
        <v>3802.5240664273615</v>
      </c>
      <c r="O53" s="437">
        <f ca="1">HLOOKUP($G53,'MHBaselines and Measures'!$C$3:$V$33,8,FALSE)</f>
        <v>825.23457500176619</v>
      </c>
      <c r="P53" s="438">
        <f ca="1">HLOOKUP($G53,'MHBaselines and Measures'!$C$3:$V$33,25,FALSE)</f>
        <v>51.784607875448671</v>
      </c>
      <c r="Q53" s="438"/>
      <c r="R53" s="438">
        <f ca="1">HLOOKUP($G53,'MHBaselines and Measures'!$C$3:$V$33,27,FALSE)</f>
        <v>89.087499447547771</v>
      </c>
      <c r="S53" s="439">
        <f>HLOOKUP($G53,'MHBaselines and Measures'!$C$3:$V$33,29,FALSE)</f>
        <v>0</v>
      </c>
      <c r="T53" s="439"/>
      <c r="U53" s="439">
        <f ca="1">HLOOKUP($G53,'MHBaselines and Measures'!$C$3:$V$33,31,FALSE)</f>
        <v>4.0540751415264067</v>
      </c>
      <c r="V53" s="440">
        <f ca="1">HLOOKUP($G53,'MHBaselines and Measures'!$C$3:$V$33,9,FALSE)</f>
        <v>40.589348414993211</v>
      </c>
      <c r="W53" s="441"/>
      <c r="X53" s="436">
        <f ca="1">HLOOKUP($H53,'MHBaselines and Measures'!$C$2:$V$33,8,FALSE)</f>
        <v>3066.8078198141188</v>
      </c>
      <c r="Y53" s="437">
        <f ca="1">HLOOKUP($H53,'MHBaselines and Measures'!$C$2:$V$33,9,FALSE)</f>
        <v>969.81887509547198</v>
      </c>
      <c r="Z53" s="438">
        <f ca="1">HLOOKUP($H53,'MHBaselines and Measures'!$C$2:$V$33,26,FALSE)</f>
        <v>47.783551903949871</v>
      </c>
      <c r="AA53" s="438"/>
      <c r="AB53" s="438">
        <f ca="1">HLOOKUP($H53,'MHBaselines and Measures'!$C$2:$V$33,28,FALSE)</f>
        <v>66.299323460376783</v>
      </c>
      <c r="AC53" s="439">
        <f>HLOOKUP($H53,'MHBaselines and Measures'!$C$2:$V$33,30,FALSE)</f>
        <v>0</v>
      </c>
      <c r="AD53" s="439"/>
      <c r="AE53" s="439">
        <f ca="1">HLOOKUP($H53,'MHBaselines and Measures'!$C$2:$V$33,32,FALSE)</f>
        <v>3.0170612129368792</v>
      </c>
      <c r="AF53" s="440">
        <f ca="1">HLOOKUP($H53,'MHBaselines and Measures'!$C$2:$V$33,10,FALSE)</f>
        <v>32.736079757994865</v>
      </c>
      <c r="AG53" s="441"/>
      <c r="AH53" s="436">
        <f t="shared" ca="1" si="15"/>
        <v>735.71624661324267</v>
      </c>
      <c r="AI53" s="437">
        <f t="shared" ca="1" si="16"/>
        <v>144.58430009370579</v>
      </c>
      <c r="AJ53" s="438">
        <f t="shared" ca="1" si="10"/>
        <v>4.0010559714988005</v>
      </c>
      <c r="AK53" s="438"/>
      <c r="AL53" s="438">
        <f t="shared" ca="1" si="33"/>
        <v>22.788175987170987</v>
      </c>
      <c r="AM53" s="439">
        <f t="shared" si="33"/>
        <v>0</v>
      </c>
      <c r="AN53" s="439"/>
      <c r="AO53" s="439">
        <f t="shared" ca="1" si="34"/>
        <v>1.0370139285895275</v>
      </c>
      <c r="AP53" s="442">
        <f t="shared" ca="1" si="34"/>
        <v>7.8532686569983454</v>
      </c>
      <c r="AQ53" s="443"/>
      <c r="AR53" s="435" t="str">
        <f t="shared" si="18"/>
        <v>ENERGY STAR - Front-Load Clothes Washer - Electric DHW, Electric Dryer - 54% ENERGY STAR Baseline</v>
      </c>
      <c r="AS53" s="437">
        <f t="shared" ca="1" si="19"/>
        <v>144.58430009370579</v>
      </c>
      <c r="AT53" s="438">
        <f t="shared" ca="1" si="20"/>
        <v>26.789231958669788</v>
      </c>
      <c r="AU53" s="439">
        <f t="shared" ca="1" si="21"/>
        <v>0</v>
      </c>
      <c r="AV53" s="439">
        <f t="shared" ca="1" si="22"/>
        <v>735.71624661324267</v>
      </c>
      <c r="AW53" s="439"/>
      <c r="AX53" s="438">
        <f t="shared" ca="1" si="12"/>
        <v>29.49971687773494</v>
      </c>
      <c r="AY53" s="438">
        <f t="shared" ca="1" si="23"/>
        <v>7.8532686569983454</v>
      </c>
      <c r="AZ53" s="443"/>
      <c r="BA53" s="433" t="str">
        <f t="shared" si="32"/>
        <v>ENERGY STAR - Front-Load Clothes Washer - Electric DHW, Electric Dryer - 54% ENERGY STAR Baseline</v>
      </c>
      <c r="BB53" s="433" t="s">
        <v>25</v>
      </c>
      <c r="BC53" s="438">
        <f t="shared" ca="1" si="25"/>
        <v>26.789231958669788</v>
      </c>
      <c r="BD53" s="438">
        <f>SFAssumptions!$C$7</f>
        <v>14</v>
      </c>
      <c r="BE53" s="444">
        <f t="shared" ca="1" si="26"/>
        <v>144.58430009370579</v>
      </c>
      <c r="BF53" s="433"/>
      <c r="BG53" s="432" t="s">
        <v>157</v>
      </c>
      <c r="BH53" s="445">
        <f t="shared" ca="1" si="27"/>
        <v>7.8532686569983454</v>
      </c>
      <c r="BI53" s="433"/>
      <c r="BJ53" s="433"/>
      <c r="BK53" s="433"/>
      <c r="BL53" s="433"/>
      <c r="BM53" s="433"/>
      <c r="BN53" s="433"/>
      <c r="BO53" s="446">
        <f t="shared" ca="1" si="28"/>
        <v>0</v>
      </c>
      <c r="BP53" s="433" t="s">
        <v>158</v>
      </c>
    </row>
    <row r="54" spans="1:68" s="414" customFormat="1">
      <c r="A54" s="433">
        <f t="shared" si="29"/>
        <v>37</v>
      </c>
      <c r="B54" s="433">
        <f t="shared" si="3"/>
        <v>2</v>
      </c>
      <c r="C54" s="433">
        <f t="shared" si="4"/>
        <v>7</v>
      </c>
      <c r="D54" s="433">
        <f t="shared" si="5"/>
        <v>2</v>
      </c>
      <c r="E54" s="433">
        <f t="shared" si="6"/>
        <v>2</v>
      </c>
      <c r="F54" s="433"/>
      <c r="G54" s="433" t="str">
        <f t="shared" si="13"/>
        <v>Current Practice Baseline Using 54% ENERGY STAR Penetration</v>
      </c>
      <c r="H54" s="433" t="str">
        <f t="shared" si="14"/>
        <v>ENERGY STAR - Front-Load</v>
      </c>
      <c r="I54" s="433" t="str">
        <f t="shared" si="7"/>
        <v>Electric DHW, Gas Dryer</v>
      </c>
      <c r="J54" s="433" t="str">
        <f t="shared" si="8"/>
        <v>Electric DHW</v>
      </c>
      <c r="K54" s="433" t="str">
        <f t="shared" si="9"/>
        <v>Gas Dryer</v>
      </c>
      <c r="L54" s="434">
        <f>VLOOKUP(J54,SFAssumptions!$A$14:$B$16,2,FALSE)</f>
        <v>1</v>
      </c>
      <c r="M54" s="435">
        <f>VLOOKUP(K54,SFAssumptions!$A$18:$B$20,2,FALSE)</f>
        <v>0</v>
      </c>
      <c r="N54" s="436">
        <f ca="1">HLOOKUP($G54,'MHBaselines and Measures'!$C$3:$V$33,7,FALSE)</f>
        <v>3802.5240664273615</v>
      </c>
      <c r="O54" s="437">
        <f ca="1">HLOOKUP($G54,'MHBaselines and Measures'!$C$3:$V$33,8,FALSE)</f>
        <v>825.23457500176619</v>
      </c>
      <c r="P54" s="438">
        <f ca="1">HLOOKUP($G54,'MHBaselines and Measures'!$C$3:$V$33,25,FALSE)</f>
        <v>51.784607875448671</v>
      </c>
      <c r="Q54" s="438"/>
      <c r="R54" s="438">
        <f ca="1">HLOOKUP($G54,'MHBaselines and Measures'!$C$3:$V$33,27,FALSE)</f>
        <v>89.087499447547771</v>
      </c>
      <c r="S54" s="439">
        <f>HLOOKUP($G54,'MHBaselines and Measures'!$C$3:$V$33,29,FALSE)</f>
        <v>0</v>
      </c>
      <c r="T54" s="439"/>
      <c r="U54" s="439">
        <f ca="1">HLOOKUP($G54,'MHBaselines and Measures'!$C$3:$V$33,31,FALSE)</f>
        <v>4.0540751415264067</v>
      </c>
      <c r="V54" s="440">
        <f ca="1">HLOOKUP($G54,'MHBaselines and Measures'!$C$3:$V$33,9,FALSE)</f>
        <v>40.589348414993211</v>
      </c>
      <c r="W54" s="441"/>
      <c r="X54" s="436">
        <f ca="1">HLOOKUP($H54,'MHBaselines and Measures'!$C$2:$V$33,8,FALSE)</f>
        <v>3066.8078198141188</v>
      </c>
      <c r="Y54" s="437">
        <f ca="1">HLOOKUP($H54,'MHBaselines and Measures'!$C$2:$V$33,9,FALSE)</f>
        <v>969.81887509547198</v>
      </c>
      <c r="Z54" s="438">
        <f ca="1">HLOOKUP($H54,'MHBaselines and Measures'!$C$2:$V$33,26,FALSE)</f>
        <v>47.783551903949871</v>
      </c>
      <c r="AA54" s="438"/>
      <c r="AB54" s="438">
        <f ca="1">HLOOKUP($H54,'MHBaselines and Measures'!$C$2:$V$33,28,FALSE)</f>
        <v>66.299323460376783</v>
      </c>
      <c r="AC54" s="439">
        <f>HLOOKUP($H54,'MHBaselines and Measures'!$C$2:$V$33,30,FALSE)</f>
        <v>0</v>
      </c>
      <c r="AD54" s="439"/>
      <c r="AE54" s="439">
        <f ca="1">HLOOKUP($H54,'MHBaselines and Measures'!$C$2:$V$33,32,FALSE)</f>
        <v>3.0170612129368792</v>
      </c>
      <c r="AF54" s="440">
        <f ca="1">HLOOKUP($H54,'MHBaselines and Measures'!$C$2:$V$33,10,FALSE)</f>
        <v>32.736079757994865</v>
      </c>
      <c r="AG54" s="441"/>
      <c r="AH54" s="436">
        <f t="shared" ca="1" si="15"/>
        <v>735.71624661324267</v>
      </c>
      <c r="AI54" s="437">
        <f t="shared" ca="1" si="16"/>
        <v>144.58430009370579</v>
      </c>
      <c r="AJ54" s="438">
        <f t="shared" ca="1" si="10"/>
        <v>4.0010559714988005</v>
      </c>
      <c r="AK54" s="438"/>
      <c r="AL54" s="438">
        <f t="shared" ca="1" si="33"/>
        <v>22.788175987170987</v>
      </c>
      <c r="AM54" s="439">
        <f t="shared" si="33"/>
        <v>0</v>
      </c>
      <c r="AN54" s="439"/>
      <c r="AO54" s="439">
        <f t="shared" ca="1" si="34"/>
        <v>1.0370139285895275</v>
      </c>
      <c r="AP54" s="442">
        <f t="shared" ca="1" si="34"/>
        <v>7.8532686569983454</v>
      </c>
      <c r="AQ54" s="443"/>
      <c r="AR54" s="435" t="str">
        <f t="shared" si="18"/>
        <v>ENERGY STAR - Front-Load Clothes Washer - Electric DHW, Gas Dryer - 54% ENERGY STAR Baseline</v>
      </c>
      <c r="AS54" s="437">
        <f t="shared" ca="1" si="19"/>
        <v>144.58430009370579</v>
      </c>
      <c r="AT54" s="438">
        <f t="shared" ca="1" si="20"/>
        <v>26.789231958669788</v>
      </c>
      <c r="AU54" s="439">
        <f t="shared" ca="1" si="21"/>
        <v>0</v>
      </c>
      <c r="AV54" s="439">
        <f t="shared" ca="1" si="22"/>
        <v>735.71624661324267</v>
      </c>
      <c r="AW54" s="439"/>
      <c r="AX54" s="438">
        <f t="shared" ca="1" si="12"/>
        <v>29.49971687773494</v>
      </c>
      <c r="AY54" s="438">
        <f t="shared" ca="1" si="23"/>
        <v>7.8532686569983454</v>
      </c>
      <c r="AZ54" s="443"/>
      <c r="BA54" s="433" t="str">
        <f t="shared" si="32"/>
        <v>ENERGY STAR - Front-Load Clothes Washer - Electric DHW, Gas Dryer - 54% ENERGY STAR Baseline</v>
      </c>
      <c r="BB54" s="433" t="s">
        <v>25</v>
      </c>
      <c r="BC54" s="438">
        <f t="shared" ca="1" si="25"/>
        <v>26.789231958669788</v>
      </c>
      <c r="BD54" s="438">
        <f>SFAssumptions!$C$7</f>
        <v>14</v>
      </c>
      <c r="BE54" s="444">
        <f t="shared" ca="1" si="26"/>
        <v>144.58430009370579</v>
      </c>
      <c r="BF54" s="433"/>
      <c r="BG54" s="432" t="s">
        <v>157</v>
      </c>
      <c r="BH54" s="445">
        <f t="shared" ca="1" si="27"/>
        <v>7.8532686569983454</v>
      </c>
      <c r="BI54" s="433"/>
      <c r="BJ54" s="433"/>
      <c r="BK54" s="433"/>
      <c r="BL54" s="433"/>
      <c r="BM54" s="433"/>
      <c r="BN54" s="433"/>
      <c r="BO54" s="446">
        <f t="shared" ca="1" si="28"/>
        <v>0</v>
      </c>
      <c r="BP54" s="433" t="s">
        <v>158</v>
      </c>
    </row>
    <row r="55" spans="1:68" s="414" customFormat="1">
      <c r="A55" s="433">
        <f t="shared" si="29"/>
        <v>38</v>
      </c>
      <c r="B55" s="433">
        <f t="shared" si="3"/>
        <v>2</v>
      </c>
      <c r="C55" s="433">
        <f t="shared" si="4"/>
        <v>8</v>
      </c>
      <c r="D55" s="433">
        <f t="shared" si="5"/>
        <v>2</v>
      </c>
      <c r="E55" s="433">
        <f t="shared" si="6"/>
        <v>3</v>
      </c>
      <c r="F55" s="433"/>
      <c r="G55" s="433" t="str">
        <f t="shared" si="13"/>
        <v>Current Practice Baseline Using 54% ENERGY STAR Penetration</v>
      </c>
      <c r="H55" s="433" t="str">
        <f t="shared" si="14"/>
        <v>ENERGY STAR - Front-Load</v>
      </c>
      <c r="I55" s="433" t="str">
        <f t="shared" si="7"/>
        <v>Gas DHW, Electric Dryer</v>
      </c>
      <c r="J55" s="433" t="str">
        <f t="shared" si="8"/>
        <v>Gas DHW</v>
      </c>
      <c r="K55" s="433" t="str">
        <f t="shared" si="9"/>
        <v>Electric Dryer</v>
      </c>
      <c r="L55" s="434">
        <f>VLOOKUP(J55,SFAssumptions!$A$14:$B$16,2,FALSE)</f>
        <v>0</v>
      </c>
      <c r="M55" s="435">
        <f>VLOOKUP(K55,SFAssumptions!$A$18:$B$20,2,FALSE)</f>
        <v>1</v>
      </c>
      <c r="N55" s="436">
        <f ca="1">HLOOKUP($G55,'MHBaselines and Measures'!$C$3:$V$33,7,FALSE)</f>
        <v>3802.5240664273615</v>
      </c>
      <c r="O55" s="437">
        <f ca="1">HLOOKUP($G55,'MHBaselines and Measures'!$C$3:$V$33,8,FALSE)</f>
        <v>825.23457500176619</v>
      </c>
      <c r="P55" s="438">
        <f ca="1">HLOOKUP($G55,'MHBaselines and Measures'!$C$3:$V$33,25,FALSE)</f>
        <v>51.784607875448671</v>
      </c>
      <c r="Q55" s="438"/>
      <c r="R55" s="438">
        <f ca="1">HLOOKUP($G55,'MHBaselines and Measures'!$C$3:$V$33,27,FALSE)</f>
        <v>89.087499447547771</v>
      </c>
      <c r="S55" s="439">
        <f>HLOOKUP($G55,'MHBaselines and Measures'!$C$3:$V$33,29,FALSE)</f>
        <v>0</v>
      </c>
      <c r="T55" s="439"/>
      <c r="U55" s="439">
        <f ca="1">HLOOKUP($G55,'MHBaselines and Measures'!$C$3:$V$33,31,FALSE)</f>
        <v>4.0540751415264067</v>
      </c>
      <c r="V55" s="440">
        <f ca="1">HLOOKUP($G55,'MHBaselines and Measures'!$C$3:$V$33,9,FALSE)</f>
        <v>40.589348414993211</v>
      </c>
      <c r="W55" s="441"/>
      <c r="X55" s="436">
        <f ca="1">HLOOKUP($H55,'MHBaselines and Measures'!$C$2:$V$33,8,FALSE)</f>
        <v>3066.8078198141188</v>
      </c>
      <c r="Y55" s="437">
        <f ca="1">HLOOKUP($H55,'MHBaselines and Measures'!$C$2:$V$33,9,FALSE)</f>
        <v>969.81887509547198</v>
      </c>
      <c r="Z55" s="438">
        <f ca="1">HLOOKUP($H55,'MHBaselines and Measures'!$C$2:$V$33,26,FALSE)</f>
        <v>47.783551903949871</v>
      </c>
      <c r="AA55" s="438"/>
      <c r="AB55" s="438">
        <f ca="1">HLOOKUP($H55,'MHBaselines and Measures'!$C$2:$V$33,28,FALSE)</f>
        <v>66.299323460376783</v>
      </c>
      <c r="AC55" s="439">
        <f>HLOOKUP($H55,'MHBaselines and Measures'!$C$2:$V$33,30,FALSE)</f>
        <v>0</v>
      </c>
      <c r="AD55" s="439"/>
      <c r="AE55" s="439">
        <f ca="1">HLOOKUP($H55,'MHBaselines and Measures'!$C$2:$V$33,32,FALSE)</f>
        <v>3.0170612129368792</v>
      </c>
      <c r="AF55" s="440">
        <f ca="1">HLOOKUP($H55,'MHBaselines and Measures'!$C$2:$V$33,10,FALSE)</f>
        <v>32.736079757994865</v>
      </c>
      <c r="AG55" s="441"/>
      <c r="AH55" s="436">
        <f t="shared" ca="1" si="15"/>
        <v>735.71624661324267</v>
      </c>
      <c r="AI55" s="437">
        <f t="shared" ca="1" si="16"/>
        <v>144.58430009370579</v>
      </c>
      <c r="AJ55" s="438">
        <f t="shared" ca="1" si="10"/>
        <v>4.0010559714988005</v>
      </c>
      <c r="AK55" s="438"/>
      <c r="AL55" s="438">
        <f t="shared" ca="1" si="33"/>
        <v>22.788175987170987</v>
      </c>
      <c r="AM55" s="439">
        <f t="shared" si="33"/>
        <v>0</v>
      </c>
      <c r="AN55" s="439"/>
      <c r="AO55" s="439">
        <f t="shared" ca="1" si="34"/>
        <v>1.0370139285895275</v>
      </c>
      <c r="AP55" s="442">
        <f t="shared" ca="1" si="34"/>
        <v>7.8532686569983454</v>
      </c>
      <c r="AQ55" s="443"/>
      <c r="AR55" s="435" t="str">
        <f t="shared" si="18"/>
        <v>ENERGY STAR - Front-Load Clothes Washer - Gas DHW, Electric Dryer - 54% ENERGY STAR Baseline</v>
      </c>
      <c r="AS55" s="437">
        <f t="shared" ca="1" si="19"/>
        <v>144.58430009370579</v>
      </c>
      <c r="AT55" s="438">
        <f t="shared" ca="1" si="20"/>
        <v>4.0010559714988005</v>
      </c>
      <c r="AU55" s="439">
        <f t="shared" ca="1" si="21"/>
        <v>1.0370139285895275</v>
      </c>
      <c r="AV55" s="439">
        <f t="shared" ca="1" si="22"/>
        <v>735.71624661324267</v>
      </c>
      <c r="AW55" s="439"/>
      <c r="AX55" s="438">
        <f t="shared" ca="1" si="12"/>
        <v>6.7115408905639509</v>
      </c>
      <c r="AY55" s="438">
        <f t="shared" ca="1" si="23"/>
        <v>7.8532686569983454</v>
      </c>
      <c r="AZ55" s="443"/>
      <c r="BA55" s="433" t="str">
        <f t="shared" si="32"/>
        <v>ENERGY STAR - Front-Load Clothes Washer - Gas DHW, Electric Dryer - 54% ENERGY STAR Baseline</v>
      </c>
      <c r="BB55" s="433" t="s">
        <v>25</v>
      </c>
      <c r="BC55" s="438">
        <f t="shared" ca="1" si="25"/>
        <v>4.0010559714988005</v>
      </c>
      <c r="BD55" s="438">
        <f>SFAssumptions!$C$7</f>
        <v>14</v>
      </c>
      <c r="BE55" s="444">
        <f t="shared" ca="1" si="26"/>
        <v>144.58430009370579</v>
      </c>
      <c r="BF55" s="433"/>
      <c r="BG55" s="432" t="s">
        <v>157</v>
      </c>
      <c r="BH55" s="445">
        <f t="shared" ca="1" si="27"/>
        <v>7.8532686569983454</v>
      </c>
      <c r="BI55" s="433"/>
      <c r="BJ55" s="433"/>
      <c r="BK55" s="433"/>
      <c r="BL55" s="433"/>
      <c r="BM55" s="433"/>
      <c r="BN55" s="433"/>
      <c r="BO55" s="446">
        <f t="shared" ca="1" si="28"/>
        <v>1.0370139285895275</v>
      </c>
      <c r="BP55" s="433" t="s">
        <v>158</v>
      </c>
    </row>
    <row r="56" spans="1:68" s="414" customFormat="1">
      <c r="A56" s="433">
        <f t="shared" si="29"/>
        <v>39</v>
      </c>
      <c r="B56" s="433">
        <f t="shared" si="3"/>
        <v>2</v>
      </c>
      <c r="C56" s="433">
        <f t="shared" si="4"/>
        <v>9</v>
      </c>
      <c r="D56" s="433">
        <f t="shared" si="5"/>
        <v>2</v>
      </c>
      <c r="E56" s="433">
        <f t="shared" si="6"/>
        <v>4</v>
      </c>
      <c r="F56" s="433"/>
      <c r="G56" s="433" t="str">
        <f t="shared" si="13"/>
        <v>Current Practice Baseline Using 54% ENERGY STAR Penetration</v>
      </c>
      <c r="H56" s="433" t="str">
        <f t="shared" si="14"/>
        <v>ENERGY STAR - Front-Load</v>
      </c>
      <c r="I56" s="433" t="str">
        <f t="shared" si="7"/>
        <v>Gas DHW, Gas Dryer</v>
      </c>
      <c r="J56" s="433" t="str">
        <f t="shared" si="8"/>
        <v>Gas DHW</v>
      </c>
      <c r="K56" s="433" t="str">
        <f t="shared" si="9"/>
        <v>Gas Dryer</v>
      </c>
      <c r="L56" s="434">
        <f>VLOOKUP(J56,SFAssumptions!$A$14:$B$16,2,FALSE)</f>
        <v>0</v>
      </c>
      <c r="M56" s="435">
        <f>VLOOKUP(K56,SFAssumptions!$A$18:$B$20,2,FALSE)</f>
        <v>0</v>
      </c>
      <c r="N56" s="436">
        <f ca="1">HLOOKUP($G56,'MHBaselines and Measures'!$C$3:$V$33,7,FALSE)</f>
        <v>3802.5240664273615</v>
      </c>
      <c r="O56" s="437">
        <f ca="1">HLOOKUP($G56,'MHBaselines and Measures'!$C$3:$V$33,8,FALSE)</f>
        <v>825.23457500176619</v>
      </c>
      <c r="P56" s="438">
        <f ca="1">HLOOKUP($G56,'MHBaselines and Measures'!$C$3:$V$33,25,FALSE)</f>
        <v>51.784607875448671</v>
      </c>
      <c r="Q56" s="438"/>
      <c r="R56" s="438">
        <f ca="1">HLOOKUP($G56,'MHBaselines and Measures'!$C$3:$V$33,27,FALSE)</f>
        <v>89.087499447547771</v>
      </c>
      <c r="S56" s="439">
        <f>HLOOKUP($G56,'MHBaselines and Measures'!$C$3:$V$33,29,FALSE)</f>
        <v>0</v>
      </c>
      <c r="T56" s="439"/>
      <c r="U56" s="439">
        <f ca="1">HLOOKUP($G56,'MHBaselines and Measures'!$C$3:$V$33,31,FALSE)</f>
        <v>4.0540751415264067</v>
      </c>
      <c r="V56" s="440">
        <f ca="1">HLOOKUP($G56,'MHBaselines and Measures'!$C$3:$V$33,9,FALSE)</f>
        <v>40.589348414993211</v>
      </c>
      <c r="W56" s="441"/>
      <c r="X56" s="436">
        <f ca="1">HLOOKUP($H56,'MHBaselines and Measures'!$C$2:$V$33,8,FALSE)</f>
        <v>3066.8078198141188</v>
      </c>
      <c r="Y56" s="437">
        <f ca="1">HLOOKUP($H56,'MHBaselines and Measures'!$C$2:$V$33,9,FALSE)</f>
        <v>969.81887509547198</v>
      </c>
      <c r="Z56" s="438">
        <f ca="1">HLOOKUP($H56,'MHBaselines and Measures'!$C$2:$V$33,26,FALSE)</f>
        <v>47.783551903949871</v>
      </c>
      <c r="AA56" s="438"/>
      <c r="AB56" s="438">
        <f ca="1">HLOOKUP($H56,'MHBaselines and Measures'!$C$2:$V$33,28,FALSE)</f>
        <v>66.299323460376783</v>
      </c>
      <c r="AC56" s="439">
        <f>HLOOKUP($H56,'MHBaselines and Measures'!$C$2:$V$33,30,FALSE)</f>
        <v>0</v>
      </c>
      <c r="AD56" s="439"/>
      <c r="AE56" s="439">
        <f ca="1">HLOOKUP($H56,'MHBaselines and Measures'!$C$2:$V$33,32,FALSE)</f>
        <v>3.0170612129368792</v>
      </c>
      <c r="AF56" s="440">
        <f ca="1">HLOOKUP($H56,'MHBaselines and Measures'!$C$2:$V$33,10,FALSE)</f>
        <v>32.736079757994865</v>
      </c>
      <c r="AG56" s="441"/>
      <c r="AH56" s="436">
        <f t="shared" ca="1" si="15"/>
        <v>735.71624661324267</v>
      </c>
      <c r="AI56" s="437">
        <f t="shared" ca="1" si="16"/>
        <v>144.58430009370579</v>
      </c>
      <c r="AJ56" s="438">
        <f t="shared" ca="1" si="10"/>
        <v>4.0010559714988005</v>
      </c>
      <c r="AK56" s="438"/>
      <c r="AL56" s="438">
        <f t="shared" ca="1" si="33"/>
        <v>22.788175987170987</v>
      </c>
      <c r="AM56" s="439">
        <f t="shared" si="33"/>
        <v>0</v>
      </c>
      <c r="AN56" s="439"/>
      <c r="AO56" s="439">
        <f t="shared" ca="1" si="34"/>
        <v>1.0370139285895275</v>
      </c>
      <c r="AP56" s="442">
        <f t="shared" ca="1" si="34"/>
        <v>7.8532686569983454</v>
      </c>
      <c r="AQ56" s="443"/>
      <c r="AR56" s="435" t="str">
        <f t="shared" si="18"/>
        <v>ENERGY STAR - Front-Load Clothes Washer - Gas DHW, Gas Dryer - 54% ENERGY STAR Baseline</v>
      </c>
      <c r="AS56" s="437">
        <f t="shared" ca="1" si="19"/>
        <v>144.58430009370579</v>
      </c>
      <c r="AT56" s="438">
        <f t="shared" ca="1" si="20"/>
        <v>4.0010559714988005</v>
      </c>
      <c r="AU56" s="439">
        <f t="shared" ca="1" si="21"/>
        <v>1.0370139285895275</v>
      </c>
      <c r="AV56" s="439">
        <f t="shared" ca="1" si="22"/>
        <v>735.71624661324267</v>
      </c>
      <c r="AW56" s="439"/>
      <c r="AX56" s="438">
        <f t="shared" ca="1" si="12"/>
        <v>6.7115408905639509</v>
      </c>
      <c r="AY56" s="438">
        <f t="shared" ca="1" si="23"/>
        <v>7.8532686569983454</v>
      </c>
      <c r="AZ56" s="443"/>
      <c r="BA56" s="433" t="str">
        <f t="shared" si="32"/>
        <v>ENERGY STAR - Front-Load Clothes Washer - Gas DHW, Gas Dryer - 54% ENERGY STAR Baseline</v>
      </c>
      <c r="BB56" s="433" t="s">
        <v>25</v>
      </c>
      <c r="BC56" s="438">
        <f t="shared" ca="1" si="25"/>
        <v>4.0010559714988005</v>
      </c>
      <c r="BD56" s="438">
        <f>SFAssumptions!$C$7</f>
        <v>14</v>
      </c>
      <c r="BE56" s="444">
        <f t="shared" ca="1" si="26"/>
        <v>144.58430009370579</v>
      </c>
      <c r="BF56" s="433"/>
      <c r="BG56" s="432" t="s">
        <v>157</v>
      </c>
      <c r="BH56" s="445">
        <f t="shared" ca="1" si="27"/>
        <v>7.8532686569983454</v>
      </c>
      <c r="BI56" s="433"/>
      <c r="BJ56" s="433"/>
      <c r="BK56" s="433"/>
      <c r="BL56" s="433"/>
      <c r="BM56" s="433"/>
      <c r="BN56" s="433"/>
      <c r="BO56" s="446">
        <f t="shared" ca="1" si="28"/>
        <v>1.0370139285895275</v>
      </c>
      <c r="BP56" s="433" t="s">
        <v>158</v>
      </c>
    </row>
    <row r="57" spans="1:68" s="414" customFormat="1">
      <c r="A57" s="433">
        <f t="shared" si="29"/>
        <v>40</v>
      </c>
      <c r="B57" s="433">
        <f t="shared" si="3"/>
        <v>2</v>
      </c>
      <c r="C57" s="433">
        <f t="shared" si="4"/>
        <v>10</v>
      </c>
      <c r="D57" s="433">
        <f t="shared" si="5"/>
        <v>2</v>
      </c>
      <c r="E57" s="433">
        <f t="shared" si="6"/>
        <v>5</v>
      </c>
      <c r="F57" s="433"/>
      <c r="G57" s="433" t="str">
        <f t="shared" si="13"/>
        <v>Current Practice Baseline Using 54% ENERGY STAR Penetration</v>
      </c>
      <c r="H57" s="433" t="str">
        <f t="shared" si="14"/>
        <v>ENERGY STAR - Front-Load</v>
      </c>
      <c r="I57" s="433" t="str">
        <f t="shared" si="7"/>
        <v>Any DHW, Any Dryer</v>
      </c>
      <c r="J57" s="433" t="str">
        <f t="shared" si="8"/>
        <v>Any DHW</v>
      </c>
      <c r="K57" s="433" t="str">
        <f t="shared" si="9"/>
        <v>Any Dryer</v>
      </c>
      <c r="L57" s="434">
        <f>VLOOKUP(J57,SFAssumptions!$A$14:$B$16,2,FALSE)</f>
        <v>0.55200000000000005</v>
      </c>
      <c r="M57" s="435">
        <f>VLOOKUP(K57,SFAssumptions!$A$18:$B$20,2,FALSE)</f>
        <v>0.95</v>
      </c>
      <c r="N57" s="436">
        <f ca="1">HLOOKUP($G57,'MHBaselines and Measures'!$C$3:$V$33,7,FALSE)</f>
        <v>3802.5240664273615</v>
      </c>
      <c r="O57" s="437">
        <f ca="1">HLOOKUP($G57,'MHBaselines and Measures'!$C$3:$V$33,8,FALSE)</f>
        <v>825.23457500176619</v>
      </c>
      <c r="P57" s="438">
        <f ca="1">HLOOKUP($G57,'MHBaselines and Measures'!$C$3:$V$33,25,FALSE)</f>
        <v>51.784607875448671</v>
      </c>
      <c r="Q57" s="438"/>
      <c r="R57" s="438">
        <f ca="1">HLOOKUP($G57,'MHBaselines and Measures'!$C$3:$V$33,27,FALSE)</f>
        <v>89.087499447547771</v>
      </c>
      <c r="S57" s="439">
        <f>HLOOKUP($G57,'MHBaselines and Measures'!$C$3:$V$33,29,FALSE)</f>
        <v>0</v>
      </c>
      <c r="T57" s="439"/>
      <c r="U57" s="439">
        <f ca="1">HLOOKUP($G57,'MHBaselines and Measures'!$C$3:$V$33,31,FALSE)</f>
        <v>4.0540751415264067</v>
      </c>
      <c r="V57" s="440">
        <f ca="1">HLOOKUP($G57,'MHBaselines and Measures'!$C$3:$V$33,9,FALSE)</f>
        <v>40.589348414993211</v>
      </c>
      <c r="W57" s="441"/>
      <c r="X57" s="436">
        <f ca="1">HLOOKUP($H57,'MHBaselines and Measures'!$C$2:$V$33,8,FALSE)</f>
        <v>3066.8078198141188</v>
      </c>
      <c r="Y57" s="437">
        <f ca="1">HLOOKUP($H57,'MHBaselines and Measures'!$C$2:$V$33,9,FALSE)</f>
        <v>969.81887509547198</v>
      </c>
      <c r="Z57" s="438">
        <f ca="1">HLOOKUP($H57,'MHBaselines and Measures'!$C$2:$V$33,26,FALSE)</f>
        <v>47.783551903949871</v>
      </c>
      <c r="AA57" s="438"/>
      <c r="AB57" s="438">
        <f ca="1">HLOOKUP($H57,'MHBaselines and Measures'!$C$2:$V$33,28,FALSE)</f>
        <v>66.299323460376783</v>
      </c>
      <c r="AC57" s="439">
        <f>HLOOKUP($H57,'MHBaselines and Measures'!$C$2:$V$33,30,FALSE)</f>
        <v>0</v>
      </c>
      <c r="AD57" s="439"/>
      <c r="AE57" s="439">
        <f ca="1">HLOOKUP($H57,'MHBaselines and Measures'!$C$2:$V$33,32,FALSE)</f>
        <v>3.0170612129368792</v>
      </c>
      <c r="AF57" s="440">
        <f ca="1">HLOOKUP($H57,'MHBaselines and Measures'!$C$2:$V$33,10,FALSE)</f>
        <v>32.736079757994865</v>
      </c>
      <c r="AG57" s="441"/>
      <c r="AH57" s="436">
        <f t="shared" ca="1" si="15"/>
        <v>735.71624661324267</v>
      </c>
      <c r="AI57" s="437">
        <f t="shared" ca="1" si="16"/>
        <v>144.58430009370579</v>
      </c>
      <c r="AJ57" s="438">
        <f t="shared" ca="1" si="10"/>
        <v>4.0010559714988005</v>
      </c>
      <c r="AK57" s="438"/>
      <c r="AL57" s="438">
        <f t="shared" ca="1" si="33"/>
        <v>22.788175987170987</v>
      </c>
      <c r="AM57" s="439">
        <f t="shared" si="33"/>
        <v>0</v>
      </c>
      <c r="AN57" s="439"/>
      <c r="AO57" s="439">
        <f t="shared" ca="1" si="34"/>
        <v>1.0370139285895275</v>
      </c>
      <c r="AP57" s="442">
        <f t="shared" ca="1" si="34"/>
        <v>7.8532686569983454</v>
      </c>
      <c r="AQ57" s="443"/>
      <c r="AR57" s="435" t="str">
        <f t="shared" si="18"/>
        <v>ENERGY STAR - Front-Load Clothes Washer - Any DHW, Any Dryer - 54% ENERGY STAR Baseline</v>
      </c>
      <c r="AS57" s="437">
        <f t="shared" ca="1" si="19"/>
        <v>144.58430009370579</v>
      </c>
      <c r="AT57" s="438">
        <f t="shared" ca="1" si="20"/>
        <v>16.580129116417186</v>
      </c>
      <c r="AU57" s="439">
        <f t="shared" ca="1" si="21"/>
        <v>0.46458224000810827</v>
      </c>
      <c r="AV57" s="439">
        <f t="shared" ca="1" si="22"/>
        <v>735.71624661324267</v>
      </c>
      <c r="AW57" s="439"/>
      <c r="AX57" s="438">
        <f t="shared" ca="1" si="12"/>
        <v>19.290614035482339</v>
      </c>
      <c r="AY57" s="438">
        <f t="shared" ca="1" si="23"/>
        <v>7.8532686569983454</v>
      </c>
      <c r="AZ57" s="443"/>
      <c r="BA57" s="433" t="str">
        <f t="shared" si="32"/>
        <v>ENERGY STAR - Front-Load Clothes Washer - Any DHW, Any Dryer - 54% ENERGY STAR Baseline</v>
      </c>
      <c r="BB57" s="433" t="s">
        <v>25</v>
      </c>
      <c r="BC57" s="438">
        <f t="shared" ca="1" si="25"/>
        <v>16.580129116417186</v>
      </c>
      <c r="BD57" s="438">
        <f>SFAssumptions!$C$7</f>
        <v>14</v>
      </c>
      <c r="BE57" s="444">
        <f t="shared" ca="1" si="26"/>
        <v>144.58430009370579</v>
      </c>
      <c r="BF57" s="433"/>
      <c r="BG57" s="432" t="s">
        <v>157</v>
      </c>
      <c r="BH57" s="445">
        <f t="shared" ca="1" si="27"/>
        <v>7.8532686569983454</v>
      </c>
      <c r="BI57" s="433"/>
      <c r="BJ57" s="433"/>
      <c r="BK57" s="433"/>
      <c r="BL57" s="433"/>
      <c r="BM57" s="433"/>
      <c r="BN57" s="433"/>
      <c r="BO57" s="446">
        <f t="shared" ca="1" si="28"/>
        <v>0.46458224000810827</v>
      </c>
      <c r="BP57" s="433" t="s">
        <v>158</v>
      </c>
    </row>
    <row r="58" spans="1:68" s="414" customFormat="1">
      <c r="A58" s="433">
        <f t="shared" si="29"/>
        <v>41</v>
      </c>
      <c r="B58" s="433">
        <f t="shared" si="3"/>
        <v>2</v>
      </c>
      <c r="C58" s="433">
        <f t="shared" si="4"/>
        <v>11</v>
      </c>
      <c r="D58" s="433">
        <f t="shared" si="5"/>
        <v>3</v>
      </c>
      <c r="E58" s="433">
        <f t="shared" si="6"/>
        <v>1</v>
      </c>
      <c r="F58" s="433"/>
      <c r="G58" s="433" t="str">
        <f t="shared" si="13"/>
        <v>Current Practice Baseline Using 54% ENERGY STAR Penetration</v>
      </c>
      <c r="H58" s="433" t="str">
        <f t="shared" si="14"/>
        <v>Any ENERGY STAR (Top- or Front-Load)</v>
      </c>
      <c r="I58" s="433" t="str">
        <f t="shared" si="7"/>
        <v>Electric DHW, Electric Dryer</v>
      </c>
      <c r="J58" s="433" t="str">
        <f t="shared" si="8"/>
        <v>Electric DHW</v>
      </c>
      <c r="K58" s="433" t="str">
        <f t="shared" si="9"/>
        <v>Electric Dryer</v>
      </c>
      <c r="L58" s="434">
        <f>VLOOKUP(J58,SFAssumptions!$A$14:$B$16,2,FALSE)</f>
        <v>1</v>
      </c>
      <c r="M58" s="435">
        <f>VLOOKUP(K58,SFAssumptions!$A$18:$B$20,2,FALSE)</f>
        <v>1</v>
      </c>
      <c r="N58" s="436">
        <f ca="1">HLOOKUP($G58,'MHBaselines and Measures'!$C$3:$V$33,7,FALSE)</f>
        <v>3802.5240664273615</v>
      </c>
      <c r="O58" s="437">
        <f ca="1">HLOOKUP($G58,'MHBaselines and Measures'!$C$3:$V$33,8,FALSE)</f>
        <v>825.23457500176619</v>
      </c>
      <c r="P58" s="438">
        <f ca="1">HLOOKUP($G58,'MHBaselines and Measures'!$C$3:$V$33,25,FALSE)</f>
        <v>51.784607875448671</v>
      </c>
      <c r="Q58" s="438"/>
      <c r="R58" s="438">
        <f ca="1">HLOOKUP($G58,'MHBaselines and Measures'!$C$3:$V$33,27,FALSE)</f>
        <v>89.087499447547771</v>
      </c>
      <c r="S58" s="439">
        <f>HLOOKUP($G58,'MHBaselines and Measures'!$C$3:$V$33,29,FALSE)</f>
        <v>0</v>
      </c>
      <c r="T58" s="439"/>
      <c r="U58" s="439">
        <f ca="1">HLOOKUP($G58,'MHBaselines and Measures'!$C$3:$V$33,31,FALSE)</f>
        <v>4.0540751415264067</v>
      </c>
      <c r="V58" s="440">
        <f ca="1">HLOOKUP($G58,'MHBaselines and Measures'!$C$3:$V$33,9,FALSE)</f>
        <v>40.589348414993211</v>
      </c>
      <c r="W58" s="441"/>
      <c r="X58" s="436">
        <f ca="1">HLOOKUP($H58,'MHBaselines and Measures'!$C$2:$V$33,8,FALSE)</f>
        <v>3321.230591770463</v>
      </c>
      <c r="Y58" s="437">
        <f ca="1">HLOOKUP($H58,'MHBaselines and Measures'!$C$2:$V$33,9,FALSE)</f>
        <v>921.19144585144784</v>
      </c>
      <c r="Z58" s="438">
        <f ca="1">HLOOKUP($H58,'MHBaselines and Measures'!$C$2:$V$33,26,FALSE)</f>
        <v>48.753369263051916</v>
      </c>
      <c r="AA58" s="438"/>
      <c r="AB58" s="438">
        <f ca="1">HLOOKUP($H58,'MHBaselines and Measures'!$C$2:$V$33,28,FALSE)</f>
        <v>73.256770606095856</v>
      </c>
      <c r="AC58" s="439">
        <f>HLOOKUP($H58,'MHBaselines and Measures'!$C$2:$V$33,30,FALSE)</f>
        <v>0</v>
      </c>
      <c r="AD58" s="439"/>
      <c r="AE58" s="439">
        <f ca="1">HLOOKUP($H58,'MHBaselines and Measures'!$C$2:$V$33,32,FALSE)</f>
        <v>3.3336714410480686</v>
      </c>
      <c r="AF58" s="440">
        <f ca="1">HLOOKUP($H58,'MHBaselines and Measures'!$C$2:$V$33,10,FALSE)</f>
        <v>35.45186915347054</v>
      </c>
      <c r="AG58" s="441"/>
      <c r="AH58" s="436">
        <f t="shared" ca="1" si="15"/>
        <v>481.29347465689852</v>
      </c>
      <c r="AI58" s="437">
        <f t="shared" ca="1" si="16"/>
        <v>95.95687084968165</v>
      </c>
      <c r="AJ58" s="438">
        <f t="shared" ca="1" si="10"/>
        <v>3.0312386123967556</v>
      </c>
      <c r="AK58" s="438"/>
      <c r="AL58" s="438">
        <f t="shared" ca="1" si="33"/>
        <v>15.830728841451915</v>
      </c>
      <c r="AM58" s="439">
        <f t="shared" si="33"/>
        <v>0</v>
      </c>
      <c r="AN58" s="439"/>
      <c r="AO58" s="439">
        <f t="shared" ca="1" si="34"/>
        <v>0.72040370047833813</v>
      </c>
      <c r="AP58" s="442">
        <f t="shared" ca="1" si="34"/>
        <v>5.137479261522671</v>
      </c>
      <c r="AQ58" s="443"/>
      <c r="AR58" s="435" t="str">
        <f t="shared" si="18"/>
        <v>Any ENERGY STAR (Top- or Front-Load) Clothes Washer - Electric DHW, Electric Dryer - 54% ENERGY STAR Baseline</v>
      </c>
      <c r="AS58" s="437">
        <f t="shared" ca="1" si="19"/>
        <v>95.95687084968165</v>
      </c>
      <c r="AT58" s="438">
        <f t="shared" ca="1" si="20"/>
        <v>18.861967453848671</v>
      </c>
      <c r="AU58" s="439">
        <f t="shared" ca="1" si="21"/>
        <v>0</v>
      </c>
      <c r="AV58" s="439">
        <f t="shared" ca="1" si="22"/>
        <v>481.29347465689852</v>
      </c>
      <c r="AW58" s="439"/>
      <c r="AX58" s="438">
        <f t="shared" ca="1" si="12"/>
        <v>20.635122132309604</v>
      </c>
      <c r="AY58" s="438">
        <f t="shared" ca="1" si="23"/>
        <v>5.137479261522671</v>
      </c>
      <c r="AZ58" s="443"/>
      <c r="BA58" s="433" t="str">
        <f t="shared" si="32"/>
        <v>Any ENERGY STAR (Top- or Front-Load) Clothes Washer - Electric DHW, Electric Dryer - 54% ENERGY STAR Baseline</v>
      </c>
      <c r="BB58" s="433" t="s">
        <v>25</v>
      </c>
      <c r="BC58" s="438">
        <f t="shared" ca="1" si="25"/>
        <v>18.861967453848671</v>
      </c>
      <c r="BD58" s="438">
        <f>SFAssumptions!$C$7</f>
        <v>14</v>
      </c>
      <c r="BE58" s="444">
        <f t="shared" ca="1" si="26"/>
        <v>95.95687084968165</v>
      </c>
      <c r="BF58" s="433"/>
      <c r="BG58" s="432" t="s">
        <v>157</v>
      </c>
      <c r="BH58" s="445">
        <f t="shared" ca="1" si="27"/>
        <v>5.137479261522671</v>
      </c>
      <c r="BI58" s="433"/>
      <c r="BJ58" s="433"/>
      <c r="BK58" s="433"/>
      <c r="BL58" s="433"/>
      <c r="BM58" s="433"/>
      <c r="BN58" s="433"/>
      <c r="BO58" s="446">
        <f t="shared" ca="1" si="28"/>
        <v>0</v>
      </c>
      <c r="BP58" s="433" t="s">
        <v>158</v>
      </c>
    </row>
    <row r="59" spans="1:68" s="414" customFormat="1">
      <c r="A59" s="433">
        <f t="shared" si="29"/>
        <v>42</v>
      </c>
      <c r="B59" s="433">
        <f t="shared" si="3"/>
        <v>2</v>
      </c>
      <c r="C59" s="433">
        <f t="shared" si="4"/>
        <v>12</v>
      </c>
      <c r="D59" s="433">
        <f t="shared" si="5"/>
        <v>3</v>
      </c>
      <c r="E59" s="433">
        <f t="shared" si="6"/>
        <v>2</v>
      </c>
      <c r="F59" s="433"/>
      <c r="G59" s="433" t="str">
        <f t="shared" si="13"/>
        <v>Current Practice Baseline Using 54% ENERGY STAR Penetration</v>
      </c>
      <c r="H59" s="433" t="str">
        <f t="shared" si="14"/>
        <v>Any ENERGY STAR (Top- or Front-Load)</v>
      </c>
      <c r="I59" s="433" t="str">
        <f t="shared" si="7"/>
        <v>Electric DHW, Gas Dryer</v>
      </c>
      <c r="J59" s="433" t="str">
        <f t="shared" si="8"/>
        <v>Electric DHW</v>
      </c>
      <c r="K59" s="433" t="str">
        <f t="shared" si="9"/>
        <v>Gas Dryer</v>
      </c>
      <c r="L59" s="434">
        <f>VLOOKUP(J59,SFAssumptions!$A$14:$B$16,2,FALSE)</f>
        <v>1</v>
      </c>
      <c r="M59" s="435">
        <f>VLOOKUP(K59,SFAssumptions!$A$18:$B$20,2,FALSE)</f>
        <v>0</v>
      </c>
      <c r="N59" s="436">
        <f ca="1">HLOOKUP($G59,'MHBaselines and Measures'!$C$3:$V$33,7,FALSE)</f>
        <v>3802.5240664273615</v>
      </c>
      <c r="O59" s="437">
        <f ca="1">HLOOKUP($G59,'MHBaselines and Measures'!$C$3:$V$33,8,FALSE)</f>
        <v>825.23457500176619</v>
      </c>
      <c r="P59" s="438">
        <f ca="1">HLOOKUP($G59,'MHBaselines and Measures'!$C$3:$V$33,25,FALSE)</f>
        <v>51.784607875448671</v>
      </c>
      <c r="Q59" s="438"/>
      <c r="R59" s="438">
        <f ca="1">HLOOKUP($G59,'MHBaselines and Measures'!$C$3:$V$33,27,FALSE)</f>
        <v>89.087499447547771</v>
      </c>
      <c r="S59" s="439">
        <f>HLOOKUP($G59,'MHBaselines and Measures'!$C$3:$V$33,29,FALSE)</f>
        <v>0</v>
      </c>
      <c r="T59" s="439"/>
      <c r="U59" s="439">
        <f ca="1">HLOOKUP($G59,'MHBaselines and Measures'!$C$3:$V$33,31,FALSE)</f>
        <v>4.0540751415264067</v>
      </c>
      <c r="V59" s="440">
        <f ca="1">HLOOKUP($G59,'MHBaselines and Measures'!$C$3:$V$33,9,FALSE)</f>
        <v>40.589348414993211</v>
      </c>
      <c r="W59" s="441"/>
      <c r="X59" s="436">
        <f ca="1">HLOOKUP($H59,'MHBaselines and Measures'!$C$2:$V$33,8,FALSE)</f>
        <v>3321.230591770463</v>
      </c>
      <c r="Y59" s="437">
        <f ca="1">HLOOKUP($H59,'MHBaselines and Measures'!$C$2:$V$33,9,FALSE)</f>
        <v>921.19144585144784</v>
      </c>
      <c r="Z59" s="438">
        <f ca="1">HLOOKUP($H59,'MHBaselines and Measures'!$C$2:$V$33,26,FALSE)</f>
        <v>48.753369263051916</v>
      </c>
      <c r="AA59" s="438"/>
      <c r="AB59" s="438">
        <f ca="1">HLOOKUP($H59,'MHBaselines and Measures'!$C$2:$V$33,28,FALSE)</f>
        <v>73.256770606095856</v>
      </c>
      <c r="AC59" s="439">
        <f>HLOOKUP($H59,'MHBaselines and Measures'!$C$2:$V$33,30,FALSE)</f>
        <v>0</v>
      </c>
      <c r="AD59" s="439"/>
      <c r="AE59" s="439">
        <f ca="1">HLOOKUP($H59,'MHBaselines and Measures'!$C$2:$V$33,32,FALSE)</f>
        <v>3.3336714410480686</v>
      </c>
      <c r="AF59" s="440">
        <f ca="1">HLOOKUP($H59,'MHBaselines and Measures'!$C$2:$V$33,10,FALSE)</f>
        <v>35.45186915347054</v>
      </c>
      <c r="AG59" s="441"/>
      <c r="AH59" s="436">
        <f t="shared" ca="1" si="15"/>
        <v>481.29347465689852</v>
      </c>
      <c r="AI59" s="437">
        <f t="shared" ca="1" si="16"/>
        <v>95.95687084968165</v>
      </c>
      <c r="AJ59" s="438">
        <f t="shared" ca="1" si="10"/>
        <v>3.0312386123967556</v>
      </c>
      <c r="AK59" s="438"/>
      <c r="AL59" s="438">
        <f t="shared" ca="1" si="33"/>
        <v>15.830728841451915</v>
      </c>
      <c r="AM59" s="439">
        <f t="shared" si="33"/>
        <v>0</v>
      </c>
      <c r="AN59" s="439"/>
      <c r="AO59" s="439">
        <f t="shared" ca="1" si="34"/>
        <v>0.72040370047833813</v>
      </c>
      <c r="AP59" s="442">
        <f t="shared" ca="1" si="34"/>
        <v>5.137479261522671</v>
      </c>
      <c r="AQ59" s="443"/>
      <c r="AR59" s="435" t="str">
        <f t="shared" si="18"/>
        <v>Any ENERGY STAR (Top- or Front-Load) Clothes Washer - Electric DHW, Gas Dryer - 54% ENERGY STAR Baseline</v>
      </c>
      <c r="AS59" s="437">
        <f t="shared" ca="1" si="19"/>
        <v>95.95687084968165</v>
      </c>
      <c r="AT59" s="438">
        <f t="shared" ca="1" si="20"/>
        <v>18.861967453848671</v>
      </c>
      <c r="AU59" s="439">
        <f t="shared" ca="1" si="21"/>
        <v>0</v>
      </c>
      <c r="AV59" s="439">
        <f t="shared" ca="1" si="22"/>
        <v>481.29347465689852</v>
      </c>
      <c r="AW59" s="439"/>
      <c r="AX59" s="438">
        <f t="shared" ca="1" si="12"/>
        <v>20.635122132309604</v>
      </c>
      <c r="AY59" s="438">
        <f t="shared" ca="1" si="23"/>
        <v>5.137479261522671</v>
      </c>
      <c r="AZ59" s="443"/>
      <c r="BA59" s="433" t="str">
        <f t="shared" si="32"/>
        <v>Any ENERGY STAR (Top- or Front-Load) Clothes Washer - Electric DHW, Gas Dryer - 54% ENERGY STAR Baseline</v>
      </c>
      <c r="BB59" s="433" t="s">
        <v>25</v>
      </c>
      <c r="BC59" s="438">
        <f t="shared" ca="1" si="25"/>
        <v>18.861967453848671</v>
      </c>
      <c r="BD59" s="438">
        <f>SFAssumptions!$C$7</f>
        <v>14</v>
      </c>
      <c r="BE59" s="444">
        <f t="shared" ca="1" si="26"/>
        <v>95.95687084968165</v>
      </c>
      <c r="BF59" s="433"/>
      <c r="BG59" s="432" t="s">
        <v>157</v>
      </c>
      <c r="BH59" s="445">
        <f t="shared" ca="1" si="27"/>
        <v>5.137479261522671</v>
      </c>
      <c r="BI59" s="433"/>
      <c r="BJ59" s="433"/>
      <c r="BK59" s="433"/>
      <c r="BL59" s="433"/>
      <c r="BM59" s="433"/>
      <c r="BN59" s="433"/>
      <c r="BO59" s="446">
        <f t="shared" ca="1" si="28"/>
        <v>0</v>
      </c>
      <c r="BP59" s="433" t="s">
        <v>158</v>
      </c>
    </row>
    <row r="60" spans="1:68" s="414" customFormat="1">
      <c r="A60" s="433">
        <f t="shared" si="29"/>
        <v>43</v>
      </c>
      <c r="B60" s="433">
        <f t="shared" si="3"/>
        <v>2</v>
      </c>
      <c r="C60" s="433">
        <f t="shared" si="4"/>
        <v>13</v>
      </c>
      <c r="D60" s="433">
        <f t="shared" si="5"/>
        <v>3</v>
      </c>
      <c r="E60" s="433">
        <f t="shared" si="6"/>
        <v>3</v>
      </c>
      <c r="F60" s="433"/>
      <c r="G60" s="433" t="str">
        <f t="shared" si="13"/>
        <v>Current Practice Baseline Using 54% ENERGY STAR Penetration</v>
      </c>
      <c r="H60" s="433" t="str">
        <f t="shared" si="14"/>
        <v>Any ENERGY STAR (Top- or Front-Load)</v>
      </c>
      <c r="I60" s="433" t="str">
        <f t="shared" si="7"/>
        <v>Gas DHW, Electric Dryer</v>
      </c>
      <c r="J60" s="433" t="str">
        <f t="shared" si="8"/>
        <v>Gas DHW</v>
      </c>
      <c r="K60" s="433" t="str">
        <f t="shared" si="9"/>
        <v>Electric Dryer</v>
      </c>
      <c r="L60" s="434">
        <f>VLOOKUP(J60,SFAssumptions!$A$14:$B$16,2,FALSE)</f>
        <v>0</v>
      </c>
      <c r="M60" s="435">
        <f>VLOOKUP(K60,SFAssumptions!$A$18:$B$20,2,FALSE)</f>
        <v>1</v>
      </c>
      <c r="N60" s="436">
        <f ca="1">HLOOKUP($G60,'MHBaselines and Measures'!$C$3:$V$33,7,FALSE)</f>
        <v>3802.5240664273615</v>
      </c>
      <c r="O60" s="437">
        <f ca="1">HLOOKUP($G60,'MHBaselines and Measures'!$C$3:$V$33,8,FALSE)</f>
        <v>825.23457500176619</v>
      </c>
      <c r="P60" s="438">
        <f ca="1">HLOOKUP($G60,'MHBaselines and Measures'!$C$3:$V$33,25,FALSE)</f>
        <v>51.784607875448671</v>
      </c>
      <c r="Q60" s="438"/>
      <c r="R60" s="438">
        <f ca="1">HLOOKUP($G60,'MHBaselines and Measures'!$C$3:$V$33,27,FALSE)</f>
        <v>89.087499447547771</v>
      </c>
      <c r="S60" s="439">
        <f>HLOOKUP($G60,'MHBaselines and Measures'!$C$3:$V$33,29,FALSE)</f>
        <v>0</v>
      </c>
      <c r="T60" s="439"/>
      <c r="U60" s="439">
        <f ca="1">HLOOKUP($G60,'MHBaselines and Measures'!$C$3:$V$33,31,FALSE)</f>
        <v>4.0540751415264067</v>
      </c>
      <c r="V60" s="440">
        <f ca="1">HLOOKUP($G60,'MHBaselines and Measures'!$C$3:$V$33,9,FALSE)</f>
        <v>40.589348414993211</v>
      </c>
      <c r="W60" s="441"/>
      <c r="X60" s="436">
        <f ca="1">HLOOKUP($H60,'MHBaselines and Measures'!$C$2:$V$33,8,FALSE)</f>
        <v>3321.230591770463</v>
      </c>
      <c r="Y60" s="437">
        <f ca="1">HLOOKUP($H60,'MHBaselines and Measures'!$C$2:$V$33,9,FALSE)</f>
        <v>921.19144585144784</v>
      </c>
      <c r="Z60" s="438">
        <f ca="1">HLOOKUP($H60,'MHBaselines and Measures'!$C$2:$V$33,26,FALSE)</f>
        <v>48.753369263051916</v>
      </c>
      <c r="AA60" s="438"/>
      <c r="AB60" s="438">
        <f ca="1">HLOOKUP($H60,'MHBaselines and Measures'!$C$2:$V$33,28,FALSE)</f>
        <v>73.256770606095856</v>
      </c>
      <c r="AC60" s="439">
        <f>HLOOKUP($H60,'MHBaselines and Measures'!$C$2:$V$33,30,FALSE)</f>
        <v>0</v>
      </c>
      <c r="AD60" s="439"/>
      <c r="AE60" s="439">
        <f ca="1">HLOOKUP($H60,'MHBaselines and Measures'!$C$2:$V$33,32,FALSE)</f>
        <v>3.3336714410480686</v>
      </c>
      <c r="AF60" s="440">
        <f ca="1">HLOOKUP($H60,'MHBaselines and Measures'!$C$2:$V$33,10,FALSE)</f>
        <v>35.45186915347054</v>
      </c>
      <c r="AG60" s="441"/>
      <c r="AH60" s="436">
        <f t="shared" ca="1" si="15"/>
        <v>481.29347465689852</v>
      </c>
      <c r="AI60" s="437">
        <f t="shared" ca="1" si="16"/>
        <v>95.95687084968165</v>
      </c>
      <c r="AJ60" s="438">
        <f t="shared" ca="1" si="10"/>
        <v>3.0312386123967556</v>
      </c>
      <c r="AK60" s="438"/>
      <c r="AL60" s="438">
        <f t="shared" ca="1" si="33"/>
        <v>15.830728841451915</v>
      </c>
      <c r="AM60" s="439">
        <f t="shared" si="33"/>
        <v>0</v>
      </c>
      <c r="AN60" s="439"/>
      <c r="AO60" s="439">
        <f t="shared" ca="1" si="34"/>
        <v>0.72040370047833813</v>
      </c>
      <c r="AP60" s="442">
        <f t="shared" ca="1" si="34"/>
        <v>5.137479261522671</v>
      </c>
      <c r="AQ60" s="443"/>
      <c r="AR60" s="435" t="str">
        <f t="shared" si="18"/>
        <v>Any ENERGY STAR (Top- or Front-Load) Clothes Washer - Gas DHW, Electric Dryer - 54% ENERGY STAR Baseline</v>
      </c>
      <c r="AS60" s="437">
        <f t="shared" ca="1" si="19"/>
        <v>95.95687084968165</v>
      </c>
      <c r="AT60" s="438">
        <f t="shared" ca="1" si="20"/>
        <v>3.0312386123967556</v>
      </c>
      <c r="AU60" s="439">
        <f t="shared" ca="1" si="21"/>
        <v>0.72040370047833813</v>
      </c>
      <c r="AV60" s="439">
        <f t="shared" ca="1" si="22"/>
        <v>481.29347465689852</v>
      </c>
      <c r="AW60" s="439"/>
      <c r="AX60" s="438">
        <f t="shared" ca="1" si="12"/>
        <v>4.8043932908576892</v>
      </c>
      <c r="AY60" s="438">
        <f t="shared" ca="1" si="23"/>
        <v>5.137479261522671</v>
      </c>
      <c r="AZ60" s="443"/>
      <c r="BA60" s="433" t="str">
        <f t="shared" si="32"/>
        <v>Any ENERGY STAR (Top- or Front-Load) Clothes Washer - Gas DHW, Electric Dryer - 54% ENERGY STAR Baseline</v>
      </c>
      <c r="BB60" s="433" t="s">
        <v>25</v>
      </c>
      <c r="BC60" s="438">
        <f t="shared" ca="1" si="25"/>
        <v>3.0312386123967556</v>
      </c>
      <c r="BD60" s="438">
        <f>SFAssumptions!$C$7</f>
        <v>14</v>
      </c>
      <c r="BE60" s="444">
        <f t="shared" ca="1" si="26"/>
        <v>95.95687084968165</v>
      </c>
      <c r="BF60" s="433"/>
      <c r="BG60" s="432" t="s">
        <v>157</v>
      </c>
      <c r="BH60" s="445">
        <f t="shared" ca="1" si="27"/>
        <v>5.137479261522671</v>
      </c>
      <c r="BI60" s="433"/>
      <c r="BJ60" s="433"/>
      <c r="BK60" s="433"/>
      <c r="BL60" s="433"/>
      <c r="BM60" s="433"/>
      <c r="BN60" s="433"/>
      <c r="BO60" s="446">
        <f t="shared" ca="1" si="28"/>
        <v>0.72040370047833813</v>
      </c>
      <c r="BP60" s="433" t="s">
        <v>158</v>
      </c>
    </row>
    <row r="61" spans="1:68" s="414" customFormat="1">
      <c r="A61" s="433">
        <f t="shared" si="29"/>
        <v>44</v>
      </c>
      <c r="B61" s="433">
        <f t="shared" si="3"/>
        <v>2</v>
      </c>
      <c r="C61" s="433">
        <f t="shared" si="4"/>
        <v>14</v>
      </c>
      <c r="D61" s="433">
        <f t="shared" si="5"/>
        <v>3</v>
      </c>
      <c r="E61" s="433">
        <f t="shared" si="6"/>
        <v>4</v>
      </c>
      <c r="F61" s="433"/>
      <c r="G61" s="433" t="str">
        <f t="shared" si="13"/>
        <v>Current Practice Baseline Using 54% ENERGY STAR Penetration</v>
      </c>
      <c r="H61" s="433" t="str">
        <f t="shared" si="14"/>
        <v>Any ENERGY STAR (Top- or Front-Load)</v>
      </c>
      <c r="I61" s="433" t="str">
        <f t="shared" si="7"/>
        <v>Gas DHW, Gas Dryer</v>
      </c>
      <c r="J61" s="433" t="str">
        <f t="shared" si="8"/>
        <v>Gas DHW</v>
      </c>
      <c r="K61" s="433" t="str">
        <f t="shared" si="9"/>
        <v>Gas Dryer</v>
      </c>
      <c r="L61" s="434">
        <f>VLOOKUP(J61,SFAssumptions!$A$14:$B$16,2,FALSE)</f>
        <v>0</v>
      </c>
      <c r="M61" s="435">
        <f>VLOOKUP(K61,SFAssumptions!$A$18:$B$20,2,FALSE)</f>
        <v>0</v>
      </c>
      <c r="N61" s="436">
        <f ca="1">HLOOKUP($G61,'MHBaselines and Measures'!$C$3:$V$33,7,FALSE)</f>
        <v>3802.5240664273615</v>
      </c>
      <c r="O61" s="437">
        <f ca="1">HLOOKUP($G61,'MHBaselines and Measures'!$C$3:$V$33,8,FALSE)</f>
        <v>825.23457500176619</v>
      </c>
      <c r="P61" s="438">
        <f ca="1">HLOOKUP($G61,'MHBaselines and Measures'!$C$3:$V$33,25,FALSE)</f>
        <v>51.784607875448671</v>
      </c>
      <c r="Q61" s="438"/>
      <c r="R61" s="438">
        <f ca="1">HLOOKUP($G61,'MHBaselines and Measures'!$C$3:$V$33,27,FALSE)</f>
        <v>89.087499447547771</v>
      </c>
      <c r="S61" s="439">
        <f>HLOOKUP($G61,'MHBaselines and Measures'!$C$3:$V$33,29,FALSE)</f>
        <v>0</v>
      </c>
      <c r="T61" s="439"/>
      <c r="U61" s="439">
        <f ca="1">HLOOKUP($G61,'MHBaselines and Measures'!$C$3:$V$33,31,FALSE)</f>
        <v>4.0540751415264067</v>
      </c>
      <c r="V61" s="440">
        <f ca="1">HLOOKUP($G61,'MHBaselines and Measures'!$C$3:$V$33,9,FALSE)</f>
        <v>40.589348414993211</v>
      </c>
      <c r="W61" s="441"/>
      <c r="X61" s="436">
        <f ca="1">HLOOKUP($H61,'MHBaselines and Measures'!$C$2:$V$33,8,FALSE)</f>
        <v>3321.230591770463</v>
      </c>
      <c r="Y61" s="437">
        <f ca="1">HLOOKUP($H61,'MHBaselines and Measures'!$C$2:$V$33,9,FALSE)</f>
        <v>921.19144585144784</v>
      </c>
      <c r="Z61" s="438">
        <f ca="1">HLOOKUP($H61,'MHBaselines and Measures'!$C$2:$V$33,26,FALSE)</f>
        <v>48.753369263051916</v>
      </c>
      <c r="AA61" s="438"/>
      <c r="AB61" s="438">
        <f ca="1">HLOOKUP($H61,'MHBaselines and Measures'!$C$2:$V$33,28,FALSE)</f>
        <v>73.256770606095856</v>
      </c>
      <c r="AC61" s="439">
        <f>HLOOKUP($H61,'MHBaselines and Measures'!$C$2:$V$33,30,FALSE)</f>
        <v>0</v>
      </c>
      <c r="AD61" s="439"/>
      <c r="AE61" s="439">
        <f ca="1">HLOOKUP($H61,'MHBaselines and Measures'!$C$2:$V$33,32,FALSE)</f>
        <v>3.3336714410480686</v>
      </c>
      <c r="AF61" s="440">
        <f ca="1">HLOOKUP($H61,'MHBaselines and Measures'!$C$2:$V$33,10,FALSE)</f>
        <v>35.45186915347054</v>
      </c>
      <c r="AG61" s="441"/>
      <c r="AH61" s="436">
        <f t="shared" ca="1" si="15"/>
        <v>481.29347465689852</v>
      </c>
      <c r="AI61" s="437">
        <f t="shared" ca="1" si="16"/>
        <v>95.95687084968165</v>
      </c>
      <c r="AJ61" s="438">
        <f t="shared" ca="1" si="10"/>
        <v>3.0312386123967556</v>
      </c>
      <c r="AK61" s="438"/>
      <c r="AL61" s="438">
        <f t="shared" ca="1" si="33"/>
        <v>15.830728841451915</v>
      </c>
      <c r="AM61" s="439">
        <f t="shared" si="33"/>
        <v>0</v>
      </c>
      <c r="AN61" s="439"/>
      <c r="AO61" s="439">
        <f t="shared" ca="1" si="34"/>
        <v>0.72040370047833813</v>
      </c>
      <c r="AP61" s="442">
        <f t="shared" ca="1" si="34"/>
        <v>5.137479261522671</v>
      </c>
      <c r="AQ61" s="443"/>
      <c r="AR61" s="435" t="str">
        <f t="shared" si="18"/>
        <v>Any ENERGY STAR (Top- or Front-Load) Clothes Washer - Gas DHW, Gas Dryer - 54% ENERGY STAR Baseline</v>
      </c>
      <c r="AS61" s="437">
        <f t="shared" ca="1" si="19"/>
        <v>95.95687084968165</v>
      </c>
      <c r="AT61" s="438">
        <f t="shared" ca="1" si="20"/>
        <v>3.0312386123967556</v>
      </c>
      <c r="AU61" s="439">
        <f t="shared" ca="1" si="21"/>
        <v>0.72040370047833813</v>
      </c>
      <c r="AV61" s="439">
        <f t="shared" ca="1" si="22"/>
        <v>481.29347465689852</v>
      </c>
      <c r="AW61" s="439"/>
      <c r="AX61" s="438">
        <f t="shared" ca="1" si="12"/>
        <v>4.8043932908576892</v>
      </c>
      <c r="AY61" s="438">
        <f t="shared" ca="1" si="23"/>
        <v>5.137479261522671</v>
      </c>
      <c r="AZ61" s="443"/>
      <c r="BA61" s="433" t="str">
        <f t="shared" si="32"/>
        <v>Any ENERGY STAR (Top- or Front-Load) Clothes Washer - Gas DHW, Gas Dryer - 54% ENERGY STAR Baseline</v>
      </c>
      <c r="BB61" s="433" t="s">
        <v>25</v>
      </c>
      <c r="BC61" s="438">
        <f t="shared" ca="1" si="25"/>
        <v>3.0312386123967556</v>
      </c>
      <c r="BD61" s="438">
        <f>SFAssumptions!$C$7</f>
        <v>14</v>
      </c>
      <c r="BE61" s="444">
        <f t="shared" ca="1" si="26"/>
        <v>95.95687084968165</v>
      </c>
      <c r="BF61" s="433"/>
      <c r="BG61" s="432" t="s">
        <v>157</v>
      </c>
      <c r="BH61" s="445">
        <f t="shared" ca="1" si="27"/>
        <v>5.137479261522671</v>
      </c>
      <c r="BI61" s="433"/>
      <c r="BJ61" s="433"/>
      <c r="BK61" s="433"/>
      <c r="BL61" s="433"/>
      <c r="BM61" s="433"/>
      <c r="BN61" s="433"/>
      <c r="BO61" s="446">
        <f t="shared" ca="1" si="28"/>
        <v>0.72040370047833813</v>
      </c>
      <c r="BP61" s="433" t="s">
        <v>158</v>
      </c>
    </row>
    <row r="62" spans="1:68" s="414" customFormat="1">
      <c r="A62" s="433">
        <f t="shared" si="29"/>
        <v>45</v>
      </c>
      <c r="B62" s="433">
        <f t="shared" si="3"/>
        <v>2</v>
      </c>
      <c r="C62" s="433">
        <f t="shared" si="4"/>
        <v>15</v>
      </c>
      <c r="D62" s="433">
        <f t="shared" si="5"/>
        <v>3</v>
      </c>
      <c r="E62" s="433">
        <f t="shared" si="6"/>
        <v>5</v>
      </c>
      <c r="F62" s="433"/>
      <c r="G62" s="433" t="str">
        <f t="shared" si="13"/>
        <v>Current Practice Baseline Using 54% ENERGY STAR Penetration</v>
      </c>
      <c r="H62" s="433" t="str">
        <f t="shared" si="14"/>
        <v>Any ENERGY STAR (Top- or Front-Load)</v>
      </c>
      <c r="I62" s="433" t="str">
        <f t="shared" si="7"/>
        <v>Any DHW, Any Dryer</v>
      </c>
      <c r="J62" s="433" t="str">
        <f t="shared" si="8"/>
        <v>Any DHW</v>
      </c>
      <c r="K62" s="433" t="str">
        <f t="shared" si="9"/>
        <v>Any Dryer</v>
      </c>
      <c r="L62" s="434">
        <f>VLOOKUP(J62,SFAssumptions!$A$14:$B$16,2,FALSE)</f>
        <v>0.55200000000000005</v>
      </c>
      <c r="M62" s="435">
        <f>VLOOKUP(K62,SFAssumptions!$A$18:$B$20,2,FALSE)</f>
        <v>0.95</v>
      </c>
      <c r="N62" s="436">
        <f ca="1">HLOOKUP($G62,'MHBaselines and Measures'!$C$3:$V$33,7,FALSE)</f>
        <v>3802.5240664273615</v>
      </c>
      <c r="O62" s="437">
        <f ca="1">HLOOKUP($G62,'MHBaselines and Measures'!$C$3:$V$33,8,FALSE)</f>
        <v>825.23457500176619</v>
      </c>
      <c r="P62" s="438">
        <f ca="1">HLOOKUP($G62,'MHBaselines and Measures'!$C$3:$V$33,25,FALSE)</f>
        <v>51.784607875448671</v>
      </c>
      <c r="Q62" s="438"/>
      <c r="R62" s="438">
        <f ca="1">HLOOKUP($G62,'MHBaselines and Measures'!$C$3:$V$33,27,FALSE)</f>
        <v>89.087499447547771</v>
      </c>
      <c r="S62" s="439">
        <f>HLOOKUP($G62,'MHBaselines and Measures'!$C$3:$V$33,29,FALSE)</f>
        <v>0</v>
      </c>
      <c r="T62" s="439"/>
      <c r="U62" s="439">
        <f ca="1">HLOOKUP($G62,'MHBaselines and Measures'!$C$3:$V$33,31,FALSE)</f>
        <v>4.0540751415264067</v>
      </c>
      <c r="V62" s="440">
        <f ca="1">HLOOKUP($G62,'MHBaselines and Measures'!$C$3:$V$33,9,FALSE)</f>
        <v>40.589348414993211</v>
      </c>
      <c r="W62" s="441"/>
      <c r="X62" s="436">
        <f ca="1">HLOOKUP($H62,'MHBaselines and Measures'!$C$2:$V$33,8,FALSE)</f>
        <v>3321.230591770463</v>
      </c>
      <c r="Y62" s="437">
        <f ca="1">HLOOKUP($H62,'MHBaselines and Measures'!$C$2:$V$33,9,FALSE)</f>
        <v>921.19144585144784</v>
      </c>
      <c r="Z62" s="438">
        <f ca="1">HLOOKUP($H62,'MHBaselines and Measures'!$C$2:$V$33,26,FALSE)</f>
        <v>48.753369263051916</v>
      </c>
      <c r="AA62" s="438"/>
      <c r="AB62" s="438">
        <f ca="1">HLOOKUP($H62,'MHBaselines and Measures'!$C$2:$V$33,28,FALSE)</f>
        <v>73.256770606095856</v>
      </c>
      <c r="AC62" s="439">
        <f>HLOOKUP($H62,'MHBaselines and Measures'!$C$2:$V$33,30,FALSE)</f>
        <v>0</v>
      </c>
      <c r="AD62" s="439"/>
      <c r="AE62" s="439">
        <f ca="1">HLOOKUP($H62,'MHBaselines and Measures'!$C$2:$V$33,32,FALSE)</f>
        <v>3.3336714410480686</v>
      </c>
      <c r="AF62" s="440">
        <f ca="1">HLOOKUP($H62,'MHBaselines and Measures'!$C$2:$V$33,10,FALSE)</f>
        <v>35.45186915347054</v>
      </c>
      <c r="AG62" s="441"/>
      <c r="AH62" s="436">
        <f t="shared" ca="1" si="15"/>
        <v>481.29347465689852</v>
      </c>
      <c r="AI62" s="437">
        <f t="shared" ca="1" si="16"/>
        <v>95.95687084968165</v>
      </c>
      <c r="AJ62" s="438">
        <f t="shared" ca="1" si="10"/>
        <v>3.0312386123967556</v>
      </c>
      <c r="AK62" s="438"/>
      <c r="AL62" s="438">
        <f t="shared" ca="1" si="33"/>
        <v>15.830728841451915</v>
      </c>
      <c r="AM62" s="439">
        <f t="shared" si="33"/>
        <v>0</v>
      </c>
      <c r="AN62" s="439"/>
      <c r="AO62" s="439">
        <f t="shared" ca="1" si="34"/>
        <v>0.72040370047833813</v>
      </c>
      <c r="AP62" s="442">
        <f t="shared" ca="1" si="34"/>
        <v>5.137479261522671</v>
      </c>
      <c r="AQ62" s="443"/>
      <c r="AR62" s="435" t="str">
        <f t="shared" si="18"/>
        <v>Any ENERGY STAR (Top- or Front-Load) Clothes Washer - Any DHW, Any Dryer - 54% ENERGY STAR Baseline</v>
      </c>
      <c r="AS62" s="437">
        <f t="shared" ca="1" si="19"/>
        <v>95.95687084968165</v>
      </c>
      <c r="AT62" s="438">
        <f t="shared" ca="1" si="20"/>
        <v>11.769800932878214</v>
      </c>
      <c r="AU62" s="439">
        <f t="shared" ca="1" si="21"/>
        <v>0.32274085781429546</v>
      </c>
      <c r="AV62" s="439">
        <f t="shared" ca="1" si="22"/>
        <v>481.29347465689852</v>
      </c>
      <c r="AW62" s="439"/>
      <c r="AX62" s="438">
        <f t="shared" ca="1" si="12"/>
        <v>13.542955611339147</v>
      </c>
      <c r="AY62" s="438">
        <f t="shared" ca="1" si="23"/>
        <v>5.137479261522671</v>
      </c>
      <c r="AZ62" s="443"/>
      <c r="BA62" s="433" t="str">
        <f t="shared" si="32"/>
        <v>Any ENERGY STAR (Top- or Front-Load) Clothes Washer - Any DHW, Any Dryer - 54% ENERGY STAR Baseline</v>
      </c>
      <c r="BB62" s="433" t="s">
        <v>25</v>
      </c>
      <c r="BC62" s="438">
        <f t="shared" ca="1" si="25"/>
        <v>11.769800932878214</v>
      </c>
      <c r="BD62" s="438">
        <f>SFAssumptions!$C$7</f>
        <v>14</v>
      </c>
      <c r="BE62" s="444">
        <f t="shared" ca="1" si="26"/>
        <v>95.95687084968165</v>
      </c>
      <c r="BF62" s="433"/>
      <c r="BG62" s="432" t="s">
        <v>157</v>
      </c>
      <c r="BH62" s="445">
        <f t="shared" ca="1" si="27"/>
        <v>5.137479261522671</v>
      </c>
      <c r="BI62" s="433"/>
      <c r="BJ62" s="433"/>
      <c r="BK62" s="433"/>
      <c r="BL62" s="433"/>
      <c r="BM62" s="433"/>
      <c r="BN62" s="433"/>
      <c r="BO62" s="446">
        <f t="shared" ca="1" si="28"/>
        <v>0.32274085781429546</v>
      </c>
      <c r="BP62" s="433" t="s">
        <v>158</v>
      </c>
    </row>
    <row r="63" spans="1:68" s="414" customFormat="1">
      <c r="A63" s="433">
        <f t="shared" si="29"/>
        <v>46</v>
      </c>
      <c r="B63" s="433">
        <f t="shared" si="3"/>
        <v>2</v>
      </c>
      <c r="C63" s="433">
        <f t="shared" si="4"/>
        <v>16</v>
      </c>
      <c r="D63" s="433">
        <f t="shared" si="5"/>
        <v>4</v>
      </c>
      <c r="E63" s="433">
        <f t="shared" si="6"/>
        <v>1</v>
      </c>
      <c r="F63" s="433"/>
      <c r="G63" s="433" t="str">
        <f t="shared" si="13"/>
        <v>Current Practice Baseline Using 54% ENERGY STAR Penetration</v>
      </c>
      <c r="H63" s="433" t="str">
        <f t="shared" si="14"/>
        <v>CEE Tier 1</v>
      </c>
      <c r="I63" s="433" t="str">
        <f t="shared" si="7"/>
        <v>Electric DHW, Electric Dryer</v>
      </c>
      <c r="J63" s="433" t="str">
        <f t="shared" si="8"/>
        <v>Electric DHW</v>
      </c>
      <c r="K63" s="433" t="str">
        <f t="shared" si="9"/>
        <v>Electric Dryer</v>
      </c>
      <c r="L63" s="434">
        <f>VLOOKUP(J63,SFAssumptions!$A$14:$B$16,2,FALSE)</f>
        <v>1</v>
      </c>
      <c r="M63" s="435">
        <f>VLOOKUP(K63,SFAssumptions!$A$18:$B$20,2,FALSE)</f>
        <v>1</v>
      </c>
      <c r="N63" s="436">
        <f ca="1">HLOOKUP($G63,'MHBaselines and Measures'!$C$3:$V$33,7,FALSE)</f>
        <v>3802.5240664273615</v>
      </c>
      <c r="O63" s="437">
        <f ca="1">HLOOKUP($G63,'MHBaselines and Measures'!$C$3:$V$33,8,FALSE)</f>
        <v>825.23457500176619</v>
      </c>
      <c r="P63" s="438">
        <f ca="1">HLOOKUP($G63,'MHBaselines and Measures'!$C$3:$V$33,25,FALSE)</f>
        <v>51.784607875448671</v>
      </c>
      <c r="Q63" s="438"/>
      <c r="R63" s="438">
        <f ca="1">HLOOKUP($G63,'MHBaselines and Measures'!$C$3:$V$33,27,FALSE)</f>
        <v>89.087499447547771</v>
      </c>
      <c r="S63" s="439">
        <f>HLOOKUP($G63,'MHBaselines and Measures'!$C$3:$V$33,29,FALSE)</f>
        <v>0</v>
      </c>
      <c r="T63" s="439"/>
      <c r="U63" s="439">
        <f ca="1">HLOOKUP($G63,'MHBaselines and Measures'!$C$3:$V$33,31,FALSE)</f>
        <v>4.0540751415264067</v>
      </c>
      <c r="V63" s="440">
        <f ca="1">HLOOKUP($G63,'MHBaselines and Measures'!$C$3:$V$33,9,FALSE)</f>
        <v>40.589348414993211</v>
      </c>
      <c r="W63" s="441"/>
      <c r="X63" s="436">
        <f ca="1">HLOOKUP($H63,'MHBaselines and Measures'!$C$2:$V$33,8,FALSE)</f>
        <v>3186.6458062683578</v>
      </c>
      <c r="Y63" s="437">
        <f ca="1">HLOOKUP($H63,'MHBaselines and Measures'!$C$2:$V$33,9,FALSE)</f>
        <v>951.49912384722427</v>
      </c>
      <c r="Z63" s="438">
        <f ca="1">HLOOKUP($H63,'MHBaselines and Measures'!$C$2:$V$33,26,FALSE)</f>
        <v>48.776644495762561</v>
      </c>
      <c r="AA63" s="438"/>
      <c r="AB63" s="438">
        <f ca="1">HLOOKUP($H63,'MHBaselines and Measures'!$C$2:$V$33,28,FALSE)</f>
        <v>70.321774427010425</v>
      </c>
      <c r="AC63" s="439">
        <f>HLOOKUP($H63,'MHBaselines and Measures'!$C$2:$V$33,30,FALSE)</f>
        <v>0</v>
      </c>
      <c r="AD63" s="439"/>
      <c r="AE63" s="439">
        <f ca="1">HLOOKUP($H63,'MHBaselines and Measures'!$C$2:$V$33,32,FALSE)</f>
        <v>3.2001095482584874</v>
      </c>
      <c r="AF63" s="440">
        <f ca="1">HLOOKUP($H63,'MHBaselines and Measures'!$C$2:$V$33,10,FALSE)</f>
        <v>34.015268449655785</v>
      </c>
      <c r="AG63" s="441"/>
      <c r="AH63" s="436">
        <f t="shared" ca="1" si="15"/>
        <v>615.87826015900373</v>
      </c>
      <c r="AI63" s="437">
        <f t="shared" ca="1" si="16"/>
        <v>126.26454884545808</v>
      </c>
      <c r="AJ63" s="438">
        <f t="shared" ca="1" si="10"/>
        <v>3.0079633796861103</v>
      </c>
      <c r="AK63" s="438"/>
      <c r="AL63" s="438">
        <f t="shared" ca="1" si="33"/>
        <v>18.765725020537346</v>
      </c>
      <c r="AM63" s="439">
        <f t="shared" si="33"/>
        <v>0</v>
      </c>
      <c r="AN63" s="439"/>
      <c r="AO63" s="439">
        <f t="shared" ca="1" si="34"/>
        <v>0.85396559326791932</v>
      </c>
      <c r="AP63" s="442">
        <f t="shared" ca="1" si="34"/>
        <v>6.5740799653374253</v>
      </c>
      <c r="AQ63" s="443"/>
      <c r="AR63" s="435" t="str">
        <f t="shared" si="18"/>
        <v>CEE Tier 1 Clothes Washer - Electric DHW, Electric Dryer - 54% ENERGY STAR Baseline</v>
      </c>
      <c r="AS63" s="437">
        <f t="shared" ca="1" si="19"/>
        <v>126.26454884545808</v>
      </c>
      <c r="AT63" s="438">
        <f t="shared" ca="1" si="20"/>
        <v>21.773688400223456</v>
      </c>
      <c r="AU63" s="439">
        <f t="shared" ca="1" si="21"/>
        <v>0</v>
      </c>
      <c r="AV63" s="439">
        <f t="shared" ca="1" si="22"/>
        <v>615.87826015900373</v>
      </c>
      <c r="AW63" s="439"/>
      <c r="AX63" s="438">
        <f t="shared" ca="1" si="12"/>
        <v>24.042672867843361</v>
      </c>
      <c r="AY63" s="438">
        <f t="shared" ca="1" si="23"/>
        <v>6.5740799653374253</v>
      </c>
      <c r="AZ63" s="443"/>
      <c r="BA63" s="433" t="str">
        <f t="shared" si="32"/>
        <v>CEE Tier 1 Clothes Washer - Electric DHW, Electric Dryer - 54% ENERGY STAR Baseline</v>
      </c>
      <c r="BB63" s="433" t="s">
        <v>25</v>
      </c>
      <c r="BC63" s="438">
        <f t="shared" ca="1" si="25"/>
        <v>21.773688400223456</v>
      </c>
      <c r="BD63" s="438">
        <f>SFAssumptions!$C$7</f>
        <v>14</v>
      </c>
      <c r="BE63" s="444">
        <f t="shared" ca="1" si="26"/>
        <v>126.26454884545808</v>
      </c>
      <c r="BF63" s="433"/>
      <c r="BG63" s="432" t="s">
        <v>157</v>
      </c>
      <c r="BH63" s="445">
        <f t="shared" ca="1" si="27"/>
        <v>6.5740799653374253</v>
      </c>
      <c r="BI63" s="433"/>
      <c r="BJ63" s="433"/>
      <c r="BK63" s="433"/>
      <c r="BL63" s="433"/>
      <c r="BM63" s="433"/>
      <c r="BN63" s="433"/>
      <c r="BO63" s="446">
        <f t="shared" ca="1" si="28"/>
        <v>0</v>
      </c>
      <c r="BP63" s="433" t="s">
        <v>158</v>
      </c>
    </row>
    <row r="64" spans="1:68" s="414" customFormat="1">
      <c r="A64" s="433">
        <f t="shared" si="29"/>
        <v>47</v>
      </c>
      <c r="B64" s="433">
        <f t="shared" si="3"/>
        <v>2</v>
      </c>
      <c r="C64" s="433">
        <f t="shared" si="4"/>
        <v>17</v>
      </c>
      <c r="D64" s="433">
        <f t="shared" si="5"/>
        <v>4</v>
      </c>
      <c r="E64" s="433">
        <f t="shared" si="6"/>
        <v>2</v>
      </c>
      <c r="F64" s="433"/>
      <c r="G64" s="433" t="str">
        <f t="shared" si="13"/>
        <v>Current Practice Baseline Using 54% ENERGY STAR Penetration</v>
      </c>
      <c r="H64" s="433" t="str">
        <f t="shared" si="14"/>
        <v>CEE Tier 1</v>
      </c>
      <c r="I64" s="433" t="str">
        <f t="shared" si="7"/>
        <v>Electric DHW, Gas Dryer</v>
      </c>
      <c r="J64" s="433" t="str">
        <f t="shared" si="8"/>
        <v>Electric DHW</v>
      </c>
      <c r="K64" s="433" t="str">
        <f t="shared" si="9"/>
        <v>Gas Dryer</v>
      </c>
      <c r="L64" s="434">
        <f>VLOOKUP(J64,SFAssumptions!$A$14:$B$16,2,FALSE)</f>
        <v>1</v>
      </c>
      <c r="M64" s="435">
        <f>VLOOKUP(K64,SFAssumptions!$A$18:$B$20,2,FALSE)</f>
        <v>0</v>
      </c>
      <c r="N64" s="436">
        <f ca="1">HLOOKUP($G64,'MHBaselines and Measures'!$C$3:$V$33,7,FALSE)</f>
        <v>3802.5240664273615</v>
      </c>
      <c r="O64" s="437">
        <f ca="1">HLOOKUP($G64,'MHBaselines and Measures'!$C$3:$V$33,8,FALSE)</f>
        <v>825.23457500176619</v>
      </c>
      <c r="P64" s="438">
        <f ca="1">HLOOKUP($G64,'MHBaselines and Measures'!$C$3:$V$33,25,FALSE)</f>
        <v>51.784607875448671</v>
      </c>
      <c r="Q64" s="438"/>
      <c r="R64" s="438">
        <f ca="1">HLOOKUP($G64,'MHBaselines and Measures'!$C$3:$V$33,27,FALSE)</f>
        <v>89.087499447547771</v>
      </c>
      <c r="S64" s="439">
        <f>HLOOKUP($G64,'MHBaselines and Measures'!$C$3:$V$33,29,FALSE)</f>
        <v>0</v>
      </c>
      <c r="T64" s="439"/>
      <c r="U64" s="439">
        <f ca="1">HLOOKUP($G64,'MHBaselines and Measures'!$C$3:$V$33,31,FALSE)</f>
        <v>4.0540751415264067</v>
      </c>
      <c r="V64" s="440">
        <f ca="1">HLOOKUP($G64,'MHBaselines and Measures'!$C$3:$V$33,9,FALSE)</f>
        <v>40.589348414993211</v>
      </c>
      <c r="W64" s="441"/>
      <c r="X64" s="436">
        <f ca="1">HLOOKUP($H64,'MHBaselines and Measures'!$C$2:$V$33,8,FALSE)</f>
        <v>3186.6458062683578</v>
      </c>
      <c r="Y64" s="437">
        <f ca="1">HLOOKUP($H64,'MHBaselines and Measures'!$C$2:$V$33,9,FALSE)</f>
        <v>951.49912384722427</v>
      </c>
      <c r="Z64" s="438">
        <f ca="1">HLOOKUP($H64,'MHBaselines and Measures'!$C$2:$V$33,26,FALSE)</f>
        <v>48.776644495762561</v>
      </c>
      <c r="AA64" s="438"/>
      <c r="AB64" s="438">
        <f ca="1">HLOOKUP($H64,'MHBaselines and Measures'!$C$2:$V$33,28,FALSE)</f>
        <v>70.321774427010425</v>
      </c>
      <c r="AC64" s="439">
        <f>HLOOKUP($H64,'MHBaselines and Measures'!$C$2:$V$33,30,FALSE)</f>
        <v>0</v>
      </c>
      <c r="AD64" s="439"/>
      <c r="AE64" s="439">
        <f ca="1">HLOOKUP($H64,'MHBaselines and Measures'!$C$2:$V$33,32,FALSE)</f>
        <v>3.2001095482584874</v>
      </c>
      <c r="AF64" s="440">
        <f ca="1">HLOOKUP($H64,'MHBaselines and Measures'!$C$2:$V$33,10,FALSE)</f>
        <v>34.015268449655785</v>
      </c>
      <c r="AG64" s="441"/>
      <c r="AH64" s="436">
        <f t="shared" ca="1" si="15"/>
        <v>615.87826015900373</v>
      </c>
      <c r="AI64" s="437">
        <f t="shared" ca="1" si="16"/>
        <v>126.26454884545808</v>
      </c>
      <c r="AJ64" s="438">
        <f t="shared" ca="1" si="10"/>
        <v>3.0079633796861103</v>
      </c>
      <c r="AK64" s="438"/>
      <c r="AL64" s="438">
        <f t="shared" ca="1" si="33"/>
        <v>18.765725020537346</v>
      </c>
      <c r="AM64" s="439">
        <f t="shared" si="33"/>
        <v>0</v>
      </c>
      <c r="AN64" s="439"/>
      <c r="AO64" s="439">
        <f t="shared" ca="1" si="34"/>
        <v>0.85396559326791932</v>
      </c>
      <c r="AP64" s="442">
        <f t="shared" ca="1" si="34"/>
        <v>6.5740799653374253</v>
      </c>
      <c r="AQ64" s="443"/>
      <c r="AR64" s="435" t="str">
        <f t="shared" si="18"/>
        <v>CEE Tier 1 Clothes Washer - Electric DHW, Gas Dryer - 54% ENERGY STAR Baseline</v>
      </c>
      <c r="AS64" s="437">
        <f t="shared" ca="1" si="19"/>
        <v>126.26454884545808</v>
      </c>
      <c r="AT64" s="438">
        <f t="shared" ca="1" si="20"/>
        <v>21.773688400223456</v>
      </c>
      <c r="AU64" s="439">
        <f t="shared" ca="1" si="21"/>
        <v>0</v>
      </c>
      <c r="AV64" s="439">
        <f t="shared" ca="1" si="22"/>
        <v>615.87826015900373</v>
      </c>
      <c r="AW64" s="439"/>
      <c r="AX64" s="438">
        <f t="shared" ca="1" si="12"/>
        <v>24.042672867843361</v>
      </c>
      <c r="AY64" s="438">
        <f t="shared" ca="1" si="23"/>
        <v>6.5740799653374253</v>
      </c>
      <c r="AZ64" s="443"/>
      <c r="BA64" s="433" t="str">
        <f t="shared" si="32"/>
        <v>CEE Tier 1 Clothes Washer - Electric DHW, Gas Dryer - 54% ENERGY STAR Baseline</v>
      </c>
      <c r="BB64" s="433" t="s">
        <v>25</v>
      </c>
      <c r="BC64" s="438">
        <f t="shared" ca="1" si="25"/>
        <v>21.773688400223456</v>
      </c>
      <c r="BD64" s="438">
        <f>SFAssumptions!$C$7</f>
        <v>14</v>
      </c>
      <c r="BE64" s="444">
        <f t="shared" ca="1" si="26"/>
        <v>126.26454884545808</v>
      </c>
      <c r="BF64" s="433"/>
      <c r="BG64" s="432" t="s">
        <v>157</v>
      </c>
      <c r="BH64" s="445">
        <f t="shared" ca="1" si="27"/>
        <v>6.5740799653374253</v>
      </c>
      <c r="BI64" s="433"/>
      <c r="BJ64" s="433"/>
      <c r="BK64" s="433"/>
      <c r="BL64" s="433"/>
      <c r="BM64" s="433"/>
      <c r="BN64" s="433"/>
      <c r="BO64" s="446">
        <f t="shared" ca="1" si="28"/>
        <v>0</v>
      </c>
      <c r="BP64" s="433" t="s">
        <v>158</v>
      </c>
    </row>
    <row r="65" spans="1:68" s="414" customFormat="1">
      <c r="A65" s="433">
        <f t="shared" si="29"/>
        <v>48</v>
      </c>
      <c r="B65" s="433">
        <f t="shared" si="3"/>
        <v>2</v>
      </c>
      <c r="C65" s="433">
        <f t="shared" si="4"/>
        <v>18</v>
      </c>
      <c r="D65" s="433">
        <f t="shared" si="5"/>
        <v>4</v>
      </c>
      <c r="E65" s="433">
        <f t="shared" si="6"/>
        <v>3</v>
      </c>
      <c r="F65" s="433"/>
      <c r="G65" s="433" t="str">
        <f t="shared" si="13"/>
        <v>Current Practice Baseline Using 54% ENERGY STAR Penetration</v>
      </c>
      <c r="H65" s="433" t="str">
        <f t="shared" si="14"/>
        <v>CEE Tier 1</v>
      </c>
      <c r="I65" s="433" t="str">
        <f t="shared" si="7"/>
        <v>Gas DHW, Electric Dryer</v>
      </c>
      <c r="J65" s="433" t="str">
        <f t="shared" si="8"/>
        <v>Gas DHW</v>
      </c>
      <c r="K65" s="433" t="str">
        <f t="shared" si="9"/>
        <v>Electric Dryer</v>
      </c>
      <c r="L65" s="434">
        <f>VLOOKUP(J65,SFAssumptions!$A$14:$B$16,2,FALSE)</f>
        <v>0</v>
      </c>
      <c r="M65" s="435">
        <f>VLOOKUP(K65,SFAssumptions!$A$18:$B$20,2,FALSE)</f>
        <v>1</v>
      </c>
      <c r="N65" s="436">
        <f ca="1">HLOOKUP($G65,'MHBaselines and Measures'!$C$3:$V$33,7,FALSE)</f>
        <v>3802.5240664273615</v>
      </c>
      <c r="O65" s="437">
        <f ca="1">HLOOKUP($G65,'MHBaselines and Measures'!$C$3:$V$33,8,FALSE)</f>
        <v>825.23457500176619</v>
      </c>
      <c r="P65" s="438">
        <f ca="1">HLOOKUP($G65,'MHBaselines and Measures'!$C$3:$V$33,25,FALSE)</f>
        <v>51.784607875448671</v>
      </c>
      <c r="Q65" s="438"/>
      <c r="R65" s="438">
        <f ca="1">HLOOKUP($G65,'MHBaselines and Measures'!$C$3:$V$33,27,FALSE)</f>
        <v>89.087499447547771</v>
      </c>
      <c r="S65" s="439">
        <f>HLOOKUP($G65,'MHBaselines and Measures'!$C$3:$V$33,29,FALSE)</f>
        <v>0</v>
      </c>
      <c r="T65" s="439"/>
      <c r="U65" s="439">
        <f ca="1">HLOOKUP($G65,'MHBaselines and Measures'!$C$3:$V$33,31,FALSE)</f>
        <v>4.0540751415264067</v>
      </c>
      <c r="V65" s="440">
        <f ca="1">HLOOKUP($G65,'MHBaselines and Measures'!$C$3:$V$33,9,FALSE)</f>
        <v>40.589348414993211</v>
      </c>
      <c r="W65" s="441"/>
      <c r="X65" s="436">
        <f ca="1">HLOOKUP($H65,'MHBaselines and Measures'!$C$2:$V$33,8,FALSE)</f>
        <v>3186.6458062683578</v>
      </c>
      <c r="Y65" s="437">
        <f ca="1">HLOOKUP($H65,'MHBaselines and Measures'!$C$2:$V$33,9,FALSE)</f>
        <v>951.49912384722427</v>
      </c>
      <c r="Z65" s="438">
        <f ca="1">HLOOKUP($H65,'MHBaselines and Measures'!$C$2:$V$33,26,FALSE)</f>
        <v>48.776644495762561</v>
      </c>
      <c r="AA65" s="438"/>
      <c r="AB65" s="438">
        <f ca="1">HLOOKUP($H65,'MHBaselines and Measures'!$C$2:$V$33,28,FALSE)</f>
        <v>70.321774427010425</v>
      </c>
      <c r="AC65" s="439">
        <f>HLOOKUP($H65,'MHBaselines and Measures'!$C$2:$V$33,30,FALSE)</f>
        <v>0</v>
      </c>
      <c r="AD65" s="439"/>
      <c r="AE65" s="439">
        <f ca="1">HLOOKUP($H65,'MHBaselines and Measures'!$C$2:$V$33,32,FALSE)</f>
        <v>3.2001095482584874</v>
      </c>
      <c r="AF65" s="440">
        <f ca="1">HLOOKUP($H65,'MHBaselines and Measures'!$C$2:$V$33,10,FALSE)</f>
        <v>34.015268449655785</v>
      </c>
      <c r="AG65" s="441"/>
      <c r="AH65" s="436">
        <f t="shared" ca="1" si="15"/>
        <v>615.87826015900373</v>
      </c>
      <c r="AI65" s="437">
        <f t="shared" ca="1" si="16"/>
        <v>126.26454884545808</v>
      </c>
      <c r="AJ65" s="438">
        <f t="shared" ca="1" si="10"/>
        <v>3.0079633796861103</v>
      </c>
      <c r="AK65" s="438"/>
      <c r="AL65" s="438">
        <f t="shared" ca="1" si="33"/>
        <v>18.765725020537346</v>
      </c>
      <c r="AM65" s="439">
        <f t="shared" si="33"/>
        <v>0</v>
      </c>
      <c r="AN65" s="439"/>
      <c r="AO65" s="439">
        <f t="shared" ca="1" si="34"/>
        <v>0.85396559326791932</v>
      </c>
      <c r="AP65" s="442">
        <f t="shared" ca="1" si="34"/>
        <v>6.5740799653374253</v>
      </c>
      <c r="AQ65" s="443"/>
      <c r="AR65" s="435" t="str">
        <f t="shared" si="18"/>
        <v>CEE Tier 1 Clothes Washer - Gas DHW, Electric Dryer - 54% ENERGY STAR Baseline</v>
      </c>
      <c r="AS65" s="437">
        <f t="shared" ca="1" si="19"/>
        <v>126.26454884545808</v>
      </c>
      <c r="AT65" s="438">
        <f t="shared" ca="1" si="20"/>
        <v>3.0079633796861103</v>
      </c>
      <c r="AU65" s="439">
        <f t="shared" ca="1" si="21"/>
        <v>0.85396559326791932</v>
      </c>
      <c r="AV65" s="439">
        <f t="shared" ca="1" si="22"/>
        <v>615.87826015900373</v>
      </c>
      <c r="AW65" s="439"/>
      <c r="AX65" s="438">
        <f t="shared" ca="1" si="12"/>
        <v>5.2769478473060154</v>
      </c>
      <c r="AY65" s="438">
        <f t="shared" ca="1" si="23"/>
        <v>6.5740799653374253</v>
      </c>
      <c r="AZ65" s="443"/>
      <c r="BA65" s="433" t="str">
        <f t="shared" si="32"/>
        <v>CEE Tier 1 Clothes Washer - Gas DHW, Electric Dryer - 54% ENERGY STAR Baseline</v>
      </c>
      <c r="BB65" s="433" t="s">
        <v>25</v>
      </c>
      <c r="BC65" s="438">
        <f t="shared" ca="1" si="25"/>
        <v>3.0079633796861103</v>
      </c>
      <c r="BD65" s="438">
        <f>SFAssumptions!$C$7</f>
        <v>14</v>
      </c>
      <c r="BE65" s="444">
        <f t="shared" ca="1" si="26"/>
        <v>126.26454884545808</v>
      </c>
      <c r="BF65" s="433"/>
      <c r="BG65" s="432" t="s">
        <v>157</v>
      </c>
      <c r="BH65" s="445">
        <f t="shared" ca="1" si="27"/>
        <v>6.5740799653374253</v>
      </c>
      <c r="BI65" s="433"/>
      <c r="BJ65" s="433"/>
      <c r="BK65" s="433"/>
      <c r="BL65" s="433"/>
      <c r="BM65" s="433"/>
      <c r="BN65" s="433"/>
      <c r="BO65" s="446">
        <f t="shared" ca="1" si="28"/>
        <v>0.85396559326791932</v>
      </c>
      <c r="BP65" s="433" t="s">
        <v>158</v>
      </c>
    </row>
    <row r="66" spans="1:68" s="414" customFormat="1">
      <c r="A66" s="433">
        <f t="shared" si="29"/>
        <v>49</v>
      </c>
      <c r="B66" s="433">
        <f t="shared" si="3"/>
        <v>2</v>
      </c>
      <c r="C66" s="433">
        <f t="shared" si="4"/>
        <v>19</v>
      </c>
      <c r="D66" s="433">
        <f t="shared" si="5"/>
        <v>4</v>
      </c>
      <c r="E66" s="433">
        <f t="shared" si="6"/>
        <v>4</v>
      </c>
      <c r="F66" s="433"/>
      <c r="G66" s="433" t="str">
        <f t="shared" si="13"/>
        <v>Current Practice Baseline Using 54% ENERGY STAR Penetration</v>
      </c>
      <c r="H66" s="433" t="str">
        <f t="shared" si="14"/>
        <v>CEE Tier 1</v>
      </c>
      <c r="I66" s="433" t="str">
        <f t="shared" si="7"/>
        <v>Gas DHW, Gas Dryer</v>
      </c>
      <c r="J66" s="433" t="str">
        <f t="shared" si="8"/>
        <v>Gas DHW</v>
      </c>
      <c r="K66" s="433" t="str">
        <f t="shared" si="9"/>
        <v>Gas Dryer</v>
      </c>
      <c r="L66" s="434">
        <f>VLOOKUP(J66,SFAssumptions!$A$14:$B$16,2,FALSE)</f>
        <v>0</v>
      </c>
      <c r="M66" s="435">
        <f>VLOOKUP(K66,SFAssumptions!$A$18:$B$20,2,FALSE)</f>
        <v>0</v>
      </c>
      <c r="N66" s="436">
        <f ca="1">HLOOKUP($G66,'MHBaselines and Measures'!$C$3:$V$33,7,FALSE)</f>
        <v>3802.5240664273615</v>
      </c>
      <c r="O66" s="437">
        <f ca="1">HLOOKUP($G66,'MHBaselines and Measures'!$C$3:$V$33,8,FALSE)</f>
        <v>825.23457500176619</v>
      </c>
      <c r="P66" s="438">
        <f ca="1">HLOOKUP($G66,'MHBaselines and Measures'!$C$3:$V$33,25,FALSE)</f>
        <v>51.784607875448671</v>
      </c>
      <c r="Q66" s="438"/>
      <c r="R66" s="438">
        <f ca="1">HLOOKUP($G66,'MHBaselines and Measures'!$C$3:$V$33,27,FALSE)</f>
        <v>89.087499447547771</v>
      </c>
      <c r="S66" s="439">
        <f>HLOOKUP($G66,'MHBaselines and Measures'!$C$3:$V$33,29,FALSE)</f>
        <v>0</v>
      </c>
      <c r="T66" s="439"/>
      <c r="U66" s="439">
        <f ca="1">HLOOKUP($G66,'MHBaselines and Measures'!$C$3:$V$33,31,FALSE)</f>
        <v>4.0540751415264067</v>
      </c>
      <c r="V66" s="440">
        <f ca="1">HLOOKUP($G66,'MHBaselines and Measures'!$C$3:$V$33,9,FALSE)</f>
        <v>40.589348414993211</v>
      </c>
      <c r="W66" s="441"/>
      <c r="X66" s="436">
        <f ca="1">HLOOKUP($H66,'MHBaselines and Measures'!$C$2:$V$33,8,FALSE)</f>
        <v>3186.6458062683578</v>
      </c>
      <c r="Y66" s="437">
        <f ca="1">HLOOKUP($H66,'MHBaselines and Measures'!$C$2:$V$33,9,FALSE)</f>
        <v>951.49912384722427</v>
      </c>
      <c r="Z66" s="438">
        <f ca="1">HLOOKUP($H66,'MHBaselines and Measures'!$C$2:$V$33,26,FALSE)</f>
        <v>48.776644495762561</v>
      </c>
      <c r="AA66" s="438"/>
      <c r="AB66" s="438">
        <f ca="1">HLOOKUP($H66,'MHBaselines and Measures'!$C$2:$V$33,28,FALSE)</f>
        <v>70.321774427010425</v>
      </c>
      <c r="AC66" s="439">
        <f>HLOOKUP($H66,'MHBaselines and Measures'!$C$2:$V$33,30,FALSE)</f>
        <v>0</v>
      </c>
      <c r="AD66" s="439"/>
      <c r="AE66" s="439">
        <f ca="1">HLOOKUP($H66,'MHBaselines and Measures'!$C$2:$V$33,32,FALSE)</f>
        <v>3.2001095482584874</v>
      </c>
      <c r="AF66" s="440">
        <f ca="1">HLOOKUP($H66,'MHBaselines and Measures'!$C$2:$V$33,10,FALSE)</f>
        <v>34.015268449655785</v>
      </c>
      <c r="AG66" s="441"/>
      <c r="AH66" s="436">
        <f t="shared" ca="1" si="15"/>
        <v>615.87826015900373</v>
      </c>
      <c r="AI66" s="437">
        <f t="shared" ca="1" si="16"/>
        <v>126.26454884545808</v>
      </c>
      <c r="AJ66" s="438">
        <f t="shared" ca="1" si="10"/>
        <v>3.0079633796861103</v>
      </c>
      <c r="AK66" s="438"/>
      <c r="AL66" s="438">
        <f t="shared" ca="1" si="33"/>
        <v>18.765725020537346</v>
      </c>
      <c r="AM66" s="439">
        <f t="shared" si="33"/>
        <v>0</v>
      </c>
      <c r="AN66" s="439"/>
      <c r="AO66" s="439">
        <f t="shared" ca="1" si="34"/>
        <v>0.85396559326791932</v>
      </c>
      <c r="AP66" s="442">
        <f t="shared" ca="1" si="34"/>
        <v>6.5740799653374253</v>
      </c>
      <c r="AQ66" s="443"/>
      <c r="AR66" s="435" t="str">
        <f t="shared" si="18"/>
        <v>CEE Tier 1 Clothes Washer - Gas DHW, Gas Dryer - 54% ENERGY STAR Baseline</v>
      </c>
      <c r="AS66" s="437">
        <f t="shared" ca="1" si="19"/>
        <v>126.26454884545808</v>
      </c>
      <c r="AT66" s="438">
        <f t="shared" ca="1" si="20"/>
        <v>3.0079633796861103</v>
      </c>
      <c r="AU66" s="439">
        <f t="shared" ca="1" si="21"/>
        <v>0.85396559326791932</v>
      </c>
      <c r="AV66" s="439">
        <f t="shared" ca="1" si="22"/>
        <v>615.87826015900373</v>
      </c>
      <c r="AW66" s="439"/>
      <c r="AX66" s="438">
        <f t="shared" ca="1" si="12"/>
        <v>5.2769478473060154</v>
      </c>
      <c r="AY66" s="438">
        <f t="shared" ca="1" si="23"/>
        <v>6.5740799653374253</v>
      </c>
      <c r="AZ66" s="443"/>
      <c r="BA66" s="433" t="str">
        <f t="shared" si="32"/>
        <v>CEE Tier 1 Clothes Washer - Gas DHW, Gas Dryer - 54% ENERGY STAR Baseline</v>
      </c>
      <c r="BB66" s="433" t="s">
        <v>25</v>
      </c>
      <c r="BC66" s="438">
        <f t="shared" ca="1" si="25"/>
        <v>3.0079633796861103</v>
      </c>
      <c r="BD66" s="438">
        <f>SFAssumptions!$C$7</f>
        <v>14</v>
      </c>
      <c r="BE66" s="444">
        <f t="shared" ca="1" si="26"/>
        <v>126.26454884545808</v>
      </c>
      <c r="BF66" s="433"/>
      <c r="BG66" s="432" t="s">
        <v>157</v>
      </c>
      <c r="BH66" s="445">
        <f t="shared" ca="1" si="27"/>
        <v>6.5740799653374253</v>
      </c>
      <c r="BI66" s="433"/>
      <c r="BJ66" s="433"/>
      <c r="BK66" s="433"/>
      <c r="BL66" s="433"/>
      <c r="BM66" s="433"/>
      <c r="BN66" s="433"/>
      <c r="BO66" s="446">
        <f t="shared" ca="1" si="28"/>
        <v>0.85396559326791932</v>
      </c>
      <c r="BP66" s="433" t="s">
        <v>158</v>
      </c>
    </row>
    <row r="67" spans="1:68" s="414" customFormat="1">
      <c r="A67" s="433">
        <f t="shared" si="29"/>
        <v>50</v>
      </c>
      <c r="B67" s="433">
        <f t="shared" si="3"/>
        <v>2</v>
      </c>
      <c r="C67" s="433">
        <f t="shared" si="4"/>
        <v>20</v>
      </c>
      <c r="D67" s="433">
        <f t="shared" si="5"/>
        <v>4</v>
      </c>
      <c r="E67" s="433">
        <f t="shared" si="6"/>
        <v>5</v>
      </c>
      <c r="F67" s="433"/>
      <c r="G67" s="433" t="str">
        <f t="shared" si="13"/>
        <v>Current Practice Baseline Using 54% ENERGY STAR Penetration</v>
      </c>
      <c r="H67" s="433" t="str">
        <f t="shared" si="14"/>
        <v>CEE Tier 1</v>
      </c>
      <c r="I67" s="433" t="str">
        <f t="shared" si="7"/>
        <v>Any DHW, Any Dryer</v>
      </c>
      <c r="J67" s="433" t="str">
        <f t="shared" si="8"/>
        <v>Any DHW</v>
      </c>
      <c r="K67" s="433" t="str">
        <f t="shared" si="9"/>
        <v>Any Dryer</v>
      </c>
      <c r="L67" s="434">
        <f>VLOOKUP(J67,SFAssumptions!$A$14:$B$16,2,FALSE)</f>
        <v>0.55200000000000005</v>
      </c>
      <c r="M67" s="435">
        <f>VLOOKUP(K67,SFAssumptions!$A$18:$B$20,2,FALSE)</f>
        <v>0.95</v>
      </c>
      <c r="N67" s="436">
        <f ca="1">HLOOKUP($G67,'MHBaselines and Measures'!$C$3:$V$33,7,FALSE)</f>
        <v>3802.5240664273615</v>
      </c>
      <c r="O67" s="437">
        <f ca="1">HLOOKUP($G67,'MHBaselines and Measures'!$C$3:$V$33,8,FALSE)</f>
        <v>825.23457500176619</v>
      </c>
      <c r="P67" s="438">
        <f ca="1">HLOOKUP($G67,'MHBaselines and Measures'!$C$3:$V$33,25,FALSE)</f>
        <v>51.784607875448671</v>
      </c>
      <c r="Q67" s="438"/>
      <c r="R67" s="438">
        <f ca="1">HLOOKUP($G67,'MHBaselines and Measures'!$C$3:$V$33,27,FALSE)</f>
        <v>89.087499447547771</v>
      </c>
      <c r="S67" s="439">
        <f>HLOOKUP($G67,'MHBaselines and Measures'!$C$3:$V$33,29,FALSE)</f>
        <v>0</v>
      </c>
      <c r="T67" s="439"/>
      <c r="U67" s="439">
        <f ca="1">HLOOKUP($G67,'MHBaselines and Measures'!$C$3:$V$33,31,FALSE)</f>
        <v>4.0540751415264067</v>
      </c>
      <c r="V67" s="440">
        <f ca="1">HLOOKUP($G67,'MHBaselines and Measures'!$C$3:$V$33,9,FALSE)</f>
        <v>40.589348414993211</v>
      </c>
      <c r="W67" s="441"/>
      <c r="X67" s="436">
        <f ca="1">HLOOKUP($H67,'MHBaselines and Measures'!$C$2:$V$33,8,FALSE)</f>
        <v>3186.6458062683578</v>
      </c>
      <c r="Y67" s="437">
        <f ca="1">HLOOKUP($H67,'MHBaselines and Measures'!$C$2:$V$33,9,FALSE)</f>
        <v>951.49912384722427</v>
      </c>
      <c r="Z67" s="438">
        <f ca="1">HLOOKUP($H67,'MHBaselines and Measures'!$C$2:$V$33,26,FALSE)</f>
        <v>48.776644495762561</v>
      </c>
      <c r="AA67" s="438"/>
      <c r="AB67" s="438">
        <f ca="1">HLOOKUP($H67,'MHBaselines and Measures'!$C$2:$V$33,28,FALSE)</f>
        <v>70.321774427010425</v>
      </c>
      <c r="AC67" s="439">
        <f>HLOOKUP($H67,'MHBaselines and Measures'!$C$2:$V$33,30,FALSE)</f>
        <v>0</v>
      </c>
      <c r="AD67" s="439"/>
      <c r="AE67" s="439">
        <f ca="1">HLOOKUP($H67,'MHBaselines and Measures'!$C$2:$V$33,32,FALSE)</f>
        <v>3.2001095482584874</v>
      </c>
      <c r="AF67" s="440">
        <f ca="1">HLOOKUP($H67,'MHBaselines and Measures'!$C$2:$V$33,10,FALSE)</f>
        <v>34.015268449655785</v>
      </c>
      <c r="AG67" s="441"/>
      <c r="AH67" s="436">
        <f t="shared" ca="1" si="15"/>
        <v>615.87826015900373</v>
      </c>
      <c r="AI67" s="437">
        <f t="shared" ca="1" si="16"/>
        <v>126.26454884545808</v>
      </c>
      <c r="AJ67" s="438">
        <f t="shared" ca="1" si="10"/>
        <v>3.0079633796861103</v>
      </c>
      <c r="AK67" s="438"/>
      <c r="AL67" s="438">
        <f t="shared" ca="1" si="33"/>
        <v>18.765725020537346</v>
      </c>
      <c r="AM67" s="439">
        <f t="shared" si="33"/>
        <v>0</v>
      </c>
      <c r="AN67" s="439"/>
      <c r="AO67" s="439">
        <f t="shared" ca="1" si="34"/>
        <v>0.85396559326791932</v>
      </c>
      <c r="AP67" s="442">
        <f t="shared" ca="1" si="34"/>
        <v>6.5740799653374253</v>
      </c>
      <c r="AQ67" s="443"/>
      <c r="AR67" s="435" t="str">
        <f t="shared" si="18"/>
        <v>CEE Tier 1 Clothes Washer - Any DHW, Any Dryer - 54% ENERGY STAR Baseline</v>
      </c>
      <c r="AS67" s="437">
        <f t="shared" ca="1" si="19"/>
        <v>126.26454884545808</v>
      </c>
      <c r="AT67" s="438">
        <f t="shared" ca="1" si="20"/>
        <v>13.366643591022726</v>
      </c>
      <c r="AU67" s="439">
        <f t="shared" ca="1" si="21"/>
        <v>0.38257658578402781</v>
      </c>
      <c r="AV67" s="439">
        <f t="shared" ca="1" si="22"/>
        <v>615.87826015900373</v>
      </c>
      <c r="AW67" s="439"/>
      <c r="AX67" s="438">
        <f t="shared" ca="1" si="12"/>
        <v>15.635628058642631</v>
      </c>
      <c r="AY67" s="438">
        <f t="shared" ca="1" si="23"/>
        <v>6.5740799653374253</v>
      </c>
      <c r="AZ67" s="443"/>
      <c r="BA67" s="433" t="str">
        <f t="shared" si="32"/>
        <v>CEE Tier 1 Clothes Washer - Any DHW, Any Dryer - 54% ENERGY STAR Baseline</v>
      </c>
      <c r="BB67" s="433" t="s">
        <v>25</v>
      </c>
      <c r="BC67" s="438">
        <f t="shared" ca="1" si="25"/>
        <v>13.366643591022726</v>
      </c>
      <c r="BD67" s="438">
        <f>SFAssumptions!$C$7</f>
        <v>14</v>
      </c>
      <c r="BE67" s="444">
        <f t="shared" ca="1" si="26"/>
        <v>126.26454884545808</v>
      </c>
      <c r="BF67" s="433"/>
      <c r="BG67" s="432" t="s">
        <v>157</v>
      </c>
      <c r="BH67" s="445">
        <f t="shared" ca="1" si="27"/>
        <v>6.5740799653374253</v>
      </c>
      <c r="BI67" s="433"/>
      <c r="BJ67" s="433"/>
      <c r="BK67" s="433"/>
      <c r="BL67" s="433"/>
      <c r="BM67" s="433"/>
      <c r="BN67" s="433"/>
      <c r="BO67" s="446">
        <f t="shared" ca="1" si="28"/>
        <v>0.38257658578402781</v>
      </c>
      <c r="BP67" s="433" t="s">
        <v>158</v>
      </c>
    </row>
    <row r="68" spans="1:68" s="414" customFormat="1">
      <c r="A68" s="433">
        <f t="shared" si="29"/>
        <v>51</v>
      </c>
      <c r="B68" s="433">
        <f t="shared" si="3"/>
        <v>2</v>
      </c>
      <c r="C68" s="433">
        <f t="shared" si="4"/>
        <v>21</v>
      </c>
      <c r="D68" s="433">
        <f t="shared" si="5"/>
        <v>5</v>
      </c>
      <c r="E68" s="433">
        <f t="shared" si="6"/>
        <v>1</v>
      </c>
      <c r="F68" s="433"/>
      <c r="G68" s="433" t="str">
        <f t="shared" si="13"/>
        <v>Current Practice Baseline Using 54% ENERGY STAR Penetration</v>
      </c>
      <c r="H68" s="433" t="str">
        <f t="shared" si="14"/>
        <v>CEE Tier 2</v>
      </c>
      <c r="I68" s="433" t="str">
        <f t="shared" si="7"/>
        <v>Electric DHW, Electric Dryer</v>
      </c>
      <c r="J68" s="433" t="str">
        <f t="shared" si="8"/>
        <v>Electric DHW</v>
      </c>
      <c r="K68" s="433" t="str">
        <f t="shared" si="9"/>
        <v>Electric Dryer</v>
      </c>
      <c r="L68" s="434">
        <f>VLOOKUP(J68,SFAssumptions!$A$14:$B$16,2,FALSE)</f>
        <v>1</v>
      </c>
      <c r="M68" s="435">
        <f>VLOOKUP(K68,SFAssumptions!$A$18:$B$20,2,FALSE)</f>
        <v>1</v>
      </c>
      <c r="N68" s="436">
        <f ca="1">HLOOKUP($G68,'MHBaselines and Measures'!$C$3:$V$33,7,FALSE)</f>
        <v>3802.5240664273615</v>
      </c>
      <c r="O68" s="437">
        <f ca="1">HLOOKUP($G68,'MHBaselines and Measures'!$C$3:$V$33,8,FALSE)</f>
        <v>825.23457500176619</v>
      </c>
      <c r="P68" s="438">
        <f ca="1">HLOOKUP($G68,'MHBaselines and Measures'!$C$3:$V$33,25,FALSE)</f>
        <v>51.784607875448671</v>
      </c>
      <c r="Q68" s="438"/>
      <c r="R68" s="438">
        <f ca="1">HLOOKUP($G68,'MHBaselines and Measures'!$C$3:$V$33,27,FALSE)</f>
        <v>89.087499447547771</v>
      </c>
      <c r="S68" s="439">
        <f>HLOOKUP($G68,'MHBaselines and Measures'!$C$3:$V$33,29,FALSE)</f>
        <v>0</v>
      </c>
      <c r="T68" s="439"/>
      <c r="U68" s="439">
        <f ca="1">HLOOKUP($G68,'MHBaselines and Measures'!$C$3:$V$33,31,FALSE)</f>
        <v>4.0540751415264067</v>
      </c>
      <c r="V68" s="440">
        <f ca="1">HLOOKUP($G68,'MHBaselines and Measures'!$C$3:$V$33,9,FALSE)</f>
        <v>40.589348414993211</v>
      </c>
      <c r="W68" s="441"/>
      <c r="X68" s="436">
        <f ca="1">HLOOKUP($H68,'MHBaselines and Measures'!$C$2:$V$33,8,FALSE)</f>
        <v>2899.206481928567</v>
      </c>
      <c r="Y68" s="437">
        <f ca="1">HLOOKUP($H68,'MHBaselines and Measures'!$C$2:$V$33,9,FALSE)</f>
        <v>1001.0825583529517</v>
      </c>
      <c r="Z68" s="438">
        <f ca="1">HLOOKUP($H68,'MHBaselines and Measures'!$C$2:$V$33,26,FALSE)</f>
        <v>46.405924501548718</v>
      </c>
      <c r="AA68" s="438"/>
      <c r="AB68" s="438">
        <f ca="1">HLOOKUP($H68,'MHBaselines and Measures'!$C$2:$V$33,28,FALSE)</f>
        <v>60.869072163758943</v>
      </c>
      <c r="AC68" s="439">
        <f>HLOOKUP($H68,'MHBaselines and Measures'!$C$2:$V$33,30,FALSE)</f>
        <v>0</v>
      </c>
      <c r="AD68" s="439"/>
      <c r="AE68" s="439">
        <f ca="1">HLOOKUP($H68,'MHBaselines and Measures'!$C$2:$V$33,32,FALSE)</f>
        <v>2.7699485772654566</v>
      </c>
      <c r="AF68" s="440">
        <f ca="1">HLOOKUP($H68,'MHBaselines and Measures'!$C$2:$V$33,10,FALSE)</f>
        <v>30.947049897982122</v>
      </c>
      <c r="AG68" s="441"/>
      <c r="AH68" s="436">
        <f t="shared" ca="1" si="15"/>
        <v>903.31758449879453</v>
      </c>
      <c r="AI68" s="437">
        <f t="shared" ca="1" si="16"/>
        <v>175.84798335118546</v>
      </c>
      <c r="AJ68" s="438">
        <f t="shared" ca="1" si="10"/>
        <v>5.3786833738999533</v>
      </c>
      <c r="AK68" s="438"/>
      <c r="AL68" s="438">
        <f t="shared" ca="1" si="33"/>
        <v>28.218427283788827</v>
      </c>
      <c r="AM68" s="439">
        <f t="shared" si="33"/>
        <v>0</v>
      </c>
      <c r="AN68" s="439"/>
      <c r="AO68" s="439">
        <f t="shared" ca="1" si="34"/>
        <v>1.2841265642609501</v>
      </c>
      <c r="AP68" s="442">
        <f t="shared" ca="1" si="34"/>
        <v>9.6422985170110884</v>
      </c>
      <c r="AQ68" s="443"/>
      <c r="AR68" s="435" t="str">
        <f t="shared" si="18"/>
        <v>CEE Tier 2 Clothes Washer - Electric DHW, Electric Dryer - 54% ENERGY STAR Baseline</v>
      </c>
      <c r="AS68" s="437">
        <f t="shared" ca="1" si="19"/>
        <v>175.84798335118546</v>
      </c>
      <c r="AT68" s="438">
        <f t="shared" ca="1" si="20"/>
        <v>33.597110657688781</v>
      </c>
      <c r="AU68" s="439">
        <f t="shared" ca="1" si="21"/>
        <v>0</v>
      </c>
      <c r="AV68" s="439">
        <f t="shared" ca="1" si="22"/>
        <v>903.31758449879453</v>
      </c>
      <c r="AW68" s="439"/>
      <c r="AX68" s="438">
        <f t="shared" ca="1" si="12"/>
        <v>36.925063113790316</v>
      </c>
      <c r="AY68" s="438">
        <f t="shared" ca="1" si="23"/>
        <v>9.6422985170110884</v>
      </c>
      <c r="AZ68" s="443"/>
      <c r="BA68" s="433" t="str">
        <f t="shared" si="32"/>
        <v>CEE Tier 2 Clothes Washer - Electric DHW, Electric Dryer - 54% ENERGY STAR Baseline</v>
      </c>
      <c r="BB68" s="433" t="s">
        <v>25</v>
      </c>
      <c r="BC68" s="438">
        <f t="shared" ca="1" si="25"/>
        <v>33.597110657688781</v>
      </c>
      <c r="BD68" s="438">
        <f>SFAssumptions!$C$7</f>
        <v>14</v>
      </c>
      <c r="BE68" s="444">
        <f t="shared" ca="1" si="26"/>
        <v>175.84798335118546</v>
      </c>
      <c r="BF68" s="433"/>
      <c r="BG68" s="432" t="s">
        <v>157</v>
      </c>
      <c r="BH68" s="445">
        <f t="shared" ca="1" si="27"/>
        <v>9.6422985170110884</v>
      </c>
      <c r="BI68" s="433"/>
      <c r="BJ68" s="433"/>
      <c r="BK68" s="433"/>
      <c r="BL68" s="433"/>
      <c r="BM68" s="433"/>
      <c r="BN68" s="433"/>
      <c r="BO68" s="446">
        <f t="shared" ca="1" si="28"/>
        <v>0</v>
      </c>
      <c r="BP68" s="433" t="s">
        <v>158</v>
      </c>
    </row>
    <row r="69" spans="1:68" s="414" customFormat="1">
      <c r="A69" s="433">
        <f t="shared" si="29"/>
        <v>52</v>
      </c>
      <c r="B69" s="433">
        <f t="shared" si="3"/>
        <v>2</v>
      </c>
      <c r="C69" s="433">
        <f t="shared" si="4"/>
        <v>22</v>
      </c>
      <c r="D69" s="433">
        <f t="shared" si="5"/>
        <v>5</v>
      </c>
      <c r="E69" s="433">
        <f t="shared" si="6"/>
        <v>2</v>
      </c>
      <c r="F69" s="433"/>
      <c r="G69" s="433" t="str">
        <f t="shared" si="13"/>
        <v>Current Practice Baseline Using 54% ENERGY STAR Penetration</v>
      </c>
      <c r="H69" s="433" t="str">
        <f t="shared" si="14"/>
        <v>CEE Tier 2</v>
      </c>
      <c r="I69" s="433" t="str">
        <f t="shared" si="7"/>
        <v>Electric DHW, Gas Dryer</v>
      </c>
      <c r="J69" s="433" t="str">
        <f t="shared" si="8"/>
        <v>Electric DHW</v>
      </c>
      <c r="K69" s="433" t="str">
        <f t="shared" si="9"/>
        <v>Gas Dryer</v>
      </c>
      <c r="L69" s="434">
        <f>VLOOKUP(J69,SFAssumptions!$A$14:$B$16,2,FALSE)</f>
        <v>1</v>
      </c>
      <c r="M69" s="435">
        <f>VLOOKUP(K69,SFAssumptions!$A$18:$B$20,2,FALSE)</f>
        <v>0</v>
      </c>
      <c r="N69" s="436">
        <f ca="1">HLOOKUP($G69,'MHBaselines and Measures'!$C$3:$V$33,7,FALSE)</f>
        <v>3802.5240664273615</v>
      </c>
      <c r="O69" s="437">
        <f ca="1">HLOOKUP($G69,'MHBaselines and Measures'!$C$3:$V$33,8,FALSE)</f>
        <v>825.23457500176619</v>
      </c>
      <c r="P69" s="438">
        <f ca="1">HLOOKUP($G69,'MHBaselines and Measures'!$C$3:$V$33,25,FALSE)</f>
        <v>51.784607875448671</v>
      </c>
      <c r="Q69" s="438"/>
      <c r="R69" s="438">
        <f ca="1">HLOOKUP($G69,'MHBaselines and Measures'!$C$3:$V$33,27,FALSE)</f>
        <v>89.087499447547771</v>
      </c>
      <c r="S69" s="439">
        <f>HLOOKUP($G69,'MHBaselines and Measures'!$C$3:$V$33,29,FALSE)</f>
        <v>0</v>
      </c>
      <c r="T69" s="439"/>
      <c r="U69" s="439">
        <f ca="1">HLOOKUP($G69,'MHBaselines and Measures'!$C$3:$V$33,31,FALSE)</f>
        <v>4.0540751415264067</v>
      </c>
      <c r="V69" s="440">
        <f ca="1">HLOOKUP($G69,'MHBaselines and Measures'!$C$3:$V$33,9,FALSE)</f>
        <v>40.589348414993211</v>
      </c>
      <c r="W69" s="441"/>
      <c r="X69" s="436">
        <f ca="1">HLOOKUP($H69,'MHBaselines and Measures'!$C$2:$V$33,8,FALSE)</f>
        <v>2899.206481928567</v>
      </c>
      <c r="Y69" s="437">
        <f ca="1">HLOOKUP($H69,'MHBaselines and Measures'!$C$2:$V$33,9,FALSE)</f>
        <v>1001.0825583529517</v>
      </c>
      <c r="Z69" s="438">
        <f ca="1">HLOOKUP($H69,'MHBaselines and Measures'!$C$2:$V$33,26,FALSE)</f>
        <v>46.405924501548718</v>
      </c>
      <c r="AA69" s="438"/>
      <c r="AB69" s="438">
        <f ca="1">HLOOKUP($H69,'MHBaselines and Measures'!$C$2:$V$33,28,FALSE)</f>
        <v>60.869072163758943</v>
      </c>
      <c r="AC69" s="439">
        <f>HLOOKUP($H69,'MHBaselines and Measures'!$C$2:$V$33,30,FALSE)</f>
        <v>0</v>
      </c>
      <c r="AD69" s="439"/>
      <c r="AE69" s="439">
        <f ca="1">HLOOKUP($H69,'MHBaselines and Measures'!$C$2:$V$33,32,FALSE)</f>
        <v>2.7699485772654566</v>
      </c>
      <c r="AF69" s="440">
        <f ca="1">HLOOKUP($H69,'MHBaselines and Measures'!$C$2:$V$33,10,FALSE)</f>
        <v>30.947049897982122</v>
      </c>
      <c r="AG69" s="441"/>
      <c r="AH69" s="436">
        <f t="shared" ca="1" si="15"/>
        <v>903.31758449879453</v>
      </c>
      <c r="AI69" s="437">
        <f t="shared" ca="1" si="16"/>
        <v>175.84798335118546</v>
      </c>
      <c r="AJ69" s="438">
        <f t="shared" ca="1" si="10"/>
        <v>5.3786833738999533</v>
      </c>
      <c r="AK69" s="438"/>
      <c r="AL69" s="438">
        <f t="shared" ca="1" si="33"/>
        <v>28.218427283788827</v>
      </c>
      <c r="AM69" s="439">
        <f t="shared" si="33"/>
        <v>0</v>
      </c>
      <c r="AN69" s="439"/>
      <c r="AO69" s="439">
        <f t="shared" ca="1" si="34"/>
        <v>1.2841265642609501</v>
      </c>
      <c r="AP69" s="442">
        <f t="shared" ca="1" si="34"/>
        <v>9.6422985170110884</v>
      </c>
      <c r="AQ69" s="443"/>
      <c r="AR69" s="435" t="str">
        <f t="shared" si="18"/>
        <v>CEE Tier 2 Clothes Washer - Electric DHW, Gas Dryer - 54% ENERGY STAR Baseline</v>
      </c>
      <c r="AS69" s="437">
        <f t="shared" ca="1" si="19"/>
        <v>175.84798335118546</v>
      </c>
      <c r="AT69" s="438">
        <f t="shared" ca="1" si="20"/>
        <v>33.597110657688781</v>
      </c>
      <c r="AU69" s="439">
        <f t="shared" ca="1" si="21"/>
        <v>0</v>
      </c>
      <c r="AV69" s="439">
        <f t="shared" ca="1" si="22"/>
        <v>903.31758449879453</v>
      </c>
      <c r="AW69" s="439"/>
      <c r="AX69" s="438">
        <f t="shared" ca="1" si="12"/>
        <v>36.925063113790316</v>
      </c>
      <c r="AY69" s="438">
        <f t="shared" ca="1" si="23"/>
        <v>9.6422985170110884</v>
      </c>
      <c r="AZ69" s="443"/>
      <c r="BA69" s="433" t="str">
        <f t="shared" si="32"/>
        <v>CEE Tier 2 Clothes Washer - Electric DHW, Gas Dryer - 54% ENERGY STAR Baseline</v>
      </c>
      <c r="BB69" s="433" t="s">
        <v>25</v>
      </c>
      <c r="BC69" s="438">
        <f t="shared" ca="1" si="25"/>
        <v>33.597110657688781</v>
      </c>
      <c r="BD69" s="438">
        <f>SFAssumptions!$C$7</f>
        <v>14</v>
      </c>
      <c r="BE69" s="444">
        <f t="shared" ca="1" si="26"/>
        <v>175.84798335118546</v>
      </c>
      <c r="BF69" s="433"/>
      <c r="BG69" s="432" t="s">
        <v>157</v>
      </c>
      <c r="BH69" s="445">
        <f t="shared" ca="1" si="27"/>
        <v>9.6422985170110884</v>
      </c>
      <c r="BI69" s="433"/>
      <c r="BJ69" s="433"/>
      <c r="BK69" s="433"/>
      <c r="BL69" s="433"/>
      <c r="BM69" s="433"/>
      <c r="BN69" s="433"/>
      <c r="BO69" s="446">
        <f t="shared" ca="1" si="28"/>
        <v>0</v>
      </c>
      <c r="BP69" s="433" t="s">
        <v>158</v>
      </c>
    </row>
    <row r="70" spans="1:68" s="414" customFormat="1">
      <c r="A70" s="433">
        <f t="shared" si="29"/>
        <v>53</v>
      </c>
      <c r="B70" s="433">
        <f t="shared" si="3"/>
        <v>2</v>
      </c>
      <c r="C70" s="433">
        <f t="shared" si="4"/>
        <v>23</v>
      </c>
      <c r="D70" s="433">
        <f t="shared" si="5"/>
        <v>5</v>
      </c>
      <c r="E70" s="433">
        <f t="shared" si="6"/>
        <v>3</v>
      </c>
      <c r="F70" s="433"/>
      <c r="G70" s="433" t="str">
        <f t="shared" si="13"/>
        <v>Current Practice Baseline Using 54% ENERGY STAR Penetration</v>
      </c>
      <c r="H70" s="433" t="str">
        <f t="shared" si="14"/>
        <v>CEE Tier 2</v>
      </c>
      <c r="I70" s="433" t="str">
        <f t="shared" si="7"/>
        <v>Gas DHW, Electric Dryer</v>
      </c>
      <c r="J70" s="433" t="str">
        <f t="shared" si="8"/>
        <v>Gas DHW</v>
      </c>
      <c r="K70" s="433" t="str">
        <f t="shared" si="9"/>
        <v>Electric Dryer</v>
      </c>
      <c r="L70" s="434">
        <f>VLOOKUP(J70,SFAssumptions!$A$14:$B$16,2,FALSE)</f>
        <v>0</v>
      </c>
      <c r="M70" s="435">
        <f>VLOOKUP(K70,SFAssumptions!$A$18:$B$20,2,FALSE)</f>
        <v>1</v>
      </c>
      <c r="N70" s="436">
        <f ca="1">HLOOKUP($G70,'MHBaselines and Measures'!$C$3:$V$33,7,FALSE)</f>
        <v>3802.5240664273615</v>
      </c>
      <c r="O70" s="437">
        <f ca="1">HLOOKUP($G70,'MHBaselines and Measures'!$C$3:$V$33,8,FALSE)</f>
        <v>825.23457500176619</v>
      </c>
      <c r="P70" s="438">
        <f ca="1">HLOOKUP($G70,'MHBaselines and Measures'!$C$3:$V$33,25,FALSE)</f>
        <v>51.784607875448671</v>
      </c>
      <c r="Q70" s="438"/>
      <c r="R70" s="438">
        <f ca="1">HLOOKUP($G70,'MHBaselines and Measures'!$C$3:$V$33,27,FALSE)</f>
        <v>89.087499447547771</v>
      </c>
      <c r="S70" s="439">
        <f>HLOOKUP($G70,'MHBaselines and Measures'!$C$3:$V$33,29,FALSE)</f>
        <v>0</v>
      </c>
      <c r="T70" s="439"/>
      <c r="U70" s="439">
        <f ca="1">HLOOKUP($G70,'MHBaselines and Measures'!$C$3:$V$33,31,FALSE)</f>
        <v>4.0540751415264067</v>
      </c>
      <c r="V70" s="440">
        <f ca="1">HLOOKUP($G70,'MHBaselines and Measures'!$C$3:$V$33,9,FALSE)</f>
        <v>40.589348414993211</v>
      </c>
      <c r="W70" s="441"/>
      <c r="X70" s="436">
        <f ca="1">HLOOKUP($H70,'MHBaselines and Measures'!$C$2:$V$33,8,FALSE)</f>
        <v>2899.206481928567</v>
      </c>
      <c r="Y70" s="437">
        <f ca="1">HLOOKUP($H70,'MHBaselines and Measures'!$C$2:$V$33,9,FALSE)</f>
        <v>1001.0825583529517</v>
      </c>
      <c r="Z70" s="438">
        <f ca="1">HLOOKUP($H70,'MHBaselines and Measures'!$C$2:$V$33,26,FALSE)</f>
        <v>46.405924501548718</v>
      </c>
      <c r="AA70" s="438"/>
      <c r="AB70" s="438">
        <f ca="1">HLOOKUP($H70,'MHBaselines and Measures'!$C$2:$V$33,28,FALSE)</f>
        <v>60.869072163758943</v>
      </c>
      <c r="AC70" s="439">
        <f>HLOOKUP($H70,'MHBaselines and Measures'!$C$2:$V$33,30,FALSE)</f>
        <v>0</v>
      </c>
      <c r="AD70" s="439"/>
      <c r="AE70" s="439">
        <f ca="1">HLOOKUP($H70,'MHBaselines and Measures'!$C$2:$V$33,32,FALSE)</f>
        <v>2.7699485772654566</v>
      </c>
      <c r="AF70" s="440">
        <f ca="1">HLOOKUP($H70,'MHBaselines and Measures'!$C$2:$V$33,10,FALSE)</f>
        <v>30.947049897982122</v>
      </c>
      <c r="AG70" s="441"/>
      <c r="AH70" s="436">
        <f t="shared" ca="1" si="15"/>
        <v>903.31758449879453</v>
      </c>
      <c r="AI70" s="437">
        <f t="shared" ca="1" si="16"/>
        <v>175.84798335118546</v>
      </c>
      <c r="AJ70" s="438">
        <f t="shared" ca="1" si="10"/>
        <v>5.3786833738999533</v>
      </c>
      <c r="AK70" s="438"/>
      <c r="AL70" s="438">
        <f t="shared" ca="1" si="33"/>
        <v>28.218427283788827</v>
      </c>
      <c r="AM70" s="439">
        <f t="shared" si="33"/>
        <v>0</v>
      </c>
      <c r="AN70" s="439"/>
      <c r="AO70" s="439">
        <f t="shared" ca="1" si="34"/>
        <v>1.2841265642609501</v>
      </c>
      <c r="AP70" s="442">
        <f t="shared" ca="1" si="34"/>
        <v>9.6422985170110884</v>
      </c>
      <c r="AQ70" s="443"/>
      <c r="AR70" s="435" t="str">
        <f t="shared" si="18"/>
        <v>CEE Tier 2 Clothes Washer - Gas DHW, Electric Dryer - 54% ENERGY STAR Baseline</v>
      </c>
      <c r="AS70" s="437">
        <f t="shared" ca="1" si="19"/>
        <v>175.84798335118546</v>
      </c>
      <c r="AT70" s="438">
        <f t="shared" ca="1" si="20"/>
        <v>5.3786833738999533</v>
      </c>
      <c r="AU70" s="439">
        <f t="shared" ca="1" si="21"/>
        <v>1.2841265642609501</v>
      </c>
      <c r="AV70" s="439">
        <f t="shared" ca="1" si="22"/>
        <v>903.31758449879453</v>
      </c>
      <c r="AW70" s="439"/>
      <c r="AX70" s="438">
        <f t="shared" ca="1" si="12"/>
        <v>8.7066358300014866</v>
      </c>
      <c r="AY70" s="438">
        <f t="shared" ca="1" si="23"/>
        <v>9.6422985170110884</v>
      </c>
      <c r="AZ70" s="443"/>
      <c r="BA70" s="433" t="str">
        <f t="shared" si="32"/>
        <v>CEE Tier 2 Clothes Washer - Gas DHW, Electric Dryer - 54% ENERGY STAR Baseline</v>
      </c>
      <c r="BB70" s="433" t="s">
        <v>25</v>
      </c>
      <c r="BC70" s="438">
        <f t="shared" ca="1" si="25"/>
        <v>5.3786833738999533</v>
      </c>
      <c r="BD70" s="438">
        <f>SFAssumptions!$C$7</f>
        <v>14</v>
      </c>
      <c r="BE70" s="444">
        <f t="shared" ca="1" si="26"/>
        <v>175.84798335118546</v>
      </c>
      <c r="BF70" s="433"/>
      <c r="BG70" s="432" t="s">
        <v>157</v>
      </c>
      <c r="BH70" s="445">
        <f t="shared" ca="1" si="27"/>
        <v>9.6422985170110884</v>
      </c>
      <c r="BI70" s="433"/>
      <c r="BJ70" s="433"/>
      <c r="BK70" s="433"/>
      <c r="BL70" s="433"/>
      <c r="BM70" s="433"/>
      <c r="BN70" s="433"/>
      <c r="BO70" s="446">
        <f t="shared" ca="1" si="28"/>
        <v>1.2841265642609501</v>
      </c>
      <c r="BP70" s="433" t="s">
        <v>158</v>
      </c>
    </row>
    <row r="71" spans="1:68" s="414" customFormat="1">
      <c r="A71" s="433">
        <f t="shared" si="29"/>
        <v>54</v>
      </c>
      <c r="B71" s="433">
        <f t="shared" si="3"/>
        <v>2</v>
      </c>
      <c r="C71" s="433">
        <f t="shared" si="4"/>
        <v>24</v>
      </c>
      <c r="D71" s="433">
        <f t="shared" si="5"/>
        <v>5</v>
      </c>
      <c r="E71" s="433">
        <f t="shared" si="6"/>
        <v>4</v>
      </c>
      <c r="F71" s="433"/>
      <c r="G71" s="433" t="str">
        <f t="shared" si="13"/>
        <v>Current Practice Baseline Using 54% ENERGY STAR Penetration</v>
      </c>
      <c r="H71" s="433" t="str">
        <f t="shared" si="14"/>
        <v>CEE Tier 2</v>
      </c>
      <c r="I71" s="433" t="str">
        <f t="shared" si="7"/>
        <v>Gas DHW, Gas Dryer</v>
      </c>
      <c r="J71" s="433" t="str">
        <f t="shared" si="8"/>
        <v>Gas DHW</v>
      </c>
      <c r="K71" s="433" t="str">
        <f t="shared" si="9"/>
        <v>Gas Dryer</v>
      </c>
      <c r="L71" s="434">
        <f>VLOOKUP(J71,SFAssumptions!$A$14:$B$16,2,FALSE)</f>
        <v>0</v>
      </c>
      <c r="M71" s="435">
        <f>VLOOKUP(K71,SFAssumptions!$A$18:$B$20,2,FALSE)</f>
        <v>0</v>
      </c>
      <c r="N71" s="436">
        <f ca="1">HLOOKUP($G71,'MHBaselines and Measures'!$C$3:$V$33,7,FALSE)</f>
        <v>3802.5240664273615</v>
      </c>
      <c r="O71" s="437">
        <f ca="1">HLOOKUP($G71,'MHBaselines and Measures'!$C$3:$V$33,8,FALSE)</f>
        <v>825.23457500176619</v>
      </c>
      <c r="P71" s="438">
        <f ca="1">HLOOKUP($G71,'MHBaselines and Measures'!$C$3:$V$33,25,FALSE)</f>
        <v>51.784607875448671</v>
      </c>
      <c r="Q71" s="438"/>
      <c r="R71" s="438">
        <f ca="1">HLOOKUP($G71,'MHBaselines and Measures'!$C$3:$V$33,27,FALSE)</f>
        <v>89.087499447547771</v>
      </c>
      <c r="S71" s="439">
        <f>HLOOKUP($G71,'MHBaselines and Measures'!$C$3:$V$33,29,FALSE)</f>
        <v>0</v>
      </c>
      <c r="T71" s="439"/>
      <c r="U71" s="439">
        <f ca="1">HLOOKUP($G71,'MHBaselines and Measures'!$C$3:$V$33,31,FALSE)</f>
        <v>4.0540751415264067</v>
      </c>
      <c r="V71" s="440">
        <f ca="1">HLOOKUP($G71,'MHBaselines and Measures'!$C$3:$V$33,9,FALSE)</f>
        <v>40.589348414993211</v>
      </c>
      <c r="W71" s="441"/>
      <c r="X71" s="436">
        <f ca="1">HLOOKUP($H71,'MHBaselines and Measures'!$C$2:$V$33,8,FALSE)</f>
        <v>2899.206481928567</v>
      </c>
      <c r="Y71" s="437">
        <f ca="1">HLOOKUP($H71,'MHBaselines and Measures'!$C$2:$V$33,9,FALSE)</f>
        <v>1001.0825583529517</v>
      </c>
      <c r="Z71" s="438">
        <f ca="1">HLOOKUP($H71,'MHBaselines and Measures'!$C$2:$V$33,26,FALSE)</f>
        <v>46.405924501548718</v>
      </c>
      <c r="AA71" s="438"/>
      <c r="AB71" s="438">
        <f ca="1">HLOOKUP($H71,'MHBaselines and Measures'!$C$2:$V$33,28,FALSE)</f>
        <v>60.869072163758943</v>
      </c>
      <c r="AC71" s="439">
        <f>HLOOKUP($H71,'MHBaselines and Measures'!$C$2:$V$33,30,FALSE)</f>
        <v>0</v>
      </c>
      <c r="AD71" s="439"/>
      <c r="AE71" s="439">
        <f ca="1">HLOOKUP($H71,'MHBaselines and Measures'!$C$2:$V$33,32,FALSE)</f>
        <v>2.7699485772654566</v>
      </c>
      <c r="AF71" s="440">
        <f ca="1">HLOOKUP($H71,'MHBaselines and Measures'!$C$2:$V$33,10,FALSE)</f>
        <v>30.947049897982122</v>
      </c>
      <c r="AG71" s="441"/>
      <c r="AH71" s="436">
        <f t="shared" ca="1" si="15"/>
        <v>903.31758449879453</v>
      </c>
      <c r="AI71" s="437">
        <f t="shared" ca="1" si="16"/>
        <v>175.84798335118546</v>
      </c>
      <c r="AJ71" s="438">
        <f t="shared" ca="1" si="10"/>
        <v>5.3786833738999533</v>
      </c>
      <c r="AK71" s="438"/>
      <c r="AL71" s="438">
        <f t="shared" ca="1" si="33"/>
        <v>28.218427283788827</v>
      </c>
      <c r="AM71" s="439">
        <f t="shared" si="33"/>
        <v>0</v>
      </c>
      <c r="AN71" s="439"/>
      <c r="AO71" s="439">
        <f t="shared" ca="1" si="34"/>
        <v>1.2841265642609501</v>
      </c>
      <c r="AP71" s="442">
        <f t="shared" ca="1" si="34"/>
        <v>9.6422985170110884</v>
      </c>
      <c r="AQ71" s="443"/>
      <c r="AR71" s="435" t="str">
        <f t="shared" si="18"/>
        <v>CEE Tier 2 Clothes Washer - Gas DHW, Gas Dryer - 54% ENERGY STAR Baseline</v>
      </c>
      <c r="AS71" s="437">
        <f t="shared" ca="1" si="19"/>
        <v>175.84798335118546</v>
      </c>
      <c r="AT71" s="438">
        <f t="shared" ca="1" si="20"/>
        <v>5.3786833738999533</v>
      </c>
      <c r="AU71" s="439">
        <f t="shared" ca="1" si="21"/>
        <v>1.2841265642609501</v>
      </c>
      <c r="AV71" s="439">
        <f t="shared" ca="1" si="22"/>
        <v>903.31758449879453</v>
      </c>
      <c r="AW71" s="439"/>
      <c r="AX71" s="438">
        <f t="shared" ca="1" si="12"/>
        <v>8.7066358300014866</v>
      </c>
      <c r="AY71" s="438">
        <f t="shared" ca="1" si="23"/>
        <v>9.6422985170110884</v>
      </c>
      <c r="AZ71" s="443"/>
      <c r="BA71" s="433" t="str">
        <f t="shared" si="32"/>
        <v>CEE Tier 2 Clothes Washer - Gas DHW, Gas Dryer - 54% ENERGY STAR Baseline</v>
      </c>
      <c r="BB71" s="433" t="s">
        <v>25</v>
      </c>
      <c r="BC71" s="438">
        <f t="shared" ca="1" si="25"/>
        <v>5.3786833738999533</v>
      </c>
      <c r="BD71" s="438">
        <f>SFAssumptions!$C$7</f>
        <v>14</v>
      </c>
      <c r="BE71" s="444">
        <f t="shared" ca="1" si="26"/>
        <v>175.84798335118546</v>
      </c>
      <c r="BF71" s="433"/>
      <c r="BG71" s="432" t="s">
        <v>157</v>
      </c>
      <c r="BH71" s="445">
        <f t="shared" ca="1" si="27"/>
        <v>9.6422985170110884</v>
      </c>
      <c r="BI71" s="433"/>
      <c r="BJ71" s="433"/>
      <c r="BK71" s="433"/>
      <c r="BL71" s="433"/>
      <c r="BM71" s="433"/>
      <c r="BN71" s="433"/>
      <c r="BO71" s="446">
        <f t="shared" ca="1" si="28"/>
        <v>1.2841265642609501</v>
      </c>
      <c r="BP71" s="433" t="s">
        <v>158</v>
      </c>
    </row>
    <row r="72" spans="1:68" s="414" customFormat="1">
      <c r="A72" s="433">
        <f t="shared" si="29"/>
        <v>55</v>
      </c>
      <c r="B72" s="433">
        <f t="shared" si="3"/>
        <v>2</v>
      </c>
      <c r="C72" s="433">
        <f t="shared" si="4"/>
        <v>25</v>
      </c>
      <c r="D72" s="433">
        <f t="shared" si="5"/>
        <v>5</v>
      </c>
      <c r="E72" s="433">
        <f t="shared" si="6"/>
        <v>5</v>
      </c>
      <c r="F72" s="433"/>
      <c r="G72" s="433" t="str">
        <f t="shared" si="13"/>
        <v>Current Practice Baseline Using 54% ENERGY STAR Penetration</v>
      </c>
      <c r="H72" s="433" t="str">
        <f t="shared" si="14"/>
        <v>CEE Tier 2</v>
      </c>
      <c r="I72" s="433" t="str">
        <f t="shared" si="7"/>
        <v>Any DHW, Any Dryer</v>
      </c>
      <c r="J72" s="433" t="str">
        <f t="shared" si="8"/>
        <v>Any DHW</v>
      </c>
      <c r="K72" s="433" t="str">
        <f t="shared" si="9"/>
        <v>Any Dryer</v>
      </c>
      <c r="L72" s="434">
        <f>VLOOKUP(J72,SFAssumptions!$A$14:$B$16,2,FALSE)</f>
        <v>0.55200000000000005</v>
      </c>
      <c r="M72" s="435">
        <f>VLOOKUP(K72,SFAssumptions!$A$18:$B$20,2,FALSE)</f>
        <v>0.95</v>
      </c>
      <c r="N72" s="436">
        <f ca="1">HLOOKUP($G72,'MHBaselines and Measures'!$C$3:$V$33,7,FALSE)</f>
        <v>3802.5240664273615</v>
      </c>
      <c r="O72" s="437">
        <f ca="1">HLOOKUP($G72,'MHBaselines and Measures'!$C$3:$V$33,8,FALSE)</f>
        <v>825.23457500176619</v>
      </c>
      <c r="P72" s="438">
        <f ca="1">HLOOKUP($G72,'MHBaselines and Measures'!$C$3:$V$33,25,FALSE)</f>
        <v>51.784607875448671</v>
      </c>
      <c r="Q72" s="438"/>
      <c r="R72" s="438">
        <f ca="1">HLOOKUP($G72,'MHBaselines and Measures'!$C$3:$V$33,27,FALSE)</f>
        <v>89.087499447547771</v>
      </c>
      <c r="S72" s="439">
        <f>HLOOKUP($G72,'MHBaselines and Measures'!$C$3:$V$33,29,FALSE)</f>
        <v>0</v>
      </c>
      <c r="T72" s="439"/>
      <c r="U72" s="439">
        <f ca="1">HLOOKUP($G72,'MHBaselines and Measures'!$C$3:$V$33,31,FALSE)</f>
        <v>4.0540751415264067</v>
      </c>
      <c r="V72" s="440">
        <f ca="1">HLOOKUP($G72,'MHBaselines and Measures'!$C$3:$V$33,9,FALSE)</f>
        <v>40.589348414993211</v>
      </c>
      <c r="W72" s="441"/>
      <c r="X72" s="436">
        <f ca="1">HLOOKUP($H72,'MHBaselines and Measures'!$C$2:$V$33,8,FALSE)</f>
        <v>2899.206481928567</v>
      </c>
      <c r="Y72" s="437">
        <f ca="1">HLOOKUP($H72,'MHBaselines and Measures'!$C$2:$V$33,9,FALSE)</f>
        <v>1001.0825583529517</v>
      </c>
      <c r="Z72" s="438">
        <f ca="1">HLOOKUP($H72,'MHBaselines and Measures'!$C$2:$V$33,26,FALSE)</f>
        <v>46.405924501548718</v>
      </c>
      <c r="AA72" s="438"/>
      <c r="AB72" s="438">
        <f ca="1">HLOOKUP($H72,'MHBaselines and Measures'!$C$2:$V$33,28,FALSE)</f>
        <v>60.869072163758943</v>
      </c>
      <c r="AC72" s="439">
        <f>HLOOKUP($H72,'MHBaselines and Measures'!$C$2:$V$33,30,FALSE)</f>
        <v>0</v>
      </c>
      <c r="AD72" s="439"/>
      <c r="AE72" s="439">
        <f ca="1">HLOOKUP($H72,'MHBaselines and Measures'!$C$2:$V$33,32,FALSE)</f>
        <v>2.7699485772654566</v>
      </c>
      <c r="AF72" s="440">
        <f ca="1">HLOOKUP($H72,'MHBaselines and Measures'!$C$2:$V$33,10,FALSE)</f>
        <v>30.947049897982122</v>
      </c>
      <c r="AG72" s="441"/>
      <c r="AH72" s="436">
        <f t="shared" ca="1" si="15"/>
        <v>903.31758449879453</v>
      </c>
      <c r="AI72" s="437">
        <f t="shared" ca="1" si="16"/>
        <v>175.84798335118546</v>
      </c>
      <c r="AJ72" s="438">
        <f t="shared" ca="1" si="10"/>
        <v>5.3786833738999533</v>
      </c>
      <c r="AK72" s="438"/>
      <c r="AL72" s="438">
        <f t="shared" ca="1" si="33"/>
        <v>28.218427283788827</v>
      </c>
      <c r="AM72" s="439">
        <f t="shared" si="33"/>
        <v>0</v>
      </c>
      <c r="AN72" s="439"/>
      <c r="AO72" s="439">
        <f t="shared" ca="1" si="34"/>
        <v>1.2841265642609501</v>
      </c>
      <c r="AP72" s="442">
        <f t="shared" ca="1" si="34"/>
        <v>9.6422985170110884</v>
      </c>
      <c r="AQ72" s="443"/>
      <c r="AR72" s="435" t="str">
        <f t="shared" si="18"/>
        <v>CEE Tier 2 Clothes Washer - Any DHW, Any Dryer - 54% ENERGY STAR Baseline</v>
      </c>
      <c r="AS72" s="437">
        <f t="shared" ca="1" si="19"/>
        <v>175.84798335118546</v>
      </c>
      <c r="AT72" s="438">
        <f t="shared" ca="1" si="20"/>
        <v>20.955255234551387</v>
      </c>
      <c r="AU72" s="439">
        <f t="shared" ca="1" si="21"/>
        <v>0.57528870078890559</v>
      </c>
      <c r="AV72" s="439">
        <f t="shared" ca="1" si="22"/>
        <v>903.31758449879453</v>
      </c>
      <c r="AW72" s="439"/>
      <c r="AX72" s="438">
        <f t="shared" ca="1" si="12"/>
        <v>24.283207690652922</v>
      </c>
      <c r="AY72" s="438">
        <f t="shared" ca="1" si="23"/>
        <v>9.6422985170110884</v>
      </c>
      <c r="AZ72" s="443"/>
      <c r="BA72" s="433" t="str">
        <f t="shared" si="32"/>
        <v>CEE Tier 2 Clothes Washer - Any DHW, Any Dryer - 54% ENERGY STAR Baseline</v>
      </c>
      <c r="BB72" s="433" t="s">
        <v>25</v>
      </c>
      <c r="BC72" s="438">
        <f t="shared" ca="1" si="25"/>
        <v>20.955255234551387</v>
      </c>
      <c r="BD72" s="438">
        <f>SFAssumptions!$C$7</f>
        <v>14</v>
      </c>
      <c r="BE72" s="444">
        <f t="shared" ca="1" si="26"/>
        <v>175.84798335118546</v>
      </c>
      <c r="BF72" s="433"/>
      <c r="BG72" s="432" t="s">
        <v>157</v>
      </c>
      <c r="BH72" s="445">
        <f t="shared" ca="1" si="27"/>
        <v>9.6422985170110884</v>
      </c>
      <c r="BI72" s="433"/>
      <c r="BJ72" s="433"/>
      <c r="BK72" s="433"/>
      <c r="BL72" s="433"/>
      <c r="BM72" s="433"/>
      <c r="BN72" s="433"/>
      <c r="BO72" s="446">
        <f t="shared" ca="1" si="28"/>
        <v>0.57528870078890559</v>
      </c>
      <c r="BP72" s="433" t="s">
        <v>158</v>
      </c>
    </row>
    <row r="73" spans="1:68" s="414" customFormat="1">
      <c r="A73" s="433">
        <f t="shared" si="29"/>
        <v>56</v>
      </c>
      <c r="B73" s="433">
        <f t="shared" si="3"/>
        <v>2</v>
      </c>
      <c r="C73" s="433">
        <f t="shared" si="4"/>
        <v>26</v>
      </c>
      <c r="D73" s="433">
        <f t="shared" si="5"/>
        <v>6</v>
      </c>
      <c r="E73" s="433">
        <f t="shared" si="6"/>
        <v>1</v>
      </c>
      <c r="F73" s="433"/>
      <c r="G73" s="433" t="str">
        <f t="shared" si="13"/>
        <v>Current Practice Baseline Using 54% ENERGY STAR Penetration</v>
      </c>
      <c r="H73" s="433" t="str">
        <f t="shared" si="14"/>
        <v>CEE Tier 3</v>
      </c>
      <c r="I73" s="433" t="str">
        <f t="shared" si="7"/>
        <v>Electric DHW, Electric Dryer</v>
      </c>
      <c r="J73" s="433" t="str">
        <f t="shared" si="8"/>
        <v>Electric DHW</v>
      </c>
      <c r="K73" s="433" t="str">
        <f t="shared" si="9"/>
        <v>Electric Dryer</v>
      </c>
      <c r="L73" s="434">
        <f>VLOOKUP(J73,SFAssumptions!$A$14:$B$16,2,FALSE)</f>
        <v>1</v>
      </c>
      <c r="M73" s="435">
        <f>VLOOKUP(K73,SFAssumptions!$A$18:$B$20,2,FALSE)</f>
        <v>1</v>
      </c>
      <c r="N73" s="436">
        <f ca="1">HLOOKUP($G73,'MHBaselines and Measures'!$C$3:$V$33,7,FALSE)</f>
        <v>3802.5240664273615</v>
      </c>
      <c r="O73" s="437">
        <f ca="1">HLOOKUP($G73,'MHBaselines and Measures'!$C$3:$V$33,8,FALSE)</f>
        <v>825.23457500176619</v>
      </c>
      <c r="P73" s="438">
        <f ca="1">HLOOKUP($G73,'MHBaselines and Measures'!$C$3:$V$33,25,FALSE)</f>
        <v>51.784607875448671</v>
      </c>
      <c r="Q73" s="438"/>
      <c r="R73" s="438">
        <f ca="1">HLOOKUP($G73,'MHBaselines and Measures'!$C$3:$V$33,27,FALSE)</f>
        <v>89.087499447547771</v>
      </c>
      <c r="S73" s="439">
        <f>HLOOKUP($G73,'MHBaselines and Measures'!$C$3:$V$33,29,FALSE)</f>
        <v>0</v>
      </c>
      <c r="T73" s="439"/>
      <c r="U73" s="439">
        <f ca="1">HLOOKUP($G73,'MHBaselines and Measures'!$C$3:$V$33,31,FALSE)</f>
        <v>4.0540751415264067</v>
      </c>
      <c r="V73" s="440">
        <f ca="1">HLOOKUP($G73,'MHBaselines and Measures'!$C$3:$V$33,9,FALSE)</f>
        <v>40.589348414993211</v>
      </c>
      <c r="W73" s="441"/>
      <c r="X73" s="436">
        <f ca="1">HLOOKUP($H73,'MHBaselines and Measures'!$C$2:$V$33,8,FALSE)</f>
        <v>2874.3796688857838</v>
      </c>
      <c r="Y73" s="437">
        <f ca="1">HLOOKUP($H73,'MHBaselines and Measures'!$C$2:$V$33,9,FALSE)</f>
        <v>996.04811179834417</v>
      </c>
      <c r="Z73" s="438">
        <f ca="1">HLOOKUP($H73,'MHBaselines and Measures'!$C$2:$V$33,26,FALSE)</f>
        <v>45.755461176337676</v>
      </c>
      <c r="AA73" s="438"/>
      <c r="AB73" s="438">
        <f ca="1">HLOOKUP($H73,'MHBaselines and Measures'!$C$2:$V$33,28,FALSE)</f>
        <v>59.501946763926178</v>
      </c>
      <c r="AC73" s="439">
        <f>HLOOKUP($H73,'MHBaselines and Measures'!$C$2:$V$33,30,FALSE)</f>
        <v>0</v>
      </c>
      <c r="AD73" s="439"/>
      <c r="AE73" s="439">
        <f ca="1">HLOOKUP($H73,'MHBaselines and Measures'!$C$2:$V$33,32,FALSE)</f>
        <v>2.7077352574037339</v>
      </c>
      <c r="AF73" s="440">
        <f ca="1">HLOOKUP($H73,'MHBaselines and Measures'!$C$2:$V$33,10,FALSE)</f>
        <v>30.68204061808709</v>
      </c>
      <c r="AG73" s="441"/>
      <c r="AH73" s="436">
        <f t="shared" ca="1" si="15"/>
        <v>928.14439754157775</v>
      </c>
      <c r="AI73" s="437">
        <f t="shared" ca="1" si="16"/>
        <v>170.81353679657798</v>
      </c>
      <c r="AJ73" s="438">
        <f t="shared" ca="1" si="10"/>
        <v>6.0291466991109957</v>
      </c>
      <c r="AK73" s="438"/>
      <c r="AL73" s="438">
        <f t="shared" ca="1" si="33"/>
        <v>29.585552683621593</v>
      </c>
      <c r="AM73" s="439">
        <f t="shared" si="33"/>
        <v>0</v>
      </c>
      <c r="AN73" s="439"/>
      <c r="AO73" s="439">
        <f t="shared" ca="1" si="34"/>
        <v>1.3463398841226728</v>
      </c>
      <c r="AP73" s="442">
        <f t="shared" ca="1" si="34"/>
        <v>9.907307796906121</v>
      </c>
      <c r="AQ73" s="443"/>
      <c r="AR73" s="435" t="str">
        <f t="shared" si="18"/>
        <v>CEE Tier 3 Clothes Washer - Electric DHW, Electric Dryer - 54% ENERGY STAR Baseline</v>
      </c>
      <c r="AS73" s="437">
        <f t="shared" ca="1" si="19"/>
        <v>170.81353679657798</v>
      </c>
      <c r="AT73" s="438">
        <f t="shared" ca="1" si="20"/>
        <v>35.614699382732589</v>
      </c>
      <c r="AU73" s="439">
        <f t="shared" ca="1" si="21"/>
        <v>0</v>
      </c>
      <c r="AV73" s="439">
        <f t="shared" ca="1" si="22"/>
        <v>928.14439754157775</v>
      </c>
      <c r="AW73" s="439"/>
      <c r="AX73" s="438">
        <f t="shared" ca="1" si="12"/>
        <v>39.034117404058058</v>
      </c>
      <c r="AY73" s="438">
        <f t="shared" ca="1" si="23"/>
        <v>9.907307796906121</v>
      </c>
      <c r="AZ73" s="443"/>
      <c r="BA73" s="433" t="str">
        <f t="shared" si="32"/>
        <v>CEE Tier 3 Clothes Washer - Electric DHW, Electric Dryer - 54% ENERGY STAR Baseline</v>
      </c>
      <c r="BB73" s="433" t="s">
        <v>25</v>
      </c>
      <c r="BC73" s="438">
        <f t="shared" ca="1" si="25"/>
        <v>35.614699382732589</v>
      </c>
      <c r="BD73" s="438">
        <f>SFAssumptions!$C$7</f>
        <v>14</v>
      </c>
      <c r="BE73" s="444">
        <f t="shared" ca="1" si="26"/>
        <v>170.81353679657798</v>
      </c>
      <c r="BF73" s="433"/>
      <c r="BG73" s="432" t="s">
        <v>157</v>
      </c>
      <c r="BH73" s="445">
        <f t="shared" ca="1" si="27"/>
        <v>9.907307796906121</v>
      </c>
      <c r="BI73" s="433"/>
      <c r="BJ73" s="433"/>
      <c r="BK73" s="433"/>
      <c r="BL73" s="433"/>
      <c r="BM73" s="433"/>
      <c r="BN73" s="433"/>
      <c r="BO73" s="446">
        <f t="shared" ca="1" si="28"/>
        <v>0</v>
      </c>
      <c r="BP73" s="433" t="s">
        <v>158</v>
      </c>
    </row>
    <row r="74" spans="1:68" s="414" customFormat="1">
      <c r="A74" s="433">
        <f t="shared" si="29"/>
        <v>57</v>
      </c>
      <c r="B74" s="433">
        <f t="shared" si="3"/>
        <v>2</v>
      </c>
      <c r="C74" s="433">
        <f t="shared" si="4"/>
        <v>27</v>
      </c>
      <c r="D74" s="433">
        <f t="shared" si="5"/>
        <v>6</v>
      </c>
      <c r="E74" s="433">
        <f t="shared" si="6"/>
        <v>2</v>
      </c>
      <c r="F74" s="433"/>
      <c r="G74" s="433" t="str">
        <f t="shared" si="13"/>
        <v>Current Practice Baseline Using 54% ENERGY STAR Penetration</v>
      </c>
      <c r="H74" s="433" t="str">
        <f t="shared" si="14"/>
        <v>CEE Tier 3</v>
      </c>
      <c r="I74" s="433" t="str">
        <f t="shared" si="7"/>
        <v>Electric DHW, Gas Dryer</v>
      </c>
      <c r="J74" s="433" t="str">
        <f t="shared" si="8"/>
        <v>Electric DHW</v>
      </c>
      <c r="K74" s="433" t="str">
        <f t="shared" si="9"/>
        <v>Gas Dryer</v>
      </c>
      <c r="L74" s="434">
        <f>VLOOKUP(J74,SFAssumptions!$A$14:$B$16,2,FALSE)</f>
        <v>1</v>
      </c>
      <c r="M74" s="435">
        <f>VLOOKUP(K74,SFAssumptions!$A$18:$B$20,2,FALSE)</f>
        <v>0</v>
      </c>
      <c r="N74" s="436">
        <f ca="1">HLOOKUP($G74,'MHBaselines and Measures'!$C$3:$V$33,7,FALSE)</f>
        <v>3802.5240664273615</v>
      </c>
      <c r="O74" s="437">
        <f ca="1">HLOOKUP($G74,'MHBaselines and Measures'!$C$3:$V$33,8,FALSE)</f>
        <v>825.23457500176619</v>
      </c>
      <c r="P74" s="438">
        <f ca="1">HLOOKUP($G74,'MHBaselines and Measures'!$C$3:$V$33,25,FALSE)</f>
        <v>51.784607875448671</v>
      </c>
      <c r="Q74" s="438"/>
      <c r="R74" s="438">
        <f ca="1">HLOOKUP($G74,'MHBaselines and Measures'!$C$3:$V$33,27,FALSE)</f>
        <v>89.087499447547771</v>
      </c>
      <c r="S74" s="439">
        <f>HLOOKUP($G74,'MHBaselines and Measures'!$C$3:$V$33,29,FALSE)</f>
        <v>0</v>
      </c>
      <c r="T74" s="439"/>
      <c r="U74" s="439">
        <f ca="1">HLOOKUP($G74,'MHBaselines and Measures'!$C$3:$V$33,31,FALSE)</f>
        <v>4.0540751415264067</v>
      </c>
      <c r="V74" s="440">
        <f ca="1">HLOOKUP($G74,'MHBaselines and Measures'!$C$3:$V$33,9,FALSE)</f>
        <v>40.589348414993211</v>
      </c>
      <c r="W74" s="441"/>
      <c r="X74" s="436">
        <f ca="1">HLOOKUP($H74,'MHBaselines and Measures'!$C$2:$V$33,8,FALSE)</f>
        <v>2874.3796688857838</v>
      </c>
      <c r="Y74" s="437">
        <f ca="1">HLOOKUP($H74,'MHBaselines and Measures'!$C$2:$V$33,9,FALSE)</f>
        <v>996.04811179834417</v>
      </c>
      <c r="Z74" s="438">
        <f ca="1">HLOOKUP($H74,'MHBaselines and Measures'!$C$2:$V$33,26,FALSE)</f>
        <v>45.755461176337676</v>
      </c>
      <c r="AA74" s="438"/>
      <c r="AB74" s="438">
        <f ca="1">HLOOKUP($H74,'MHBaselines and Measures'!$C$2:$V$33,28,FALSE)</f>
        <v>59.501946763926178</v>
      </c>
      <c r="AC74" s="439">
        <f>HLOOKUP($H74,'MHBaselines and Measures'!$C$2:$V$33,30,FALSE)</f>
        <v>0</v>
      </c>
      <c r="AD74" s="439"/>
      <c r="AE74" s="439">
        <f ca="1">HLOOKUP($H74,'MHBaselines and Measures'!$C$2:$V$33,32,FALSE)</f>
        <v>2.7077352574037339</v>
      </c>
      <c r="AF74" s="440">
        <f ca="1">HLOOKUP($H74,'MHBaselines and Measures'!$C$2:$V$33,10,FALSE)</f>
        <v>30.68204061808709</v>
      </c>
      <c r="AG74" s="441"/>
      <c r="AH74" s="436">
        <f t="shared" ca="1" si="15"/>
        <v>928.14439754157775</v>
      </c>
      <c r="AI74" s="437">
        <f t="shared" ca="1" si="16"/>
        <v>170.81353679657798</v>
      </c>
      <c r="AJ74" s="438">
        <f t="shared" ca="1" si="10"/>
        <v>6.0291466991109957</v>
      </c>
      <c r="AK74" s="438"/>
      <c r="AL74" s="438">
        <f t="shared" ca="1" si="33"/>
        <v>29.585552683621593</v>
      </c>
      <c r="AM74" s="439">
        <f t="shared" si="33"/>
        <v>0</v>
      </c>
      <c r="AN74" s="439"/>
      <c r="AO74" s="439">
        <f t="shared" ca="1" si="34"/>
        <v>1.3463398841226728</v>
      </c>
      <c r="AP74" s="442">
        <f t="shared" ca="1" si="34"/>
        <v>9.907307796906121</v>
      </c>
      <c r="AQ74" s="443"/>
      <c r="AR74" s="435" t="str">
        <f t="shared" si="18"/>
        <v>CEE Tier 3 Clothes Washer - Electric DHW, Gas Dryer - 54% ENERGY STAR Baseline</v>
      </c>
      <c r="AS74" s="437">
        <f t="shared" ca="1" si="19"/>
        <v>170.81353679657798</v>
      </c>
      <c r="AT74" s="438">
        <f t="shared" ca="1" si="20"/>
        <v>35.614699382732589</v>
      </c>
      <c r="AU74" s="439">
        <f t="shared" ca="1" si="21"/>
        <v>0</v>
      </c>
      <c r="AV74" s="439">
        <f t="shared" ca="1" si="22"/>
        <v>928.14439754157775</v>
      </c>
      <c r="AW74" s="439"/>
      <c r="AX74" s="438">
        <f t="shared" ca="1" si="12"/>
        <v>39.034117404058058</v>
      </c>
      <c r="AY74" s="438">
        <f t="shared" ca="1" si="23"/>
        <v>9.907307796906121</v>
      </c>
      <c r="AZ74" s="443"/>
      <c r="BA74" s="433" t="str">
        <f t="shared" si="32"/>
        <v>CEE Tier 3 Clothes Washer - Electric DHW, Gas Dryer - 54% ENERGY STAR Baseline</v>
      </c>
      <c r="BB74" s="433" t="s">
        <v>25</v>
      </c>
      <c r="BC74" s="438">
        <f t="shared" ca="1" si="25"/>
        <v>35.614699382732589</v>
      </c>
      <c r="BD74" s="438">
        <f>SFAssumptions!$C$7</f>
        <v>14</v>
      </c>
      <c r="BE74" s="444">
        <f t="shared" ca="1" si="26"/>
        <v>170.81353679657798</v>
      </c>
      <c r="BF74" s="433"/>
      <c r="BG74" s="432" t="s">
        <v>157</v>
      </c>
      <c r="BH74" s="445">
        <f t="shared" ca="1" si="27"/>
        <v>9.907307796906121</v>
      </c>
      <c r="BI74" s="433"/>
      <c r="BJ74" s="433"/>
      <c r="BK74" s="433"/>
      <c r="BL74" s="433"/>
      <c r="BM74" s="433"/>
      <c r="BN74" s="433"/>
      <c r="BO74" s="446">
        <f t="shared" ca="1" si="28"/>
        <v>0</v>
      </c>
      <c r="BP74" s="433" t="s">
        <v>158</v>
      </c>
    </row>
    <row r="75" spans="1:68" s="414" customFormat="1">
      <c r="A75" s="433">
        <f t="shared" si="29"/>
        <v>58</v>
      </c>
      <c r="B75" s="433">
        <f t="shared" si="3"/>
        <v>2</v>
      </c>
      <c r="C75" s="433">
        <f t="shared" si="4"/>
        <v>28</v>
      </c>
      <c r="D75" s="433">
        <f t="shared" si="5"/>
        <v>6</v>
      </c>
      <c r="E75" s="433">
        <f t="shared" si="6"/>
        <v>3</v>
      </c>
      <c r="F75" s="433"/>
      <c r="G75" s="433" t="str">
        <f t="shared" si="13"/>
        <v>Current Practice Baseline Using 54% ENERGY STAR Penetration</v>
      </c>
      <c r="H75" s="433" t="str">
        <f t="shared" si="14"/>
        <v>CEE Tier 3</v>
      </c>
      <c r="I75" s="433" t="str">
        <f t="shared" si="7"/>
        <v>Gas DHW, Electric Dryer</v>
      </c>
      <c r="J75" s="433" t="str">
        <f t="shared" si="8"/>
        <v>Gas DHW</v>
      </c>
      <c r="K75" s="433" t="str">
        <f t="shared" si="9"/>
        <v>Electric Dryer</v>
      </c>
      <c r="L75" s="434">
        <f>VLOOKUP(J75,SFAssumptions!$A$14:$B$16,2,FALSE)</f>
        <v>0</v>
      </c>
      <c r="M75" s="435">
        <f>VLOOKUP(K75,SFAssumptions!$A$18:$B$20,2,FALSE)</f>
        <v>1</v>
      </c>
      <c r="N75" s="436">
        <f ca="1">HLOOKUP($G75,'MHBaselines and Measures'!$C$3:$V$33,7,FALSE)</f>
        <v>3802.5240664273615</v>
      </c>
      <c r="O75" s="437">
        <f ca="1">HLOOKUP($G75,'MHBaselines and Measures'!$C$3:$V$33,8,FALSE)</f>
        <v>825.23457500176619</v>
      </c>
      <c r="P75" s="438">
        <f ca="1">HLOOKUP($G75,'MHBaselines and Measures'!$C$3:$V$33,25,FALSE)</f>
        <v>51.784607875448671</v>
      </c>
      <c r="Q75" s="438"/>
      <c r="R75" s="438">
        <f ca="1">HLOOKUP($G75,'MHBaselines and Measures'!$C$3:$V$33,27,FALSE)</f>
        <v>89.087499447547771</v>
      </c>
      <c r="S75" s="439">
        <f>HLOOKUP($G75,'MHBaselines and Measures'!$C$3:$V$33,29,FALSE)</f>
        <v>0</v>
      </c>
      <c r="T75" s="439"/>
      <c r="U75" s="439">
        <f ca="1">HLOOKUP($G75,'MHBaselines and Measures'!$C$3:$V$33,31,FALSE)</f>
        <v>4.0540751415264067</v>
      </c>
      <c r="V75" s="440">
        <f ca="1">HLOOKUP($G75,'MHBaselines and Measures'!$C$3:$V$33,9,FALSE)</f>
        <v>40.589348414993211</v>
      </c>
      <c r="W75" s="441"/>
      <c r="X75" s="436">
        <f ca="1">HLOOKUP($H75,'MHBaselines and Measures'!$C$2:$V$33,8,FALSE)</f>
        <v>2874.3796688857838</v>
      </c>
      <c r="Y75" s="437">
        <f ca="1">HLOOKUP($H75,'MHBaselines and Measures'!$C$2:$V$33,9,FALSE)</f>
        <v>996.04811179834417</v>
      </c>
      <c r="Z75" s="438">
        <f ca="1">HLOOKUP($H75,'MHBaselines and Measures'!$C$2:$V$33,26,FALSE)</f>
        <v>45.755461176337676</v>
      </c>
      <c r="AA75" s="438"/>
      <c r="AB75" s="438">
        <f ca="1">HLOOKUP($H75,'MHBaselines and Measures'!$C$2:$V$33,28,FALSE)</f>
        <v>59.501946763926178</v>
      </c>
      <c r="AC75" s="439">
        <f>HLOOKUP($H75,'MHBaselines and Measures'!$C$2:$V$33,30,FALSE)</f>
        <v>0</v>
      </c>
      <c r="AD75" s="439"/>
      <c r="AE75" s="439">
        <f ca="1">HLOOKUP($H75,'MHBaselines and Measures'!$C$2:$V$33,32,FALSE)</f>
        <v>2.7077352574037339</v>
      </c>
      <c r="AF75" s="440">
        <f ca="1">HLOOKUP($H75,'MHBaselines and Measures'!$C$2:$V$33,10,FALSE)</f>
        <v>30.68204061808709</v>
      </c>
      <c r="AG75" s="441"/>
      <c r="AH75" s="436">
        <f t="shared" ca="1" si="15"/>
        <v>928.14439754157775</v>
      </c>
      <c r="AI75" s="437">
        <f t="shared" ca="1" si="16"/>
        <v>170.81353679657798</v>
      </c>
      <c r="AJ75" s="438">
        <f t="shared" ca="1" si="10"/>
        <v>6.0291466991109957</v>
      </c>
      <c r="AK75" s="438"/>
      <c r="AL75" s="438">
        <f t="shared" ca="1" si="33"/>
        <v>29.585552683621593</v>
      </c>
      <c r="AM75" s="439">
        <f t="shared" si="33"/>
        <v>0</v>
      </c>
      <c r="AN75" s="439"/>
      <c r="AO75" s="439">
        <f t="shared" ca="1" si="34"/>
        <v>1.3463398841226728</v>
      </c>
      <c r="AP75" s="442">
        <f t="shared" ca="1" si="34"/>
        <v>9.907307796906121</v>
      </c>
      <c r="AQ75" s="443"/>
      <c r="AR75" s="435" t="str">
        <f t="shared" si="18"/>
        <v>CEE Tier 3 Clothes Washer - Gas DHW, Electric Dryer - 54% ENERGY STAR Baseline</v>
      </c>
      <c r="AS75" s="437">
        <f t="shared" ca="1" si="19"/>
        <v>170.81353679657798</v>
      </c>
      <c r="AT75" s="438">
        <f t="shared" ca="1" si="20"/>
        <v>6.0291466991109957</v>
      </c>
      <c r="AU75" s="439">
        <f t="shared" ca="1" si="21"/>
        <v>1.3463398841226728</v>
      </c>
      <c r="AV75" s="439">
        <f t="shared" ca="1" si="22"/>
        <v>928.14439754157775</v>
      </c>
      <c r="AW75" s="439"/>
      <c r="AX75" s="438">
        <f t="shared" ca="1" si="12"/>
        <v>9.4485647204364671</v>
      </c>
      <c r="AY75" s="438">
        <f t="shared" ca="1" si="23"/>
        <v>9.907307796906121</v>
      </c>
      <c r="AZ75" s="443"/>
      <c r="BA75" s="433" t="str">
        <f t="shared" si="32"/>
        <v>CEE Tier 3 Clothes Washer - Gas DHW, Electric Dryer - 54% ENERGY STAR Baseline</v>
      </c>
      <c r="BB75" s="433" t="s">
        <v>25</v>
      </c>
      <c r="BC75" s="438">
        <f t="shared" ca="1" si="25"/>
        <v>6.0291466991109957</v>
      </c>
      <c r="BD75" s="438">
        <f>SFAssumptions!$C$7</f>
        <v>14</v>
      </c>
      <c r="BE75" s="444">
        <f t="shared" ca="1" si="26"/>
        <v>170.81353679657798</v>
      </c>
      <c r="BF75" s="433"/>
      <c r="BG75" s="432" t="s">
        <v>157</v>
      </c>
      <c r="BH75" s="445">
        <f t="shared" ca="1" si="27"/>
        <v>9.907307796906121</v>
      </c>
      <c r="BI75" s="433"/>
      <c r="BJ75" s="433"/>
      <c r="BK75" s="433"/>
      <c r="BL75" s="433"/>
      <c r="BM75" s="433"/>
      <c r="BN75" s="433"/>
      <c r="BO75" s="446">
        <f t="shared" ca="1" si="28"/>
        <v>1.3463398841226728</v>
      </c>
      <c r="BP75" s="433" t="s">
        <v>158</v>
      </c>
    </row>
    <row r="76" spans="1:68" s="414" customFormat="1">
      <c r="A76" s="433">
        <f t="shared" si="29"/>
        <v>59</v>
      </c>
      <c r="B76" s="433">
        <f t="shared" si="3"/>
        <v>2</v>
      </c>
      <c r="C76" s="433">
        <f t="shared" si="4"/>
        <v>29</v>
      </c>
      <c r="D76" s="433">
        <f t="shared" si="5"/>
        <v>6</v>
      </c>
      <c r="E76" s="433">
        <f t="shared" si="6"/>
        <v>4</v>
      </c>
      <c r="F76" s="433"/>
      <c r="G76" s="433" t="str">
        <f t="shared" si="13"/>
        <v>Current Practice Baseline Using 54% ENERGY STAR Penetration</v>
      </c>
      <c r="H76" s="433" t="str">
        <f t="shared" si="14"/>
        <v>CEE Tier 3</v>
      </c>
      <c r="I76" s="433" t="str">
        <f t="shared" si="7"/>
        <v>Gas DHW, Gas Dryer</v>
      </c>
      <c r="J76" s="433" t="str">
        <f t="shared" si="8"/>
        <v>Gas DHW</v>
      </c>
      <c r="K76" s="433" t="str">
        <f t="shared" si="9"/>
        <v>Gas Dryer</v>
      </c>
      <c r="L76" s="434">
        <f>VLOOKUP(J76,SFAssumptions!$A$14:$B$16,2,FALSE)</f>
        <v>0</v>
      </c>
      <c r="M76" s="435">
        <f>VLOOKUP(K76,SFAssumptions!$A$18:$B$20,2,FALSE)</f>
        <v>0</v>
      </c>
      <c r="N76" s="436">
        <f ca="1">HLOOKUP($G76,'MHBaselines and Measures'!$C$3:$V$33,7,FALSE)</f>
        <v>3802.5240664273615</v>
      </c>
      <c r="O76" s="437">
        <f ca="1">HLOOKUP($G76,'MHBaselines and Measures'!$C$3:$V$33,8,FALSE)</f>
        <v>825.23457500176619</v>
      </c>
      <c r="P76" s="438">
        <f ca="1">HLOOKUP($G76,'MHBaselines and Measures'!$C$3:$V$33,25,FALSE)</f>
        <v>51.784607875448671</v>
      </c>
      <c r="Q76" s="438"/>
      <c r="R76" s="438">
        <f ca="1">HLOOKUP($G76,'MHBaselines and Measures'!$C$3:$V$33,27,FALSE)</f>
        <v>89.087499447547771</v>
      </c>
      <c r="S76" s="439">
        <f>HLOOKUP($G76,'MHBaselines and Measures'!$C$3:$V$33,29,FALSE)</f>
        <v>0</v>
      </c>
      <c r="T76" s="439"/>
      <c r="U76" s="439">
        <f ca="1">HLOOKUP($G76,'MHBaselines and Measures'!$C$3:$V$33,31,FALSE)</f>
        <v>4.0540751415264067</v>
      </c>
      <c r="V76" s="440">
        <f ca="1">HLOOKUP($G76,'MHBaselines and Measures'!$C$3:$V$33,9,FALSE)</f>
        <v>40.589348414993211</v>
      </c>
      <c r="W76" s="441"/>
      <c r="X76" s="436">
        <f ca="1">HLOOKUP($H76,'MHBaselines and Measures'!$C$2:$V$33,8,FALSE)</f>
        <v>2874.3796688857838</v>
      </c>
      <c r="Y76" s="437">
        <f ca="1">HLOOKUP($H76,'MHBaselines and Measures'!$C$2:$V$33,9,FALSE)</f>
        <v>996.04811179834417</v>
      </c>
      <c r="Z76" s="438">
        <f ca="1">HLOOKUP($H76,'MHBaselines and Measures'!$C$2:$V$33,26,FALSE)</f>
        <v>45.755461176337676</v>
      </c>
      <c r="AA76" s="438"/>
      <c r="AB76" s="438">
        <f ca="1">HLOOKUP($H76,'MHBaselines and Measures'!$C$2:$V$33,28,FALSE)</f>
        <v>59.501946763926178</v>
      </c>
      <c r="AC76" s="439">
        <f>HLOOKUP($H76,'MHBaselines and Measures'!$C$2:$V$33,30,FALSE)</f>
        <v>0</v>
      </c>
      <c r="AD76" s="439"/>
      <c r="AE76" s="439">
        <f ca="1">HLOOKUP($H76,'MHBaselines and Measures'!$C$2:$V$33,32,FALSE)</f>
        <v>2.7077352574037339</v>
      </c>
      <c r="AF76" s="440">
        <f ca="1">HLOOKUP($H76,'MHBaselines and Measures'!$C$2:$V$33,10,FALSE)</f>
        <v>30.68204061808709</v>
      </c>
      <c r="AG76" s="441"/>
      <c r="AH76" s="436">
        <f t="shared" ca="1" si="15"/>
        <v>928.14439754157775</v>
      </c>
      <c r="AI76" s="437">
        <f t="shared" ca="1" si="16"/>
        <v>170.81353679657798</v>
      </c>
      <c r="AJ76" s="438">
        <f t="shared" ca="1" si="10"/>
        <v>6.0291466991109957</v>
      </c>
      <c r="AK76" s="438"/>
      <c r="AL76" s="438">
        <f t="shared" ca="1" si="33"/>
        <v>29.585552683621593</v>
      </c>
      <c r="AM76" s="439">
        <f t="shared" si="33"/>
        <v>0</v>
      </c>
      <c r="AN76" s="439"/>
      <c r="AO76" s="439">
        <f t="shared" ca="1" si="34"/>
        <v>1.3463398841226728</v>
      </c>
      <c r="AP76" s="442">
        <f t="shared" ca="1" si="34"/>
        <v>9.907307796906121</v>
      </c>
      <c r="AQ76" s="443"/>
      <c r="AR76" s="435" t="str">
        <f t="shared" si="18"/>
        <v>CEE Tier 3 Clothes Washer - Gas DHW, Gas Dryer - 54% ENERGY STAR Baseline</v>
      </c>
      <c r="AS76" s="437">
        <f t="shared" ca="1" si="19"/>
        <v>170.81353679657798</v>
      </c>
      <c r="AT76" s="438">
        <f t="shared" ca="1" si="20"/>
        <v>6.0291466991109957</v>
      </c>
      <c r="AU76" s="439">
        <f t="shared" ca="1" si="21"/>
        <v>1.3463398841226728</v>
      </c>
      <c r="AV76" s="439">
        <f t="shared" ca="1" si="22"/>
        <v>928.14439754157775</v>
      </c>
      <c r="AW76" s="439"/>
      <c r="AX76" s="438">
        <f t="shared" ca="1" si="12"/>
        <v>9.4485647204364671</v>
      </c>
      <c r="AY76" s="438">
        <f t="shared" ca="1" si="23"/>
        <v>9.907307796906121</v>
      </c>
      <c r="AZ76" s="443"/>
      <c r="BA76" s="433" t="str">
        <f t="shared" si="32"/>
        <v>CEE Tier 3 Clothes Washer - Gas DHW, Gas Dryer - 54% ENERGY STAR Baseline</v>
      </c>
      <c r="BB76" s="433" t="s">
        <v>25</v>
      </c>
      <c r="BC76" s="438">
        <f t="shared" ca="1" si="25"/>
        <v>6.0291466991109957</v>
      </c>
      <c r="BD76" s="438">
        <f>SFAssumptions!$C$7</f>
        <v>14</v>
      </c>
      <c r="BE76" s="444">
        <f t="shared" ca="1" si="26"/>
        <v>170.81353679657798</v>
      </c>
      <c r="BF76" s="433"/>
      <c r="BG76" s="432" t="s">
        <v>157</v>
      </c>
      <c r="BH76" s="445">
        <f t="shared" ca="1" si="27"/>
        <v>9.907307796906121</v>
      </c>
      <c r="BI76" s="433"/>
      <c r="BJ76" s="433"/>
      <c r="BK76" s="433"/>
      <c r="BL76" s="433"/>
      <c r="BM76" s="433"/>
      <c r="BN76" s="433"/>
      <c r="BO76" s="446">
        <f t="shared" ca="1" si="28"/>
        <v>1.3463398841226728</v>
      </c>
      <c r="BP76" s="433" t="s">
        <v>158</v>
      </c>
    </row>
    <row r="77" spans="1:68" s="414" customFormat="1">
      <c r="A77" s="433">
        <f t="shared" si="29"/>
        <v>60</v>
      </c>
      <c r="B77" s="433">
        <f t="shared" si="3"/>
        <v>2</v>
      </c>
      <c r="C77" s="433">
        <f t="shared" si="4"/>
        <v>30</v>
      </c>
      <c r="D77" s="433">
        <f t="shared" si="5"/>
        <v>6</v>
      </c>
      <c r="E77" s="433">
        <f t="shared" si="6"/>
        <v>5</v>
      </c>
      <c r="F77" s="433"/>
      <c r="G77" s="433" t="str">
        <f t="shared" si="13"/>
        <v>Current Practice Baseline Using 54% ENERGY STAR Penetration</v>
      </c>
      <c r="H77" s="433" t="str">
        <f t="shared" si="14"/>
        <v>CEE Tier 3</v>
      </c>
      <c r="I77" s="433" t="str">
        <f t="shared" si="7"/>
        <v>Any DHW, Any Dryer</v>
      </c>
      <c r="J77" s="433" t="str">
        <f t="shared" si="8"/>
        <v>Any DHW</v>
      </c>
      <c r="K77" s="433" t="str">
        <f t="shared" si="9"/>
        <v>Any Dryer</v>
      </c>
      <c r="L77" s="434">
        <f>VLOOKUP(J77,SFAssumptions!$A$14:$B$16,2,FALSE)</f>
        <v>0.55200000000000005</v>
      </c>
      <c r="M77" s="435">
        <f>VLOOKUP(K77,SFAssumptions!$A$18:$B$20,2,FALSE)</f>
        <v>0.95</v>
      </c>
      <c r="N77" s="436">
        <f ca="1">HLOOKUP($G77,'MHBaselines and Measures'!$C$3:$V$33,7,FALSE)</f>
        <v>3802.5240664273615</v>
      </c>
      <c r="O77" s="437">
        <f ca="1">HLOOKUP($G77,'MHBaselines and Measures'!$C$3:$V$33,8,FALSE)</f>
        <v>825.23457500176619</v>
      </c>
      <c r="P77" s="438">
        <f ca="1">HLOOKUP($G77,'MHBaselines and Measures'!$C$3:$V$33,25,FALSE)</f>
        <v>51.784607875448671</v>
      </c>
      <c r="Q77" s="438"/>
      <c r="R77" s="438">
        <f ca="1">HLOOKUP($G77,'MHBaselines and Measures'!$C$3:$V$33,27,FALSE)</f>
        <v>89.087499447547771</v>
      </c>
      <c r="S77" s="439">
        <f>HLOOKUP($G77,'MHBaselines and Measures'!$C$3:$V$33,29,FALSE)</f>
        <v>0</v>
      </c>
      <c r="T77" s="439"/>
      <c r="U77" s="439">
        <f ca="1">HLOOKUP($G77,'MHBaselines and Measures'!$C$3:$V$33,31,FALSE)</f>
        <v>4.0540751415264067</v>
      </c>
      <c r="V77" s="440">
        <f ca="1">HLOOKUP($G77,'MHBaselines and Measures'!$C$3:$V$33,9,FALSE)</f>
        <v>40.589348414993211</v>
      </c>
      <c r="W77" s="441"/>
      <c r="X77" s="436">
        <f ca="1">HLOOKUP($H77,'MHBaselines and Measures'!$C$2:$V$33,8,FALSE)</f>
        <v>2874.3796688857838</v>
      </c>
      <c r="Y77" s="437">
        <f ca="1">HLOOKUP($H77,'MHBaselines and Measures'!$C$2:$V$33,9,FALSE)</f>
        <v>996.04811179834417</v>
      </c>
      <c r="Z77" s="438">
        <f ca="1">HLOOKUP($H77,'MHBaselines and Measures'!$C$2:$V$33,26,FALSE)</f>
        <v>45.755461176337676</v>
      </c>
      <c r="AA77" s="438"/>
      <c r="AB77" s="438">
        <f ca="1">HLOOKUP($H77,'MHBaselines and Measures'!$C$2:$V$33,28,FALSE)</f>
        <v>59.501946763926178</v>
      </c>
      <c r="AC77" s="439">
        <f>HLOOKUP($H77,'MHBaselines and Measures'!$C$2:$V$33,30,FALSE)</f>
        <v>0</v>
      </c>
      <c r="AD77" s="439"/>
      <c r="AE77" s="439">
        <f ca="1">HLOOKUP($H77,'MHBaselines and Measures'!$C$2:$V$33,32,FALSE)</f>
        <v>2.7077352574037339</v>
      </c>
      <c r="AF77" s="440">
        <f ca="1">HLOOKUP($H77,'MHBaselines and Measures'!$C$2:$V$33,10,FALSE)</f>
        <v>30.68204061808709</v>
      </c>
      <c r="AG77" s="441"/>
      <c r="AH77" s="436">
        <f t="shared" ca="1" si="15"/>
        <v>928.14439754157775</v>
      </c>
      <c r="AI77" s="437">
        <f t="shared" ca="1" si="16"/>
        <v>170.81353679657798</v>
      </c>
      <c r="AJ77" s="438">
        <f t="shared" ca="1" si="10"/>
        <v>6.0291466991109957</v>
      </c>
      <c r="AK77" s="438"/>
      <c r="AL77" s="438">
        <f t="shared" ca="1" si="33"/>
        <v>29.585552683621593</v>
      </c>
      <c r="AM77" s="439">
        <f t="shared" si="33"/>
        <v>0</v>
      </c>
      <c r="AN77" s="439"/>
      <c r="AO77" s="439">
        <f t="shared" ca="1" si="34"/>
        <v>1.3463398841226728</v>
      </c>
      <c r="AP77" s="442">
        <f t="shared" ca="1" si="34"/>
        <v>9.907307796906121</v>
      </c>
      <c r="AQ77" s="443"/>
      <c r="AR77" s="435" t="str">
        <f t="shared" si="18"/>
        <v>CEE Tier 3 Clothes Washer - Any DHW, Any Dryer - 54% ENERGY STAR Baseline</v>
      </c>
      <c r="AS77" s="437">
        <f t="shared" ca="1" si="19"/>
        <v>170.81353679657798</v>
      </c>
      <c r="AT77" s="438">
        <f t="shared" ca="1" si="20"/>
        <v>22.360371780470118</v>
      </c>
      <c r="AU77" s="439">
        <f t="shared" ca="1" si="21"/>
        <v>0.60316026808695733</v>
      </c>
      <c r="AV77" s="439">
        <f t="shared" ca="1" si="22"/>
        <v>928.14439754157775</v>
      </c>
      <c r="AW77" s="439"/>
      <c r="AX77" s="438">
        <f t="shared" ca="1" si="12"/>
        <v>25.779789801795587</v>
      </c>
      <c r="AY77" s="438">
        <f t="shared" ca="1" si="23"/>
        <v>9.907307796906121</v>
      </c>
      <c r="AZ77" s="443"/>
      <c r="BA77" s="433" t="str">
        <f t="shared" si="32"/>
        <v>CEE Tier 3 Clothes Washer - Any DHW, Any Dryer - 54% ENERGY STAR Baseline</v>
      </c>
      <c r="BB77" s="433" t="s">
        <v>25</v>
      </c>
      <c r="BC77" s="438">
        <f t="shared" ca="1" si="25"/>
        <v>22.360371780470118</v>
      </c>
      <c r="BD77" s="438">
        <f>SFAssumptions!$C$7</f>
        <v>14</v>
      </c>
      <c r="BE77" s="444">
        <f t="shared" ca="1" si="26"/>
        <v>170.81353679657798</v>
      </c>
      <c r="BF77" s="433"/>
      <c r="BG77" s="432" t="s">
        <v>157</v>
      </c>
      <c r="BH77" s="445">
        <f t="shared" ca="1" si="27"/>
        <v>9.907307796906121</v>
      </c>
      <c r="BI77" s="433"/>
      <c r="BJ77" s="433"/>
      <c r="BK77" s="433"/>
      <c r="BL77" s="433"/>
      <c r="BM77" s="433"/>
      <c r="BN77" s="433"/>
      <c r="BO77" s="446">
        <f t="shared" ca="1" si="28"/>
        <v>0.60316026808695733</v>
      </c>
      <c r="BP77" s="433" t="s">
        <v>158</v>
      </c>
    </row>
    <row r="78" spans="1:68" s="309" customFormat="1">
      <c r="A78" s="449">
        <v>1</v>
      </c>
      <c r="B78" s="450">
        <f t="shared" si="3"/>
        <v>1</v>
      </c>
      <c r="C78" s="450">
        <f t="shared" si="4"/>
        <v>1</v>
      </c>
      <c r="D78" s="450">
        <f t="shared" si="5"/>
        <v>1</v>
      </c>
      <c r="E78" s="450">
        <f t="shared" si="6"/>
        <v>1</v>
      </c>
      <c r="F78" s="450"/>
      <c r="G78" s="450" t="str">
        <f t="shared" si="13"/>
        <v>Current Practice Baseline Using 31% ENERGY STAR Penetration</v>
      </c>
      <c r="H78" s="450" t="str">
        <f t="shared" si="14"/>
        <v>ENERGY STAR - Top-Load</v>
      </c>
      <c r="I78" s="450" t="str">
        <f t="shared" si="7"/>
        <v>Electric DHW, Electric Dryer</v>
      </c>
      <c r="J78" s="450" t="str">
        <f t="shared" si="8"/>
        <v>Electric DHW</v>
      </c>
      <c r="K78" s="450" t="str">
        <f t="shared" si="9"/>
        <v>Electric Dryer</v>
      </c>
      <c r="L78" s="451">
        <f>VLOOKUP(J78,SFAssumptions!$A$14:$B$16,2,FALSE)</f>
        <v>1</v>
      </c>
      <c r="M78" s="452">
        <f>VLOOKUP(K78,SFAssumptions!$A$18:$B$20,2,FALSE)</f>
        <v>1</v>
      </c>
      <c r="N78" s="453">
        <f ca="1">HLOOKUP($G78,'MHBaselines and Measures'!$C$3:$V$33,7,FALSE)</f>
        <v>4047.8861059902265</v>
      </c>
      <c r="O78" s="454"/>
      <c r="P78" s="455"/>
      <c r="Q78" s="455">
        <f ca="1">HLOOKUP($G78,'MHBaselines and Measures'!$C$3:$V$33,26,FALSE)</f>
        <v>310.54043817056578</v>
      </c>
      <c r="R78" s="455"/>
      <c r="S78" s="456"/>
      <c r="T78" s="456">
        <f ca="1">HLOOKUP($G78,'MHBaselines and Measures'!$C$3:$V$33,30,FALSE)</f>
        <v>11.870594573332779</v>
      </c>
      <c r="U78" s="456"/>
      <c r="V78" s="456"/>
      <c r="W78" s="457"/>
      <c r="X78" s="453"/>
      <c r="Y78" s="454"/>
      <c r="Z78" s="455"/>
      <c r="AA78" s="455">
        <f ca="1">HLOOKUP($H78,'MHBaselines and Measures'!$C$2:$V$33,27,FALSE)</f>
        <v>280.90400819923428</v>
      </c>
      <c r="AB78" s="455"/>
      <c r="AC78" s="456"/>
      <c r="AD78" s="456">
        <f ca="1">HLOOKUP($H78,'MHBaselines and Measures'!$C$2:$V$33,31,FALSE)</f>
        <v>10.73772425582065</v>
      </c>
      <c r="AE78" s="456"/>
      <c r="AF78" s="456"/>
      <c r="AG78" s="457"/>
      <c r="AH78" s="453"/>
      <c r="AI78" s="454"/>
      <c r="AJ78" s="455"/>
      <c r="AK78" s="455">
        <f t="shared" ref="AK78:AK137" ca="1" si="35">Q78-AA78</f>
        <v>29.636429971331495</v>
      </c>
      <c r="AL78" s="455"/>
      <c r="AM78" s="456"/>
      <c r="AN78" s="456">
        <f t="shared" ref="AN78:AN137" ca="1" si="36">T78-AD78</f>
        <v>1.1328703175121291</v>
      </c>
      <c r="AO78" s="456"/>
      <c r="AP78" s="456"/>
      <c r="AQ78" s="458"/>
      <c r="AR78" s="452" t="str">
        <f t="shared" si="18"/>
        <v>ENERGY STAR - Top-Load Clothes Washer - Electric DHW, Electric Dryer - 31% ENERGY STAR Baseline</v>
      </c>
      <c r="AS78" s="454">
        <f t="shared" si="19"/>
        <v>0</v>
      </c>
      <c r="AT78" s="455">
        <f t="shared" ca="1" si="20"/>
        <v>29.636429971331495</v>
      </c>
      <c r="AU78" s="456">
        <f t="shared" ca="1" si="21"/>
        <v>0</v>
      </c>
      <c r="AV78" s="456">
        <f t="shared" si="22"/>
        <v>0</v>
      </c>
      <c r="AW78" s="456"/>
      <c r="AX78" s="455">
        <f t="shared" ref="AX78:AX122" ca="1" si="37">AT78+BC153</f>
        <v>32.809363632689703</v>
      </c>
      <c r="AY78" s="455"/>
      <c r="AZ78" s="458"/>
      <c r="BA78" s="450" t="str">
        <f>CONCATENATE(H78," Clothes Washer - ",I78," - 31% ENERGY STAR Baseline")</f>
        <v>ENERGY STAR - Top-Load Clothes Washer - Electric DHW, Electric Dryer - 31% ENERGY STAR Baseline</v>
      </c>
      <c r="BB78" s="450" t="s">
        <v>26</v>
      </c>
      <c r="BC78" s="455">
        <f t="shared" ca="1" si="25"/>
        <v>29.636429971331495</v>
      </c>
      <c r="BD78" s="455">
        <f>SFAssumptions!$C$7</f>
        <v>14</v>
      </c>
      <c r="BE78" s="459">
        <f t="shared" si="26"/>
        <v>0</v>
      </c>
      <c r="BF78" s="450"/>
      <c r="BG78" s="449" t="s">
        <v>159</v>
      </c>
      <c r="BH78" s="460"/>
      <c r="BI78" s="450"/>
      <c r="BJ78" s="450"/>
      <c r="BK78" s="450"/>
      <c r="BL78" s="450"/>
      <c r="BM78" s="450"/>
      <c r="BN78" s="450"/>
      <c r="BO78" s="461">
        <f t="shared" ca="1" si="28"/>
        <v>0</v>
      </c>
      <c r="BP78" s="450" t="s">
        <v>159</v>
      </c>
    </row>
    <row r="79" spans="1:68" s="309" customFormat="1">
      <c r="A79" s="450">
        <f>A78+1</f>
        <v>2</v>
      </c>
      <c r="B79" s="450">
        <f t="shared" si="3"/>
        <v>1</v>
      </c>
      <c r="C79" s="450">
        <f t="shared" si="4"/>
        <v>2</v>
      </c>
      <c r="D79" s="450">
        <f t="shared" si="5"/>
        <v>1</v>
      </c>
      <c r="E79" s="450">
        <f t="shared" si="6"/>
        <v>2</v>
      </c>
      <c r="F79" s="450"/>
      <c r="G79" s="450" t="str">
        <f t="shared" si="13"/>
        <v>Current Practice Baseline Using 31% ENERGY STAR Penetration</v>
      </c>
      <c r="H79" s="450" t="str">
        <f t="shared" si="14"/>
        <v>ENERGY STAR - Top-Load</v>
      </c>
      <c r="I79" s="450" t="str">
        <f t="shared" si="7"/>
        <v>Electric DHW, Gas Dryer</v>
      </c>
      <c r="J79" s="450" t="str">
        <f t="shared" si="8"/>
        <v>Electric DHW</v>
      </c>
      <c r="K79" s="450" t="str">
        <f t="shared" si="9"/>
        <v>Gas Dryer</v>
      </c>
      <c r="L79" s="451">
        <f>VLOOKUP(J79,SFAssumptions!$A$14:$B$16,2,FALSE)</f>
        <v>1</v>
      </c>
      <c r="M79" s="452">
        <f>VLOOKUP(K79,SFAssumptions!$A$18:$B$20,2,FALSE)</f>
        <v>0</v>
      </c>
      <c r="N79" s="453">
        <f ca="1">HLOOKUP($G79,'MHBaselines and Measures'!$C$3:$V$33,7,FALSE)</f>
        <v>4047.8861059902265</v>
      </c>
      <c r="O79" s="454"/>
      <c r="P79" s="455"/>
      <c r="Q79" s="455">
        <f ca="1">HLOOKUP($G79,'MHBaselines and Measures'!$C$3:$V$33,26,FALSE)</f>
        <v>310.54043817056578</v>
      </c>
      <c r="R79" s="455"/>
      <c r="S79" s="456"/>
      <c r="T79" s="456">
        <f ca="1">HLOOKUP($G79,'MHBaselines and Measures'!$C$3:$V$33,30,FALSE)</f>
        <v>11.870594573332779</v>
      </c>
      <c r="U79" s="456"/>
      <c r="V79" s="456"/>
      <c r="W79" s="457"/>
      <c r="X79" s="453"/>
      <c r="Y79" s="454"/>
      <c r="Z79" s="455"/>
      <c r="AA79" s="455">
        <f ca="1">HLOOKUP($H79,'MHBaselines and Measures'!$C$2:$V$33,27,FALSE)</f>
        <v>280.90400819923428</v>
      </c>
      <c r="AB79" s="455"/>
      <c r="AC79" s="456"/>
      <c r="AD79" s="456">
        <f ca="1">HLOOKUP($H79,'MHBaselines and Measures'!$C$2:$V$33,31,FALSE)</f>
        <v>10.73772425582065</v>
      </c>
      <c r="AE79" s="456"/>
      <c r="AF79" s="456"/>
      <c r="AG79" s="457"/>
      <c r="AH79" s="453"/>
      <c r="AI79" s="454"/>
      <c r="AJ79" s="455"/>
      <c r="AK79" s="455">
        <f t="shared" ca="1" si="35"/>
        <v>29.636429971331495</v>
      </c>
      <c r="AL79" s="455"/>
      <c r="AM79" s="456"/>
      <c r="AN79" s="456">
        <f t="shared" ca="1" si="36"/>
        <v>1.1328703175121291</v>
      </c>
      <c r="AO79" s="456"/>
      <c r="AP79" s="456"/>
      <c r="AQ79" s="458"/>
      <c r="AR79" s="452" t="str">
        <f t="shared" si="18"/>
        <v>ENERGY STAR - Top-Load Clothes Washer - Electric DHW, Gas Dryer - 31% ENERGY STAR Baseline</v>
      </c>
      <c r="AS79" s="454">
        <f t="shared" si="19"/>
        <v>0</v>
      </c>
      <c r="AT79" s="455">
        <f t="shared" ca="1" si="20"/>
        <v>0</v>
      </c>
      <c r="AU79" s="456">
        <f t="shared" ca="1" si="21"/>
        <v>1.1328703175121291</v>
      </c>
      <c r="AV79" s="456">
        <f t="shared" si="22"/>
        <v>0</v>
      </c>
      <c r="AW79" s="456"/>
      <c r="AX79" s="455">
        <f t="shared" ca="1" si="37"/>
        <v>3.17293366135821</v>
      </c>
      <c r="AY79" s="455"/>
      <c r="AZ79" s="458"/>
      <c r="BA79" s="450" t="str">
        <f t="shared" ref="BA79:BA107" si="38">CONCATENATE(H79," Clothes Washer - ",I79," - 31% ENERGY STAR Baseline")</f>
        <v>ENERGY STAR - Top-Load Clothes Washer - Electric DHW, Gas Dryer - 31% ENERGY STAR Baseline</v>
      </c>
      <c r="BB79" s="450" t="s">
        <v>26</v>
      </c>
      <c r="BC79" s="455">
        <f t="shared" ca="1" si="25"/>
        <v>0</v>
      </c>
      <c r="BD79" s="455">
        <f>SFAssumptions!$C$7</f>
        <v>14</v>
      </c>
      <c r="BE79" s="459">
        <f t="shared" si="26"/>
        <v>0</v>
      </c>
      <c r="BF79" s="450"/>
      <c r="BG79" s="449" t="s">
        <v>159</v>
      </c>
      <c r="BH79" s="460"/>
      <c r="BI79" s="450"/>
      <c r="BJ79" s="450"/>
      <c r="BK79" s="450"/>
      <c r="BL79" s="450"/>
      <c r="BM79" s="450"/>
      <c r="BN79" s="450"/>
      <c r="BO79" s="461">
        <f t="shared" ca="1" si="28"/>
        <v>1.1328703175121291</v>
      </c>
      <c r="BP79" s="450" t="s">
        <v>159</v>
      </c>
    </row>
    <row r="80" spans="1:68" s="309" customFormat="1">
      <c r="A80" s="450">
        <f t="shared" ref="A80:A137" si="39">A79+1</f>
        <v>3</v>
      </c>
      <c r="B80" s="450">
        <f t="shared" si="3"/>
        <v>1</v>
      </c>
      <c r="C80" s="450">
        <f t="shared" si="4"/>
        <v>3</v>
      </c>
      <c r="D80" s="450">
        <f t="shared" si="5"/>
        <v>1</v>
      </c>
      <c r="E80" s="450">
        <f t="shared" si="6"/>
        <v>3</v>
      </c>
      <c r="F80" s="450"/>
      <c r="G80" s="450" t="str">
        <f t="shared" si="13"/>
        <v>Current Practice Baseline Using 31% ENERGY STAR Penetration</v>
      </c>
      <c r="H80" s="450" t="str">
        <f t="shared" si="14"/>
        <v>ENERGY STAR - Top-Load</v>
      </c>
      <c r="I80" s="450" t="str">
        <f t="shared" si="7"/>
        <v>Gas DHW, Electric Dryer</v>
      </c>
      <c r="J80" s="450" t="str">
        <f t="shared" si="8"/>
        <v>Gas DHW</v>
      </c>
      <c r="K80" s="450" t="str">
        <f t="shared" si="9"/>
        <v>Electric Dryer</v>
      </c>
      <c r="L80" s="451">
        <f>VLOOKUP(J80,SFAssumptions!$A$14:$B$16,2,FALSE)</f>
        <v>0</v>
      </c>
      <c r="M80" s="452">
        <f>VLOOKUP(K80,SFAssumptions!$A$18:$B$20,2,FALSE)</f>
        <v>1</v>
      </c>
      <c r="N80" s="453">
        <f ca="1">HLOOKUP($G80,'MHBaselines and Measures'!$C$3:$V$33,7,FALSE)</f>
        <v>4047.8861059902265</v>
      </c>
      <c r="O80" s="454"/>
      <c r="P80" s="455"/>
      <c r="Q80" s="455">
        <f ca="1">HLOOKUP($G80,'MHBaselines and Measures'!$C$3:$V$33,26,FALSE)</f>
        <v>310.54043817056578</v>
      </c>
      <c r="R80" s="455"/>
      <c r="S80" s="456"/>
      <c r="T80" s="456">
        <f ca="1">HLOOKUP($G80,'MHBaselines and Measures'!$C$3:$V$33,30,FALSE)</f>
        <v>11.870594573332779</v>
      </c>
      <c r="U80" s="456"/>
      <c r="V80" s="456"/>
      <c r="W80" s="457"/>
      <c r="X80" s="453"/>
      <c r="Y80" s="454"/>
      <c r="Z80" s="455"/>
      <c r="AA80" s="455">
        <f ca="1">HLOOKUP($H80,'MHBaselines and Measures'!$C$2:$V$33,27,FALSE)</f>
        <v>280.90400819923428</v>
      </c>
      <c r="AB80" s="455"/>
      <c r="AC80" s="456"/>
      <c r="AD80" s="456">
        <f ca="1">HLOOKUP($H80,'MHBaselines and Measures'!$C$2:$V$33,31,FALSE)</f>
        <v>10.73772425582065</v>
      </c>
      <c r="AE80" s="456"/>
      <c r="AF80" s="456"/>
      <c r="AG80" s="457"/>
      <c r="AH80" s="453"/>
      <c r="AI80" s="454"/>
      <c r="AJ80" s="455"/>
      <c r="AK80" s="455">
        <f t="shared" ca="1" si="35"/>
        <v>29.636429971331495</v>
      </c>
      <c r="AL80" s="455"/>
      <c r="AM80" s="456"/>
      <c r="AN80" s="456">
        <f t="shared" ca="1" si="36"/>
        <v>1.1328703175121291</v>
      </c>
      <c r="AO80" s="456"/>
      <c r="AP80" s="456"/>
      <c r="AQ80" s="458"/>
      <c r="AR80" s="452" t="str">
        <f t="shared" si="18"/>
        <v>ENERGY STAR - Top-Load Clothes Washer - Gas DHW, Electric Dryer - 31% ENERGY STAR Baseline</v>
      </c>
      <c r="AS80" s="454">
        <f t="shared" si="19"/>
        <v>0</v>
      </c>
      <c r="AT80" s="455">
        <f t="shared" ca="1" si="20"/>
        <v>29.636429971331495</v>
      </c>
      <c r="AU80" s="456">
        <f t="shared" ca="1" si="21"/>
        <v>0</v>
      </c>
      <c r="AV80" s="456">
        <f t="shared" si="22"/>
        <v>0</v>
      </c>
      <c r="AW80" s="456"/>
      <c r="AX80" s="455">
        <f t="shared" ca="1" si="37"/>
        <v>32.809363632689703</v>
      </c>
      <c r="AY80" s="455"/>
      <c r="AZ80" s="458"/>
      <c r="BA80" s="450" t="str">
        <f t="shared" si="38"/>
        <v>ENERGY STAR - Top-Load Clothes Washer - Gas DHW, Electric Dryer - 31% ENERGY STAR Baseline</v>
      </c>
      <c r="BB80" s="450" t="s">
        <v>26</v>
      </c>
      <c r="BC80" s="455">
        <f t="shared" ca="1" si="25"/>
        <v>29.636429971331495</v>
      </c>
      <c r="BD80" s="455">
        <f>SFAssumptions!$C$7</f>
        <v>14</v>
      </c>
      <c r="BE80" s="459">
        <f t="shared" si="26"/>
        <v>0</v>
      </c>
      <c r="BF80" s="450"/>
      <c r="BG80" s="449" t="s">
        <v>159</v>
      </c>
      <c r="BH80" s="460"/>
      <c r="BI80" s="450"/>
      <c r="BJ80" s="450"/>
      <c r="BK80" s="450"/>
      <c r="BL80" s="450"/>
      <c r="BM80" s="450"/>
      <c r="BN80" s="450"/>
      <c r="BO80" s="461">
        <f t="shared" ca="1" si="28"/>
        <v>0</v>
      </c>
      <c r="BP80" s="450" t="s">
        <v>159</v>
      </c>
    </row>
    <row r="81" spans="1:68" s="309" customFormat="1">
      <c r="A81" s="450">
        <f t="shared" si="39"/>
        <v>4</v>
      </c>
      <c r="B81" s="450">
        <f t="shared" si="3"/>
        <v>1</v>
      </c>
      <c r="C81" s="450">
        <f t="shared" si="4"/>
        <v>4</v>
      </c>
      <c r="D81" s="450">
        <f t="shared" si="5"/>
        <v>1</v>
      </c>
      <c r="E81" s="450">
        <f t="shared" si="6"/>
        <v>4</v>
      </c>
      <c r="F81" s="450"/>
      <c r="G81" s="450" t="str">
        <f t="shared" si="13"/>
        <v>Current Practice Baseline Using 31% ENERGY STAR Penetration</v>
      </c>
      <c r="H81" s="450" t="str">
        <f t="shared" si="14"/>
        <v>ENERGY STAR - Top-Load</v>
      </c>
      <c r="I81" s="450" t="str">
        <f t="shared" si="7"/>
        <v>Gas DHW, Gas Dryer</v>
      </c>
      <c r="J81" s="450" t="str">
        <f t="shared" si="8"/>
        <v>Gas DHW</v>
      </c>
      <c r="K81" s="450" t="str">
        <f t="shared" si="9"/>
        <v>Gas Dryer</v>
      </c>
      <c r="L81" s="451">
        <f>VLOOKUP(J81,SFAssumptions!$A$14:$B$16,2,FALSE)</f>
        <v>0</v>
      </c>
      <c r="M81" s="452">
        <f>VLOOKUP(K81,SFAssumptions!$A$18:$B$20,2,FALSE)</f>
        <v>0</v>
      </c>
      <c r="N81" s="453">
        <f ca="1">HLOOKUP($G81,'MHBaselines and Measures'!$C$3:$V$33,7,FALSE)</f>
        <v>4047.8861059902265</v>
      </c>
      <c r="O81" s="454"/>
      <c r="P81" s="455"/>
      <c r="Q81" s="455">
        <f ca="1">HLOOKUP($G81,'MHBaselines and Measures'!$C$3:$V$33,26,FALSE)</f>
        <v>310.54043817056578</v>
      </c>
      <c r="R81" s="455"/>
      <c r="S81" s="456"/>
      <c r="T81" s="456">
        <f ca="1">HLOOKUP($G81,'MHBaselines and Measures'!$C$3:$V$33,30,FALSE)</f>
        <v>11.870594573332779</v>
      </c>
      <c r="U81" s="456"/>
      <c r="V81" s="456"/>
      <c r="W81" s="457"/>
      <c r="X81" s="453"/>
      <c r="Y81" s="454"/>
      <c r="Z81" s="455"/>
      <c r="AA81" s="455">
        <f ca="1">HLOOKUP($H81,'MHBaselines and Measures'!$C$2:$V$33,27,FALSE)</f>
        <v>280.90400819923428</v>
      </c>
      <c r="AB81" s="455"/>
      <c r="AC81" s="456"/>
      <c r="AD81" s="456">
        <f ca="1">HLOOKUP($H81,'MHBaselines and Measures'!$C$2:$V$33,31,FALSE)</f>
        <v>10.73772425582065</v>
      </c>
      <c r="AE81" s="456"/>
      <c r="AF81" s="456"/>
      <c r="AG81" s="457"/>
      <c r="AH81" s="453"/>
      <c r="AI81" s="454"/>
      <c r="AJ81" s="455"/>
      <c r="AK81" s="455">
        <f t="shared" ca="1" si="35"/>
        <v>29.636429971331495</v>
      </c>
      <c r="AL81" s="455"/>
      <c r="AM81" s="456"/>
      <c r="AN81" s="456">
        <f t="shared" ca="1" si="36"/>
        <v>1.1328703175121291</v>
      </c>
      <c r="AO81" s="456"/>
      <c r="AP81" s="456"/>
      <c r="AQ81" s="458"/>
      <c r="AR81" s="452" t="str">
        <f t="shared" si="18"/>
        <v>ENERGY STAR - Top-Load Clothes Washer - Gas DHW, Gas Dryer - 31% ENERGY STAR Baseline</v>
      </c>
      <c r="AS81" s="454">
        <f t="shared" si="19"/>
        <v>0</v>
      </c>
      <c r="AT81" s="455">
        <f t="shared" ca="1" si="20"/>
        <v>0</v>
      </c>
      <c r="AU81" s="456">
        <f t="shared" ca="1" si="21"/>
        <v>1.1328703175121291</v>
      </c>
      <c r="AV81" s="456">
        <f t="shared" si="22"/>
        <v>0</v>
      </c>
      <c r="AW81" s="456"/>
      <c r="AX81" s="455">
        <f t="shared" ca="1" si="37"/>
        <v>3.17293366135821</v>
      </c>
      <c r="AY81" s="455"/>
      <c r="AZ81" s="458"/>
      <c r="BA81" s="450" t="str">
        <f t="shared" si="38"/>
        <v>ENERGY STAR - Top-Load Clothes Washer - Gas DHW, Gas Dryer - 31% ENERGY STAR Baseline</v>
      </c>
      <c r="BB81" s="450" t="s">
        <v>26</v>
      </c>
      <c r="BC81" s="455">
        <f t="shared" ca="1" si="25"/>
        <v>0</v>
      </c>
      <c r="BD81" s="455">
        <f>SFAssumptions!$C$7</f>
        <v>14</v>
      </c>
      <c r="BE81" s="459">
        <f t="shared" si="26"/>
        <v>0</v>
      </c>
      <c r="BF81" s="450"/>
      <c r="BG81" s="449" t="s">
        <v>159</v>
      </c>
      <c r="BH81" s="460"/>
      <c r="BI81" s="450"/>
      <c r="BJ81" s="450"/>
      <c r="BK81" s="450"/>
      <c r="BL81" s="450"/>
      <c r="BM81" s="450"/>
      <c r="BN81" s="450"/>
      <c r="BO81" s="461">
        <f t="shared" ca="1" si="28"/>
        <v>1.1328703175121291</v>
      </c>
      <c r="BP81" s="450" t="s">
        <v>159</v>
      </c>
    </row>
    <row r="82" spans="1:68" s="309" customFormat="1">
      <c r="A82" s="450">
        <f t="shared" si="39"/>
        <v>5</v>
      </c>
      <c r="B82" s="450">
        <f t="shared" si="3"/>
        <v>1</v>
      </c>
      <c r="C82" s="450">
        <f t="shared" si="4"/>
        <v>5</v>
      </c>
      <c r="D82" s="450">
        <f t="shared" si="5"/>
        <v>1</v>
      </c>
      <c r="E82" s="450">
        <f t="shared" si="6"/>
        <v>5</v>
      </c>
      <c r="F82" s="450"/>
      <c r="G82" s="450" t="str">
        <f t="shared" si="13"/>
        <v>Current Practice Baseline Using 31% ENERGY STAR Penetration</v>
      </c>
      <c r="H82" s="450" t="str">
        <f t="shared" si="14"/>
        <v>ENERGY STAR - Top-Load</v>
      </c>
      <c r="I82" s="450" t="str">
        <f t="shared" si="7"/>
        <v>Any DHW, Any Dryer</v>
      </c>
      <c r="J82" s="450" t="str">
        <f t="shared" si="8"/>
        <v>Any DHW</v>
      </c>
      <c r="K82" s="450" t="str">
        <f t="shared" si="9"/>
        <v>Any Dryer</v>
      </c>
      <c r="L82" s="451">
        <f>VLOOKUP(J82,SFAssumptions!$A$14:$B$16,2,FALSE)</f>
        <v>0.55200000000000005</v>
      </c>
      <c r="M82" s="452">
        <f>VLOOKUP(K82,SFAssumptions!$A$18:$B$20,2,FALSE)</f>
        <v>0.95</v>
      </c>
      <c r="N82" s="453">
        <f ca="1">HLOOKUP($G82,'MHBaselines and Measures'!$C$3:$V$33,7,FALSE)</f>
        <v>4047.8861059902265</v>
      </c>
      <c r="O82" s="454"/>
      <c r="P82" s="455"/>
      <c r="Q82" s="455">
        <f ca="1">HLOOKUP($G82,'MHBaselines and Measures'!$C$3:$V$33,26,FALSE)</f>
        <v>310.54043817056578</v>
      </c>
      <c r="R82" s="455"/>
      <c r="S82" s="456"/>
      <c r="T82" s="456">
        <f ca="1">HLOOKUP($G82,'MHBaselines and Measures'!$C$3:$V$33,30,FALSE)</f>
        <v>11.870594573332779</v>
      </c>
      <c r="U82" s="456"/>
      <c r="V82" s="456"/>
      <c r="W82" s="457"/>
      <c r="X82" s="453"/>
      <c r="Y82" s="454"/>
      <c r="Z82" s="455"/>
      <c r="AA82" s="455">
        <f ca="1">HLOOKUP($H82,'MHBaselines and Measures'!$C$2:$V$33,27,FALSE)</f>
        <v>280.90400819923428</v>
      </c>
      <c r="AB82" s="455"/>
      <c r="AC82" s="456"/>
      <c r="AD82" s="456">
        <f ca="1">HLOOKUP($H82,'MHBaselines and Measures'!$C$2:$V$33,31,FALSE)</f>
        <v>10.73772425582065</v>
      </c>
      <c r="AE82" s="456"/>
      <c r="AF82" s="456"/>
      <c r="AG82" s="457"/>
      <c r="AH82" s="453"/>
      <c r="AI82" s="454"/>
      <c r="AJ82" s="455"/>
      <c r="AK82" s="455">
        <f t="shared" ca="1" si="35"/>
        <v>29.636429971331495</v>
      </c>
      <c r="AL82" s="455"/>
      <c r="AM82" s="456"/>
      <c r="AN82" s="456">
        <f t="shared" ca="1" si="36"/>
        <v>1.1328703175121291</v>
      </c>
      <c r="AO82" s="456"/>
      <c r="AP82" s="456"/>
      <c r="AQ82" s="458"/>
      <c r="AR82" s="452" t="str">
        <f t="shared" si="18"/>
        <v>ENERGY STAR - Top-Load Clothes Washer - Any DHW, Any Dryer - 31% ENERGY STAR Baseline</v>
      </c>
      <c r="AS82" s="454">
        <f t="shared" si="19"/>
        <v>0</v>
      </c>
      <c r="AT82" s="455">
        <f t="shared" ca="1" si="20"/>
        <v>28.15460847276492</v>
      </c>
      <c r="AU82" s="456">
        <f t="shared" ca="1" si="21"/>
        <v>5.6643515875606502E-2</v>
      </c>
      <c r="AV82" s="456">
        <f t="shared" si="22"/>
        <v>0</v>
      </c>
      <c r="AW82" s="456"/>
      <c r="AX82" s="455">
        <f t="shared" ca="1" si="37"/>
        <v>31.327542134123131</v>
      </c>
      <c r="AY82" s="455"/>
      <c r="AZ82" s="458"/>
      <c r="BA82" s="450" t="str">
        <f t="shared" si="38"/>
        <v>ENERGY STAR - Top-Load Clothes Washer - Any DHW, Any Dryer - 31% ENERGY STAR Baseline</v>
      </c>
      <c r="BB82" s="450" t="s">
        <v>26</v>
      </c>
      <c r="BC82" s="455">
        <f t="shared" ca="1" si="25"/>
        <v>28.15460847276492</v>
      </c>
      <c r="BD82" s="455">
        <f>SFAssumptions!$C$7</f>
        <v>14</v>
      </c>
      <c r="BE82" s="459">
        <f t="shared" si="26"/>
        <v>0</v>
      </c>
      <c r="BF82" s="450"/>
      <c r="BG82" s="449" t="s">
        <v>159</v>
      </c>
      <c r="BH82" s="460"/>
      <c r="BI82" s="450"/>
      <c r="BJ82" s="450"/>
      <c r="BK82" s="450"/>
      <c r="BL82" s="450"/>
      <c r="BM82" s="450"/>
      <c r="BN82" s="450"/>
      <c r="BO82" s="461">
        <f t="shared" ca="1" si="28"/>
        <v>5.6643515875606502E-2</v>
      </c>
      <c r="BP82" s="450" t="s">
        <v>159</v>
      </c>
    </row>
    <row r="83" spans="1:68" s="309" customFormat="1">
      <c r="A83" s="450">
        <f t="shared" si="39"/>
        <v>6</v>
      </c>
      <c r="B83" s="450">
        <f t="shared" si="3"/>
        <v>1</v>
      </c>
      <c r="C83" s="450">
        <f t="shared" si="4"/>
        <v>6</v>
      </c>
      <c r="D83" s="450">
        <f t="shared" si="5"/>
        <v>2</v>
      </c>
      <c r="E83" s="450">
        <f t="shared" si="6"/>
        <v>1</v>
      </c>
      <c r="F83" s="450"/>
      <c r="G83" s="450" t="str">
        <f t="shared" si="13"/>
        <v>Current Practice Baseline Using 31% ENERGY STAR Penetration</v>
      </c>
      <c r="H83" s="450" t="str">
        <f t="shared" ref="H83:H146" si="40">VLOOKUP(D83,$J$2:$O$12,6,FALSE)</f>
        <v>ENERGY STAR - Front-Load</v>
      </c>
      <c r="I83" s="450" t="str">
        <f t="shared" si="7"/>
        <v>Electric DHW, Electric Dryer</v>
      </c>
      <c r="J83" s="450" t="str">
        <f t="shared" si="8"/>
        <v>Electric DHW</v>
      </c>
      <c r="K83" s="450" t="str">
        <f t="shared" si="9"/>
        <v>Electric Dryer</v>
      </c>
      <c r="L83" s="451">
        <f>VLOOKUP(J83,SFAssumptions!$A$14:$B$16,2,FALSE)</f>
        <v>1</v>
      </c>
      <c r="M83" s="452">
        <f>VLOOKUP(K83,SFAssumptions!$A$18:$B$20,2,FALSE)</f>
        <v>1</v>
      </c>
      <c r="N83" s="453">
        <f ca="1">HLOOKUP($G83,'MHBaselines and Measures'!$C$3:$V$33,7,FALSE)</f>
        <v>4047.8861059902265</v>
      </c>
      <c r="O83" s="454"/>
      <c r="P83" s="455"/>
      <c r="Q83" s="455">
        <f ca="1">HLOOKUP($G83,'MHBaselines and Measures'!$C$3:$V$33,26,FALSE)</f>
        <v>310.54043817056578</v>
      </c>
      <c r="R83" s="455"/>
      <c r="S83" s="456"/>
      <c r="T83" s="456">
        <f ca="1">HLOOKUP($G83,'MHBaselines and Measures'!$C$3:$V$33,30,FALSE)</f>
        <v>11.870594573332779</v>
      </c>
      <c r="U83" s="456"/>
      <c r="V83" s="456"/>
      <c r="W83" s="457"/>
      <c r="X83" s="453"/>
      <c r="Y83" s="454"/>
      <c r="Z83" s="455"/>
      <c r="AA83" s="455">
        <f ca="1">HLOOKUP($H83,'MHBaselines and Measures'!$C$2:$V$33,27,FALSE)</f>
        <v>246.67114479963448</v>
      </c>
      <c r="AB83" s="455"/>
      <c r="AC83" s="456"/>
      <c r="AD83" s="456">
        <f ca="1">HLOOKUP($H83,'MHBaselines and Measures'!$C$2:$V$33,31,FALSE)</f>
        <v>9.429152512652907</v>
      </c>
      <c r="AE83" s="456"/>
      <c r="AF83" s="456"/>
      <c r="AG83" s="457"/>
      <c r="AH83" s="453"/>
      <c r="AI83" s="454"/>
      <c r="AJ83" s="455"/>
      <c r="AK83" s="455">
        <f t="shared" ca="1" si="35"/>
        <v>63.869293370931302</v>
      </c>
      <c r="AL83" s="455"/>
      <c r="AM83" s="456"/>
      <c r="AN83" s="456">
        <f t="shared" ca="1" si="36"/>
        <v>2.4414420606798721</v>
      </c>
      <c r="AO83" s="456"/>
      <c r="AP83" s="456"/>
      <c r="AQ83" s="458"/>
      <c r="AR83" s="452" t="str">
        <f t="shared" ref="AR83:AR137" si="41">BA83</f>
        <v>ENERGY STAR - Front-Load Clothes Washer - Electric DHW, Electric Dryer - 31% ENERGY STAR Baseline</v>
      </c>
      <c r="AS83" s="454">
        <f t="shared" ref="AS83:AS137" si="42">BE83</f>
        <v>0</v>
      </c>
      <c r="AT83" s="455">
        <f t="shared" ref="AT83:AT137" ca="1" si="43">AJ83+AL83*L83+AK83*M83</f>
        <v>63.869293370931302</v>
      </c>
      <c r="AU83" s="456">
        <f t="shared" ref="AU83:AU137" ca="1" si="44">AO83*(1-L83)+AN83*(1-M83)</f>
        <v>0</v>
      </c>
      <c r="AV83" s="456">
        <f t="shared" ref="AV83:AV137" si="45">AH83</f>
        <v>0</v>
      </c>
      <c r="AW83" s="456"/>
      <c r="AX83" s="455">
        <f t="shared" ca="1" si="37"/>
        <v>68.101195020771144</v>
      </c>
      <c r="AY83" s="455"/>
      <c r="AZ83" s="458"/>
      <c r="BA83" s="450" t="str">
        <f t="shared" si="38"/>
        <v>ENERGY STAR - Front-Load Clothes Washer - Electric DHW, Electric Dryer - 31% ENERGY STAR Baseline</v>
      </c>
      <c r="BB83" s="450" t="s">
        <v>26</v>
      </c>
      <c r="BC83" s="455">
        <f t="shared" ref="BC83:BC137" ca="1" si="46">AT83</f>
        <v>63.869293370931302</v>
      </c>
      <c r="BD83" s="455">
        <f>SFAssumptions!$C$7</f>
        <v>14</v>
      </c>
      <c r="BE83" s="459">
        <f t="shared" ref="BE83:BE137" si="47">AI83</f>
        <v>0</v>
      </c>
      <c r="BF83" s="450"/>
      <c r="BG83" s="449" t="s">
        <v>159</v>
      </c>
      <c r="BH83" s="460"/>
      <c r="BI83" s="450"/>
      <c r="BJ83" s="450"/>
      <c r="BK83" s="450"/>
      <c r="BL83" s="450"/>
      <c r="BM83" s="450"/>
      <c r="BN83" s="450"/>
      <c r="BO83" s="461">
        <f t="shared" ref="BO83:BO137" ca="1" si="48">AU83</f>
        <v>0</v>
      </c>
      <c r="BP83" s="450" t="s">
        <v>159</v>
      </c>
    </row>
    <row r="84" spans="1:68" s="309" customFormat="1">
      <c r="A84" s="450">
        <f t="shared" si="39"/>
        <v>7</v>
      </c>
      <c r="B84" s="450">
        <f t="shared" si="3"/>
        <v>1</v>
      </c>
      <c r="C84" s="450">
        <f t="shared" si="4"/>
        <v>7</v>
      </c>
      <c r="D84" s="450">
        <f t="shared" si="5"/>
        <v>2</v>
      </c>
      <c r="E84" s="450">
        <f t="shared" si="6"/>
        <v>2</v>
      </c>
      <c r="F84" s="450"/>
      <c r="G84" s="450" t="str">
        <f t="shared" si="13"/>
        <v>Current Practice Baseline Using 31% ENERGY STAR Penetration</v>
      </c>
      <c r="H84" s="450" t="str">
        <f t="shared" si="40"/>
        <v>ENERGY STAR - Front-Load</v>
      </c>
      <c r="I84" s="450" t="str">
        <f t="shared" si="7"/>
        <v>Electric DHW, Gas Dryer</v>
      </c>
      <c r="J84" s="450" t="str">
        <f t="shared" si="8"/>
        <v>Electric DHW</v>
      </c>
      <c r="K84" s="450" t="str">
        <f t="shared" si="9"/>
        <v>Gas Dryer</v>
      </c>
      <c r="L84" s="451">
        <f>VLOOKUP(J84,SFAssumptions!$A$14:$B$16,2,FALSE)</f>
        <v>1</v>
      </c>
      <c r="M84" s="452">
        <f>VLOOKUP(K84,SFAssumptions!$A$18:$B$20,2,FALSE)</f>
        <v>0</v>
      </c>
      <c r="N84" s="453">
        <f ca="1">HLOOKUP($G84,'MHBaselines and Measures'!$C$3:$V$33,7,FALSE)</f>
        <v>4047.8861059902265</v>
      </c>
      <c r="O84" s="454"/>
      <c r="P84" s="455"/>
      <c r="Q84" s="455">
        <f ca="1">HLOOKUP($G84,'MHBaselines and Measures'!$C$3:$V$33,26,FALSE)</f>
        <v>310.54043817056578</v>
      </c>
      <c r="R84" s="455"/>
      <c r="S84" s="456"/>
      <c r="T84" s="456">
        <f ca="1">HLOOKUP($G84,'MHBaselines and Measures'!$C$3:$V$33,30,FALSE)</f>
        <v>11.870594573332779</v>
      </c>
      <c r="U84" s="456"/>
      <c r="V84" s="456"/>
      <c r="W84" s="457"/>
      <c r="X84" s="453"/>
      <c r="Y84" s="454"/>
      <c r="Z84" s="455"/>
      <c r="AA84" s="455">
        <f ca="1">HLOOKUP($H84,'MHBaselines and Measures'!$C$2:$V$33,27,FALSE)</f>
        <v>246.67114479963448</v>
      </c>
      <c r="AB84" s="455"/>
      <c r="AC84" s="456"/>
      <c r="AD84" s="456">
        <f ca="1">HLOOKUP($H84,'MHBaselines and Measures'!$C$2:$V$33,31,FALSE)</f>
        <v>9.429152512652907</v>
      </c>
      <c r="AE84" s="456"/>
      <c r="AF84" s="456"/>
      <c r="AG84" s="457"/>
      <c r="AH84" s="453"/>
      <c r="AI84" s="454"/>
      <c r="AJ84" s="455"/>
      <c r="AK84" s="455">
        <f t="shared" ca="1" si="35"/>
        <v>63.869293370931302</v>
      </c>
      <c r="AL84" s="455"/>
      <c r="AM84" s="456"/>
      <c r="AN84" s="456">
        <f t="shared" ca="1" si="36"/>
        <v>2.4414420606798721</v>
      </c>
      <c r="AO84" s="456"/>
      <c r="AP84" s="456"/>
      <c r="AQ84" s="458"/>
      <c r="AR84" s="452" t="str">
        <f t="shared" si="41"/>
        <v>ENERGY STAR - Front-Load Clothes Washer - Electric DHW, Gas Dryer - 31% ENERGY STAR Baseline</v>
      </c>
      <c r="AS84" s="454">
        <f t="shared" si="42"/>
        <v>0</v>
      </c>
      <c r="AT84" s="455">
        <f t="shared" ca="1" si="43"/>
        <v>0</v>
      </c>
      <c r="AU84" s="456">
        <f t="shared" ca="1" si="44"/>
        <v>2.4414420606798721</v>
      </c>
      <c r="AV84" s="456">
        <f t="shared" si="45"/>
        <v>0</v>
      </c>
      <c r="AW84" s="456"/>
      <c r="AX84" s="455">
        <f t="shared" ca="1" si="37"/>
        <v>4.2319016498398385</v>
      </c>
      <c r="AY84" s="455"/>
      <c r="AZ84" s="458"/>
      <c r="BA84" s="450" t="str">
        <f t="shared" si="38"/>
        <v>ENERGY STAR - Front-Load Clothes Washer - Electric DHW, Gas Dryer - 31% ENERGY STAR Baseline</v>
      </c>
      <c r="BB84" s="450" t="s">
        <v>26</v>
      </c>
      <c r="BC84" s="455">
        <f t="shared" ca="1" si="46"/>
        <v>0</v>
      </c>
      <c r="BD84" s="455">
        <f>SFAssumptions!$C$7</f>
        <v>14</v>
      </c>
      <c r="BE84" s="459">
        <f t="shared" si="47"/>
        <v>0</v>
      </c>
      <c r="BF84" s="450"/>
      <c r="BG84" s="449" t="s">
        <v>159</v>
      </c>
      <c r="BH84" s="460"/>
      <c r="BI84" s="450"/>
      <c r="BJ84" s="450"/>
      <c r="BK84" s="450"/>
      <c r="BL84" s="450"/>
      <c r="BM84" s="450"/>
      <c r="BN84" s="450"/>
      <c r="BO84" s="461">
        <f t="shared" ca="1" si="48"/>
        <v>2.4414420606798721</v>
      </c>
      <c r="BP84" s="450" t="s">
        <v>159</v>
      </c>
    </row>
    <row r="85" spans="1:68" s="309" customFormat="1">
      <c r="A85" s="450">
        <f t="shared" si="39"/>
        <v>8</v>
      </c>
      <c r="B85" s="450">
        <f t="shared" si="3"/>
        <v>1</v>
      </c>
      <c r="C85" s="450">
        <f t="shared" si="4"/>
        <v>8</v>
      </c>
      <c r="D85" s="450">
        <f t="shared" si="5"/>
        <v>2</v>
      </c>
      <c r="E85" s="450">
        <f t="shared" si="6"/>
        <v>3</v>
      </c>
      <c r="F85" s="450"/>
      <c r="G85" s="450" t="str">
        <f t="shared" si="13"/>
        <v>Current Practice Baseline Using 31% ENERGY STAR Penetration</v>
      </c>
      <c r="H85" s="450" t="str">
        <f t="shared" si="40"/>
        <v>ENERGY STAR - Front-Load</v>
      </c>
      <c r="I85" s="450" t="str">
        <f t="shared" si="7"/>
        <v>Gas DHW, Electric Dryer</v>
      </c>
      <c r="J85" s="450" t="str">
        <f t="shared" si="8"/>
        <v>Gas DHW</v>
      </c>
      <c r="K85" s="450" t="str">
        <f t="shared" si="9"/>
        <v>Electric Dryer</v>
      </c>
      <c r="L85" s="451">
        <f>VLOOKUP(J85,SFAssumptions!$A$14:$B$16,2,FALSE)</f>
        <v>0</v>
      </c>
      <c r="M85" s="452">
        <f>VLOOKUP(K85,SFAssumptions!$A$18:$B$20,2,FALSE)</f>
        <v>1</v>
      </c>
      <c r="N85" s="453">
        <f ca="1">HLOOKUP($G85,'MHBaselines and Measures'!$C$3:$V$33,7,FALSE)</f>
        <v>4047.8861059902265</v>
      </c>
      <c r="O85" s="454"/>
      <c r="P85" s="455"/>
      <c r="Q85" s="455">
        <f ca="1">HLOOKUP($G85,'MHBaselines and Measures'!$C$3:$V$33,26,FALSE)</f>
        <v>310.54043817056578</v>
      </c>
      <c r="R85" s="455"/>
      <c r="S85" s="456"/>
      <c r="T85" s="456">
        <f ca="1">HLOOKUP($G85,'MHBaselines and Measures'!$C$3:$V$33,30,FALSE)</f>
        <v>11.870594573332779</v>
      </c>
      <c r="U85" s="456"/>
      <c r="V85" s="456"/>
      <c r="W85" s="457"/>
      <c r="X85" s="453"/>
      <c r="Y85" s="454"/>
      <c r="Z85" s="455"/>
      <c r="AA85" s="455">
        <f ca="1">HLOOKUP($H85,'MHBaselines and Measures'!$C$2:$V$33,27,FALSE)</f>
        <v>246.67114479963448</v>
      </c>
      <c r="AB85" s="455"/>
      <c r="AC85" s="456"/>
      <c r="AD85" s="456">
        <f ca="1">HLOOKUP($H85,'MHBaselines and Measures'!$C$2:$V$33,31,FALSE)</f>
        <v>9.429152512652907</v>
      </c>
      <c r="AE85" s="456"/>
      <c r="AF85" s="456"/>
      <c r="AG85" s="457"/>
      <c r="AH85" s="453"/>
      <c r="AI85" s="454"/>
      <c r="AJ85" s="455"/>
      <c r="AK85" s="455">
        <f t="shared" ca="1" si="35"/>
        <v>63.869293370931302</v>
      </c>
      <c r="AL85" s="455"/>
      <c r="AM85" s="456"/>
      <c r="AN85" s="456">
        <f t="shared" ca="1" si="36"/>
        <v>2.4414420606798721</v>
      </c>
      <c r="AO85" s="456"/>
      <c r="AP85" s="456"/>
      <c r="AQ85" s="458"/>
      <c r="AR85" s="452" t="str">
        <f t="shared" si="41"/>
        <v>ENERGY STAR - Front-Load Clothes Washer - Gas DHW, Electric Dryer - 31% ENERGY STAR Baseline</v>
      </c>
      <c r="AS85" s="454">
        <f t="shared" si="42"/>
        <v>0</v>
      </c>
      <c r="AT85" s="455">
        <f t="shared" ca="1" si="43"/>
        <v>63.869293370931302</v>
      </c>
      <c r="AU85" s="456">
        <f t="shared" ca="1" si="44"/>
        <v>0</v>
      </c>
      <c r="AV85" s="456">
        <f t="shared" si="45"/>
        <v>0</v>
      </c>
      <c r="AW85" s="456"/>
      <c r="AX85" s="455">
        <f t="shared" ca="1" si="37"/>
        <v>68.101195020771144</v>
      </c>
      <c r="AY85" s="455"/>
      <c r="AZ85" s="458"/>
      <c r="BA85" s="450" t="str">
        <f t="shared" si="38"/>
        <v>ENERGY STAR - Front-Load Clothes Washer - Gas DHW, Electric Dryer - 31% ENERGY STAR Baseline</v>
      </c>
      <c r="BB85" s="450" t="s">
        <v>26</v>
      </c>
      <c r="BC85" s="455">
        <f t="shared" ca="1" si="46"/>
        <v>63.869293370931302</v>
      </c>
      <c r="BD85" s="455">
        <f>SFAssumptions!$C$7</f>
        <v>14</v>
      </c>
      <c r="BE85" s="459">
        <f t="shared" si="47"/>
        <v>0</v>
      </c>
      <c r="BF85" s="450"/>
      <c r="BG85" s="449" t="s">
        <v>159</v>
      </c>
      <c r="BH85" s="460"/>
      <c r="BI85" s="450"/>
      <c r="BJ85" s="450"/>
      <c r="BK85" s="450"/>
      <c r="BL85" s="450"/>
      <c r="BM85" s="450"/>
      <c r="BN85" s="450"/>
      <c r="BO85" s="461">
        <f t="shared" ca="1" si="48"/>
        <v>0</v>
      </c>
      <c r="BP85" s="450" t="s">
        <v>159</v>
      </c>
    </row>
    <row r="86" spans="1:68" s="309" customFormat="1">
      <c r="A86" s="450">
        <f t="shared" si="39"/>
        <v>9</v>
      </c>
      <c r="B86" s="450">
        <f t="shared" si="3"/>
        <v>1</v>
      </c>
      <c r="C86" s="450">
        <f t="shared" si="4"/>
        <v>9</v>
      </c>
      <c r="D86" s="450">
        <f t="shared" si="5"/>
        <v>2</v>
      </c>
      <c r="E86" s="450">
        <f t="shared" si="6"/>
        <v>4</v>
      </c>
      <c r="F86" s="450"/>
      <c r="G86" s="450" t="str">
        <f t="shared" si="13"/>
        <v>Current Practice Baseline Using 31% ENERGY STAR Penetration</v>
      </c>
      <c r="H86" s="450" t="str">
        <f t="shared" si="40"/>
        <v>ENERGY STAR - Front-Load</v>
      </c>
      <c r="I86" s="450" t="str">
        <f t="shared" si="7"/>
        <v>Gas DHW, Gas Dryer</v>
      </c>
      <c r="J86" s="450" t="str">
        <f t="shared" si="8"/>
        <v>Gas DHW</v>
      </c>
      <c r="K86" s="450" t="str">
        <f t="shared" si="9"/>
        <v>Gas Dryer</v>
      </c>
      <c r="L86" s="451">
        <f>VLOOKUP(J86,SFAssumptions!$A$14:$B$16,2,FALSE)</f>
        <v>0</v>
      </c>
      <c r="M86" s="452">
        <f>VLOOKUP(K86,SFAssumptions!$A$18:$B$20,2,FALSE)</f>
        <v>0</v>
      </c>
      <c r="N86" s="453">
        <f ca="1">HLOOKUP($G86,'MHBaselines and Measures'!$C$3:$V$33,7,FALSE)</f>
        <v>4047.8861059902265</v>
      </c>
      <c r="O86" s="454"/>
      <c r="P86" s="455"/>
      <c r="Q86" s="455">
        <f ca="1">HLOOKUP($G86,'MHBaselines and Measures'!$C$3:$V$33,26,FALSE)</f>
        <v>310.54043817056578</v>
      </c>
      <c r="R86" s="455"/>
      <c r="S86" s="456"/>
      <c r="T86" s="456">
        <f ca="1">HLOOKUP($G86,'MHBaselines and Measures'!$C$3:$V$33,30,FALSE)</f>
        <v>11.870594573332779</v>
      </c>
      <c r="U86" s="456"/>
      <c r="V86" s="456"/>
      <c r="W86" s="457"/>
      <c r="X86" s="453"/>
      <c r="Y86" s="454"/>
      <c r="Z86" s="455"/>
      <c r="AA86" s="455">
        <f ca="1">HLOOKUP($H86,'MHBaselines and Measures'!$C$2:$V$33,27,FALSE)</f>
        <v>246.67114479963448</v>
      </c>
      <c r="AB86" s="455"/>
      <c r="AC86" s="456"/>
      <c r="AD86" s="456">
        <f ca="1">HLOOKUP($H86,'MHBaselines and Measures'!$C$2:$V$33,31,FALSE)</f>
        <v>9.429152512652907</v>
      </c>
      <c r="AE86" s="456"/>
      <c r="AF86" s="456"/>
      <c r="AG86" s="457"/>
      <c r="AH86" s="453"/>
      <c r="AI86" s="454"/>
      <c r="AJ86" s="455"/>
      <c r="AK86" s="455">
        <f t="shared" ca="1" si="35"/>
        <v>63.869293370931302</v>
      </c>
      <c r="AL86" s="455"/>
      <c r="AM86" s="456"/>
      <c r="AN86" s="456">
        <f t="shared" ca="1" si="36"/>
        <v>2.4414420606798721</v>
      </c>
      <c r="AO86" s="456"/>
      <c r="AP86" s="456"/>
      <c r="AQ86" s="458"/>
      <c r="AR86" s="452" t="str">
        <f t="shared" si="41"/>
        <v>ENERGY STAR - Front-Load Clothes Washer - Gas DHW, Gas Dryer - 31% ENERGY STAR Baseline</v>
      </c>
      <c r="AS86" s="454">
        <f t="shared" si="42"/>
        <v>0</v>
      </c>
      <c r="AT86" s="455">
        <f t="shared" ca="1" si="43"/>
        <v>0</v>
      </c>
      <c r="AU86" s="456">
        <f t="shared" ca="1" si="44"/>
        <v>2.4414420606798721</v>
      </c>
      <c r="AV86" s="456">
        <f t="shared" si="45"/>
        <v>0</v>
      </c>
      <c r="AW86" s="456"/>
      <c r="AX86" s="455">
        <f t="shared" ca="1" si="37"/>
        <v>4.2319016498398385</v>
      </c>
      <c r="AY86" s="455"/>
      <c r="AZ86" s="458"/>
      <c r="BA86" s="450" t="str">
        <f t="shared" si="38"/>
        <v>ENERGY STAR - Front-Load Clothes Washer - Gas DHW, Gas Dryer - 31% ENERGY STAR Baseline</v>
      </c>
      <c r="BB86" s="450" t="s">
        <v>26</v>
      </c>
      <c r="BC86" s="455">
        <f t="shared" ca="1" si="46"/>
        <v>0</v>
      </c>
      <c r="BD86" s="455">
        <f>SFAssumptions!$C$7</f>
        <v>14</v>
      </c>
      <c r="BE86" s="459">
        <f t="shared" si="47"/>
        <v>0</v>
      </c>
      <c r="BF86" s="450"/>
      <c r="BG86" s="449" t="s">
        <v>159</v>
      </c>
      <c r="BH86" s="460"/>
      <c r="BI86" s="450"/>
      <c r="BJ86" s="450"/>
      <c r="BK86" s="450"/>
      <c r="BL86" s="450"/>
      <c r="BM86" s="450"/>
      <c r="BN86" s="450"/>
      <c r="BO86" s="461">
        <f t="shared" ca="1" si="48"/>
        <v>2.4414420606798721</v>
      </c>
      <c r="BP86" s="450" t="s">
        <v>159</v>
      </c>
    </row>
    <row r="87" spans="1:68" s="309" customFormat="1">
      <c r="A87" s="450">
        <f t="shared" si="39"/>
        <v>10</v>
      </c>
      <c r="B87" s="450">
        <f t="shared" si="3"/>
        <v>1</v>
      </c>
      <c r="C87" s="450">
        <f t="shared" si="4"/>
        <v>10</v>
      </c>
      <c r="D87" s="450">
        <f t="shared" si="5"/>
        <v>2</v>
      </c>
      <c r="E87" s="450">
        <f t="shared" si="6"/>
        <v>5</v>
      </c>
      <c r="F87" s="450"/>
      <c r="G87" s="450" t="str">
        <f t="shared" si="13"/>
        <v>Current Practice Baseline Using 31% ENERGY STAR Penetration</v>
      </c>
      <c r="H87" s="450" t="str">
        <f t="shared" si="40"/>
        <v>ENERGY STAR - Front-Load</v>
      </c>
      <c r="I87" s="450" t="str">
        <f t="shared" si="7"/>
        <v>Any DHW, Any Dryer</v>
      </c>
      <c r="J87" s="450" t="str">
        <f t="shared" si="8"/>
        <v>Any DHW</v>
      </c>
      <c r="K87" s="450" t="str">
        <f t="shared" si="9"/>
        <v>Any Dryer</v>
      </c>
      <c r="L87" s="451">
        <f>VLOOKUP(J87,SFAssumptions!$A$14:$B$16,2,FALSE)</f>
        <v>0.55200000000000005</v>
      </c>
      <c r="M87" s="452">
        <f>VLOOKUP(K87,SFAssumptions!$A$18:$B$20,2,FALSE)</f>
        <v>0.95</v>
      </c>
      <c r="N87" s="453">
        <f ca="1">HLOOKUP($G87,'MHBaselines and Measures'!$C$3:$V$33,7,FALSE)</f>
        <v>4047.8861059902265</v>
      </c>
      <c r="O87" s="454"/>
      <c r="P87" s="455"/>
      <c r="Q87" s="455">
        <f ca="1">HLOOKUP($G87,'MHBaselines and Measures'!$C$3:$V$33,26,FALSE)</f>
        <v>310.54043817056578</v>
      </c>
      <c r="R87" s="455"/>
      <c r="S87" s="456"/>
      <c r="T87" s="456">
        <f ca="1">HLOOKUP($G87,'MHBaselines and Measures'!$C$3:$V$33,30,FALSE)</f>
        <v>11.870594573332779</v>
      </c>
      <c r="U87" s="456"/>
      <c r="V87" s="456"/>
      <c r="W87" s="457"/>
      <c r="X87" s="453"/>
      <c r="Y87" s="454"/>
      <c r="Z87" s="455"/>
      <c r="AA87" s="455">
        <f ca="1">HLOOKUP($H87,'MHBaselines and Measures'!$C$2:$V$33,27,FALSE)</f>
        <v>246.67114479963448</v>
      </c>
      <c r="AB87" s="455"/>
      <c r="AC87" s="456"/>
      <c r="AD87" s="456">
        <f ca="1">HLOOKUP($H87,'MHBaselines and Measures'!$C$2:$V$33,31,FALSE)</f>
        <v>9.429152512652907</v>
      </c>
      <c r="AE87" s="456"/>
      <c r="AF87" s="456"/>
      <c r="AG87" s="457"/>
      <c r="AH87" s="453"/>
      <c r="AI87" s="454"/>
      <c r="AJ87" s="455"/>
      <c r="AK87" s="455">
        <f t="shared" ca="1" si="35"/>
        <v>63.869293370931302</v>
      </c>
      <c r="AL87" s="455"/>
      <c r="AM87" s="456"/>
      <c r="AN87" s="456">
        <f t="shared" ca="1" si="36"/>
        <v>2.4414420606798721</v>
      </c>
      <c r="AO87" s="456"/>
      <c r="AP87" s="456"/>
      <c r="AQ87" s="458"/>
      <c r="AR87" s="452" t="str">
        <f t="shared" si="41"/>
        <v>ENERGY STAR - Front-Load Clothes Washer - Any DHW, Any Dryer - 31% ENERGY STAR Baseline</v>
      </c>
      <c r="AS87" s="454">
        <f t="shared" si="42"/>
        <v>0</v>
      </c>
      <c r="AT87" s="455">
        <f t="shared" ca="1" si="43"/>
        <v>60.675828702384734</v>
      </c>
      <c r="AU87" s="456">
        <f t="shared" ca="1" si="44"/>
        <v>0.12207210303399371</v>
      </c>
      <c r="AV87" s="456">
        <f t="shared" si="45"/>
        <v>0</v>
      </c>
      <c r="AW87" s="456"/>
      <c r="AX87" s="455">
        <f t="shared" ca="1" si="37"/>
        <v>64.907730352224576</v>
      </c>
      <c r="AY87" s="455"/>
      <c r="AZ87" s="458"/>
      <c r="BA87" s="450" t="str">
        <f t="shared" si="38"/>
        <v>ENERGY STAR - Front-Load Clothes Washer - Any DHW, Any Dryer - 31% ENERGY STAR Baseline</v>
      </c>
      <c r="BB87" s="450" t="s">
        <v>26</v>
      </c>
      <c r="BC87" s="455">
        <f t="shared" ca="1" si="46"/>
        <v>60.675828702384734</v>
      </c>
      <c r="BD87" s="455">
        <f>SFAssumptions!$C$7</f>
        <v>14</v>
      </c>
      <c r="BE87" s="459">
        <f t="shared" si="47"/>
        <v>0</v>
      </c>
      <c r="BF87" s="450"/>
      <c r="BG87" s="449" t="s">
        <v>159</v>
      </c>
      <c r="BH87" s="460"/>
      <c r="BI87" s="450"/>
      <c r="BJ87" s="450"/>
      <c r="BK87" s="450"/>
      <c r="BL87" s="450"/>
      <c r="BM87" s="450"/>
      <c r="BN87" s="450"/>
      <c r="BO87" s="461">
        <f t="shared" ca="1" si="48"/>
        <v>0.12207210303399371</v>
      </c>
      <c r="BP87" s="450" t="s">
        <v>159</v>
      </c>
    </row>
    <row r="88" spans="1:68" s="309" customFormat="1">
      <c r="A88" s="450">
        <f t="shared" si="39"/>
        <v>11</v>
      </c>
      <c r="B88" s="450">
        <f t="shared" si="3"/>
        <v>1</v>
      </c>
      <c r="C88" s="450">
        <f t="shared" si="4"/>
        <v>11</v>
      </c>
      <c r="D88" s="450">
        <f t="shared" si="5"/>
        <v>3</v>
      </c>
      <c r="E88" s="450">
        <f t="shared" si="6"/>
        <v>1</v>
      </c>
      <c r="F88" s="450"/>
      <c r="G88" s="450" t="str">
        <f t="shared" si="13"/>
        <v>Current Practice Baseline Using 31% ENERGY STAR Penetration</v>
      </c>
      <c r="H88" s="450" t="str">
        <f t="shared" si="40"/>
        <v>Any ENERGY STAR (Top- or Front-Load)</v>
      </c>
      <c r="I88" s="450" t="str">
        <f t="shared" si="7"/>
        <v>Electric DHW, Electric Dryer</v>
      </c>
      <c r="J88" s="450" t="str">
        <f t="shared" si="8"/>
        <v>Electric DHW</v>
      </c>
      <c r="K88" s="450" t="str">
        <f t="shared" si="9"/>
        <v>Electric Dryer</v>
      </c>
      <c r="L88" s="451">
        <f>VLOOKUP(J88,SFAssumptions!$A$14:$B$16,2,FALSE)</f>
        <v>1</v>
      </c>
      <c r="M88" s="452">
        <f>VLOOKUP(K88,SFAssumptions!$A$18:$B$20,2,FALSE)</f>
        <v>1</v>
      </c>
      <c r="N88" s="453">
        <f ca="1">HLOOKUP($G88,'MHBaselines and Measures'!$C$3:$V$33,7,FALSE)</f>
        <v>4047.8861059902265</v>
      </c>
      <c r="O88" s="454"/>
      <c r="P88" s="455"/>
      <c r="Q88" s="455">
        <f ca="1">HLOOKUP($G88,'MHBaselines and Measures'!$C$3:$V$33,26,FALSE)</f>
        <v>310.54043817056578</v>
      </c>
      <c r="R88" s="455"/>
      <c r="S88" s="456"/>
      <c r="T88" s="456">
        <f ca="1">HLOOKUP($G88,'MHBaselines and Measures'!$C$3:$V$33,30,FALSE)</f>
        <v>11.870594573332779</v>
      </c>
      <c r="U88" s="456"/>
      <c r="V88" s="456"/>
      <c r="W88" s="457"/>
      <c r="X88" s="453"/>
      <c r="Y88" s="454"/>
      <c r="Z88" s="455"/>
      <c r="AA88" s="455">
        <f ca="1">HLOOKUP($H88,'MHBaselines and Measures'!$C$2:$V$33,27,FALSE)</f>
        <v>256.2188281628097</v>
      </c>
      <c r="AB88" s="455"/>
      <c r="AC88" s="456"/>
      <c r="AD88" s="456">
        <f ca="1">HLOOKUP($H88,'MHBaselines and Measures'!$C$2:$V$33,31,FALSE)</f>
        <v>9.7941184378203001</v>
      </c>
      <c r="AE88" s="456"/>
      <c r="AF88" s="456"/>
      <c r="AG88" s="457"/>
      <c r="AH88" s="453"/>
      <c r="AI88" s="454"/>
      <c r="AJ88" s="455"/>
      <c r="AK88" s="455">
        <f t="shared" ca="1" si="35"/>
        <v>54.321610007756078</v>
      </c>
      <c r="AL88" s="455"/>
      <c r="AM88" s="456"/>
      <c r="AN88" s="456">
        <f t="shared" ca="1" si="36"/>
        <v>2.076476135512479</v>
      </c>
      <c r="AO88" s="456"/>
      <c r="AP88" s="456"/>
      <c r="AQ88" s="458"/>
      <c r="AR88" s="452" t="str">
        <f t="shared" si="41"/>
        <v>Any ENERGY STAR (Top- or Front-Load) Clothes Washer - Electric DHW, Electric Dryer - 31% ENERGY STAR Baseline</v>
      </c>
      <c r="AS88" s="454">
        <f t="shared" si="42"/>
        <v>0</v>
      </c>
      <c r="AT88" s="455">
        <f t="shared" ca="1" si="43"/>
        <v>54.321610007756078</v>
      </c>
      <c r="AU88" s="456">
        <f t="shared" ca="1" si="44"/>
        <v>0</v>
      </c>
      <c r="AV88" s="456">
        <f t="shared" si="45"/>
        <v>0</v>
      </c>
      <c r="AW88" s="456"/>
      <c r="AX88" s="455">
        <f t="shared" ca="1" si="37"/>
        <v>58.644977222819854</v>
      </c>
      <c r="AY88" s="455"/>
      <c r="AZ88" s="458"/>
      <c r="BA88" s="450" t="str">
        <f t="shared" si="38"/>
        <v>Any ENERGY STAR (Top- or Front-Load) Clothes Washer - Electric DHW, Electric Dryer - 31% ENERGY STAR Baseline</v>
      </c>
      <c r="BB88" s="450" t="s">
        <v>26</v>
      </c>
      <c r="BC88" s="455">
        <f t="shared" ca="1" si="46"/>
        <v>54.321610007756078</v>
      </c>
      <c r="BD88" s="455">
        <f>SFAssumptions!$C$7</f>
        <v>14</v>
      </c>
      <c r="BE88" s="459">
        <f t="shared" si="47"/>
        <v>0</v>
      </c>
      <c r="BF88" s="450"/>
      <c r="BG88" s="449" t="s">
        <v>159</v>
      </c>
      <c r="BH88" s="460"/>
      <c r="BI88" s="450"/>
      <c r="BJ88" s="450"/>
      <c r="BK88" s="450"/>
      <c r="BL88" s="450"/>
      <c r="BM88" s="450"/>
      <c r="BN88" s="450"/>
      <c r="BO88" s="461">
        <f t="shared" ca="1" si="48"/>
        <v>0</v>
      </c>
      <c r="BP88" s="450" t="s">
        <v>159</v>
      </c>
    </row>
    <row r="89" spans="1:68" s="309" customFormat="1">
      <c r="A89" s="450">
        <f t="shared" si="39"/>
        <v>12</v>
      </c>
      <c r="B89" s="450">
        <f t="shared" si="3"/>
        <v>1</v>
      </c>
      <c r="C89" s="450">
        <f t="shared" si="4"/>
        <v>12</v>
      </c>
      <c r="D89" s="450">
        <f t="shared" si="5"/>
        <v>3</v>
      </c>
      <c r="E89" s="450">
        <f t="shared" si="6"/>
        <v>2</v>
      </c>
      <c r="F89" s="450"/>
      <c r="G89" s="450" t="str">
        <f t="shared" si="13"/>
        <v>Current Practice Baseline Using 31% ENERGY STAR Penetration</v>
      </c>
      <c r="H89" s="450" t="str">
        <f t="shared" si="40"/>
        <v>Any ENERGY STAR (Top- or Front-Load)</v>
      </c>
      <c r="I89" s="450" t="str">
        <f t="shared" si="7"/>
        <v>Electric DHW, Gas Dryer</v>
      </c>
      <c r="J89" s="450" t="str">
        <f t="shared" si="8"/>
        <v>Electric DHW</v>
      </c>
      <c r="K89" s="450" t="str">
        <f t="shared" si="9"/>
        <v>Gas Dryer</v>
      </c>
      <c r="L89" s="451">
        <f>VLOOKUP(J89,SFAssumptions!$A$14:$B$16,2,FALSE)</f>
        <v>1</v>
      </c>
      <c r="M89" s="452">
        <f>VLOOKUP(K89,SFAssumptions!$A$18:$B$20,2,FALSE)</f>
        <v>0</v>
      </c>
      <c r="N89" s="453">
        <f ca="1">HLOOKUP($G89,'MHBaselines and Measures'!$C$3:$V$33,7,FALSE)</f>
        <v>4047.8861059902265</v>
      </c>
      <c r="O89" s="454"/>
      <c r="P89" s="455"/>
      <c r="Q89" s="455">
        <f ca="1">HLOOKUP($G89,'MHBaselines and Measures'!$C$3:$V$33,26,FALSE)</f>
        <v>310.54043817056578</v>
      </c>
      <c r="R89" s="455"/>
      <c r="S89" s="456"/>
      <c r="T89" s="456">
        <f ca="1">HLOOKUP($G89,'MHBaselines and Measures'!$C$3:$V$33,30,FALSE)</f>
        <v>11.870594573332779</v>
      </c>
      <c r="U89" s="456"/>
      <c r="V89" s="456"/>
      <c r="W89" s="457"/>
      <c r="X89" s="453"/>
      <c r="Y89" s="454"/>
      <c r="Z89" s="455"/>
      <c r="AA89" s="455">
        <f ca="1">HLOOKUP($H89,'MHBaselines and Measures'!$C$2:$V$33,27,FALSE)</f>
        <v>256.2188281628097</v>
      </c>
      <c r="AB89" s="455"/>
      <c r="AC89" s="456"/>
      <c r="AD89" s="456">
        <f ca="1">HLOOKUP($H89,'MHBaselines and Measures'!$C$2:$V$33,31,FALSE)</f>
        <v>9.7941184378203001</v>
      </c>
      <c r="AE89" s="456"/>
      <c r="AF89" s="456"/>
      <c r="AG89" s="457"/>
      <c r="AH89" s="453"/>
      <c r="AI89" s="454"/>
      <c r="AJ89" s="455"/>
      <c r="AK89" s="455">
        <f t="shared" ca="1" si="35"/>
        <v>54.321610007756078</v>
      </c>
      <c r="AL89" s="455"/>
      <c r="AM89" s="456"/>
      <c r="AN89" s="456">
        <f t="shared" ca="1" si="36"/>
        <v>2.076476135512479</v>
      </c>
      <c r="AO89" s="456"/>
      <c r="AP89" s="456"/>
      <c r="AQ89" s="458"/>
      <c r="AR89" s="452" t="str">
        <f t="shared" si="41"/>
        <v>Any ENERGY STAR (Top- or Front-Load) Clothes Washer - Electric DHW, Gas Dryer - 31% ENERGY STAR Baseline</v>
      </c>
      <c r="AS89" s="454">
        <f t="shared" si="42"/>
        <v>0</v>
      </c>
      <c r="AT89" s="455">
        <f t="shared" ca="1" si="43"/>
        <v>0</v>
      </c>
      <c r="AU89" s="456">
        <f t="shared" ca="1" si="44"/>
        <v>2.076476135512479</v>
      </c>
      <c r="AV89" s="456">
        <f t="shared" si="45"/>
        <v>0</v>
      </c>
      <c r="AW89" s="456"/>
      <c r="AX89" s="455">
        <f t="shared" ca="1" si="37"/>
        <v>4.3233672150637759</v>
      </c>
      <c r="AY89" s="455"/>
      <c r="AZ89" s="458"/>
      <c r="BA89" s="450" t="str">
        <f t="shared" si="38"/>
        <v>Any ENERGY STAR (Top- or Front-Load) Clothes Washer - Electric DHW, Gas Dryer - 31% ENERGY STAR Baseline</v>
      </c>
      <c r="BB89" s="450" t="s">
        <v>26</v>
      </c>
      <c r="BC89" s="455">
        <f t="shared" ca="1" si="46"/>
        <v>0</v>
      </c>
      <c r="BD89" s="455">
        <f>SFAssumptions!$C$7</f>
        <v>14</v>
      </c>
      <c r="BE89" s="459">
        <f t="shared" si="47"/>
        <v>0</v>
      </c>
      <c r="BF89" s="450"/>
      <c r="BG89" s="449" t="s">
        <v>159</v>
      </c>
      <c r="BH89" s="460"/>
      <c r="BI89" s="450"/>
      <c r="BJ89" s="450"/>
      <c r="BK89" s="450"/>
      <c r="BL89" s="450"/>
      <c r="BM89" s="450"/>
      <c r="BN89" s="450"/>
      <c r="BO89" s="461">
        <f t="shared" ca="1" si="48"/>
        <v>2.076476135512479</v>
      </c>
      <c r="BP89" s="450" t="s">
        <v>159</v>
      </c>
    </row>
    <row r="90" spans="1:68" s="309" customFormat="1">
      <c r="A90" s="450">
        <f t="shared" si="39"/>
        <v>13</v>
      </c>
      <c r="B90" s="450">
        <f t="shared" si="3"/>
        <v>1</v>
      </c>
      <c r="C90" s="450">
        <f t="shared" si="4"/>
        <v>13</v>
      </c>
      <c r="D90" s="450">
        <f t="shared" si="5"/>
        <v>3</v>
      </c>
      <c r="E90" s="450">
        <f t="shared" si="6"/>
        <v>3</v>
      </c>
      <c r="F90" s="450"/>
      <c r="G90" s="450" t="str">
        <f t="shared" si="13"/>
        <v>Current Practice Baseline Using 31% ENERGY STAR Penetration</v>
      </c>
      <c r="H90" s="450" t="str">
        <f t="shared" si="40"/>
        <v>Any ENERGY STAR (Top- or Front-Load)</v>
      </c>
      <c r="I90" s="450" t="str">
        <f t="shared" si="7"/>
        <v>Gas DHW, Electric Dryer</v>
      </c>
      <c r="J90" s="450" t="str">
        <f t="shared" si="8"/>
        <v>Gas DHW</v>
      </c>
      <c r="K90" s="450" t="str">
        <f t="shared" si="9"/>
        <v>Electric Dryer</v>
      </c>
      <c r="L90" s="451">
        <f>VLOOKUP(J90,SFAssumptions!$A$14:$B$16,2,FALSE)</f>
        <v>0</v>
      </c>
      <c r="M90" s="452">
        <f>VLOOKUP(K90,SFAssumptions!$A$18:$B$20,2,FALSE)</f>
        <v>1</v>
      </c>
      <c r="N90" s="453">
        <f ca="1">HLOOKUP($G90,'MHBaselines and Measures'!$C$3:$V$33,7,FALSE)</f>
        <v>4047.8861059902265</v>
      </c>
      <c r="O90" s="454"/>
      <c r="P90" s="455"/>
      <c r="Q90" s="455">
        <f ca="1">HLOOKUP($G90,'MHBaselines and Measures'!$C$3:$V$33,26,FALSE)</f>
        <v>310.54043817056578</v>
      </c>
      <c r="R90" s="455"/>
      <c r="S90" s="456"/>
      <c r="T90" s="456">
        <f ca="1">HLOOKUP($G90,'MHBaselines and Measures'!$C$3:$V$33,30,FALSE)</f>
        <v>11.870594573332779</v>
      </c>
      <c r="U90" s="456"/>
      <c r="V90" s="456"/>
      <c r="W90" s="457"/>
      <c r="X90" s="453"/>
      <c r="Y90" s="454"/>
      <c r="Z90" s="455"/>
      <c r="AA90" s="455">
        <f ca="1">HLOOKUP($H90,'MHBaselines and Measures'!$C$2:$V$33,27,FALSE)</f>
        <v>256.2188281628097</v>
      </c>
      <c r="AB90" s="455"/>
      <c r="AC90" s="456"/>
      <c r="AD90" s="456">
        <f ca="1">HLOOKUP($H90,'MHBaselines and Measures'!$C$2:$V$33,31,FALSE)</f>
        <v>9.7941184378203001</v>
      </c>
      <c r="AE90" s="456"/>
      <c r="AF90" s="456"/>
      <c r="AG90" s="457"/>
      <c r="AH90" s="453"/>
      <c r="AI90" s="454"/>
      <c r="AJ90" s="455"/>
      <c r="AK90" s="455">
        <f t="shared" ca="1" si="35"/>
        <v>54.321610007756078</v>
      </c>
      <c r="AL90" s="455"/>
      <c r="AM90" s="456"/>
      <c r="AN90" s="456">
        <f t="shared" ca="1" si="36"/>
        <v>2.076476135512479</v>
      </c>
      <c r="AO90" s="456"/>
      <c r="AP90" s="456"/>
      <c r="AQ90" s="458"/>
      <c r="AR90" s="452" t="str">
        <f t="shared" si="41"/>
        <v>Any ENERGY STAR (Top- or Front-Load) Clothes Washer - Gas DHW, Electric Dryer - 31% ENERGY STAR Baseline</v>
      </c>
      <c r="AS90" s="454">
        <f t="shared" si="42"/>
        <v>0</v>
      </c>
      <c r="AT90" s="455">
        <f t="shared" ca="1" si="43"/>
        <v>54.321610007756078</v>
      </c>
      <c r="AU90" s="456">
        <f t="shared" ca="1" si="44"/>
        <v>0</v>
      </c>
      <c r="AV90" s="456">
        <f t="shared" si="45"/>
        <v>0</v>
      </c>
      <c r="AW90" s="456"/>
      <c r="AX90" s="455">
        <f t="shared" ca="1" si="37"/>
        <v>58.644977222819854</v>
      </c>
      <c r="AY90" s="455"/>
      <c r="AZ90" s="458"/>
      <c r="BA90" s="450" t="str">
        <f t="shared" si="38"/>
        <v>Any ENERGY STAR (Top- or Front-Load) Clothes Washer - Gas DHW, Electric Dryer - 31% ENERGY STAR Baseline</v>
      </c>
      <c r="BB90" s="450" t="s">
        <v>26</v>
      </c>
      <c r="BC90" s="455">
        <f t="shared" ca="1" si="46"/>
        <v>54.321610007756078</v>
      </c>
      <c r="BD90" s="455">
        <f>SFAssumptions!$C$7</f>
        <v>14</v>
      </c>
      <c r="BE90" s="459">
        <f t="shared" si="47"/>
        <v>0</v>
      </c>
      <c r="BF90" s="450"/>
      <c r="BG90" s="449" t="s">
        <v>159</v>
      </c>
      <c r="BH90" s="460"/>
      <c r="BI90" s="450"/>
      <c r="BJ90" s="450"/>
      <c r="BK90" s="450"/>
      <c r="BL90" s="450"/>
      <c r="BM90" s="450"/>
      <c r="BN90" s="450"/>
      <c r="BO90" s="461">
        <f t="shared" ca="1" si="48"/>
        <v>0</v>
      </c>
      <c r="BP90" s="450" t="s">
        <v>159</v>
      </c>
    </row>
    <row r="91" spans="1:68" s="309" customFormat="1">
      <c r="A91" s="450">
        <f t="shared" si="39"/>
        <v>14</v>
      </c>
      <c r="B91" s="450">
        <f t="shared" si="3"/>
        <v>1</v>
      </c>
      <c r="C91" s="450">
        <f t="shared" si="4"/>
        <v>14</v>
      </c>
      <c r="D91" s="450">
        <f t="shared" si="5"/>
        <v>3</v>
      </c>
      <c r="E91" s="450">
        <f t="shared" si="6"/>
        <v>4</v>
      </c>
      <c r="F91" s="450"/>
      <c r="G91" s="450" t="str">
        <f t="shared" si="13"/>
        <v>Current Practice Baseline Using 31% ENERGY STAR Penetration</v>
      </c>
      <c r="H91" s="450" t="str">
        <f t="shared" si="40"/>
        <v>Any ENERGY STAR (Top- or Front-Load)</v>
      </c>
      <c r="I91" s="450" t="str">
        <f t="shared" si="7"/>
        <v>Gas DHW, Gas Dryer</v>
      </c>
      <c r="J91" s="450" t="str">
        <f t="shared" si="8"/>
        <v>Gas DHW</v>
      </c>
      <c r="K91" s="450" t="str">
        <f t="shared" si="9"/>
        <v>Gas Dryer</v>
      </c>
      <c r="L91" s="451">
        <f>VLOOKUP(J91,SFAssumptions!$A$14:$B$16,2,FALSE)</f>
        <v>0</v>
      </c>
      <c r="M91" s="452">
        <f>VLOOKUP(K91,SFAssumptions!$A$18:$B$20,2,FALSE)</f>
        <v>0</v>
      </c>
      <c r="N91" s="453">
        <f ca="1">HLOOKUP($G91,'MHBaselines and Measures'!$C$3:$V$33,7,FALSE)</f>
        <v>4047.8861059902265</v>
      </c>
      <c r="O91" s="454"/>
      <c r="P91" s="455"/>
      <c r="Q91" s="455">
        <f ca="1">HLOOKUP($G91,'MHBaselines and Measures'!$C$3:$V$33,26,FALSE)</f>
        <v>310.54043817056578</v>
      </c>
      <c r="R91" s="455"/>
      <c r="S91" s="456"/>
      <c r="T91" s="456">
        <f ca="1">HLOOKUP($G91,'MHBaselines and Measures'!$C$3:$V$33,30,FALSE)</f>
        <v>11.870594573332779</v>
      </c>
      <c r="U91" s="456"/>
      <c r="V91" s="456"/>
      <c r="W91" s="457"/>
      <c r="X91" s="453"/>
      <c r="Y91" s="454"/>
      <c r="Z91" s="455"/>
      <c r="AA91" s="455">
        <f ca="1">HLOOKUP($H91,'MHBaselines and Measures'!$C$2:$V$33,27,FALSE)</f>
        <v>256.2188281628097</v>
      </c>
      <c r="AB91" s="455"/>
      <c r="AC91" s="456"/>
      <c r="AD91" s="456">
        <f ca="1">HLOOKUP($H91,'MHBaselines and Measures'!$C$2:$V$33,31,FALSE)</f>
        <v>9.7941184378203001</v>
      </c>
      <c r="AE91" s="456"/>
      <c r="AF91" s="456"/>
      <c r="AG91" s="457"/>
      <c r="AH91" s="453"/>
      <c r="AI91" s="454"/>
      <c r="AJ91" s="455"/>
      <c r="AK91" s="455">
        <f t="shared" ca="1" si="35"/>
        <v>54.321610007756078</v>
      </c>
      <c r="AL91" s="455"/>
      <c r="AM91" s="456"/>
      <c r="AN91" s="456">
        <f t="shared" ca="1" si="36"/>
        <v>2.076476135512479</v>
      </c>
      <c r="AO91" s="456"/>
      <c r="AP91" s="456"/>
      <c r="AQ91" s="458"/>
      <c r="AR91" s="452" t="str">
        <f t="shared" si="41"/>
        <v>Any ENERGY STAR (Top- or Front-Load) Clothes Washer - Gas DHW, Gas Dryer - 31% ENERGY STAR Baseline</v>
      </c>
      <c r="AS91" s="454">
        <f t="shared" si="42"/>
        <v>0</v>
      </c>
      <c r="AT91" s="455">
        <f t="shared" ca="1" si="43"/>
        <v>0</v>
      </c>
      <c r="AU91" s="456">
        <f t="shared" ca="1" si="44"/>
        <v>2.076476135512479</v>
      </c>
      <c r="AV91" s="456">
        <f t="shared" si="45"/>
        <v>0</v>
      </c>
      <c r="AW91" s="456"/>
      <c r="AX91" s="455">
        <f t="shared" ca="1" si="37"/>
        <v>4.3233672150637759</v>
      </c>
      <c r="AY91" s="455"/>
      <c r="AZ91" s="458"/>
      <c r="BA91" s="450" t="str">
        <f t="shared" si="38"/>
        <v>Any ENERGY STAR (Top- or Front-Load) Clothes Washer - Gas DHW, Gas Dryer - 31% ENERGY STAR Baseline</v>
      </c>
      <c r="BB91" s="450" t="s">
        <v>26</v>
      </c>
      <c r="BC91" s="455">
        <f t="shared" ca="1" si="46"/>
        <v>0</v>
      </c>
      <c r="BD91" s="455">
        <f>SFAssumptions!$C$7</f>
        <v>14</v>
      </c>
      <c r="BE91" s="459">
        <f t="shared" si="47"/>
        <v>0</v>
      </c>
      <c r="BF91" s="450"/>
      <c r="BG91" s="449" t="s">
        <v>159</v>
      </c>
      <c r="BH91" s="460"/>
      <c r="BI91" s="450"/>
      <c r="BJ91" s="450"/>
      <c r="BK91" s="450"/>
      <c r="BL91" s="450"/>
      <c r="BM91" s="450"/>
      <c r="BN91" s="450"/>
      <c r="BO91" s="461">
        <f t="shared" ca="1" si="48"/>
        <v>2.076476135512479</v>
      </c>
      <c r="BP91" s="450" t="s">
        <v>159</v>
      </c>
    </row>
    <row r="92" spans="1:68" s="309" customFormat="1">
      <c r="A92" s="450">
        <f t="shared" si="39"/>
        <v>15</v>
      </c>
      <c r="B92" s="450">
        <f t="shared" si="3"/>
        <v>1</v>
      </c>
      <c r="C92" s="450">
        <f t="shared" si="4"/>
        <v>15</v>
      </c>
      <c r="D92" s="450">
        <f t="shared" si="5"/>
        <v>3</v>
      </c>
      <c r="E92" s="450">
        <f t="shared" si="6"/>
        <v>5</v>
      </c>
      <c r="F92" s="450"/>
      <c r="G92" s="450" t="str">
        <f t="shared" si="13"/>
        <v>Current Practice Baseline Using 31% ENERGY STAR Penetration</v>
      </c>
      <c r="H92" s="450" t="str">
        <f t="shared" si="40"/>
        <v>Any ENERGY STAR (Top- or Front-Load)</v>
      </c>
      <c r="I92" s="450" t="str">
        <f t="shared" si="7"/>
        <v>Any DHW, Any Dryer</v>
      </c>
      <c r="J92" s="450" t="str">
        <f t="shared" si="8"/>
        <v>Any DHW</v>
      </c>
      <c r="K92" s="450" t="str">
        <f t="shared" si="9"/>
        <v>Any Dryer</v>
      </c>
      <c r="L92" s="451">
        <f>VLOOKUP(J92,SFAssumptions!$A$14:$B$16,2,FALSE)</f>
        <v>0.55200000000000005</v>
      </c>
      <c r="M92" s="452">
        <f>VLOOKUP(K92,SFAssumptions!$A$18:$B$20,2,FALSE)</f>
        <v>0.95</v>
      </c>
      <c r="N92" s="453">
        <f ca="1">HLOOKUP($G92,'MHBaselines and Measures'!$C$3:$V$33,7,FALSE)</f>
        <v>4047.8861059902265</v>
      </c>
      <c r="O92" s="454"/>
      <c r="P92" s="455"/>
      <c r="Q92" s="455">
        <f ca="1">HLOOKUP($G92,'MHBaselines and Measures'!$C$3:$V$33,26,FALSE)</f>
        <v>310.54043817056578</v>
      </c>
      <c r="R92" s="455"/>
      <c r="S92" s="456"/>
      <c r="T92" s="456">
        <f ca="1">HLOOKUP($G92,'MHBaselines and Measures'!$C$3:$V$33,30,FALSE)</f>
        <v>11.870594573332779</v>
      </c>
      <c r="U92" s="456"/>
      <c r="V92" s="456"/>
      <c r="W92" s="457"/>
      <c r="X92" s="453"/>
      <c r="Y92" s="454"/>
      <c r="Z92" s="455"/>
      <c r="AA92" s="455">
        <f ca="1">HLOOKUP($H92,'MHBaselines and Measures'!$C$2:$V$33,27,FALSE)</f>
        <v>256.2188281628097</v>
      </c>
      <c r="AB92" s="455"/>
      <c r="AC92" s="456"/>
      <c r="AD92" s="456">
        <f ca="1">HLOOKUP($H92,'MHBaselines and Measures'!$C$2:$V$33,31,FALSE)</f>
        <v>9.7941184378203001</v>
      </c>
      <c r="AE92" s="456"/>
      <c r="AF92" s="456"/>
      <c r="AG92" s="457"/>
      <c r="AH92" s="453"/>
      <c r="AI92" s="454"/>
      <c r="AJ92" s="455"/>
      <c r="AK92" s="455">
        <f t="shared" ca="1" si="35"/>
        <v>54.321610007756078</v>
      </c>
      <c r="AL92" s="455"/>
      <c r="AM92" s="456"/>
      <c r="AN92" s="456">
        <f t="shared" ca="1" si="36"/>
        <v>2.076476135512479</v>
      </c>
      <c r="AO92" s="456"/>
      <c r="AP92" s="456"/>
      <c r="AQ92" s="458"/>
      <c r="AR92" s="452" t="str">
        <f t="shared" si="41"/>
        <v>Any ENERGY STAR (Top- or Front-Load) Clothes Washer - Any DHW, Any Dryer - 31% ENERGY STAR Baseline</v>
      </c>
      <c r="AS92" s="454">
        <f t="shared" si="42"/>
        <v>0</v>
      </c>
      <c r="AT92" s="455">
        <f t="shared" ca="1" si="43"/>
        <v>51.605529507368274</v>
      </c>
      <c r="AU92" s="456">
        <f t="shared" ca="1" si="44"/>
        <v>0.10382380677562404</v>
      </c>
      <c r="AV92" s="456">
        <f t="shared" si="45"/>
        <v>0</v>
      </c>
      <c r="AW92" s="456"/>
      <c r="AX92" s="455">
        <f t="shared" ca="1" si="37"/>
        <v>55.92889672243205</v>
      </c>
      <c r="AY92" s="455"/>
      <c r="AZ92" s="458"/>
      <c r="BA92" s="450" t="str">
        <f t="shared" si="38"/>
        <v>Any ENERGY STAR (Top- or Front-Load) Clothes Washer - Any DHW, Any Dryer - 31% ENERGY STAR Baseline</v>
      </c>
      <c r="BB92" s="450" t="s">
        <v>26</v>
      </c>
      <c r="BC92" s="455">
        <f t="shared" ca="1" si="46"/>
        <v>51.605529507368274</v>
      </c>
      <c r="BD92" s="455">
        <f>SFAssumptions!$C$7</f>
        <v>14</v>
      </c>
      <c r="BE92" s="459">
        <f t="shared" si="47"/>
        <v>0</v>
      </c>
      <c r="BF92" s="450"/>
      <c r="BG92" s="449" t="s">
        <v>159</v>
      </c>
      <c r="BH92" s="460"/>
      <c r="BI92" s="450"/>
      <c r="BJ92" s="450"/>
      <c r="BK92" s="450"/>
      <c r="BL92" s="450"/>
      <c r="BM92" s="450"/>
      <c r="BN92" s="450"/>
      <c r="BO92" s="461">
        <f t="shared" ca="1" si="48"/>
        <v>0.10382380677562404</v>
      </c>
      <c r="BP92" s="450" t="s">
        <v>159</v>
      </c>
    </row>
    <row r="93" spans="1:68" s="309" customFormat="1">
      <c r="A93" s="450">
        <f t="shared" si="39"/>
        <v>16</v>
      </c>
      <c r="B93" s="450">
        <f t="shared" si="3"/>
        <v>1</v>
      </c>
      <c r="C93" s="450">
        <f t="shared" si="4"/>
        <v>16</v>
      </c>
      <c r="D93" s="450">
        <f t="shared" si="5"/>
        <v>4</v>
      </c>
      <c r="E93" s="450">
        <f t="shared" si="6"/>
        <v>1</v>
      </c>
      <c r="F93" s="450"/>
      <c r="G93" s="450" t="str">
        <f t="shared" si="13"/>
        <v>Current Practice Baseline Using 31% ENERGY STAR Penetration</v>
      </c>
      <c r="H93" s="450" t="str">
        <f t="shared" si="40"/>
        <v>CEE Tier 1</v>
      </c>
      <c r="I93" s="450" t="str">
        <f t="shared" si="7"/>
        <v>Electric DHW, Electric Dryer</v>
      </c>
      <c r="J93" s="450" t="str">
        <f t="shared" si="8"/>
        <v>Electric DHW</v>
      </c>
      <c r="K93" s="450" t="str">
        <f t="shared" si="9"/>
        <v>Electric Dryer</v>
      </c>
      <c r="L93" s="451">
        <f>VLOOKUP(J93,SFAssumptions!$A$14:$B$16,2,FALSE)</f>
        <v>1</v>
      </c>
      <c r="M93" s="452">
        <f>VLOOKUP(K93,SFAssumptions!$A$18:$B$20,2,FALSE)</f>
        <v>1</v>
      </c>
      <c r="N93" s="453">
        <f ca="1">HLOOKUP($G93,'MHBaselines and Measures'!$C$3:$V$33,7,FALSE)</f>
        <v>4047.8861059902265</v>
      </c>
      <c r="O93" s="454"/>
      <c r="P93" s="455"/>
      <c r="Q93" s="455">
        <f ca="1">HLOOKUP($G93,'MHBaselines and Measures'!$C$3:$V$33,26,FALSE)</f>
        <v>310.54043817056578</v>
      </c>
      <c r="R93" s="455"/>
      <c r="S93" s="456"/>
      <c r="T93" s="456">
        <f ca="1">HLOOKUP($G93,'MHBaselines and Measures'!$C$3:$V$33,30,FALSE)</f>
        <v>11.870594573332779</v>
      </c>
      <c r="U93" s="456"/>
      <c r="V93" s="456"/>
      <c r="W93" s="457"/>
      <c r="X93" s="453"/>
      <c r="Y93" s="454"/>
      <c r="Z93" s="455"/>
      <c r="AA93" s="455">
        <f ca="1">HLOOKUP($H93,'MHBaselines and Measures'!$C$2:$V$33,27,FALSE)</f>
        <v>256.73635931919466</v>
      </c>
      <c r="AB93" s="455"/>
      <c r="AC93" s="456"/>
      <c r="AD93" s="456">
        <f ca="1">HLOOKUP($H93,'MHBaselines and Measures'!$C$2:$V$33,31,FALSE)</f>
        <v>9.813901376791808</v>
      </c>
      <c r="AE93" s="456"/>
      <c r="AF93" s="456"/>
      <c r="AG93" s="457"/>
      <c r="AH93" s="453"/>
      <c r="AI93" s="454"/>
      <c r="AJ93" s="455"/>
      <c r="AK93" s="455">
        <f t="shared" ca="1" si="35"/>
        <v>53.804078851371116</v>
      </c>
      <c r="AL93" s="455"/>
      <c r="AM93" s="456"/>
      <c r="AN93" s="456">
        <f t="shared" ca="1" si="36"/>
        <v>2.0566931965409712</v>
      </c>
      <c r="AO93" s="456"/>
      <c r="AP93" s="456"/>
      <c r="AQ93" s="458"/>
      <c r="AR93" s="452" t="str">
        <f t="shared" si="41"/>
        <v>CEE Tier 1 Clothes Washer - Electric DHW, Electric Dryer - 31% ENERGY STAR Baseline</v>
      </c>
      <c r="AS93" s="454">
        <f t="shared" si="42"/>
        <v>0</v>
      </c>
      <c r="AT93" s="455">
        <f t="shared" ca="1" si="43"/>
        <v>53.804078851371116</v>
      </c>
      <c r="AU93" s="456">
        <f t="shared" ca="1" si="44"/>
        <v>0</v>
      </c>
      <c r="AV93" s="456">
        <f t="shared" si="45"/>
        <v>0</v>
      </c>
      <c r="AW93" s="456"/>
      <c r="AX93" s="455">
        <f t="shared" ca="1" si="37"/>
        <v>53.194852501629654</v>
      </c>
      <c r="AY93" s="455"/>
      <c r="AZ93" s="458"/>
      <c r="BA93" s="450" t="str">
        <f t="shared" si="38"/>
        <v>CEE Tier 1 Clothes Washer - Electric DHW, Electric Dryer - 31% ENERGY STAR Baseline</v>
      </c>
      <c r="BB93" s="450" t="s">
        <v>26</v>
      </c>
      <c r="BC93" s="455">
        <f t="shared" ca="1" si="46"/>
        <v>53.804078851371116</v>
      </c>
      <c r="BD93" s="455">
        <f>SFAssumptions!$C$7</f>
        <v>14</v>
      </c>
      <c r="BE93" s="459">
        <f t="shared" si="47"/>
        <v>0</v>
      </c>
      <c r="BF93" s="450"/>
      <c r="BG93" s="449" t="s">
        <v>159</v>
      </c>
      <c r="BH93" s="460"/>
      <c r="BI93" s="450"/>
      <c r="BJ93" s="450"/>
      <c r="BK93" s="450"/>
      <c r="BL93" s="450"/>
      <c r="BM93" s="450"/>
      <c r="BN93" s="450"/>
      <c r="BO93" s="461">
        <f t="shared" ca="1" si="48"/>
        <v>0</v>
      </c>
      <c r="BP93" s="450" t="s">
        <v>159</v>
      </c>
    </row>
    <row r="94" spans="1:68" s="309" customFormat="1">
      <c r="A94" s="450">
        <f t="shared" si="39"/>
        <v>17</v>
      </c>
      <c r="B94" s="450">
        <f t="shared" si="3"/>
        <v>1</v>
      </c>
      <c r="C94" s="450">
        <f t="shared" si="4"/>
        <v>17</v>
      </c>
      <c r="D94" s="450">
        <f t="shared" si="5"/>
        <v>4</v>
      </c>
      <c r="E94" s="450">
        <f t="shared" si="6"/>
        <v>2</v>
      </c>
      <c r="F94" s="450"/>
      <c r="G94" s="450" t="str">
        <f t="shared" si="13"/>
        <v>Current Practice Baseline Using 31% ENERGY STAR Penetration</v>
      </c>
      <c r="H94" s="450" t="str">
        <f t="shared" si="40"/>
        <v>CEE Tier 1</v>
      </c>
      <c r="I94" s="450" t="str">
        <f t="shared" si="7"/>
        <v>Electric DHW, Gas Dryer</v>
      </c>
      <c r="J94" s="450" t="str">
        <f t="shared" si="8"/>
        <v>Electric DHW</v>
      </c>
      <c r="K94" s="450" t="str">
        <f t="shared" si="9"/>
        <v>Gas Dryer</v>
      </c>
      <c r="L94" s="451">
        <f>VLOOKUP(J94,SFAssumptions!$A$14:$B$16,2,FALSE)</f>
        <v>1</v>
      </c>
      <c r="M94" s="452">
        <f>VLOOKUP(K94,SFAssumptions!$A$18:$B$20,2,FALSE)</f>
        <v>0</v>
      </c>
      <c r="N94" s="453">
        <f ca="1">HLOOKUP($G94,'MHBaselines and Measures'!$C$3:$V$33,7,FALSE)</f>
        <v>4047.8861059902265</v>
      </c>
      <c r="O94" s="454"/>
      <c r="P94" s="455"/>
      <c r="Q94" s="455">
        <f ca="1">HLOOKUP($G94,'MHBaselines and Measures'!$C$3:$V$33,26,FALSE)</f>
        <v>310.54043817056578</v>
      </c>
      <c r="R94" s="455"/>
      <c r="S94" s="456"/>
      <c r="T94" s="456">
        <f ca="1">HLOOKUP($G94,'MHBaselines and Measures'!$C$3:$V$33,30,FALSE)</f>
        <v>11.870594573332779</v>
      </c>
      <c r="U94" s="456"/>
      <c r="V94" s="456"/>
      <c r="W94" s="457"/>
      <c r="X94" s="453"/>
      <c r="Y94" s="454"/>
      <c r="Z94" s="455"/>
      <c r="AA94" s="455">
        <f ca="1">HLOOKUP($H94,'MHBaselines and Measures'!$C$2:$V$33,27,FALSE)</f>
        <v>256.73635931919466</v>
      </c>
      <c r="AB94" s="455"/>
      <c r="AC94" s="456"/>
      <c r="AD94" s="456">
        <f ca="1">HLOOKUP($H94,'MHBaselines and Measures'!$C$2:$V$33,31,FALSE)</f>
        <v>9.813901376791808</v>
      </c>
      <c r="AE94" s="456"/>
      <c r="AF94" s="456"/>
      <c r="AG94" s="457"/>
      <c r="AH94" s="453"/>
      <c r="AI94" s="454"/>
      <c r="AJ94" s="455"/>
      <c r="AK94" s="455">
        <f t="shared" ca="1" si="35"/>
        <v>53.804078851371116</v>
      </c>
      <c r="AL94" s="455"/>
      <c r="AM94" s="456"/>
      <c r="AN94" s="456">
        <f t="shared" ca="1" si="36"/>
        <v>2.0566931965409712</v>
      </c>
      <c r="AO94" s="456"/>
      <c r="AP94" s="456"/>
      <c r="AQ94" s="458"/>
      <c r="AR94" s="452" t="str">
        <f t="shared" si="41"/>
        <v>CEE Tier 1 Clothes Washer - Electric DHW, Gas Dryer - 31% ENERGY STAR Baseline</v>
      </c>
      <c r="AS94" s="454">
        <f t="shared" si="42"/>
        <v>0</v>
      </c>
      <c r="AT94" s="455">
        <f t="shared" ca="1" si="43"/>
        <v>0</v>
      </c>
      <c r="AU94" s="456">
        <f t="shared" ca="1" si="44"/>
        <v>2.0566931965409712</v>
      </c>
      <c r="AV94" s="456">
        <f t="shared" si="45"/>
        <v>0</v>
      </c>
      <c r="AW94" s="456"/>
      <c r="AX94" s="455">
        <f t="shared" ca="1" si="37"/>
        <v>-0.60922634974146261</v>
      </c>
      <c r="AY94" s="455"/>
      <c r="AZ94" s="458"/>
      <c r="BA94" s="450" t="str">
        <f t="shared" si="38"/>
        <v>CEE Tier 1 Clothes Washer - Electric DHW, Gas Dryer - 31% ENERGY STAR Baseline</v>
      </c>
      <c r="BB94" s="450" t="s">
        <v>26</v>
      </c>
      <c r="BC94" s="455">
        <f t="shared" ca="1" si="46"/>
        <v>0</v>
      </c>
      <c r="BD94" s="455">
        <f>SFAssumptions!$C$7</f>
        <v>14</v>
      </c>
      <c r="BE94" s="459">
        <f t="shared" si="47"/>
        <v>0</v>
      </c>
      <c r="BF94" s="450"/>
      <c r="BG94" s="449" t="s">
        <v>159</v>
      </c>
      <c r="BH94" s="460"/>
      <c r="BI94" s="450"/>
      <c r="BJ94" s="450"/>
      <c r="BK94" s="450"/>
      <c r="BL94" s="450"/>
      <c r="BM94" s="450"/>
      <c r="BN94" s="450"/>
      <c r="BO94" s="461">
        <f t="shared" ca="1" si="48"/>
        <v>2.0566931965409712</v>
      </c>
      <c r="BP94" s="450" t="s">
        <v>159</v>
      </c>
    </row>
    <row r="95" spans="1:68" s="309" customFormat="1">
      <c r="A95" s="450">
        <f t="shared" si="39"/>
        <v>18</v>
      </c>
      <c r="B95" s="450">
        <f t="shared" si="3"/>
        <v>1</v>
      </c>
      <c r="C95" s="450">
        <f t="shared" si="4"/>
        <v>18</v>
      </c>
      <c r="D95" s="450">
        <f t="shared" si="5"/>
        <v>4</v>
      </c>
      <c r="E95" s="450">
        <f t="shared" si="6"/>
        <v>3</v>
      </c>
      <c r="F95" s="450"/>
      <c r="G95" s="450" t="str">
        <f t="shared" si="13"/>
        <v>Current Practice Baseline Using 31% ENERGY STAR Penetration</v>
      </c>
      <c r="H95" s="450" t="str">
        <f t="shared" si="40"/>
        <v>CEE Tier 1</v>
      </c>
      <c r="I95" s="450" t="str">
        <f t="shared" si="7"/>
        <v>Gas DHW, Electric Dryer</v>
      </c>
      <c r="J95" s="450" t="str">
        <f t="shared" si="8"/>
        <v>Gas DHW</v>
      </c>
      <c r="K95" s="450" t="str">
        <f t="shared" si="9"/>
        <v>Electric Dryer</v>
      </c>
      <c r="L95" s="451">
        <f>VLOOKUP(J95,SFAssumptions!$A$14:$B$16,2,FALSE)</f>
        <v>0</v>
      </c>
      <c r="M95" s="452">
        <f>VLOOKUP(K95,SFAssumptions!$A$18:$B$20,2,FALSE)</f>
        <v>1</v>
      </c>
      <c r="N95" s="453">
        <f ca="1">HLOOKUP($G95,'MHBaselines and Measures'!$C$3:$V$33,7,FALSE)</f>
        <v>4047.8861059902265</v>
      </c>
      <c r="O95" s="454"/>
      <c r="P95" s="455"/>
      <c r="Q95" s="455">
        <f ca="1">HLOOKUP($G95,'MHBaselines and Measures'!$C$3:$V$33,26,FALSE)</f>
        <v>310.54043817056578</v>
      </c>
      <c r="R95" s="455"/>
      <c r="S95" s="456"/>
      <c r="T95" s="456">
        <f ca="1">HLOOKUP($G95,'MHBaselines and Measures'!$C$3:$V$33,30,FALSE)</f>
        <v>11.870594573332779</v>
      </c>
      <c r="U95" s="456"/>
      <c r="V95" s="456"/>
      <c r="W95" s="457"/>
      <c r="X95" s="453"/>
      <c r="Y95" s="454"/>
      <c r="Z95" s="455"/>
      <c r="AA95" s="455">
        <f ca="1">HLOOKUP($H95,'MHBaselines and Measures'!$C$2:$V$33,27,FALSE)</f>
        <v>256.73635931919466</v>
      </c>
      <c r="AB95" s="455"/>
      <c r="AC95" s="456"/>
      <c r="AD95" s="456">
        <f ca="1">HLOOKUP($H95,'MHBaselines and Measures'!$C$2:$V$33,31,FALSE)</f>
        <v>9.813901376791808</v>
      </c>
      <c r="AE95" s="456"/>
      <c r="AF95" s="456"/>
      <c r="AG95" s="457"/>
      <c r="AH95" s="453"/>
      <c r="AI95" s="454"/>
      <c r="AJ95" s="455"/>
      <c r="AK95" s="455">
        <f t="shared" ca="1" si="35"/>
        <v>53.804078851371116</v>
      </c>
      <c r="AL95" s="455"/>
      <c r="AM95" s="456"/>
      <c r="AN95" s="456">
        <f t="shared" ca="1" si="36"/>
        <v>2.0566931965409712</v>
      </c>
      <c r="AO95" s="456"/>
      <c r="AP95" s="456"/>
      <c r="AQ95" s="458"/>
      <c r="AR95" s="452" t="str">
        <f t="shared" si="41"/>
        <v>CEE Tier 1 Clothes Washer - Gas DHW, Electric Dryer - 31% ENERGY STAR Baseline</v>
      </c>
      <c r="AS95" s="454">
        <f t="shared" si="42"/>
        <v>0</v>
      </c>
      <c r="AT95" s="455">
        <f t="shared" ca="1" si="43"/>
        <v>53.804078851371116</v>
      </c>
      <c r="AU95" s="456">
        <f t="shared" ca="1" si="44"/>
        <v>0</v>
      </c>
      <c r="AV95" s="456">
        <f t="shared" si="45"/>
        <v>0</v>
      </c>
      <c r="AW95" s="456"/>
      <c r="AX95" s="455">
        <f t="shared" ca="1" si="37"/>
        <v>53.194852501629654</v>
      </c>
      <c r="AY95" s="455"/>
      <c r="AZ95" s="458"/>
      <c r="BA95" s="450" t="str">
        <f t="shared" si="38"/>
        <v>CEE Tier 1 Clothes Washer - Gas DHW, Electric Dryer - 31% ENERGY STAR Baseline</v>
      </c>
      <c r="BB95" s="450" t="s">
        <v>26</v>
      </c>
      <c r="BC95" s="455">
        <f t="shared" ca="1" si="46"/>
        <v>53.804078851371116</v>
      </c>
      <c r="BD95" s="455">
        <f>SFAssumptions!$C$7</f>
        <v>14</v>
      </c>
      <c r="BE95" s="459">
        <f t="shared" si="47"/>
        <v>0</v>
      </c>
      <c r="BF95" s="450"/>
      <c r="BG95" s="449" t="s">
        <v>159</v>
      </c>
      <c r="BH95" s="460"/>
      <c r="BI95" s="450"/>
      <c r="BJ95" s="450"/>
      <c r="BK95" s="450"/>
      <c r="BL95" s="450"/>
      <c r="BM95" s="450"/>
      <c r="BN95" s="450"/>
      <c r="BO95" s="461">
        <f t="shared" ca="1" si="48"/>
        <v>0</v>
      </c>
      <c r="BP95" s="450" t="s">
        <v>159</v>
      </c>
    </row>
    <row r="96" spans="1:68" s="309" customFormat="1">
      <c r="A96" s="450">
        <f t="shared" si="39"/>
        <v>19</v>
      </c>
      <c r="B96" s="450">
        <f t="shared" si="3"/>
        <v>1</v>
      </c>
      <c r="C96" s="450">
        <f t="shared" si="4"/>
        <v>19</v>
      </c>
      <c r="D96" s="450">
        <f t="shared" si="5"/>
        <v>4</v>
      </c>
      <c r="E96" s="450">
        <f t="shared" si="6"/>
        <v>4</v>
      </c>
      <c r="F96" s="450"/>
      <c r="G96" s="450" t="str">
        <f t="shared" si="13"/>
        <v>Current Practice Baseline Using 31% ENERGY STAR Penetration</v>
      </c>
      <c r="H96" s="450" t="str">
        <f t="shared" si="40"/>
        <v>CEE Tier 1</v>
      </c>
      <c r="I96" s="450" t="str">
        <f t="shared" si="7"/>
        <v>Gas DHW, Gas Dryer</v>
      </c>
      <c r="J96" s="450" t="str">
        <f t="shared" si="8"/>
        <v>Gas DHW</v>
      </c>
      <c r="K96" s="450" t="str">
        <f t="shared" si="9"/>
        <v>Gas Dryer</v>
      </c>
      <c r="L96" s="451">
        <f>VLOOKUP(J96,SFAssumptions!$A$14:$B$16,2,FALSE)</f>
        <v>0</v>
      </c>
      <c r="M96" s="452">
        <f>VLOOKUP(K96,SFAssumptions!$A$18:$B$20,2,FALSE)</f>
        <v>0</v>
      </c>
      <c r="N96" s="453">
        <f ca="1">HLOOKUP($G96,'MHBaselines and Measures'!$C$3:$V$33,7,FALSE)</f>
        <v>4047.8861059902265</v>
      </c>
      <c r="O96" s="454"/>
      <c r="P96" s="455"/>
      <c r="Q96" s="455">
        <f ca="1">HLOOKUP($G96,'MHBaselines and Measures'!$C$3:$V$33,26,FALSE)</f>
        <v>310.54043817056578</v>
      </c>
      <c r="R96" s="455"/>
      <c r="S96" s="456"/>
      <c r="T96" s="456">
        <f ca="1">HLOOKUP($G96,'MHBaselines and Measures'!$C$3:$V$33,30,FALSE)</f>
        <v>11.870594573332779</v>
      </c>
      <c r="U96" s="456"/>
      <c r="V96" s="456"/>
      <c r="W96" s="457"/>
      <c r="X96" s="453"/>
      <c r="Y96" s="454"/>
      <c r="Z96" s="455"/>
      <c r="AA96" s="455">
        <f ca="1">HLOOKUP($H96,'MHBaselines and Measures'!$C$2:$V$33,27,FALSE)</f>
        <v>256.73635931919466</v>
      </c>
      <c r="AB96" s="455"/>
      <c r="AC96" s="456"/>
      <c r="AD96" s="456">
        <f ca="1">HLOOKUP($H96,'MHBaselines and Measures'!$C$2:$V$33,31,FALSE)</f>
        <v>9.813901376791808</v>
      </c>
      <c r="AE96" s="456"/>
      <c r="AF96" s="456"/>
      <c r="AG96" s="457"/>
      <c r="AH96" s="453"/>
      <c r="AI96" s="454"/>
      <c r="AJ96" s="455"/>
      <c r="AK96" s="455">
        <f t="shared" ca="1" si="35"/>
        <v>53.804078851371116</v>
      </c>
      <c r="AL96" s="455"/>
      <c r="AM96" s="456"/>
      <c r="AN96" s="456">
        <f t="shared" ca="1" si="36"/>
        <v>2.0566931965409712</v>
      </c>
      <c r="AO96" s="456"/>
      <c r="AP96" s="456"/>
      <c r="AQ96" s="458"/>
      <c r="AR96" s="452" t="str">
        <f t="shared" si="41"/>
        <v>CEE Tier 1 Clothes Washer - Gas DHW, Gas Dryer - 31% ENERGY STAR Baseline</v>
      </c>
      <c r="AS96" s="454">
        <f t="shared" si="42"/>
        <v>0</v>
      </c>
      <c r="AT96" s="455">
        <f t="shared" ca="1" si="43"/>
        <v>0</v>
      </c>
      <c r="AU96" s="456">
        <f t="shared" ca="1" si="44"/>
        <v>2.0566931965409712</v>
      </c>
      <c r="AV96" s="456">
        <f t="shared" si="45"/>
        <v>0</v>
      </c>
      <c r="AW96" s="456"/>
      <c r="AX96" s="455">
        <f t="shared" ca="1" si="37"/>
        <v>-0.60922634974146261</v>
      </c>
      <c r="AY96" s="455"/>
      <c r="AZ96" s="458"/>
      <c r="BA96" s="450" t="str">
        <f t="shared" si="38"/>
        <v>CEE Tier 1 Clothes Washer - Gas DHW, Gas Dryer - 31% ENERGY STAR Baseline</v>
      </c>
      <c r="BB96" s="450" t="s">
        <v>26</v>
      </c>
      <c r="BC96" s="455">
        <f t="shared" ca="1" si="46"/>
        <v>0</v>
      </c>
      <c r="BD96" s="455">
        <f>SFAssumptions!$C$7</f>
        <v>14</v>
      </c>
      <c r="BE96" s="459">
        <f t="shared" si="47"/>
        <v>0</v>
      </c>
      <c r="BF96" s="450"/>
      <c r="BG96" s="449" t="s">
        <v>159</v>
      </c>
      <c r="BH96" s="460"/>
      <c r="BI96" s="450"/>
      <c r="BJ96" s="450"/>
      <c r="BK96" s="450"/>
      <c r="BL96" s="450"/>
      <c r="BM96" s="450"/>
      <c r="BN96" s="450"/>
      <c r="BO96" s="461">
        <f t="shared" ca="1" si="48"/>
        <v>2.0566931965409712</v>
      </c>
      <c r="BP96" s="450" t="s">
        <v>159</v>
      </c>
    </row>
    <row r="97" spans="1:68" s="309" customFormat="1">
      <c r="A97" s="450">
        <f t="shared" si="39"/>
        <v>20</v>
      </c>
      <c r="B97" s="450">
        <f t="shared" si="3"/>
        <v>1</v>
      </c>
      <c r="C97" s="450">
        <f t="shared" si="4"/>
        <v>20</v>
      </c>
      <c r="D97" s="450">
        <f t="shared" si="5"/>
        <v>4</v>
      </c>
      <c r="E97" s="450">
        <f t="shared" si="6"/>
        <v>5</v>
      </c>
      <c r="F97" s="450"/>
      <c r="G97" s="450" t="str">
        <f t="shared" si="13"/>
        <v>Current Practice Baseline Using 31% ENERGY STAR Penetration</v>
      </c>
      <c r="H97" s="450" t="str">
        <f t="shared" si="40"/>
        <v>CEE Tier 1</v>
      </c>
      <c r="I97" s="450" t="str">
        <f t="shared" si="7"/>
        <v>Any DHW, Any Dryer</v>
      </c>
      <c r="J97" s="450" t="str">
        <f t="shared" si="8"/>
        <v>Any DHW</v>
      </c>
      <c r="K97" s="450" t="str">
        <f t="shared" si="9"/>
        <v>Any Dryer</v>
      </c>
      <c r="L97" s="451">
        <f>VLOOKUP(J97,SFAssumptions!$A$14:$B$16,2,FALSE)</f>
        <v>0.55200000000000005</v>
      </c>
      <c r="M97" s="452">
        <f>VLOOKUP(K97,SFAssumptions!$A$18:$B$20,2,FALSE)</f>
        <v>0.95</v>
      </c>
      <c r="N97" s="453">
        <f ca="1">HLOOKUP($G97,'MHBaselines and Measures'!$C$3:$V$33,7,FALSE)</f>
        <v>4047.8861059902265</v>
      </c>
      <c r="O97" s="454"/>
      <c r="P97" s="455"/>
      <c r="Q97" s="455">
        <f ca="1">HLOOKUP($G97,'MHBaselines and Measures'!$C$3:$V$33,26,FALSE)</f>
        <v>310.54043817056578</v>
      </c>
      <c r="R97" s="455"/>
      <c r="S97" s="456"/>
      <c r="T97" s="456">
        <f ca="1">HLOOKUP($G97,'MHBaselines and Measures'!$C$3:$V$33,30,FALSE)</f>
        <v>11.870594573332779</v>
      </c>
      <c r="U97" s="456"/>
      <c r="V97" s="456"/>
      <c r="W97" s="457"/>
      <c r="X97" s="453"/>
      <c r="Y97" s="454"/>
      <c r="Z97" s="455"/>
      <c r="AA97" s="455">
        <f ca="1">HLOOKUP($H97,'MHBaselines and Measures'!$C$2:$V$33,27,FALSE)</f>
        <v>256.73635931919466</v>
      </c>
      <c r="AB97" s="455"/>
      <c r="AC97" s="456"/>
      <c r="AD97" s="456">
        <f ca="1">HLOOKUP($H97,'MHBaselines and Measures'!$C$2:$V$33,31,FALSE)</f>
        <v>9.813901376791808</v>
      </c>
      <c r="AE97" s="456"/>
      <c r="AF97" s="456"/>
      <c r="AG97" s="457"/>
      <c r="AH97" s="453"/>
      <c r="AI97" s="454"/>
      <c r="AJ97" s="455"/>
      <c r="AK97" s="455">
        <f t="shared" ca="1" si="35"/>
        <v>53.804078851371116</v>
      </c>
      <c r="AL97" s="455"/>
      <c r="AM97" s="456"/>
      <c r="AN97" s="456">
        <f t="shared" ca="1" si="36"/>
        <v>2.0566931965409712</v>
      </c>
      <c r="AO97" s="456"/>
      <c r="AP97" s="456"/>
      <c r="AQ97" s="458"/>
      <c r="AR97" s="452" t="str">
        <f t="shared" si="41"/>
        <v>CEE Tier 1 Clothes Washer - Any DHW, Any Dryer - 31% ENERGY STAR Baseline</v>
      </c>
      <c r="AS97" s="454">
        <f t="shared" si="42"/>
        <v>0</v>
      </c>
      <c r="AT97" s="455">
        <f t="shared" ca="1" si="43"/>
        <v>51.113874908802558</v>
      </c>
      <c r="AU97" s="456">
        <f t="shared" ca="1" si="44"/>
        <v>0.10283465982704865</v>
      </c>
      <c r="AV97" s="456">
        <f t="shared" si="45"/>
        <v>0</v>
      </c>
      <c r="AW97" s="456"/>
      <c r="AX97" s="455">
        <f t="shared" ca="1" si="37"/>
        <v>50.504648559061096</v>
      </c>
      <c r="AY97" s="455"/>
      <c r="AZ97" s="458"/>
      <c r="BA97" s="450" t="str">
        <f t="shared" si="38"/>
        <v>CEE Tier 1 Clothes Washer - Any DHW, Any Dryer - 31% ENERGY STAR Baseline</v>
      </c>
      <c r="BB97" s="450" t="s">
        <v>26</v>
      </c>
      <c r="BC97" s="455">
        <f t="shared" ca="1" si="46"/>
        <v>51.113874908802558</v>
      </c>
      <c r="BD97" s="455">
        <f>SFAssumptions!$C$7</f>
        <v>14</v>
      </c>
      <c r="BE97" s="459">
        <f t="shared" si="47"/>
        <v>0</v>
      </c>
      <c r="BF97" s="450"/>
      <c r="BG97" s="449" t="s">
        <v>159</v>
      </c>
      <c r="BH97" s="460"/>
      <c r="BI97" s="450"/>
      <c r="BJ97" s="450"/>
      <c r="BK97" s="450"/>
      <c r="BL97" s="450"/>
      <c r="BM97" s="450"/>
      <c r="BN97" s="450"/>
      <c r="BO97" s="461">
        <f t="shared" ca="1" si="48"/>
        <v>0.10283465982704865</v>
      </c>
      <c r="BP97" s="450" t="s">
        <v>159</v>
      </c>
    </row>
    <row r="98" spans="1:68" s="309" customFormat="1">
      <c r="A98" s="450">
        <f t="shared" si="39"/>
        <v>21</v>
      </c>
      <c r="B98" s="450">
        <f t="shared" si="3"/>
        <v>1</v>
      </c>
      <c r="C98" s="450">
        <f t="shared" si="4"/>
        <v>21</v>
      </c>
      <c r="D98" s="450">
        <f t="shared" si="5"/>
        <v>5</v>
      </c>
      <c r="E98" s="450">
        <f t="shared" si="6"/>
        <v>1</v>
      </c>
      <c r="F98" s="450"/>
      <c r="G98" s="450" t="str">
        <f t="shared" si="13"/>
        <v>Current Practice Baseline Using 31% ENERGY STAR Penetration</v>
      </c>
      <c r="H98" s="450" t="str">
        <f t="shared" si="40"/>
        <v>CEE Tier 2</v>
      </c>
      <c r="I98" s="450" t="str">
        <f t="shared" si="7"/>
        <v>Electric DHW, Electric Dryer</v>
      </c>
      <c r="J98" s="450" t="str">
        <f t="shared" si="8"/>
        <v>Electric DHW</v>
      </c>
      <c r="K98" s="450" t="str">
        <f t="shared" si="9"/>
        <v>Electric Dryer</v>
      </c>
      <c r="L98" s="451">
        <f>VLOOKUP(J98,SFAssumptions!$A$14:$B$16,2,FALSE)</f>
        <v>1</v>
      </c>
      <c r="M98" s="452">
        <f>VLOOKUP(K98,SFAssumptions!$A$18:$B$20,2,FALSE)</f>
        <v>1</v>
      </c>
      <c r="N98" s="453">
        <f ca="1">HLOOKUP($G98,'MHBaselines and Measures'!$C$3:$V$33,7,FALSE)</f>
        <v>4047.8861059902265</v>
      </c>
      <c r="O98" s="454"/>
      <c r="P98" s="455"/>
      <c r="Q98" s="455">
        <f ca="1">HLOOKUP($G98,'MHBaselines and Measures'!$C$3:$V$33,26,FALSE)</f>
        <v>310.54043817056578</v>
      </c>
      <c r="R98" s="455"/>
      <c r="S98" s="456"/>
      <c r="T98" s="456">
        <f ca="1">HLOOKUP($G98,'MHBaselines and Measures'!$C$3:$V$33,30,FALSE)</f>
        <v>11.870594573332779</v>
      </c>
      <c r="U98" s="456"/>
      <c r="V98" s="456"/>
      <c r="W98" s="457"/>
      <c r="X98" s="453"/>
      <c r="Y98" s="454"/>
      <c r="Z98" s="455"/>
      <c r="AA98" s="455">
        <f ca="1">HLOOKUP($H98,'MHBaselines and Measures'!$C$2:$V$33,27,FALSE)</f>
        <v>235.05267290091308</v>
      </c>
      <c r="AB98" s="455"/>
      <c r="AC98" s="456"/>
      <c r="AD98" s="456">
        <f ca="1">HLOOKUP($H98,'MHBaselines and Measures'!$C$2:$V$33,31,FALSE)</f>
        <v>8.9850294532411432</v>
      </c>
      <c r="AE98" s="456"/>
      <c r="AF98" s="456"/>
      <c r="AG98" s="457"/>
      <c r="AH98" s="453"/>
      <c r="AI98" s="454"/>
      <c r="AJ98" s="455"/>
      <c r="AK98" s="455">
        <f t="shared" ca="1" si="35"/>
        <v>75.487765269652698</v>
      </c>
      <c r="AL98" s="455"/>
      <c r="AM98" s="456"/>
      <c r="AN98" s="456">
        <f t="shared" ca="1" si="36"/>
        <v>2.8855651200916359</v>
      </c>
      <c r="AO98" s="456"/>
      <c r="AP98" s="456"/>
      <c r="AQ98" s="458"/>
      <c r="AR98" s="452" t="str">
        <f t="shared" si="41"/>
        <v>CEE Tier 2 Clothes Washer - Electric DHW, Electric Dryer - 31% ENERGY STAR Baseline</v>
      </c>
      <c r="AS98" s="454">
        <f t="shared" si="42"/>
        <v>0</v>
      </c>
      <c r="AT98" s="455">
        <f t="shared" ca="1" si="43"/>
        <v>75.487765269652698</v>
      </c>
      <c r="AU98" s="456">
        <f t="shared" ca="1" si="44"/>
        <v>0</v>
      </c>
      <c r="AV98" s="456">
        <f t="shared" si="45"/>
        <v>0</v>
      </c>
      <c r="AW98" s="456"/>
      <c r="AX98" s="455">
        <f t="shared" ca="1" si="37"/>
        <v>78.19825018871785</v>
      </c>
      <c r="AY98" s="455"/>
      <c r="AZ98" s="458"/>
      <c r="BA98" s="450" t="str">
        <f t="shared" si="38"/>
        <v>CEE Tier 2 Clothes Washer - Electric DHW, Electric Dryer - 31% ENERGY STAR Baseline</v>
      </c>
      <c r="BB98" s="450" t="s">
        <v>26</v>
      </c>
      <c r="BC98" s="455">
        <f t="shared" ca="1" si="46"/>
        <v>75.487765269652698</v>
      </c>
      <c r="BD98" s="455">
        <f>SFAssumptions!$C$7</f>
        <v>14</v>
      </c>
      <c r="BE98" s="459">
        <f t="shared" si="47"/>
        <v>0</v>
      </c>
      <c r="BF98" s="450"/>
      <c r="BG98" s="449" t="s">
        <v>159</v>
      </c>
      <c r="BH98" s="460"/>
      <c r="BI98" s="450"/>
      <c r="BJ98" s="450"/>
      <c r="BK98" s="450"/>
      <c r="BL98" s="450"/>
      <c r="BM98" s="450"/>
      <c r="BN98" s="450"/>
      <c r="BO98" s="461">
        <f t="shared" ca="1" si="48"/>
        <v>0</v>
      </c>
      <c r="BP98" s="450" t="s">
        <v>159</v>
      </c>
    </row>
    <row r="99" spans="1:68" s="309" customFormat="1">
      <c r="A99" s="450">
        <f t="shared" si="39"/>
        <v>22</v>
      </c>
      <c r="B99" s="450">
        <f t="shared" si="3"/>
        <v>1</v>
      </c>
      <c r="C99" s="450">
        <f t="shared" si="4"/>
        <v>22</v>
      </c>
      <c r="D99" s="450">
        <f t="shared" si="5"/>
        <v>5</v>
      </c>
      <c r="E99" s="450">
        <f t="shared" si="6"/>
        <v>2</v>
      </c>
      <c r="F99" s="450"/>
      <c r="G99" s="450" t="str">
        <f t="shared" si="13"/>
        <v>Current Practice Baseline Using 31% ENERGY STAR Penetration</v>
      </c>
      <c r="H99" s="450" t="str">
        <f t="shared" si="40"/>
        <v>CEE Tier 2</v>
      </c>
      <c r="I99" s="450" t="str">
        <f t="shared" si="7"/>
        <v>Electric DHW, Gas Dryer</v>
      </c>
      <c r="J99" s="450" t="str">
        <f t="shared" si="8"/>
        <v>Electric DHW</v>
      </c>
      <c r="K99" s="450" t="str">
        <f t="shared" si="9"/>
        <v>Gas Dryer</v>
      </c>
      <c r="L99" s="451">
        <f>VLOOKUP(J99,SFAssumptions!$A$14:$B$16,2,FALSE)</f>
        <v>1</v>
      </c>
      <c r="M99" s="452">
        <f>VLOOKUP(K99,SFAssumptions!$A$18:$B$20,2,FALSE)</f>
        <v>0</v>
      </c>
      <c r="N99" s="453">
        <f ca="1">HLOOKUP($G99,'MHBaselines and Measures'!$C$3:$V$33,7,FALSE)</f>
        <v>4047.8861059902265</v>
      </c>
      <c r="O99" s="454"/>
      <c r="P99" s="455"/>
      <c r="Q99" s="455">
        <f ca="1">HLOOKUP($G99,'MHBaselines and Measures'!$C$3:$V$33,26,FALSE)</f>
        <v>310.54043817056578</v>
      </c>
      <c r="R99" s="455"/>
      <c r="S99" s="456"/>
      <c r="T99" s="456">
        <f ca="1">HLOOKUP($G99,'MHBaselines and Measures'!$C$3:$V$33,30,FALSE)</f>
        <v>11.870594573332779</v>
      </c>
      <c r="U99" s="456"/>
      <c r="V99" s="456"/>
      <c r="W99" s="457"/>
      <c r="X99" s="453"/>
      <c r="Y99" s="454"/>
      <c r="Z99" s="455"/>
      <c r="AA99" s="455">
        <f ca="1">HLOOKUP($H99,'MHBaselines and Measures'!$C$2:$V$33,27,FALSE)</f>
        <v>235.05267290091308</v>
      </c>
      <c r="AB99" s="455"/>
      <c r="AC99" s="456"/>
      <c r="AD99" s="456">
        <f ca="1">HLOOKUP($H99,'MHBaselines and Measures'!$C$2:$V$33,31,FALSE)</f>
        <v>8.9850294532411432</v>
      </c>
      <c r="AE99" s="456"/>
      <c r="AF99" s="456"/>
      <c r="AG99" s="457"/>
      <c r="AH99" s="453"/>
      <c r="AI99" s="454"/>
      <c r="AJ99" s="455"/>
      <c r="AK99" s="455">
        <f t="shared" ca="1" si="35"/>
        <v>75.487765269652698</v>
      </c>
      <c r="AL99" s="455"/>
      <c r="AM99" s="456"/>
      <c r="AN99" s="456">
        <f t="shared" ca="1" si="36"/>
        <v>2.8855651200916359</v>
      </c>
      <c r="AO99" s="456"/>
      <c r="AP99" s="456"/>
      <c r="AQ99" s="458"/>
      <c r="AR99" s="452" t="str">
        <f t="shared" si="41"/>
        <v>CEE Tier 2 Clothes Washer - Electric DHW, Gas Dryer - 31% ENERGY STAR Baseline</v>
      </c>
      <c r="AS99" s="454">
        <f t="shared" si="42"/>
        <v>0</v>
      </c>
      <c r="AT99" s="455">
        <f t="shared" ca="1" si="43"/>
        <v>0</v>
      </c>
      <c r="AU99" s="456">
        <f t="shared" ca="1" si="44"/>
        <v>2.8855651200916359</v>
      </c>
      <c r="AV99" s="456">
        <f t="shared" si="45"/>
        <v>0</v>
      </c>
      <c r="AW99" s="456"/>
      <c r="AX99" s="455">
        <f t="shared" ca="1" si="37"/>
        <v>2.7104849190651508</v>
      </c>
      <c r="AY99" s="455"/>
      <c r="AZ99" s="458"/>
      <c r="BA99" s="450" t="str">
        <f t="shared" si="38"/>
        <v>CEE Tier 2 Clothes Washer - Electric DHW, Gas Dryer - 31% ENERGY STAR Baseline</v>
      </c>
      <c r="BB99" s="450" t="s">
        <v>26</v>
      </c>
      <c r="BC99" s="455">
        <f t="shared" ca="1" si="46"/>
        <v>0</v>
      </c>
      <c r="BD99" s="455">
        <f>SFAssumptions!$C$7</f>
        <v>14</v>
      </c>
      <c r="BE99" s="459">
        <f t="shared" si="47"/>
        <v>0</v>
      </c>
      <c r="BF99" s="450"/>
      <c r="BG99" s="449" t="s">
        <v>159</v>
      </c>
      <c r="BH99" s="460"/>
      <c r="BI99" s="450"/>
      <c r="BJ99" s="450"/>
      <c r="BK99" s="450"/>
      <c r="BL99" s="450"/>
      <c r="BM99" s="450"/>
      <c r="BN99" s="450"/>
      <c r="BO99" s="461">
        <f t="shared" ca="1" si="48"/>
        <v>2.8855651200916359</v>
      </c>
      <c r="BP99" s="450" t="s">
        <v>159</v>
      </c>
    </row>
    <row r="100" spans="1:68" s="309" customFormat="1">
      <c r="A100" s="450">
        <f t="shared" si="39"/>
        <v>23</v>
      </c>
      <c r="B100" s="450">
        <f t="shared" si="3"/>
        <v>1</v>
      </c>
      <c r="C100" s="450">
        <f t="shared" si="4"/>
        <v>23</v>
      </c>
      <c r="D100" s="450">
        <f t="shared" si="5"/>
        <v>5</v>
      </c>
      <c r="E100" s="450">
        <f t="shared" si="6"/>
        <v>3</v>
      </c>
      <c r="F100" s="450"/>
      <c r="G100" s="450" t="str">
        <f t="shared" si="13"/>
        <v>Current Practice Baseline Using 31% ENERGY STAR Penetration</v>
      </c>
      <c r="H100" s="450" t="str">
        <f t="shared" si="40"/>
        <v>CEE Tier 2</v>
      </c>
      <c r="I100" s="450" t="str">
        <f t="shared" si="7"/>
        <v>Gas DHW, Electric Dryer</v>
      </c>
      <c r="J100" s="450" t="str">
        <f t="shared" si="8"/>
        <v>Gas DHW</v>
      </c>
      <c r="K100" s="450" t="str">
        <f t="shared" si="9"/>
        <v>Electric Dryer</v>
      </c>
      <c r="L100" s="451">
        <f>VLOOKUP(J100,SFAssumptions!$A$14:$B$16,2,FALSE)</f>
        <v>0</v>
      </c>
      <c r="M100" s="452">
        <f>VLOOKUP(K100,SFAssumptions!$A$18:$B$20,2,FALSE)</f>
        <v>1</v>
      </c>
      <c r="N100" s="453">
        <f ca="1">HLOOKUP($G100,'MHBaselines and Measures'!$C$3:$V$33,7,FALSE)</f>
        <v>4047.8861059902265</v>
      </c>
      <c r="O100" s="454"/>
      <c r="P100" s="455"/>
      <c r="Q100" s="455">
        <f ca="1">HLOOKUP($G100,'MHBaselines and Measures'!$C$3:$V$33,26,FALSE)</f>
        <v>310.54043817056578</v>
      </c>
      <c r="R100" s="455"/>
      <c r="S100" s="456"/>
      <c r="T100" s="456">
        <f ca="1">HLOOKUP($G100,'MHBaselines and Measures'!$C$3:$V$33,30,FALSE)</f>
        <v>11.870594573332779</v>
      </c>
      <c r="U100" s="456"/>
      <c r="V100" s="456"/>
      <c r="W100" s="457"/>
      <c r="X100" s="453"/>
      <c r="Y100" s="454"/>
      <c r="Z100" s="455"/>
      <c r="AA100" s="455">
        <f ca="1">HLOOKUP($H100,'MHBaselines and Measures'!$C$2:$V$33,27,FALSE)</f>
        <v>235.05267290091308</v>
      </c>
      <c r="AB100" s="455"/>
      <c r="AC100" s="456"/>
      <c r="AD100" s="456">
        <f ca="1">HLOOKUP($H100,'MHBaselines and Measures'!$C$2:$V$33,31,FALSE)</f>
        <v>8.9850294532411432</v>
      </c>
      <c r="AE100" s="456"/>
      <c r="AF100" s="456"/>
      <c r="AG100" s="457"/>
      <c r="AH100" s="453"/>
      <c r="AI100" s="454"/>
      <c r="AJ100" s="455"/>
      <c r="AK100" s="455">
        <f t="shared" ca="1" si="35"/>
        <v>75.487765269652698</v>
      </c>
      <c r="AL100" s="455"/>
      <c r="AM100" s="456"/>
      <c r="AN100" s="456">
        <f t="shared" ca="1" si="36"/>
        <v>2.8855651200916359</v>
      </c>
      <c r="AO100" s="456"/>
      <c r="AP100" s="456"/>
      <c r="AQ100" s="458"/>
      <c r="AR100" s="452" t="str">
        <f t="shared" si="41"/>
        <v>CEE Tier 2 Clothes Washer - Gas DHW, Electric Dryer - 31% ENERGY STAR Baseline</v>
      </c>
      <c r="AS100" s="454">
        <f t="shared" si="42"/>
        <v>0</v>
      </c>
      <c r="AT100" s="455">
        <f t="shared" ca="1" si="43"/>
        <v>75.487765269652698</v>
      </c>
      <c r="AU100" s="456">
        <f t="shared" ca="1" si="44"/>
        <v>0</v>
      </c>
      <c r="AV100" s="456">
        <f t="shared" si="45"/>
        <v>0</v>
      </c>
      <c r="AW100" s="456"/>
      <c r="AX100" s="455">
        <f t="shared" ca="1" si="37"/>
        <v>78.19825018871785</v>
      </c>
      <c r="AY100" s="455"/>
      <c r="AZ100" s="458"/>
      <c r="BA100" s="450" t="str">
        <f t="shared" si="38"/>
        <v>CEE Tier 2 Clothes Washer - Gas DHW, Electric Dryer - 31% ENERGY STAR Baseline</v>
      </c>
      <c r="BB100" s="450" t="s">
        <v>26</v>
      </c>
      <c r="BC100" s="455">
        <f t="shared" ca="1" si="46"/>
        <v>75.487765269652698</v>
      </c>
      <c r="BD100" s="455">
        <f>SFAssumptions!$C$7</f>
        <v>14</v>
      </c>
      <c r="BE100" s="459">
        <f t="shared" si="47"/>
        <v>0</v>
      </c>
      <c r="BF100" s="450"/>
      <c r="BG100" s="449" t="s">
        <v>159</v>
      </c>
      <c r="BH100" s="460"/>
      <c r="BI100" s="450"/>
      <c r="BJ100" s="450"/>
      <c r="BK100" s="450"/>
      <c r="BL100" s="450"/>
      <c r="BM100" s="450"/>
      <c r="BN100" s="450"/>
      <c r="BO100" s="461">
        <f t="shared" ca="1" si="48"/>
        <v>0</v>
      </c>
      <c r="BP100" s="450" t="s">
        <v>159</v>
      </c>
    </row>
    <row r="101" spans="1:68" s="309" customFormat="1">
      <c r="A101" s="450">
        <f t="shared" si="39"/>
        <v>24</v>
      </c>
      <c r="B101" s="450">
        <f t="shared" si="3"/>
        <v>1</v>
      </c>
      <c r="C101" s="450">
        <f t="shared" si="4"/>
        <v>24</v>
      </c>
      <c r="D101" s="450">
        <f t="shared" si="5"/>
        <v>5</v>
      </c>
      <c r="E101" s="450">
        <f t="shared" si="6"/>
        <v>4</v>
      </c>
      <c r="F101" s="450"/>
      <c r="G101" s="450" t="str">
        <f t="shared" si="13"/>
        <v>Current Practice Baseline Using 31% ENERGY STAR Penetration</v>
      </c>
      <c r="H101" s="450" t="str">
        <f t="shared" si="40"/>
        <v>CEE Tier 2</v>
      </c>
      <c r="I101" s="450" t="str">
        <f t="shared" si="7"/>
        <v>Gas DHW, Gas Dryer</v>
      </c>
      <c r="J101" s="450" t="str">
        <f t="shared" si="8"/>
        <v>Gas DHW</v>
      </c>
      <c r="K101" s="450" t="str">
        <f t="shared" si="9"/>
        <v>Gas Dryer</v>
      </c>
      <c r="L101" s="451">
        <f>VLOOKUP(J101,SFAssumptions!$A$14:$B$16,2,FALSE)</f>
        <v>0</v>
      </c>
      <c r="M101" s="452">
        <f>VLOOKUP(K101,SFAssumptions!$A$18:$B$20,2,FALSE)</f>
        <v>0</v>
      </c>
      <c r="N101" s="453">
        <f ca="1">HLOOKUP($G101,'MHBaselines and Measures'!$C$3:$V$33,7,FALSE)</f>
        <v>4047.8861059902265</v>
      </c>
      <c r="O101" s="454"/>
      <c r="P101" s="455"/>
      <c r="Q101" s="455">
        <f ca="1">HLOOKUP($G101,'MHBaselines and Measures'!$C$3:$V$33,26,FALSE)</f>
        <v>310.54043817056578</v>
      </c>
      <c r="R101" s="455"/>
      <c r="S101" s="456"/>
      <c r="T101" s="456">
        <f ca="1">HLOOKUP($G101,'MHBaselines and Measures'!$C$3:$V$33,30,FALSE)</f>
        <v>11.870594573332779</v>
      </c>
      <c r="U101" s="456"/>
      <c r="V101" s="456"/>
      <c r="W101" s="457"/>
      <c r="X101" s="453"/>
      <c r="Y101" s="454"/>
      <c r="Z101" s="455"/>
      <c r="AA101" s="455">
        <f ca="1">HLOOKUP($H101,'MHBaselines and Measures'!$C$2:$V$33,27,FALSE)</f>
        <v>235.05267290091308</v>
      </c>
      <c r="AB101" s="455"/>
      <c r="AC101" s="456"/>
      <c r="AD101" s="456">
        <f ca="1">HLOOKUP($H101,'MHBaselines and Measures'!$C$2:$V$33,31,FALSE)</f>
        <v>8.9850294532411432</v>
      </c>
      <c r="AE101" s="456"/>
      <c r="AF101" s="456"/>
      <c r="AG101" s="457"/>
      <c r="AH101" s="453"/>
      <c r="AI101" s="454"/>
      <c r="AJ101" s="455"/>
      <c r="AK101" s="455">
        <f t="shared" ca="1" si="35"/>
        <v>75.487765269652698</v>
      </c>
      <c r="AL101" s="455"/>
      <c r="AM101" s="456"/>
      <c r="AN101" s="456">
        <f t="shared" ca="1" si="36"/>
        <v>2.8855651200916359</v>
      </c>
      <c r="AO101" s="456"/>
      <c r="AP101" s="456"/>
      <c r="AQ101" s="458"/>
      <c r="AR101" s="452" t="str">
        <f t="shared" si="41"/>
        <v>CEE Tier 2 Clothes Washer - Gas DHW, Gas Dryer - 31% ENERGY STAR Baseline</v>
      </c>
      <c r="AS101" s="454">
        <f t="shared" si="42"/>
        <v>0</v>
      </c>
      <c r="AT101" s="455">
        <f t="shared" ca="1" si="43"/>
        <v>0</v>
      </c>
      <c r="AU101" s="456">
        <f t="shared" ca="1" si="44"/>
        <v>2.8855651200916359</v>
      </c>
      <c r="AV101" s="456">
        <f t="shared" si="45"/>
        <v>0</v>
      </c>
      <c r="AW101" s="456"/>
      <c r="AX101" s="455">
        <f t="shared" ca="1" si="37"/>
        <v>2.7104849190651508</v>
      </c>
      <c r="AY101" s="455"/>
      <c r="AZ101" s="458"/>
      <c r="BA101" s="450" t="str">
        <f t="shared" si="38"/>
        <v>CEE Tier 2 Clothes Washer - Gas DHW, Gas Dryer - 31% ENERGY STAR Baseline</v>
      </c>
      <c r="BB101" s="450" t="s">
        <v>26</v>
      </c>
      <c r="BC101" s="455">
        <f t="shared" ca="1" si="46"/>
        <v>0</v>
      </c>
      <c r="BD101" s="455">
        <f>SFAssumptions!$C$7</f>
        <v>14</v>
      </c>
      <c r="BE101" s="459">
        <f t="shared" si="47"/>
        <v>0</v>
      </c>
      <c r="BF101" s="450"/>
      <c r="BG101" s="449" t="s">
        <v>159</v>
      </c>
      <c r="BH101" s="460"/>
      <c r="BI101" s="450"/>
      <c r="BJ101" s="450"/>
      <c r="BK101" s="450"/>
      <c r="BL101" s="450"/>
      <c r="BM101" s="450"/>
      <c r="BN101" s="450"/>
      <c r="BO101" s="461">
        <f t="shared" ca="1" si="48"/>
        <v>2.8855651200916359</v>
      </c>
      <c r="BP101" s="450" t="s">
        <v>159</v>
      </c>
    </row>
    <row r="102" spans="1:68" s="309" customFormat="1">
      <c r="A102" s="450">
        <f t="shared" si="39"/>
        <v>25</v>
      </c>
      <c r="B102" s="450">
        <f t="shared" si="3"/>
        <v>1</v>
      </c>
      <c r="C102" s="450">
        <f t="shared" si="4"/>
        <v>25</v>
      </c>
      <c r="D102" s="450">
        <f t="shared" si="5"/>
        <v>5</v>
      </c>
      <c r="E102" s="450">
        <f t="shared" si="6"/>
        <v>5</v>
      </c>
      <c r="F102" s="450"/>
      <c r="G102" s="450" t="str">
        <f t="shared" si="13"/>
        <v>Current Practice Baseline Using 31% ENERGY STAR Penetration</v>
      </c>
      <c r="H102" s="450" t="str">
        <f t="shared" si="40"/>
        <v>CEE Tier 2</v>
      </c>
      <c r="I102" s="450" t="str">
        <f t="shared" si="7"/>
        <v>Any DHW, Any Dryer</v>
      </c>
      <c r="J102" s="450" t="str">
        <f t="shared" si="8"/>
        <v>Any DHW</v>
      </c>
      <c r="K102" s="450" t="str">
        <f t="shared" si="9"/>
        <v>Any Dryer</v>
      </c>
      <c r="L102" s="451">
        <f>VLOOKUP(J102,SFAssumptions!$A$14:$B$16,2,FALSE)</f>
        <v>0.55200000000000005</v>
      </c>
      <c r="M102" s="452">
        <f>VLOOKUP(K102,SFAssumptions!$A$18:$B$20,2,FALSE)</f>
        <v>0.95</v>
      </c>
      <c r="N102" s="453">
        <f ca="1">HLOOKUP($G102,'MHBaselines and Measures'!$C$3:$V$33,7,FALSE)</f>
        <v>4047.8861059902265</v>
      </c>
      <c r="O102" s="454"/>
      <c r="P102" s="455"/>
      <c r="Q102" s="455">
        <f ca="1">HLOOKUP($G102,'MHBaselines and Measures'!$C$3:$V$33,26,FALSE)</f>
        <v>310.54043817056578</v>
      </c>
      <c r="R102" s="455"/>
      <c r="S102" s="456"/>
      <c r="T102" s="456">
        <f ca="1">HLOOKUP($G102,'MHBaselines and Measures'!$C$3:$V$33,30,FALSE)</f>
        <v>11.870594573332779</v>
      </c>
      <c r="U102" s="456"/>
      <c r="V102" s="456"/>
      <c r="W102" s="457"/>
      <c r="X102" s="453"/>
      <c r="Y102" s="454"/>
      <c r="Z102" s="455"/>
      <c r="AA102" s="455">
        <f ca="1">HLOOKUP($H102,'MHBaselines and Measures'!$C$2:$V$33,27,FALSE)</f>
        <v>235.05267290091308</v>
      </c>
      <c r="AB102" s="455"/>
      <c r="AC102" s="456"/>
      <c r="AD102" s="456">
        <f ca="1">HLOOKUP($H102,'MHBaselines and Measures'!$C$2:$V$33,31,FALSE)</f>
        <v>8.9850294532411432</v>
      </c>
      <c r="AE102" s="456"/>
      <c r="AF102" s="456"/>
      <c r="AG102" s="457"/>
      <c r="AH102" s="453"/>
      <c r="AI102" s="454"/>
      <c r="AJ102" s="455"/>
      <c r="AK102" s="455">
        <f t="shared" ca="1" si="35"/>
        <v>75.487765269652698</v>
      </c>
      <c r="AL102" s="455"/>
      <c r="AM102" s="456"/>
      <c r="AN102" s="456">
        <f t="shared" ca="1" si="36"/>
        <v>2.8855651200916359</v>
      </c>
      <c r="AO102" s="456"/>
      <c r="AP102" s="456"/>
      <c r="AQ102" s="458"/>
      <c r="AR102" s="452" t="str">
        <f t="shared" si="41"/>
        <v>CEE Tier 2 Clothes Washer - Any DHW, Any Dryer - 31% ENERGY STAR Baseline</v>
      </c>
      <c r="AS102" s="454">
        <f t="shared" si="42"/>
        <v>0</v>
      </c>
      <c r="AT102" s="455">
        <f t="shared" ca="1" si="43"/>
        <v>71.713377006170063</v>
      </c>
      <c r="AU102" s="456">
        <f t="shared" ca="1" si="44"/>
        <v>0.14427825600458191</v>
      </c>
      <c r="AV102" s="456">
        <f t="shared" si="45"/>
        <v>0</v>
      </c>
      <c r="AW102" s="456"/>
      <c r="AX102" s="455">
        <f t="shared" ca="1" si="37"/>
        <v>74.423861925235215</v>
      </c>
      <c r="AY102" s="455"/>
      <c r="AZ102" s="458"/>
      <c r="BA102" s="450" t="str">
        <f t="shared" si="38"/>
        <v>CEE Tier 2 Clothes Washer - Any DHW, Any Dryer - 31% ENERGY STAR Baseline</v>
      </c>
      <c r="BB102" s="450" t="s">
        <v>26</v>
      </c>
      <c r="BC102" s="455">
        <f t="shared" ca="1" si="46"/>
        <v>71.713377006170063</v>
      </c>
      <c r="BD102" s="455">
        <f>SFAssumptions!$C$7</f>
        <v>14</v>
      </c>
      <c r="BE102" s="459">
        <f t="shared" si="47"/>
        <v>0</v>
      </c>
      <c r="BF102" s="450"/>
      <c r="BG102" s="449" t="s">
        <v>159</v>
      </c>
      <c r="BH102" s="460"/>
      <c r="BI102" s="450"/>
      <c r="BJ102" s="450"/>
      <c r="BK102" s="450"/>
      <c r="BL102" s="450"/>
      <c r="BM102" s="450"/>
      <c r="BN102" s="450"/>
      <c r="BO102" s="461">
        <f t="shared" ca="1" si="48"/>
        <v>0.14427825600458191</v>
      </c>
      <c r="BP102" s="450" t="s">
        <v>159</v>
      </c>
    </row>
    <row r="103" spans="1:68" s="309" customFormat="1">
      <c r="A103" s="450">
        <f t="shared" si="39"/>
        <v>26</v>
      </c>
      <c r="B103" s="450">
        <f t="shared" si="3"/>
        <v>1</v>
      </c>
      <c r="C103" s="450">
        <f t="shared" si="4"/>
        <v>26</v>
      </c>
      <c r="D103" s="450">
        <f t="shared" si="5"/>
        <v>6</v>
      </c>
      <c r="E103" s="450">
        <f t="shared" si="6"/>
        <v>1</v>
      </c>
      <c r="F103" s="450"/>
      <c r="G103" s="450" t="str">
        <f t="shared" si="13"/>
        <v>Current Practice Baseline Using 31% ENERGY STAR Penetration</v>
      </c>
      <c r="H103" s="450" t="str">
        <f t="shared" si="40"/>
        <v>CEE Tier 3</v>
      </c>
      <c r="I103" s="450" t="str">
        <f t="shared" si="7"/>
        <v>Electric DHW, Electric Dryer</v>
      </c>
      <c r="J103" s="450" t="str">
        <f t="shared" si="8"/>
        <v>Electric DHW</v>
      </c>
      <c r="K103" s="450" t="str">
        <f t="shared" si="9"/>
        <v>Electric Dryer</v>
      </c>
      <c r="L103" s="451">
        <f>VLOOKUP(J103,SFAssumptions!$A$14:$B$16,2,FALSE)</f>
        <v>1</v>
      </c>
      <c r="M103" s="452">
        <f>VLOOKUP(K103,SFAssumptions!$A$18:$B$20,2,FALSE)</f>
        <v>1</v>
      </c>
      <c r="N103" s="453">
        <f ca="1">HLOOKUP($G103,'MHBaselines and Measures'!$C$3:$V$33,7,FALSE)</f>
        <v>4047.8861059902265</v>
      </c>
      <c r="O103" s="454"/>
      <c r="P103" s="455"/>
      <c r="Q103" s="455">
        <f ca="1">HLOOKUP($G103,'MHBaselines and Measures'!$C$3:$V$33,26,FALSE)</f>
        <v>310.54043817056578</v>
      </c>
      <c r="R103" s="455"/>
      <c r="S103" s="456"/>
      <c r="T103" s="456">
        <f ca="1">HLOOKUP($G103,'MHBaselines and Measures'!$C$3:$V$33,30,FALSE)</f>
        <v>11.870594573332779</v>
      </c>
      <c r="U103" s="456"/>
      <c r="V103" s="456"/>
      <c r="W103" s="457"/>
      <c r="X103" s="453"/>
      <c r="Y103" s="454"/>
      <c r="Z103" s="455"/>
      <c r="AA103" s="455">
        <f ca="1">HLOOKUP($H103,'MHBaselines and Measures'!$C$2:$V$33,27,FALSE)</f>
        <v>220.62055645301083</v>
      </c>
      <c r="AB103" s="455"/>
      <c r="AC103" s="456"/>
      <c r="AD103" s="456">
        <f ca="1">HLOOKUP($H103,'MHBaselines and Measures'!$C$2:$V$33,31,FALSE)</f>
        <v>8.433353142750212</v>
      </c>
      <c r="AE103" s="456"/>
      <c r="AF103" s="456"/>
      <c r="AG103" s="457"/>
      <c r="AH103" s="453"/>
      <c r="AI103" s="454"/>
      <c r="AJ103" s="455"/>
      <c r="AK103" s="455">
        <f t="shared" ca="1" si="35"/>
        <v>89.919881717554944</v>
      </c>
      <c r="AL103" s="455"/>
      <c r="AM103" s="456"/>
      <c r="AN103" s="456">
        <f t="shared" ca="1" si="36"/>
        <v>3.4372414305825671</v>
      </c>
      <c r="AO103" s="456"/>
      <c r="AP103" s="456"/>
      <c r="AQ103" s="458"/>
      <c r="AR103" s="452" t="str">
        <f t="shared" si="41"/>
        <v>CEE Tier 3 Clothes Washer - Electric DHW, Electric Dryer - 31% ENERGY STAR Baseline</v>
      </c>
      <c r="AS103" s="454">
        <f t="shared" si="42"/>
        <v>0</v>
      </c>
      <c r="AT103" s="455">
        <f t="shared" ca="1" si="43"/>
        <v>89.919881717554944</v>
      </c>
      <c r="AU103" s="456">
        <f t="shared" ca="1" si="44"/>
        <v>0</v>
      </c>
      <c r="AV103" s="456">
        <f t="shared" si="45"/>
        <v>0</v>
      </c>
      <c r="AW103" s="456"/>
      <c r="AX103" s="455">
        <f t="shared" ca="1" si="37"/>
        <v>91.69303639601587</v>
      </c>
      <c r="AY103" s="455"/>
      <c r="AZ103" s="458"/>
      <c r="BA103" s="450" t="str">
        <f t="shared" si="38"/>
        <v>CEE Tier 3 Clothes Washer - Electric DHW, Electric Dryer - 31% ENERGY STAR Baseline</v>
      </c>
      <c r="BB103" s="450" t="s">
        <v>26</v>
      </c>
      <c r="BC103" s="455">
        <f t="shared" ca="1" si="46"/>
        <v>89.919881717554944</v>
      </c>
      <c r="BD103" s="455">
        <f>SFAssumptions!$C$7</f>
        <v>14</v>
      </c>
      <c r="BE103" s="459">
        <f t="shared" si="47"/>
        <v>0</v>
      </c>
      <c r="BF103" s="450"/>
      <c r="BG103" s="449" t="s">
        <v>159</v>
      </c>
      <c r="BH103" s="460"/>
      <c r="BI103" s="450"/>
      <c r="BJ103" s="450"/>
      <c r="BK103" s="450"/>
      <c r="BL103" s="450"/>
      <c r="BM103" s="450"/>
      <c r="BN103" s="450"/>
      <c r="BO103" s="461">
        <f t="shared" ca="1" si="48"/>
        <v>0</v>
      </c>
      <c r="BP103" s="450" t="s">
        <v>159</v>
      </c>
    </row>
    <row r="104" spans="1:68" s="309" customFormat="1">
      <c r="A104" s="450">
        <f t="shared" si="39"/>
        <v>27</v>
      </c>
      <c r="B104" s="450">
        <f t="shared" si="3"/>
        <v>1</v>
      </c>
      <c r="C104" s="450">
        <f t="shared" si="4"/>
        <v>27</v>
      </c>
      <c r="D104" s="450">
        <f t="shared" si="5"/>
        <v>6</v>
      </c>
      <c r="E104" s="450">
        <f t="shared" si="6"/>
        <v>2</v>
      </c>
      <c r="F104" s="450"/>
      <c r="G104" s="450" t="str">
        <f t="shared" si="13"/>
        <v>Current Practice Baseline Using 31% ENERGY STAR Penetration</v>
      </c>
      <c r="H104" s="450" t="str">
        <f t="shared" si="40"/>
        <v>CEE Tier 3</v>
      </c>
      <c r="I104" s="450" t="str">
        <f t="shared" si="7"/>
        <v>Electric DHW, Gas Dryer</v>
      </c>
      <c r="J104" s="450" t="str">
        <f t="shared" si="8"/>
        <v>Electric DHW</v>
      </c>
      <c r="K104" s="450" t="str">
        <f t="shared" si="9"/>
        <v>Gas Dryer</v>
      </c>
      <c r="L104" s="451">
        <f>VLOOKUP(J104,SFAssumptions!$A$14:$B$16,2,FALSE)</f>
        <v>1</v>
      </c>
      <c r="M104" s="452">
        <f>VLOOKUP(K104,SFAssumptions!$A$18:$B$20,2,FALSE)</f>
        <v>0</v>
      </c>
      <c r="N104" s="453">
        <f ca="1">HLOOKUP($G104,'MHBaselines and Measures'!$C$3:$V$33,7,FALSE)</f>
        <v>4047.8861059902265</v>
      </c>
      <c r="O104" s="454"/>
      <c r="P104" s="455"/>
      <c r="Q104" s="455">
        <f ca="1">HLOOKUP($G104,'MHBaselines and Measures'!$C$3:$V$33,26,FALSE)</f>
        <v>310.54043817056578</v>
      </c>
      <c r="R104" s="455"/>
      <c r="S104" s="456"/>
      <c r="T104" s="456">
        <f ca="1">HLOOKUP($G104,'MHBaselines and Measures'!$C$3:$V$33,30,FALSE)</f>
        <v>11.870594573332779</v>
      </c>
      <c r="U104" s="456"/>
      <c r="V104" s="456"/>
      <c r="W104" s="457"/>
      <c r="X104" s="453"/>
      <c r="Y104" s="454"/>
      <c r="Z104" s="455"/>
      <c r="AA104" s="455">
        <f ca="1">HLOOKUP($H104,'MHBaselines and Measures'!$C$2:$V$33,27,FALSE)</f>
        <v>220.62055645301083</v>
      </c>
      <c r="AB104" s="455"/>
      <c r="AC104" s="456"/>
      <c r="AD104" s="456">
        <f ca="1">HLOOKUP($H104,'MHBaselines and Measures'!$C$2:$V$33,31,FALSE)</f>
        <v>8.433353142750212</v>
      </c>
      <c r="AE104" s="456"/>
      <c r="AF104" s="456"/>
      <c r="AG104" s="457"/>
      <c r="AH104" s="453"/>
      <c r="AI104" s="454"/>
      <c r="AJ104" s="455"/>
      <c r="AK104" s="455">
        <f t="shared" ca="1" si="35"/>
        <v>89.919881717554944</v>
      </c>
      <c r="AL104" s="455"/>
      <c r="AM104" s="456"/>
      <c r="AN104" s="456">
        <f t="shared" ca="1" si="36"/>
        <v>3.4372414305825671</v>
      </c>
      <c r="AO104" s="456"/>
      <c r="AP104" s="456"/>
      <c r="AQ104" s="458"/>
      <c r="AR104" s="452" t="str">
        <f t="shared" si="41"/>
        <v>CEE Tier 3 Clothes Washer - Electric DHW, Gas Dryer - 31% ENERGY STAR Baseline</v>
      </c>
      <c r="AS104" s="454">
        <f t="shared" si="42"/>
        <v>0</v>
      </c>
      <c r="AT104" s="455">
        <f t="shared" ca="1" si="43"/>
        <v>0</v>
      </c>
      <c r="AU104" s="456">
        <f t="shared" ca="1" si="44"/>
        <v>3.4372414305825671</v>
      </c>
      <c r="AV104" s="456">
        <f t="shared" si="45"/>
        <v>0</v>
      </c>
      <c r="AW104" s="456"/>
      <c r="AX104" s="455">
        <f t="shared" ca="1" si="37"/>
        <v>1.7731546784609331</v>
      </c>
      <c r="AY104" s="455"/>
      <c r="AZ104" s="458"/>
      <c r="BA104" s="450" t="str">
        <f t="shared" si="38"/>
        <v>CEE Tier 3 Clothes Washer - Electric DHW, Gas Dryer - 31% ENERGY STAR Baseline</v>
      </c>
      <c r="BB104" s="450" t="s">
        <v>26</v>
      </c>
      <c r="BC104" s="455">
        <f t="shared" ca="1" si="46"/>
        <v>0</v>
      </c>
      <c r="BD104" s="455">
        <f>SFAssumptions!$C$7</f>
        <v>14</v>
      </c>
      <c r="BE104" s="459">
        <f t="shared" si="47"/>
        <v>0</v>
      </c>
      <c r="BF104" s="450"/>
      <c r="BG104" s="449" t="s">
        <v>159</v>
      </c>
      <c r="BH104" s="460"/>
      <c r="BI104" s="450"/>
      <c r="BJ104" s="450"/>
      <c r="BK104" s="450"/>
      <c r="BL104" s="450"/>
      <c r="BM104" s="450"/>
      <c r="BN104" s="450"/>
      <c r="BO104" s="461">
        <f t="shared" ca="1" si="48"/>
        <v>3.4372414305825671</v>
      </c>
      <c r="BP104" s="450" t="s">
        <v>159</v>
      </c>
    </row>
    <row r="105" spans="1:68" s="309" customFormat="1">
      <c r="A105" s="450">
        <f t="shared" si="39"/>
        <v>28</v>
      </c>
      <c r="B105" s="450">
        <f t="shared" si="3"/>
        <v>1</v>
      </c>
      <c r="C105" s="450">
        <f t="shared" si="4"/>
        <v>28</v>
      </c>
      <c r="D105" s="450">
        <f t="shared" si="5"/>
        <v>6</v>
      </c>
      <c r="E105" s="450">
        <f t="shared" si="6"/>
        <v>3</v>
      </c>
      <c r="F105" s="450"/>
      <c r="G105" s="450" t="str">
        <f t="shared" si="13"/>
        <v>Current Practice Baseline Using 31% ENERGY STAR Penetration</v>
      </c>
      <c r="H105" s="450" t="str">
        <f t="shared" si="40"/>
        <v>CEE Tier 3</v>
      </c>
      <c r="I105" s="450" t="str">
        <f t="shared" si="7"/>
        <v>Gas DHW, Electric Dryer</v>
      </c>
      <c r="J105" s="450" t="str">
        <f t="shared" si="8"/>
        <v>Gas DHW</v>
      </c>
      <c r="K105" s="450" t="str">
        <f t="shared" si="9"/>
        <v>Electric Dryer</v>
      </c>
      <c r="L105" s="451">
        <f>VLOOKUP(J105,SFAssumptions!$A$14:$B$16,2,FALSE)</f>
        <v>0</v>
      </c>
      <c r="M105" s="452">
        <f>VLOOKUP(K105,SFAssumptions!$A$18:$B$20,2,FALSE)</f>
        <v>1</v>
      </c>
      <c r="N105" s="453">
        <f ca="1">HLOOKUP($G105,'MHBaselines and Measures'!$C$3:$V$33,7,FALSE)</f>
        <v>4047.8861059902265</v>
      </c>
      <c r="O105" s="454"/>
      <c r="P105" s="455"/>
      <c r="Q105" s="455">
        <f ca="1">HLOOKUP($G105,'MHBaselines and Measures'!$C$3:$V$33,26,FALSE)</f>
        <v>310.54043817056578</v>
      </c>
      <c r="R105" s="455"/>
      <c r="S105" s="456"/>
      <c r="T105" s="456">
        <f ca="1">HLOOKUP($G105,'MHBaselines and Measures'!$C$3:$V$33,30,FALSE)</f>
        <v>11.870594573332779</v>
      </c>
      <c r="U105" s="456"/>
      <c r="V105" s="456"/>
      <c r="W105" s="457"/>
      <c r="X105" s="453"/>
      <c r="Y105" s="454"/>
      <c r="Z105" s="455"/>
      <c r="AA105" s="455">
        <f ca="1">HLOOKUP($H105,'MHBaselines and Measures'!$C$2:$V$33,27,FALSE)</f>
        <v>220.62055645301083</v>
      </c>
      <c r="AB105" s="455"/>
      <c r="AC105" s="456"/>
      <c r="AD105" s="456">
        <f ca="1">HLOOKUP($H105,'MHBaselines and Measures'!$C$2:$V$33,31,FALSE)</f>
        <v>8.433353142750212</v>
      </c>
      <c r="AE105" s="456"/>
      <c r="AF105" s="456"/>
      <c r="AG105" s="457"/>
      <c r="AH105" s="453"/>
      <c r="AI105" s="454"/>
      <c r="AJ105" s="455"/>
      <c r="AK105" s="455">
        <f t="shared" ca="1" si="35"/>
        <v>89.919881717554944</v>
      </c>
      <c r="AL105" s="455"/>
      <c r="AM105" s="456"/>
      <c r="AN105" s="456">
        <f t="shared" ca="1" si="36"/>
        <v>3.4372414305825671</v>
      </c>
      <c r="AO105" s="456"/>
      <c r="AP105" s="456"/>
      <c r="AQ105" s="458"/>
      <c r="AR105" s="452" t="str">
        <f t="shared" si="41"/>
        <v>CEE Tier 3 Clothes Washer - Gas DHW, Electric Dryer - 31% ENERGY STAR Baseline</v>
      </c>
      <c r="AS105" s="454">
        <f t="shared" si="42"/>
        <v>0</v>
      </c>
      <c r="AT105" s="455">
        <f t="shared" ca="1" si="43"/>
        <v>89.919881717554944</v>
      </c>
      <c r="AU105" s="456">
        <f t="shared" ca="1" si="44"/>
        <v>0</v>
      </c>
      <c r="AV105" s="456">
        <f t="shared" si="45"/>
        <v>0</v>
      </c>
      <c r="AW105" s="456"/>
      <c r="AX105" s="455">
        <f t="shared" ca="1" si="37"/>
        <v>91.69303639601587</v>
      </c>
      <c r="AY105" s="455"/>
      <c r="AZ105" s="458"/>
      <c r="BA105" s="450" t="str">
        <f t="shared" si="38"/>
        <v>CEE Tier 3 Clothes Washer - Gas DHW, Electric Dryer - 31% ENERGY STAR Baseline</v>
      </c>
      <c r="BB105" s="450" t="s">
        <v>26</v>
      </c>
      <c r="BC105" s="455">
        <f t="shared" ca="1" si="46"/>
        <v>89.919881717554944</v>
      </c>
      <c r="BD105" s="455">
        <f>SFAssumptions!$C$7</f>
        <v>14</v>
      </c>
      <c r="BE105" s="459">
        <f t="shared" si="47"/>
        <v>0</v>
      </c>
      <c r="BF105" s="450"/>
      <c r="BG105" s="449" t="s">
        <v>159</v>
      </c>
      <c r="BH105" s="460"/>
      <c r="BI105" s="450"/>
      <c r="BJ105" s="450"/>
      <c r="BK105" s="450"/>
      <c r="BL105" s="450"/>
      <c r="BM105" s="450"/>
      <c r="BN105" s="450"/>
      <c r="BO105" s="461">
        <f t="shared" ca="1" si="48"/>
        <v>0</v>
      </c>
      <c r="BP105" s="450" t="s">
        <v>159</v>
      </c>
    </row>
    <row r="106" spans="1:68" s="309" customFormat="1">
      <c r="A106" s="450">
        <f t="shared" si="39"/>
        <v>29</v>
      </c>
      <c r="B106" s="450">
        <f t="shared" si="3"/>
        <v>1</v>
      </c>
      <c r="C106" s="450">
        <f t="shared" si="4"/>
        <v>29</v>
      </c>
      <c r="D106" s="450">
        <f t="shared" si="5"/>
        <v>6</v>
      </c>
      <c r="E106" s="450">
        <f t="shared" si="6"/>
        <v>4</v>
      </c>
      <c r="F106" s="450"/>
      <c r="G106" s="450" t="str">
        <f t="shared" si="13"/>
        <v>Current Practice Baseline Using 31% ENERGY STAR Penetration</v>
      </c>
      <c r="H106" s="450" t="str">
        <f t="shared" si="40"/>
        <v>CEE Tier 3</v>
      </c>
      <c r="I106" s="450" t="str">
        <f t="shared" si="7"/>
        <v>Gas DHW, Gas Dryer</v>
      </c>
      <c r="J106" s="450" t="str">
        <f t="shared" si="8"/>
        <v>Gas DHW</v>
      </c>
      <c r="K106" s="450" t="str">
        <f t="shared" si="9"/>
        <v>Gas Dryer</v>
      </c>
      <c r="L106" s="451">
        <f>VLOOKUP(J106,SFAssumptions!$A$14:$B$16,2,FALSE)</f>
        <v>0</v>
      </c>
      <c r="M106" s="452">
        <f>VLOOKUP(K106,SFAssumptions!$A$18:$B$20,2,FALSE)</f>
        <v>0</v>
      </c>
      <c r="N106" s="453">
        <f ca="1">HLOOKUP($G106,'MHBaselines and Measures'!$C$3:$V$33,7,FALSE)</f>
        <v>4047.8861059902265</v>
      </c>
      <c r="O106" s="454"/>
      <c r="P106" s="455"/>
      <c r="Q106" s="455">
        <f ca="1">HLOOKUP($G106,'MHBaselines and Measures'!$C$3:$V$33,26,FALSE)</f>
        <v>310.54043817056578</v>
      </c>
      <c r="R106" s="455"/>
      <c r="S106" s="456"/>
      <c r="T106" s="456">
        <f ca="1">HLOOKUP($G106,'MHBaselines and Measures'!$C$3:$V$33,30,FALSE)</f>
        <v>11.870594573332779</v>
      </c>
      <c r="U106" s="456"/>
      <c r="V106" s="456"/>
      <c r="W106" s="457"/>
      <c r="X106" s="453"/>
      <c r="Y106" s="454"/>
      <c r="Z106" s="455"/>
      <c r="AA106" s="455">
        <f ca="1">HLOOKUP($H106,'MHBaselines and Measures'!$C$2:$V$33,27,FALSE)</f>
        <v>220.62055645301083</v>
      </c>
      <c r="AB106" s="455"/>
      <c r="AC106" s="456"/>
      <c r="AD106" s="456">
        <f ca="1">HLOOKUP($H106,'MHBaselines and Measures'!$C$2:$V$33,31,FALSE)</f>
        <v>8.433353142750212</v>
      </c>
      <c r="AE106" s="456"/>
      <c r="AF106" s="456"/>
      <c r="AG106" s="457"/>
      <c r="AH106" s="453"/>
      <c r="AI106" s="454"/>
      <c r="AJ106" s="455"/>
      <c r="AK106" s="455">
        <f t="shared" ca="1" si="35"/>
        <v>89.919881717554944</v>
      </c>
      <c r="AL106" s="455"/>
      <c r="AM106" s="456"/>
      <c r="AN106" s="456">
        <f t="shared" ca="1" si="36"/>
        <v>3.4372414305825671</v>
      </c>
      <c r="AO106" s="456"/>
      <c r="AP106" s="456"/>
      <c r="AQ106" s="458"/>
      <c r="AR106" s="452" t="str">
        <f t="shared" si="41"/>
        <v>CEE Tier 3 Clothes Washer - Gas DHW, Gas Dryer - 31% ENERGY STAR Baseline</v>
      </c>
      <c r="AS106" s="454">
        <f t="shared" si="42"/>
        <v>0</v>
      </c>
      <c r="AT106" s="455">
        <f t="shared" ca="1" si="43"/>
        <v>0</v>
      </c>
      <c r="AU106" s="456">
        <f t="shared" ca="1" si="44"/>
        <v>3.4372414305825671</v>
      </c>
      <c r="AV106" s="456">
        <f t="shared" si="45"/>
        <v>0</v>
      </c>
      <c r="AW106" s="456"/>
      <c r="AX106" s="455">
        <f t="shared" ca="1" si="37"/>
        <v>1.7731546784609331</v>
      </c>
      <c r="AY106" s="455"/>
      <c r="AZ106" s="458"/>
      <c r="BA106" s="450" t="str">
        <f t="shared" si="38"/>
        <v>CEE Tier 3 Clothes Washer - Gas DHW, Gas Dryer - 31% ENERGY STAR Baseline</v>
      </c>
      <c r="BB106" s="450" t="s">
        <v>26</v>
      </c>
      <c r="BC106" s="455">
        <f t="shared" ca="1" si="46"/>
        <v>0</v>
      </c>
      <c r="BD106" s="455">
        <f>SFAssumptions!$C$7</f>
        <v>14</v>
      </c>
      <c r="BE106" s="459">
        <f t="shared" si="47"/>
        <v>0</v>
      </c>
      <c r="BF106" s="450"/>
      <c r="BG106" s="449" t="s">
        <v>159</v>
      </c>
      <c r="BH106" s="460"/>
      <c r="BI106" s="450"/>
      <c r="BJ106" s="450"/>
      <c r="BK106" s="450"/>
      <c r="BL106" s="450"/>
      <c r="BM106" s="450"/>
      <c r="BN106" s="450"/>
      <c r="BO106" s="461">
        <f t="shared" ca="1" si="48"/>
        <v>3.4372414305825671</v>
      </c>
      <c r="BP106" s="450" t="s">
        <v>159</v>
      </c>
    </row>
    <row r="107" spans="1:68" s="309" customFormat="1">
      <c r="A107" s="450">
        <f t="shared" si="39"/>
        <v>30</v>
      </c>
      <c r="B107" s="450">
        <f t="shared" si="3"/>
        <v>1</v>
      </c>
      <c r="C107" s="450">
        <f t="shared" si="4"/>
        <v>30</v>
      </c>
      <c r="D107" s="450">
        <f t="shared" si="5"/>
        <v>6</v>
      </c>
      <c r="E107" s="450">
        <f t="shared" si="6"/>
        <v>5</v>
      </c>
      <c r="F107" s="450"/>
      <c r="G107" s="450" t="str">
        <f t="shared" si="13"/>
        <v>Current Practice Baseline Using 31% ENERGY STAR Penetration</v>
      </c>
      <c r="H107" s="450" t="str">
        <f t="shared" si="40"/>
        <v>CEE Tier 3</v>
      </c>
      <c r="I107" s="450" t="str">
        <f t="shared" si="7"/>
        <v>Any DHW, Any Dryer</v>
      </c>
      <c r="J107" s="450" t="str">
        <f t="shared" si="8"/>
        <v>Any DHW</v>
      </c>
      <c r="K107" s="450" t="str">
        <f t="shared" si="9"/>
        <v>Any Dryer</v>
      </c>
      <c r="L107" s="451">
        <f>VLOOKUP(J107,SFAssumptions!$A$14:$B$16,2,FALSE)</f>
        <v>0.55200000000000005</v>
      </c>
      <c r="M107" s="452">
        <f>VLOOKUP(K107,SFAssumptions!$A$18:$B$20,2,FALSE)</f>
        <v>0.95</v>
      </c>
      <c r="N107" s="453">
        <f ca="1">HLOOKUP($G107,'MHBaselines and Measures'!$C$3:$V$33,7,FALSE)</f>
        <v>4047.8861059902265</v>
      </c>
      <c r="O107" s="454"/>
      <c r="P107" s="455"/>
      <c r="Q107" s="455">
        <f ca="1">HLOOKUP($G107,'MHBaselines and Measures'!$C$3:$V$33,26,FALSE)</f>
        <v>310.54043817056578</v>
      </c>
      <c r="R107" s="455"/>
      <c r="S107" s="456"/>
      <c r="T107" s="456">
        <f ca="1">HLOOKUP($G107,'MHBaselines and Measures'!$C$3:$V$33,30,FALSE)</f>
        <v>11.870594573332779</v>
      </c>
      <c r="U107" s="456"/>
      <c r="V107" s="456"/>
      <c r="W107" s="457"/>
      <c r="X107" s="453"/>
      <c r="Y107" s="454"/>
      <c r="Z107" s="455"/>
      <c r="AA107" s="455">
        <f ca="1">HLOOKUP($H107,'MHBaselines and Measures'!$C$2:$V$33,27,FALSE)</f>
        <v>220.62055645301083</v>
      </c>
      <c r="AB107" s="455"/>
      <c r="AC107" s="456"/>
      <c r="AD107" s="456">
        <f ca="1">HLOOKUP($H107,'MHBaselines and Measures'!$C$2:$V$33,31,FALSE)</f>
        <v>8.433353142750212</v>
      </c>
      <c r="AE107" s="456"/>
      <c r="AF107" s="456"/>
      <c r="AG107" s="457"/>
      <c r="AH107" s="453"/>
      <c r="AI107" s="454"/>
      <c r="AJ107" s="455"/>
      <c r="AK107" s="455">
        <f t="shared" ca="1" si="35"/>
        <v>89.919881717554944</v>
      </c>
      <c r="AL107" s="455"/>
      <c r="AM107" s="456"/>
      <c r="AN107" s="456">
        <f t="shared" ca="1" si="36"/>
        <v>3.4372414305825671</v>
      </c>
      <c r="AO107" s="456"/>
      <c r="AP107" s="456"/>
      <c r="AQ107" s="458"/>
      <c r="AR107" s="452" t="str">
        <f t="shared" si="41"/>
        <v>CEE Tier 3 Clothes Washer - Any DHW, Any Dryer - 31% ENERGY STAR Baseline</v>
      </c>
      <c r="AS107" s="454">
        <f t="shared" si="42"/>
        <v>0</v>
      </c>
      <c r="AT107" s="455">
        <f t="shared" ca="1" si="43"/>
        <v>85.423887631677189</v>
      </c>
      <c r="AU107" s="456">
        <f t="shared" ca="1" si="44"/>
        <v>0.1718620715291285</v>
      </c>
      <c r="AV107" s="456">
        <f t="shared" si="45"/>
        <v>0</v>
      </c>
      <c r="AW107" s="456"/>
      <c r="AX107" s="455">
        <f t="shared" ca="1" si="37"/>
        <v>87.197042310138116</v>
      </c>
      <c r="AY107" s="455"/>
      <c r="AZ107" s="458"/>
      <c r="BA107" s="450" t="str">
        <f t="shared" si="38"/>
        <v>CEE Tier 3 Clothes Washer - Any DHW, Any Dryer - 31% ENERGY STAR Baseline</v>
      </c>
      <c r="BB107" s="450" t="s">
        <v>26</v>
      </c>
      <c r="BC107" s="455">
        <f t="shared" ca="1" si="46"/>
        <v>85.423887631677189</v>
      </c>
      <c r="BD107" s="455">
        <f>SFAssumptions!$C$7</f>
        <v>14</v>
      </c>
      <c r="BE107" s="459">
        <f t="shared" si="47"/>
        <v>0</v>
      </c>
      <c r="BF107" s="450"/>
      <c r="BG107" s="449" t="s">
        <v>159</v>
      </c>
      <c r="BH107" s="460"/>
      <c r="BI107" s="450"/>
      <c r="BJ107" s="450"/>
      <c r="BK107" s="450"/>
      <c r="BL107" s="450"/>
      <c r="BM107" s="450"/>
      <c r="BN107" s="450"/>
      <c r="BO107" s="461">
        <f t="shared" ca="1" si="48"/>
        <v>0.1718620715291285</v>
      </c>
      <c r="BP107" s="450" t="s">
        <v>159</v>
      </c>
    </row>
    <row r="108" spans="1:68" s="309" customFormat="1">
      <c r="A108" s="450">
        <f t="shared" si="39"/>
        <v>31</v>
      </c>
      <c r="B108" s="450">
        <f t="shared" si="3"/>
        <v>2</v>
      </c>
      <c r="C108" s="450">
        <f t="shared" si="4"/>
        <v>1</v>
      </c>
      <c r="D108" s="450">
        <f t="shared" si="5"/>
        <v>1</v>
      </c>
      <c r="E108" s="450">
        <f t="shared" si="6"/>
        <v>1</v>
      </c>
      <c r="F108" s="450"/>
      <c r="G108" s="450" t="str">
        <f t="shared" si="13"/>
        <v>Current Practice Baseline Using 54% ENERGY STAR Penetration</v>
      </c>
      <c r="H108" s="450" t="str">
        <f t="shared" si="40"/>
        <v>ENERGY STAR - Top-Load</v>
      </c>
      <c r="I108" s="450" t="str">
        <f t="shared" si="7"/>
        <v>Electric DHW, Electric Dryer</v>
      </c>
      <c r="J108" s="450" t="str">
        <f t="shared" si="8"/>
        <v>Electric DHW</v>
      </c>
      <c r="K108" s="450" t="str">
        <f t="shared" si="9"/>
        <v>Electric Dryer</v>
      </c>
      <c r="L108" s="451">
        <f>VLOOKUP(J108,SFAssumptions!$A$14:$B$16,2,FALSE)</f>
        <v>1</v>
      </c>
      <c r="M108" s="452">
        <f>VLOOKUP(K108,SFAssumptions!$A$18:$B$20,2,FALSE)</f>
        <v>1</v>
      </c>
      <c r="N108" s="453">
        <f ca="1">HLOOKUP($G108,'MHBaselines and Measures'!$C$3:$V$33,7,FALSE)</f>
        <v>3802.5240664273615</v>
      </c>
      <c r="O108" s="454"/>
      <c r="P108" s="455"/>
      <c r="Q108" s="455">
        <f ca="1">HLOOKUP($G108,'MHBaselines and Measures'!$C$3:$V$33,26,FALSE)</f>
        <v>292.2292335830785</v>
      </c>
      <c r="R108" s="455"/>
      <c r="S108" s="456"/>
      <c r="T108" s="456">
        <f ca="1">HLOOKUP($G108,'MHBaselines and Measures'!$C$3:$V$33,30,FALSE)</f>
        <v>11.170637791253329</v>
      </c>
      <c r="U108" s="456"/>
      <c r="V108" s="456"/>
      <c r="W108" s="457"/>
      <c r="X108" s="453"/>
      <c r="Y108" s="454"/>
      <c r="Z108" s="455"/>
      <c r="AA108" s="455">
        <f ca="1">HLOOKUP($H108,'MHBaselines and Measures'!$C$2:$V$33,27,FALSE)</f>
        <v>280.90400819923428</v>
      </c>
      <c r="AB108" s="455"/>
      <c r="AC108" s="456"/>
      <c r="AD108" s="456">
        <f ca="1">HLOOKUP($H108,'MHBaselines and Measures'!$C$2:$V$33,31,FALSE)</f>
        <v>10.73772425582065</v>
      </c>
      <c r="AE108" s="456"/>
      <c r="AF108" s="456"/>
      <c r="AG108" s="457"/>
      <c r="AH108" s="453"/>
      <c r="AI108" s="454"/>
      <c r="AJ108" s="455"/>
      <c r="AK108" s="455">
        <f t="shared" ca="1" si="35"/>
        <v>11.325225383844213</v>
      </c>
      <c r="AL108" s="455"/>
      <c r="AM108" s="456"/>
      <c r="AN108" s="456">
        <f t="shared" ca="1" si="36"/>
        <v>0.43291353543267874</v>
      </c>
      <c r="AO108" s="456"/>
      <c r="AP108" s="456"/>
      <c r="AQ108" s="458"/>
      <c r="AR108" s="452" t="str">
        <f t="shared" si="41"/>
        <v>ENERGY STAR - Top-Load Clothes Washer - Electric DHW, Electric Dryer - 54% ENERGY STAR Baseline</v>
      </c>
      <c r="AS108" s="454">
        <f t="shared" si="42"/>
        <v>0</v>
      </c>
      <c r="AT108" s="455">
        <f t="shared" ca="1" si="43"/>
        <v>11.325225383844213</v>
      </c>
      <c r="AU108" s="456">
        <f t="shared" ca="1" si="44"/>
        <v>0</v>
      </c>
      <c r="AV108" s="456">
        <f t="shared" si="45"/>
        <v>0</v>
      </c>
      <c r="AW108" s="456"/>
      <c r="AX108" s="455">
        <f t="shared" ca="1" si="37"/>
        <v>13.594209851464118</v>
      </c>
      <c r="AY108" s="455"/>
      <c r="AZ108" s="458"/>
      <c r="BA108" s="450" t="str">
        <f>CONCATENATE(H108," Clothes Washer - ",I108," - 54% ENERGY STAR Baseline")</f>
        <v>ENERGY STAR - Top-Load Clothes Washer - Electric DHW, Electric Dryer - 54% ENERGY STAR Baseline</v>
      </c>
      <c r="BB108" s="450" t="s">
        <v>26</v>
      </c>
      <c r="BC108" s="455">
        <f t="shared" ca="1" si="46"/>
        <v>11.325225383844213</v>
      </c>
      <c r="BD108" s="455">
        <f>SFAssumptions!$C$7</f>
        <v>14</v>
      </c>
      <c r="BE108" s="459">
        <f t="shared" si="47"/>
        <v>0</v>
      </c>
      <c r="BF108" s="450"/>
      <c r="BG108" s="449" t="s">
        <v>159</v>
      </c>
      <c r="BH108" s="460"/>
      <c r="BI108" s="450"/>
      <c r="BJ108" s="450"/>
      <c r="BK108" s="450"/>
      <c r="BL108" s="450"/>
      <c r="BM108" s="450"/>
      <c r="BN108" s="450"/>
      <c r="BO108" s="461">
        <f t="shared" ca="1" si="48"/>
        <v>0</v>
      </c>
      <c r="BP108" s="450" t="s">
        <v>159</v>
      </c>
    </row>
    <row r="109" spans="1:68" s="309" customFormat="1">
      <c r="A109" s="450">
        <f t="shared" si="39"/>
        <v>32</v>
      </c>
      <c r="B109" s="450">
        <f t="shared" si="3"/>
        <v>2</v>
      </c>
      <c r="C109" s="450">
        <f t="shared" si="4"/>
        <v>2</v>
      </c>
      <c r="D109" s="450">
        <f t="shared" si="5"/>
        <v>1</v>
      </c>
      <c r="E109" s="450">
        <f t="shared" si="6"/>
        <v>2</v>
      </c>
      <c r="F109" s="450"/>
      <c r="G109" s="450" t="str">
        <f t="shared" si="13"/>
        <v>Current Practice Baseline Using 54% ENERGY STAR Penetration</v>
      </c>
      <c r="H109" s="450" t="str">
        <f t="shared" si="40"/>
        <v>ENERGY STAR - Top-Load</v>
      </c>
      <c r="I109" s="450" t="str">
        <f t="shared" si="7"/>
        <v>Electric DHW, Gas Dryer</v>
      </c>
      <c r="J109" s="450" t="str">
        <f t="shared" si="8"/>
        <v>Electric DHW</v>
      </c>
      <c r="K109" s="450" t="str">
        <f t="shared" si="9"/>
        <v>Gas Dryer</v>
      </c>
      <c r="L109" s="451">
        <f>VLOOKUP(J109,SFAssumptions!$A$14:$B$16,2,FALSE)</f>
        <v>1</v>
      </c>
      <c r="M109" s="452">
        <f>VLOOKUP(K109,SFAssumptions!$A$18:$B$20,2,FALSE)</f>
        <v>0</v>
      </c>
      <c r="N109" s="453">
        <f ca="1">HLOOKUP($G109,'MHBaselines and Measures'!$C$3:$V$33,7,FALSE)</f>
        <v>3802.5240664273615</v>
      </c>
      <c r="O109" s="454"/>
      <c r="P109" s="455"/>
      <c r="Q109" s="455">
        <f ca="1">HLOOKUP($G109,'MHBaselines and Measures'!$C$3:$V$33,26,FALSE)</f>
        <v>292.2292335830785</v>
      </c>
      <c r="R109" s="455"/>
      <c r="S109" s="456"/>
      <c r="T109" s="456">
        <f ca="1">HLOOKUP($G109,'MHBaselines and Measures'!$C$3:$V$33,30,FALSE)</f>
        <v>11.170637791253329</v>
      </c>
      <c r="U109" s="456"/>
      <c r="V109" s="456"/>
      <c r="W109" s="457"/>
      <c r="X109" s="453"/>
      <c r="Y109" s="454"/>
      <c r="Z109" s="455"/>
      <c r="AA109" s="455">
        <f ca="1">HLOOKUP($H109,'MHBaselines and Measures'!$C$2:$V$33,27,FALSE)</f>
        <v>280.90400819923428</v>
      </c>
      <c r="AB109" s="455"/>
      <c r="AC109" s="456"/>
      <c r="AD109" s="456">
        <f ca="1">HLOOKUP($H109,'MHBaselines and Measures'!$C$2:$V$33,31,FALSE)</f>
        <v>10.73772425582065</v>
      </c>
      <c r="AE109" s="456"/>
      <c r="AF109" s="456"/>
      <c r="AG109" s="457"/>
      <c r="AH109" s="453"/>
      <c r="AI109" s="454"/>
      <c r="AJ109" s="455"/>
      <c r="AK109" s="455">
        <f t="shared" ca="1" si="35"/>
        <v>11.325225383844213</v>
      </c>
      <c r="AL109" s="455"/>
      <c r="AM109" s="456"/>
      <c r="AN109" s="456">
        <f t="shared" ca="1" si="36"/>
        <v>0.43291353543267874</v>
      </c>
      <c r="AO109" s="456"/>
      <c r="AP109" s="456"/>
      <c r="AQ109" s="458"/>
      <c r="AR109" s="452" t="str">
        <f t="shared" si="41"/>
        <v>ENERGY STAR - Top-Load Clothes Washer - Electric DHW, Gas Dryer - 54% ENERGY STAR Baseline</v>
      </c>
      <c r="AS109" s="454">
        <f t="shared" si="42"/>
        <v>0</v>
      </c>
      <c r="AT109" s="455">
        <f t="shared" ca="1" si="43"/>
        <v>0</v>
      </c>
      <c r="AU109" s="456">
        <f t="shared" ca="1" si="44"/>
        <v>0.43291353543267874</v>
      </c>
      <c r="AV109" s="456">
        <f t="shared" si="45"/>
        <v>0</v>
      </c>
      <c r="AW109" s="456"/>
      <c r="AX109" s="455">
        <f t="shared" ca="1" si="37"/>
        <v>2.2689844676199051</v>
      </c>
      <c r="AY109" s="455"/>
      <c r="AZ109" s="458"/>
      <c r="BA109" s="450" t="str">
        <f t="shared" ref="BA109:BA137" si="49">CONCATENATE(H109," Clothes Washer - ",I109," - 54% ENERGY STAR Baseline")</f>
        <v>ENERGY STAR - Top-Load Clothes Washer - Electric DHW, Gas Dryer - 54% ENERGY STAR Baseline</v>
      </c>
      <c r="BB109" s="450" t="s">
        <v>26</v>
      </c>
      <c r="BC109" s="455">
        <f t="shared" ca="1" si="46"/>
        <v>0</v>
      </c>
      <c r="BD109" s="455">
        <f>SFAssumptions!$C$7</f>
        <v>14</v>
      </c>
      <c r="BE109" s="459">
        <f t="shared" si="47"/>
        <v>0</v>
      </c>
      <c r="BF109" s="450"/>
      <c r="BG109" s="449" t="s">
        <v>159</v>
      </c>
      <c r="BH109" s="460"/>
      <c r="BI109" s="450"/>
      <c r="BJ109" s="450"/>
      <c r="BK109" s="450"/>
      <c r="BL109" s="450"/>
      <c r="BM109" s="450"/>
      <c r="BN109" s="450"/>
      <c r="BO109" s="461">
        <f t="shared" ca="1" si="48"/>
        <v>0.43291353543267874</v>
      </c>
      <c r="BP109" s="450" t="s">
        <v>159</v>
      </c>
    </row>
    <row r="110" spans="1:68" s="309" customFormat="1">
      <c r="A110" s="450">
        <f t="shared" si="39"/>
        <v>33</v>
      </c>
      <c r="B110" s="450">
        <f t="shared" si="3"/>
        <v>2</v>
      </c>
      <c r="C110" s="450">
        <f t="shared" si="4"/>
        <v>3</v>
      </c>
      <c r="D110" s="450">
        <f t="shared" si="5"/>
        <v>1</v>
      </c>
      <c r="E110" s="450">
        <f t="shared" si="6"/>
        <v>3</v>
      </c>
      <c r="F110" s="450"/>
      <c r="G110" s="450" t="str">
        <f t="shared" si="13"/>
        <v>Current Practice Baseline Using 54% ENERGY STAR Penetration</v>
      </c>
      <c r="H110" s="450" t="str">
        <f t="shared" si="40"/>
        <v>ENERGY STAR - Top-Load</v>
      </c>
      <c r="I110" s="450" t="str">
        <f t="shared" si="7"/>
        <v>Gas DHW, Electric Dryer</v>
      </c>
      <c r="J110" s="450" t="str">
        <f t="shared" si="8"/>
        <v>Gas DHW</v>
      </c>
      <c r="K110" s="450" t="str">
        <f t="shared" si="9"/>
        <v>Electric Dryer</v>
      </c>
      <c r="L110" s="451">
        <f>VLOOKUP(J110,SFAssumptions!$A$14:$B$16,2,FALSE)</f>
        <v>0</v>
      </c>
      <c r="M110" s="452">
        <f>VLOOKUP(K110,SFAssumptions!$A$18:$B$20,2,FALSE)</f>
        <v>1</v>
      </c>
      <c r="N110" s="453">
        <f ca="1">HLOOKUP($G110,'MHBaselines and Measures'!$C$3:$V$33,7,FALSE)</f>
        <v>3802.5240664273615</v>
      </c>
      <c r="O110" s="454"/>
      <c r="P110" s="455"/>
      <c r="Q110" s="455">
        <f ca="1">HLOOKUP($G110,'MHBaselines and Measures'!$C$3:$V$33,26,FALSE)</f>
        <v>292.2292335830785</v>
      </c>
      <c r="R110" s="455"/>
      <c r="S110" s="456"/>
      <c r="T110" s="456">
        <f ca="1">HLOOKUP($G110,'MHBaselines and Measures'!$C$3:$V$33,30,FALSE)</f>
        <v>11.170637791253329</v>
      </c>
      <c r="U110" s="456"/>
      <c r="V110" s="456"/>
      <c r="W110" s="457"/>
      <c r="X110" s="453"/>
      <c r="Y110" s="454"/>
      <c r="Z110" s="455"/>
      <c r="AA110" s="455">
        <f ca="1">HLOOKUP($H110,'MHBaselines and Measures'!$C$2:$V$33,27,FALSE)</f>
        <v>280.90400819923428</v>
      </c>
      <c r="AB110" s="455"/>
      <c r="AC110" s="456"/>
      <c r="AD110" s="456">
        <f ca="1">HLOOKUP($H110,'MHBaselines and Measures'!$C$2:$V$33,31,FALSE)</f>
        <v>10.73772425582065</v>
      </c>
      <c r="AE110" s="456"/>
      <c r="AF110" s="456"/>
      <c r="AG110" s="457"/>
      <c r="AH110" s="453"/>
      <c r="AI110" s="454"/>
      <c r="AJ110" s="455"/>
      <c r="AK110" s="455">
        <f t="shared" ca="1" si="35"/>
        <v>11.325225383844213</v>
      </c>
      <c r="AL110" s="455"/>
      <c r="AM110" s="456"/>
      <c r="AN110" s="456">
        <f t="shared" ca="1" si="36"/>
        <v>0.43291353543267874</v>
      </c>
      <c r="AO110" s="456"/>
      <c r="AP110" s="456"/>
      <c r="AQ110" s="458"/>
      <c r="AR110" s="452" t="str">
        <f t="shared" si="41"/>
        <v>ENERGY STAR - Top-Load Clothes Washer - Gas DHW, Electric Dryer - 54% ENERGY STAR Baseline</v>
      </c>
      <c r="AS110" s="454">
        <f t="shared" si="42"/>
        <v>0</v>
      </c>
      <c r="AT110" s="455">
        <f t="shared" ca="1" si="43"/>
        <v>11.325225383844213</v>
      </c>
      <c r="AU110" s="456">
        <f t="shared" ca="1" si="44"/>
        <v>0</v>
      </c>
      <c r="AV110" s="456">
        <f t="shared" si="45"/>
        <v>0</v>
      </c>
      <c r="AW110" s="456"/>
      <c r="AX110" s="455">
        <f t="shared" ca="1" si="37"/>
        <v>13.594209851464118</v>
      </c>
      <c r="AY110" s="455"/>
      <c r="AZ110" s="458"/>
      <c r="BA110" s="450" t="str">
        <f t="shared" si="49"/>
        <v>ENERGY STAR - Top-Load Clothes Washer - Gas DHW, Electric Dryer - 54% ENERGY STAR Baseline</v>
      </c>
      <c r="BB110" s="450" t="s">
        <v>26</v>
      </c>
      <c r="BC110" s="455">
        <f t="shared" ca="1" si="46"/>
        <v>11.325225383844213</v>
      </c>
      <c r="BD110" s="455">
        <f>SFAssumptions!$C$7</f>
        <v>14</v>
      </c>
      <c r="BE110" s="459">
        <f t="shared" si="47"/>
        <v>0</v>
      </c>
      <c r="BF110" s="450"/>
      <c r="BG110" s="449" t="s">
        <v>159</v>
      </c>
      <c r="BH110" s="460"/>
      <c r="BI110" s="450"/>
      <c r="BJ110" s="450"/>
      <c r="BK110" s="450"/>
      <c r="BL110" s="450"/>
      <c r="BM110" s="450"/>
      <c r="BN110" s="450"/>
      <c r="BO110" s="461">
        <f t="shared" ca="1" si="48"/>
        <v>0</v>
      </c>
      <c r="BP110" s="450" t="s">
        <v>159</v>
      </c>
    </row>
    <row r="111" spans="1:68" s="309" customFormat="1">
      <c r="A111" s="450">
        <f t="shared" si="39"/>
        <v>34</v>
      </c>
      <c r="B111" s="450">
        <f t="shared" si="3"/>
        <v>2</v>
      </c>
      <c r="C111" s="450">
        <f t="shared" si="4"/>
        <v>4</v>
      </c>
      <c r="D111" s="450">
        <f t="shared" si="5"/>
        <v>1</v>
      </c>
      <c r="E111" s="450">
        <f t="shared" si="6"/>
        <v>4</v>
      </c>
      <c r="F111" s="450"/>
      <c r="G111" s="450" t="str">
        <f t="shared" si="13"/>
        <v>Current Practice Baseline Using 54% ENERGY STAR Penetration</v>
      </c>
      <c r="H111" s="450" t="str">
        <f t="shared" si="40"/>
        <v>ENERGY STAR - Top-Load</v>
      </c>
      <c r="I111" s="450" t="str">
        <f t="shared" si="7"/>
        <v>Gas DHW, Gas Dryer</v>
      </c>
      <c r="J111" s="450" t="str">
        <f t="shared" si="8"/>
        <v>Gas DHW</v>
      </c>
      <c r="K111" s="450" t="str">
        <f t="shared" si="9"/>
        <v>Gas Dryer</v>
      </c>
      <c r="L111" s="451">
        <f>VLOOKUP(J111,SFAssumptions!$A$14:$B$16,2,FALSE)</f>
        <v>0</v>
      </c>
      <c r="M111" s="452">
        <f>VLOOKUP(K111,SFAssumptions!$A$18:$B$20,2,FALSE)</f>
        <v>0</v>
      </c>
      <c r="N111" s="453">
        <f ca="1">HLOOKUP($G111,'MHBaselines and Measures'!$C$3:$V$33,7,FALSE)</f>
        <v>3802.5240664273615</v>
      </c>
      <c r="O111" s="454"/>
      <c r="P111" s="455"/>
      <c r="Q111" s="455">
        <f ca="1">HLOOKUP($G111,'MHBaselines and Measures'!$C$3:$V$33,26,FALSE)</f>
        <v>292.2292335830785</v>
      </c>
      <c r="R111" s="455"/>
      <c r="S111" s="456"/>
      <c r="T111" s="456">
        <f ca="1">HLOOKUP($G111,'MHBaselines and Measures'!$C$3:$V$33,30,FALSE)</f>
        <v>11.170637791253329</v>
      </c>
      <c r="U111" s="456"/>
      <c r="V111" s="456"/>
      <c r="W111" s="457"/>
      <c r="X111" s="453"/>
      <c r="Y111" s="454"/>
      <c r="Z111" s="455"/>
      <c r="AA111" s="455">
        <f ca="1">HLOOKUP($H111,'MHBaselines and Measures'!$C$2:$V$33,27,FALSE)</f>
        <v>280.90400819923428</v>
      </c>
      <c r="AB111" s="455"/>
      <c r="AC111" s="456"/>
      <c r="AD111" s="456">
        <f ca="1">HLOOKUP($H111,'MHBaselines and Measures'!$C$2:$V$33,31,FALSE)</f>
        <v>10.73772425582065</v>
      </c>
      <c r="AE111" s="456"/>
      <c r="AF111" s="456"/>
      <c r="AG111" s="457"/>
      <c r="AH111" s="453"/>
      <c r="AI111" s="454"/>
      <c r="AJ111" s="455"/>
      <c r="AK111" s="455">
        <f t="shared" ca="1" si="35"/>
        <v>11.325225383844213</v>
      </c>
      <c r="AL111" s="455"/>
      <c r="AM111" s="456"/>
      <c r="AN111" s="456">
        <f t="shared" ca="1" si="36"/>
        <v>0.43291353543267874</v>
      </c>
      <c r="AO111" s="456"/>
      <c r="AP111" s="456"/>
      <c r="AQ111" s="458"/>
      <c r="AR111" s="452" t="str">
        <f t="shared" si="41"/>
        <v>ENERGY STAR - Top-Load Clothes Washer - Gas DHW, Gas Dryer - 54% ENERGY STAR Baseline</v>
      </c>
      <c r="AS111" s="454">
        <f t="shared" si="42"/>
        <v>0</v>
      </c>
      <c r="AT111" s="455">
        <f t="shared" ca="1" si="43"/>
        <v>0</v>
      </c>
      <c r="AU111" s="456">
        <f t="shared" ca="1" si="44"/>
        <v>0.43291353543267874</v>
      </c>
      <c r="AV111" s="456">
        <f t="shared" si="45"/>
        <v>0</v>
      </c>
      <c r="AW111" s="456"/>
      <c r="AX111" s="455">
        <f t="shared" ca="1" si="37"/>
        <v>2.2689844676199051</v>
      </c>
      <c r="AY111" s="455"/>
      <c r="AZ111" s="458"/>
      <c r="BA111" s="450" t="str">
        <f t="shared" si="49"/>
        <v>ENERGY STAR - Top-Load Clothes Washer - Gas DHW, Gas Dryer - 54% ENERGY STAR Baseline</v>
      </c>
      <c r="BB111" s="450" t="s">
        <v>26</v>
      </c>
      <c r="BC111" s="455">
        <f t="shared" ca="1" si="46"/>
        <v>0</v>
      </c>
      <c r="BD111" s="455">
        <f>SFAssumptions!$C$7</f>
        <v>14</v>
      </c>
      <c r="BE111" s="459">
        <f t="shared" si="47"/>
        <v>0</v>
      </c>
      <c r="BF111" s="450"/>
      <c r="BG111" s="449" t="s">
        <v>159</v>
      </c>
      <c r="BH111" s="460"/>
      <c r="BI111" s="450"/>
      <c r="BJ111" s="450"/>
      <c r="BK111" s="450"/>
      <c r="BL111" s="450"/>
      <c r="BM111" s="450"/>
      <c r="BN111" s="450"/>
      <c r="BO111" s="461">
        <f t="shared" ca="1" si="48"/>
        <v>0.43291353543267874</v>
      </c>
      <c r="BP111" s="450" t="s">
        <v>159</v>
      </c>
    </row>
    <row r="112" spans="1:68" s="309" customFormat="1">
      <c r="A112" s="450">
        <f t="shared" si="39"/>
        <v>35</v>
      </c>
      <c r="B112" s="450">
        <f t="shared" si="3"/>
        <v>2</v>
      </c>
      <c r="C112" s="450">
        <f t="shared" si="4"/>
        <v>5</v>
      </c>
      <c r="D112" s="450">
        <f t="shared" si="5"/>
        <v>1</v>
      </c>
      <c r="E112" s="450">
        <f t="shared" si="6"/>
        <v>5</v>
      </c>
      <c r="F112" s="450"/>
      <c r="G112" s="450" t="str">
        <f t="shared" si="13"/>
        <v>Current Practice Baseline Using 54% ENERGY STAR Penetration</v>
      </c>
      <c r="H112" s="450" t="str">
        <f t="shared" si="40"/>
        <v>ENERGY STAR - Top-Load</v>
      </c>
      <c r="I112" s="450" t="str">
        <f t="shared" si="7"/>
        <v>Any DHW, Any Dryer</v>
      </c>
      <c r="J112" s="450" t="str">
        <f t="shared" si="8"/>
        <v>Any DHW</v>
      </c>
      <c r="K112" s="450" t="str">
        <f t="shared" si="9"/>
        <v>Any Dryer</v>
      </c>
      <c r="L112" s="451">
        <f>VLOOKUP(J112,SFAssumptions!$A$14:$B$16,2,FALSE)</f>
        <v>0.55200000000000005</v>
      </c>
      <c r="M112" s="452">
        <f>VLOOKUP(K112,SFAssumptions!$A$18:$B$20,2,FALSE)</f>
        <v>0.95</v>
      </c>
      <c r="N112" s="453">
        <f ca="1">HLOOKUP($G112,'MHBaselines and Measures'!$C$3:$V$33,7,FALSE)</f>
        <v>3802.5240664273615</v>
      </c>
      <c r="O112" s="454"/>
      <c r="P112" s="455"/>
      <c r="Q112" s="455">
        <f ca="1">HLOOKUP($G112,'MHBaselines and Measures'!$C$3:$V$33,26,FALSE)</f>
        <v>292.2292335830785</v>
      </c>
      <c r="R112" s="455"/>
      <c r="S112" s="456"/>
      <c r="T112" s="456">
        <f ca="1">HLOOKUP($G112,'MHBaselines and Measures'!$C$3:$V$33,30,FALSE)</f>
        <v>11.170637791253329</v>
      </c>
      <c r="U112" s="456"/>
      <c r="V112" s="456"/>
      <c r="W112" s="457"/>
      <c r="X112" s="453"/>
      <c r="Y112" s="454"/>
      <c r="Z112" s="455"/>
      <c r="AA112" s="455">
        <f ca="1">HLOOKUP($H112,'MHBaselines and Measures'!$C$2:$V$33,27,FALSE)</f>
        <v>280.90400819923428</v>
      </c>
      <c r="AB112" s="455"/>
      <c r="AC112" s="456"/>
      <c r="AD112" s="456">
        <f ca="1">HLOOKUP($H112,'MHBaselines and Measures'!$C$2:$V$33,31,FALSE)</f>
        <v>10.73772425582065</v>
      </c>
      <c r="AE112" s="456"/>
      <c r="AF112" s="456"/>
      <c r="AG112" s="457"/>
      <c r="AH112" s="453"/>
      <c r="AI112" s="454"/>
      <c r="AJ112" s="455"/>
      <c r="AK112" s="455">
        <f t="shared" ca="1" si="35"/>
        <v>11.325225383844213</v>
      </c>
      <c r="AL112" s="455"/>
      <c r="AM112" s="456"/>
      <c r="AN112" s="456">
        <f t="shared" ca="1" si="36"/>
        <v>0.43291353543267874</v>
      </c>
      <c r="AO112" s="456"/>
      <c r="AP112" s="456"/>
      <c r="AQ112" s="458"/>
      <c r="AR112" s="452" t="str">
        <f t="shared" si="41"/>
        <v>ENERGY STAR - Top-Load Clothes Washer - Any DHW, Any Dryer - 54% ENERGY STAR Baseline</v>
      </c>
      <c r="AS112" s="454">
        <f t="shared" si="42"/>
        <v>0</v>
      </c>
      <c r="AT112" s="455">
        <f t="shared" ca="1" si="43"/>
        <v>10.758964114652002</v>
      </c>
      <c r="AU112" s="456">
        <f t="shared" ca="1" si="44"/>
        <v>2.1645676771633957E-2</v>
      </c>
      <c r="AV112" s="456">
        <f t="shared" si="45"/>
        <v>0</v>
      </c>
      <c r="AW112" s="456"/>
      <c r="AX112" s="455">
        <f t="shared" ca="1" si="37"/>
        <v>13.027948582271907</v>
      </c>
      <c r="AY112" s="455"/>
      <c r="AZ112" s="458"/>
      <c r="BA112" s="450" t="str">
        <f t="shared" si="49"/>
        <v>ENERGY STAR - Top-Load Clothes Washer - Any DHW, Any Dryer - 54% ENERGY STAR Baseline</v>
      </c>
      <c r="BB112" s="450" t="s">
        <v>26</v>
      </c>
      <c r="BC112" s="455">
        <f t="shared" ca="1" si="46"/>
        <v>10.758964114652002</v>
      </c>
      <c r="BD112" s="455">
        <f>SFAssumptions!$C$7</f>
        <v>14</v>
      </c>
      <c r="BE112" s="459">
        <f t="shared" si="47"/>
        <v>0</v>
      </c>
      <c r="BF112" s="450"/>
      <c r="BG112" s="449" t="s">
        <v>159</v>
      </c>
      <c r="BH112" s="460"/>
      <c r="BI112" s="450"/>
      <c r="BJ112" s="450"/>
      <c r="BK112" s="450"/>
      <c r="BL112" s="450"/>
      <c r="BM112" s="450"/>
      <c r="BN112" s="450"/>
      <c r="BO112" s="461">
        <f t="shared" ca="1" si="48"/>
        <v>2.1645676771633957E-2</v>
      </c>
      <c r="BP112" s="450" t="s">
        <v>159</v>
      </c>
    </row>
    <row r="113" spans="1:68" s="309" customFormat="1">
      <c r="A113" s="450">
        <f t="shared" si="39"/>
        <v>36</v>
      </c>
      <c r="B113" s="450">
        <f t="shared" si="3"/>
        <v>2</v>
      </c>
      <c r="C113" s="450">
        <f t="shared" si="4"/>
        <v>6</v>
      </c>
      <c r="D113" s="450">
        <f t="shared" si="5"/>
        <v>2</v>
      </c>
      <c r="E113" s="450">
        <f t="shared" si="6"/>
        <v>1</v>
      </c>
      <c r="F113" s="450"/>
      <c r="G113" s="450" t="str">
        <f t="shared" si="13"/>
        <v>Current Practice Baseline Using 54% ENERGY STAR Penetration</v>
      </c>
      <c r="H113" s="450" t="str">
        <f t="shared" si="40"/>
        <v>ENERGY STAR - Front-Load</v>
      </c>
      <c r="I113" s="450" t="str">
        <f t="shared" si="7"/>
        <v>Electric DHW, Electric Dryer</v>
      </c>
      <c r="J113" s="450" t="str">
        <f t="shared" si="8"/>
        <v>Electric DHW</v>
      </c>
      <c r="K113" s="450" t="str">
        <f t="shared" si="9"/>
        <v>Electric Dryer</v>
      </c>
      <c r="L113" s="451">
        <f>VLOOKUP(J113,SFAssumptions!$A$14:$B$16,2,FALSE)</f>
        <v>1</v>
      </c>
      <c r="M113" s="452">
        <f>VLOOKUP(K113,SFAssumptions!$A$18:$B$20,2,FALSE)</f>
        <v>1</v>
      </c>
      <c r="N113" s="453">
        <f ca="1">HLOOKUP($G113,'MHBaselines and Measures'!$C$3:$V$33,7,FALSE)</f>
        <v>3802.5240664273615</v>
      </c>
      <c r="O113" s="454"/>
      <c r="P113" s="455"/>
      <c r="Q113" s="455">
        <f ca="1">HLOOKUP($G113,'MHBaselines and Measures'!$C$3:$V$33,26,FALSE)</f>
        <v>292.2292335830785</v>
      </c>
      <c r="R113" s="455"/>
      <c r="S113" s="456"/>
      <c r="T113" s="456">
        <f ca="1">HLOOKUP($G113,'MHBaselines and Measures'!$C$3:$V$33,30,FALSE)</f>
        <v>11.170637791253329</v>
      </c>
      <c r="U113" s="456"/>
      <c r="V113" s="456"/>
      <c r="W113" s="457"/>
      <c r="X113" s="453"/>
      <c r="Y113" s="454"/>
      <c r="Z113" s="455"/>
      <c r="AA113" s="455">
        <f ca="1">HLOOKUP($H113,'MHBaselines and Measures'!$C$2:$V$33,27,FALSE)</f>
        <v>246.67114479963448</v>
      </c>
      <c r="AB113" s="455"/>
      <c r="AC113" s="456"/>
      <c r="AD113" s="456">
        <f ca="1">HLOOKUP($H113,'MHBaselines and Measures'!$C$2:$V$33,31,FALSE)</f>
        <v>9.429152512652907</v>
      </c>
      <c r="AE113" s="456"/>
      <c r="AF113" s="456"/>
      <c r="AG113" s="457"/>
      <c r="AH113" s="453"/>
      <c r="AI113" s="454"/>
      <c r="AJ113" s="455"/>
      <c r="AK113" s="455">
        <f t="shared" ca="1" si="35"/>
        <v>45.55808878344402</v>
      </c>
      <c r="AL113" s="455"/>
      <c r="AM113" s="456"/>
      <c r="AN113" s="456">
        <f t="shared" ca="1" si="36"/>
        <v>1.7414852786004218</v>
      </c>
      <c r="AO113" s="456"/>
      <c r="AP113" s="456"/>
      <c r="AQ113" s="458"/>
      <c r="AR113" s="452" t="str">
        <f t="shared" si="41"/>
        <v>ENERGY STAR - Front-Load Clothes Washer - Electric DHW, Electric Dryer - 54% ENERGY STAR Baseline</v>
      </c>
      <c r="AS113" s="454">
        <f t="shared" si="42"/>
        <v>0</v>
      </c>
      <c r="AT113" s="455">
        <f t="shared" ca="1" si="43"/>
        <v>45.55808878344402</v>
      </c>
      <c r="AU113" s="456">
        <f t="shared" ca="1" si="44"/>
        <v>0</v>
      </c>
      <c r="AV113" s="456">
        <f t="shared" si="45"/>
        <v>0</v>
      </c>
      <c r="AW113" s="456"/>
      <c r="AX113" s="455">
        <f t="shared" ca="1" si="37"/>
        <v>48.886041239545555</v>
      </c>
      <c r="AY113" s="455"/>
      <c r="AZ113" s="458"/>
      <c r="BA113" s="450" t="str">
        <f t="shared" si="49"/>
        <v>ENERGY STAR - Front-Load Clothes Washer - Electric DHW, Electric Dryer - 54% ENERGY STAR Baseline</v>
      </c>
      <c r="BB113" s="450" t="s">
        <v>26</v>
      </c>
      <c r="BC113" s="455">
        <f t="shared" ca="1" si="46"/>
        <v>45.55808878344402</v>
      </c>
      <c r="BD113" s="455">
        <f>SFAssumptions!$C$7</f>
        <v>14</v>
      </c>
      <c r="BE113" s="459">
        <f t="shared" si="47"/>
        <v>0</v>
      </c>
      <c r="BF113" s="450"/>
      <c r="BG113" s="449" t="s">
        <v>159</v>
      </c>
      <c r="BH113" s="460"/>
      <c r="BI113" s="450"/>
      <c r="BJ113" s="450"/>
      <c r="BK113" s="450"/>
      <c r="BL113" s="450"/>
      <c r="BM113" s="450"/>
      <c r="BN113" s="450"/>
      <c r="BO113" s="461">
        <f t="shared" ca="1" si="48"/>
        <v>0</v>
      </c>
      <c r="BP113" s="450" t="s">
        <v>159</v>
      </c>
    </row>
    <row r="114" spans="1:68" s="309" customFormat="1">
      <c r="A114" s="450">
        <f t="shared" si="39"/>
        <v>37</v>
      </c>
      <c r="B114" s="450">
        <f t="shared" si="3"/>
        <v>2</v>
      </c>
      <c r="C114" s="450">
        <f t="shared" si="4"/>
        <v>7</v>
      </c>
      <c r="D114" s="450">
        <f t="shared" si="5"/>
        <v>2</v>
      </c>
      <c r="E114" s="450">
        <f t="shared" si="6"/>
        <v>2</v>
      </c>
      <c r="F114" s="450"/>
      <c r="G114" s="450" t="str">
        <f t="shared" si="13"/>
        <v>Current Practice Baseline Using 54% ENERGY STAR Penetration</v>
      </c>
      <c r="H114" s="450" t="str">
        <f t="shared" si="40"/>
        <v>ENERGY STAR - Front-Load</v>
      </c>
      <c r="I114" s="450" t="str">
        <f t="shared" si="7"/>
        <v>Electric DHW, Gas Dryer</v>
      </c>
      <c r="J114" s="450" t="str">
        <f t="shared" si="8"/>
        <v>Electric DHW</v>
      </c>
      <c r="K114" s="450" t="str">
        <f t="shared" si="9"/>
        <v>Gas Dryer</v>
      </c>
      <c r="L114" s="451">
        <f>VLOOKUP(J114,SFAssumptions!$A$14:$B$16,2,FALSE)</f>
        <v>1</v>
      </c>
      <c r="M114" s="452">
        <f>VLOOKUP(K114,SFAssumptions!$A$18:$B$20,2,FALSE)</f>
        <v>0</v>
      </c>
      <c r="N114" s="453">
        <f ca="1">HLOOKUP($G114,'MHBaselines and Measures'!$C$3:$V$33,7,FALSE)</f>
        <v>3802.5240664273615</v>
      </c>
      <c r="O114" s="454"/>
      <c r="P114" s="455"/>
      <c r="Q114" s="455">
        <f ca="1">HLOOKUP($G114,'MHBaselines and Measures'!$C$3:$V$33,26,FALSE)</f>
        <v>292.2292335830785</v>
      </c>
      <c r="R114" s="455"/>
      <c r="S114" s="456"/>
      <c r="T114" s="456">
        <f ca="1">HLOOKUP($G114,'MHBaselines and Measures'!$C$3:$V$33,30,FALSE)</f>
        <v>11.170637791253329</v>
      </c>
      <c r="U114" s="456"/>
      <c r="V114" s="456"/>
      <c r="W114" s="457"/>
      <c r="X114" s="453"/>
      <c r="Y114" s="454"/>
      <c r="Z114" s="455"/>
      <c r="AA114" s="455">
        <f ca="1">HLOOKUP($H114,'MHBaselines and Measures'!$C$2:$V$33,27,FALSE)</f>
        <v>246.67114479963448</v>
      </c>
      <c r="AB114" s="455"/>
      <c r="AC114" s="456"/>
      <c r="AD114" s="456">
        <f ca="1">HLOOKUP($H114,'MHBaselines and Measures'!$C$2:$V$33,31,FALSE)</f>
        <v>9.429152512652907</v>
      </c>
      <c r="AE114" s="456"/>
      <c r="AF114" s="456"/>
      <c r="AG114" s="457"/>
      <c r="AH114" s="453"/>
      <c r="AI114" s="454"/>
      <c r="AJ114" s="455"/>
      <c r="AK114" s="455">
        <f t="shared" ca="1" si="35"/>
        <v>45.55808878344402</v>
      </c>
      <c r="AL114" s="455"/>
      <c r="AM114" s="456"/>
      <c r="AN114" s="456">
        <f t="shared" ca="1" si="36"/>
        <v>1.7414852786004218</v>
      </c>
      <c r="AO114" s="456"/>
      <c r="AP114" s="456"/>
      <c r="AQ114" s="458"/>
      <c r="AR114" s="452" t="str">
        <f t="shared" si="41"/>
        <v>ENERGY STAR - Front-Load Clothes Washer - Electric DHW, Gas Dryer - 54% ENERGY STAR Baseline</v>
      </c>
      <c r="AS114" s="454">
        <f t="shared" si="42"/>
        <v>0</v>
      </c>
      <c r="AT114" s="455">
        <f t="shared" ca="1" si="43"/>
        <v>0</v>
      </c>
      <c r="AU114" s="456">
        <f t="shared" ca="1" si="44"/>
        <v>1.7414852786004218</v>
      </c>
      <c r="AV114" s="456">
        <f t="shared" si="45"/>
        <v>0</v>
      </c>
      <c r="AW114" s="456"/>
      <c r="AX114" s="455">
        <f t="shared" ca="1" si="37"/>
        <v>3.3279524561015337</v>
      </c>
      <c r="AY114" s="455"/>
      <c r="AZ114" s="458"/>
      <c r="BA114" s="450" t="str">
        <f t="shared" si="49"/>
        <v>ENERGY STAR - Front-Load Clothes Washer - Electric DHW, Gas Dryer - 54% ENERGY STAR Baseline</v>
      </c>
      <c r="BB114" s="450" t="s">
        <v>26</v>
      </c>
      <c r="BC114" s="455">
        <f t="shared" ca="1" si="46"/>
        <v>0</v>
      </c>
      <c r="BD114" s="455">
        <f>SFAssumptions!$C$7</f>
        <v>14</v>
      </c>
      <c r="BE114" s="459">
        <f t="shared" si="47"/>
        <v>0</v>
      </c>
      <c r="BF114" s="450"/>
      <c r="BG114" s="449" t="s">
        <v>159</v>
      </c>
      <c r="BH114" s="460"/>
      <c r="BI114" s="450"/>
      <c r="BJ114" s="450"/>
      <c r="BK114" s="450"/>
      <c r="BL114" s="450"/>
      <c r="BM114" s="450"/>
      <c r="BN114" s="450"/>
      <c r="BO114" s="461">
        <f t="shared" ca="1" si="48"/>
        <v>1.7414852786004218</v>
      </c>
      <c r="BP114" s="450" t="s">
        <v>159</v>
      </c>
    </row>
    <row r="115" spans="1:68" s="309" customFormat="1">
      <c r="A115" s="450">
        <f t="shared" si="39"/>
        <v>38</v>
      </c>
      <c r="B115" s="450">
        <f t="shared" si="3"/>
        <v>2</v>
      </c>
      <c r="C115" s="450">
        <f t="shared" si="4"/>
        <v>8</v>
      </c>
      <c r="D115" s="450">
        <f t="shared" si="5"/>
        <v>2</v>
      </c>
      <c r="E115" s="450">
        <f t="shared" si="6"/>
        <v>3</v>
      </c>
      <c r="F115" s="450"/>
      <c r="G115" s="450" t="str">
        <f t="shared" si="13"/>
        <v>Current Practice Baseline Using 54% ENERGY STAR Penetration</v>
      </c>
      <c r="H115" s="450" t="str">
        <f t="shared" si="40"/>
        <v>ENERGY STAR - Front-Load</v>
      </c>
      <c r="I115" s="450" t="str">
        <f t="shared" si="7"/>
        <v>Gas DHW, Electric Dryer</v>
      </c>
      <c r="J115" s="450" t="str">
        <f t="shared" si="8"/>
        <v>Gas DHW</v>
      </c>
      <c r="K115" s="450" t="str">
        <f t="shared" si="9"/>
        <v>Electric Dryer</v>
      </c>
      <c r="L115" s="451">
        <f>VLOOKUP(J115,SFAssumptions!$A$14:$B$16,2,FALSE)</f>
        <v>0</v>
      </c>
      <c r="M115" s="452">
        <f>VLOOKUP(K115,SFAssumptions!$A$18:$B$20,2,FALSE)</f>
        <v>1</v>
      </c>
      <c r="N115" s="453">
        <f ca="1">HLOOKUP($G115,'MHBaselines and Measures'!$C$3:$V$33,7,FALSE)</f>
        <v>3802.5240664273615</v>
      </c>
      <c r="O115" s="454"/>
      <c r="P115" s="455"/>
      <c r="Q115" s="455">
        <f ca="1">HLOOKUP($G115,'MHBaselines and Measures'!$C$3:$V$33,26,FALSE)</f>
        <v>292.2292335830785</v>
      </c>
      <c r="R115" s="455"/>
      <c r="S115" s="456"/>
      <c r="T115" s="456">
        <f ca="1">HLOOKUP($G115,'MHBaselines and Measures'!$C$3:$V$33,30,FALSE)</f>
        <v>11.170637791253329</v>
      </c>
      <c r="U115" s="456"/>
      <c r="V115" s="456"/>
      <c r="W115" s="457"/>
      <c r="X115" s="453"/>
      <c r="Y115" s="454"/>
      <c r="Z115" s="455"/>
      <c r="AA115" s="455">
        <f ca="1">HLOOKUP($H115,'MHBaselines and Measures'!$C$2:$V$33,27,FALSE)</f>
        <v>246.67114479963448</v>
      </c>
      <c r="AB115" s="455"/>
      <c r="AC115" s="456"/>
      <c r="AD115" s="456">
        <f ca="1">HLOOKUP($H115,'MHBaselines and Measures'!$C$2:$V$33,31,FALSE)</f>
        <v>9.429152512652907</v>
      </c>
      <c r="AE115" s="456"/>
      <c r="AF115" s="456"/>
      <c r="AG115" s="457"/>
      <c r="AH115" s="453"/>
      <c r="AI115" s="454"/>
      <c r="AJ115" s="455"/>
      <c r="AK115" s="455">
        <f t="shared" ca="1" si="35"/>
        <v>45.55808878344402</v>
      </c>
      <c r="AL115" s="455"/>
      <c r="AM115" s="456"/>
      <c r="AN115" s="456">
        <f t="shared" ca="1" si="36"/>
        <v>1.7414852786004218</v>
      </c>
      <c r="AO115" s="456"/>
      <c r="AP115" s="456"/>
      <c r="AQ115" s="458"/>
      <c r="AR115" s="452" t="str">
        <f t="shared" si="41"/>
        <v>ENERGY STAR - Front-Load Clothes Washer - Gas DHW, Electric Dryer - 54% ENERGY STAR Baseline</v>
      </c>
      <c r="AS115" s="454">
        <f t="shared" si="42"/>
        <v>0</v>
      </c>
      <c r="AT115" s="455">
        <f t="shared" ca="1" si="43"/>
        <v>45.55808878344402</v>
      </c>
      <c r="AU115" s="456">
        <f t="shared" ca="1" si="44"/>
        <v>0</v>
      </c>
      <c r="AV115" s="456">
        <f t="shared" si="45"/>
        <v>0</v>
      </c>
      <c r="AW115" s="456"/>
      <c r="AX115" s="455">
        <f t="shared" ca="1" si="37"/>
        <v>48.886041239545555</v>
      </c>
      <c r="AY115" s="455"/>
      <c r="AZ115" s="458"/>
      <c r="BA115" s="450" t="str">
        <f t="shared" si="49"/>
        <v>ENERGY STAR - Front-Load Clothes Washer - Gas DHW, Electric Dryer - 54% ENERGY STAR Baseline</v>
      </c>
      <c r="BB115" s="450" t="s">
        <v>26</v>
      </c>
      <c r="BC115" s="455">
        <f t="shared" ca="1" si="46"/>
        <v>45.55808878344402</v>
      </c>
      <c r="BD115" s="455">
        <f>SFAssumptions!$C$7</f>
        <v>14</v>
      </c>
      <c r="BE115" s="459">
        <f t="shared" si="47"/>
        <v>0</v>
      </c>
      <c r="BF115" s="450"/>
      <c r="BG115" s="449" t="s">
        <v>159</v>
      </c>
      <c r="BH115" s="460"/>
      <c r="BI115" s="450"/>
      <c r="BJ115" s="450"/>
      <c r="BK115" s="450"/>
      <c r="BL115" s="450"/>
      <c r="BM115" s="450"/>
      <c r="BN115" s="450"/>
      <c r="BO115" s="461">
        <f t="shared" ca="1" si="48"/>
        <v>0</v>
      </c>
      <c r="BP115" s="450" t="s">
        <v>159</v>
      </c>
    </row>
    <row r="116" spans="1:68" s="309" customFormat="1">
      <c r="A116" s="450">
        <f t="shared" si="39"/>
        <v>39</v>
      </c>
      <c r="B116" s="450">
        <f t="shared" si="3"/>
        <v>2</v>
      </c>
      <c r="C116" s="450">
        <f t="shared" si="4"/>
        <v>9</v>
      </c>
      <c r="D116" s="450">
        <f t="shared" si="5"/>
        <v>2</v>
      </c>
      <c r="E116" s="450">
        <f t="shared" si="6"/>
        <v>4</v>
      </c>
      <c r="F116" s="450"/>
      <c r="G116" s="450" t="str">
        <f t="shared" si="13"/>
        <v>Current Practice Baseline Using 54% ENERGY STAR Penetration</v>
      </c>
      <c r="H116" s="450" t="str">
        <f t="shared" si="40"/>
        <v>ENERGY STAR - Front-Load</v>
      </c>
      <c r="I116" s="450" t="str">
        <f t="shared" si="7"/>
        <v>Gas DHW, Gas Dryer</v>
      </c>
      <c r="J116" s="450" t="str">
        <f t="shared" si="8"/>
        <v>Gas DHW</v>
      </c>
      <c r="K116" s="450" t="str">
        <f t="shared" si="9"/>
        <v>Gas Dryer</v>
      </c>
      <c r="L116" s="451">
        <f>VLOOKUP(J116,SFAssumptions!$A$14:$B$16,2,FALSE)</f>
        <v>0</v>
      </c>
      <c r="M116" s="452">
        <f>VLOOKUP(K116,SFAssumptions!$A$18:$B$20,2,FALSE)</f>
        <v>0</v>
      </c>
      <c r="N116" s="453">
        <f ca="1">HLOOKUP($G116,'MHBaselines and Measures'!$C$3:$V$33,7,FALSE)</f>
        <v>3802.5240664273615</v>
      </c>
      <c r="O116" s="454"/>
      <c r="P116" s="455"/>
      <c r="Q116" s="455">
        <f ca="1">HLOOKUP($G116,'MHBaselines and Measures'!$C$3:$V$33,26,FALSE)</f>
        <v>292.2292335830785</v>
      </c>
      <c r="R116" s="455"/>
      <c r="S116" s="456"/>
      <c r="T116" s="456">
        <f ca="1">HLOOKUP($G116,'MHBaselines and Measures'!$C$3:$V$33,30,FALSE)</f>
        <v>11.170637791253329</v>
      </c>
      <c r="U116" s="456"/>
      <c r="V116" s="456"/>
      <c r="W116" s="457"/>
      <c r="X116" s="453"/>
      <c r="Y116" s="454"/>
      <c r="Z116" s="455"/>
      <c r="AA116" s="455">
        <f ca="1">HLOOKUP($H116,'MHBaselines and Measures'!$C$2:$V$33,27,FALSE)</f>
        <v>246.67114479963448</v>
      </c>
      <c r="AB116" s="455"/>
      <c r="AC116" s="456"/>
      <c r="AD116" s="456">
        <f ca="1">HLOOKUP($H116,'MHBaselines and Measures'!$C$2:$V$33,31,FALSE)</f>
        <v>9.429152512652907</v>
      </c>
      <c r="AE116" s="456"/>
      <c r="AF116" s="456"/>
      <c r="AG116" s="457"/>
      <c r="AH116" s="453"/>
      <c r="AI116" s="454"/>
      <c r="AJ116" s="455"/>
      <c r="AK116" s="455">
        <f t="shared" ca="1" si="35"/>
        <v>45.55808878344402</v>
      </c>
      <c r="AL116" s="455"/>
      <c r="AM116" s="456"/>
      <c r="AN116" s="456">
        <f t="shared" ca="1" si="36"/>
        <v>1.7414852786004218</v>
      </c>
      <c r="AO116" s="456"/>
      <c r="AP116" s="456"/>
      <c r="AQ116" s="458"/>
      <c r="AR116" s="452" t="str">
        <f t="shared" si="41"/>
        <v>ENERGY STAR - Front-Load Clothes Washer - Gas DHW, Gas Dryer - 54% ENERGY STAR Baseline</v>
      </c>
      <c r="AS116" s="454">
        <f t="shared" si="42"/>
        <v>0</v>
      </c>
      <c r="AT116" s="455">
        <f t="shared" ca="1" si="43"/>
        <v>0</v>
      </c>
      <c r="AU116" s="456">
        <f t="shared" ca="1" si="44"/>
        <v>1.7414852786004218</v>
      </c>
      <c r="AV116" s="456">
        <f t="shared" si="45"/>
        <v>0</v>
      </c>
      <c r="AW116" s="456"/>
      <c r="AX116" s="455">
        <f t="shared" ca="1" si="37"/>
        <v>3.3279524561015337</v>
      </c>
      <c r="AY116" s="455"/>
      <c r="AZ116" s="458"/>
      <c r="BA116" s="450" t="str">
        <f t="shared" si="49"/>
        <v>ENERGY STAR - Front-Load Clothes Washer - Gas DHW, Gas Dryer - 54% ENERGY STAR Baseline</v>
      </c>
      <c r="BB116" s="450" t="s">
        <v>26</v>
      </c>
      <c r="BC116" s="455">
        <f t="shared" ca="1" si="46"/>
        <v>0</v>
      </c>
      <c r="BD116" s="455">
        <f>SFAssumptions!$C$7</f>
        <v>14</v>
      </c>
      <c r="BE116" s="459">
        <f t="shared" si="47"/>
        <v>0</v>
      </c>
      <c r="BF116" s="450"/>
      <c r="BG116" s="449" t="s">
        <v>159</v>
      </c>
      <c r="BH116" s="460"/>
      <c r="BI116" s="450"/>
      <c r="BJ116" s="450"/>
      <c r="BK116" s="450"/>
      <c r="BL116" s="450"/>
      <c r="BM116" s="450"/>
      <c r="BN116" s="450"/>
      <c r="BO116" s="461">
        <f t="shared" ca="1" si="48"/>
        <v>1.7414852786004218</v>
      </c>
      <c r="BP116" s="450" t="s">
        <v>159</v>
      </c>
    </row>
    <row r="117" spans="1:68" s="309" customFormat="1">
      <c r="A117" s="450">
        <f t="shared" si="39"/>
        <v>40</v>
      </c>
      <c r="B117" s="450">
        <f t="shared" si="3"/>
        <v>2</v>
      </c>
      <c r="C117" s="450">
        <f t="shared" si="4"/>
        <v>10</v>
      </c>
      <c r="D117" s="450">
        <f t="shared" si="5"/>
        <v>2</v>
      </c>
      <c r="E117" s="450">
        <f t="shared" si="6"/>
        <v>5</v>
      </c>
      <c r="F117" s="450"/>
      <c r="G117" s="450" t="str">
        <f t="shared" si="13"/>
        <v>Current Practice Baseline Using 54% ENERGY STAR Penetration</v>
      </c>
      <c r="H117" s="450" t="str">
        <f t="shared" si="40"/>
        <v>ENERGY STAR - Front-Load</v>
      </c>
      <c r="I117" s="450" t="str">
        <f t="shared" si="7"/>
        <v>Any DHW, Any Dryer</v>
      </c>
      <c r="J117" s="450" t="str">
        <f t="shared" si="8"/>
        <v>Any DHW</v>
      </c>
      <c r="K117" s="450" t="str">
        <f t="shared" si="9"/>
        <v>Any Dryer</v>
      </c>
      <c r="L117" s="451">
        <f>VLOOKUP(J117,SFAssumptions!$A$14:$B$16,2,FALSE)</f>
        <v>0.55200000000000005</v>
      </c>
      <c r="M117" s="452">
        <f>VLOOKUP(K117,SFAssumptions!$A$18:$B$20,2,FALSE)</f>
        <v>0.95</v>
      </c>
      <c r="N117" s="453">
        <f ca="1">HLOOKUP($G117,'MHBaselines and Measures'!$C$3:$V$33,7,FALSE)</f>
        <v>3802.5240664273615</v>
      </c>
      <c r="O117" s="454"/>
      <c r="P117" s="455"/>
      <c r="Q117" s="455">
        <f ca="1">HLOOKUP($G117,'MHBaselines and Measures'!$C$3:$V$33,26,FALSE)</f>
        <v>292.2292335830785</v>
      </c>
      <c r="R117" s="455"/>
      <c r="S117" s="456"/>
      <c r="T117" s="456">
        <f ca="1">HLOOKUP($G117,'MHBaselines and Measures'!$C$3:$V$33,30,FALSE)</f>
        <v>11.170637791253329</v>
      </c>
      <c r="U117" s="456"/>
      <c r="V117" s="456"/>
      <c r="W117" s="457"/>
      <c r="X117" s="453"/>
      <c r="Y117" s="454"/>
      <c r="Z117" s="455"/>
      <c r="AA117" s="455">
        <f ca="1">HLOOKUP($H117,'MHBaselines and Measures'!$C$2:$V$33,27,FALSE)</f>
        <v>246.67114479963448</v>
      </c>
      <c r="AB117" s="455"/>
      <c r="AC117" s="456"/>
      <c r="AD117" s="456">
        <f ca="1">HLOOKUP($H117,'MHBaselines and Measures'!$C$2:$V$33,31,FALSE)</f>
        <v>9.429152512652907</v>
      </c>
      <c r="AE117" s="456"/>
      <c r="AF117" s="456"/>
      <c r="AG117" s="457"/>
      <c r="AH117" s="453"/>
      <c r="AI117" s="454"/>
      <c r="AJ117" s="455"/>
      <c r="AK117" s="455">
        <f t="shared" ca="1" si="35"/>
        <v>45.55808878344402</v>
      </c>
      <c r="AL117" s="455"/>
      <c r="AM117" s="456"/>
      <c r="AN117" s="456">
        <f t="shared" ca="1" si="36"/>
        <v>1.7414852786004218</v>
      </c>
      <c r="AO117" s="456"/>
      <c r="AP117" s="456"/>
      <c r="AQ117" s="458"/>
      <c r="AR117" s="452" t="str">
        <f t="shared" si="41"/>
        <v>ENERGY STAR - Front-Load Clothes Washer - Any DHW, Any Dryer - 54% ENERGY STAR Baseline</v>
      </c>
      <c r="AS117" s="454">
        <f t="shared" si="42"/>
        <v>0</v>
      </c>
      <c r="AT117" s="455">
        <f t="shared" ca="1" si="43"/>
        <v>43.280184344271817</v>
      </c>
      <c r="AU117" s="456">
        <f t="shared" ca="1" si="44"/>
        <v>8.707426393002117E-2</v>
      </c>
      <c r="AV117" s="456">
        <f t="shared" si="45"/>
        <v>0</v>
      </c>
      <c r="AW117" s="456"/>
      <c r="AX117" s="455">
        <f t="shared" ca="1" si="37"/>
        <v>46.608136800373352</v>
      </c>
      <c r="AY117" s="455"/>
      <c r="AZ117" s="458"/>
      <c r="BA117" s="450" t="str">
        <f t="shared" si="49"/>
        <v>ENERGY STAR - Front-Load Clothes Washer - Any DHW, Any Dryer - 54% ENERGY STAR Baseline</v>
      </c>
      <c r="BB117" s="450" t="s">
        <v>26</v>
      </c>
      <c r="BC117" s="455">
        <f t="shared" ca="1" si="46"/>
        <v>43.280184344271817</v>
      </c>
      <c r="BD117" s="455">
        <f>SFAssumptions!$C$7</f>
        <v>14</v>
      </c>
      <c r="BE117" s="459">
        <f t="shared" si="47"/>
        <v>0</v>
      </c>
      <c r="BF117" s="450"/>
      <c r="BG117" s="449" t="s">
        <v>159</v>
      </c>
      <c r="BH117" s="460"/>
      <c r="BI117" s="450"/>
      <c r="BJ117" s="450"/>
      <c r="BK117" s="450"/>
      <c r="BL117" s="450"/>
      <c r="BM117" s="450"/>
      <c r="BN117" s="450"/>
      <c r="BO117" s="461">
        <f t="shared" ca="1" si="48"/>
        <v>8.707426393002117E-2</v>
      </c>
      <c r="BP117" s="450" t="s">
        <v>159</v>
      </c>
    </row>
    <row r="118" spans="1:68" s="309" customFormat="1">
      <c r="A118" s="450">
        <f t="shared" si="39"/>
        <v>41</v>
      </c>
      <c r="B118" s="450">
        <f t="shared" si="3"/>
        <v>2</v>
      </c>
      <c r="C118" s="450">
        <f t="shared" si="4"/>
        <v>11</v>
      </c>
      <c r="D118" s="450">
        <f t="shared" si="5"/>
        <v>3</v>
      </c>
      <c r="E118" s="450">
        <f t="shared" si="6"/>
        <v>1</v>
      </c>
      <c r="F118" s="450"/>
      <c r="G118" s="450" t="str">
        <f t="shared" si="13"/>
        <v>Current Practice Baseline Using 54% ENERGY STAR Penetration</v>
      </c>
      <c r="H118" s="450" t="str">
        <f t="shared" si="40"/>
        <v>Any ENERGY STAR (Top- or Front-Load)</v>
      </c>
      <c r="I118" s="450" t="str">
        <f t="shared" si="7"/>
        <v>Electric DHW, Electric Dryer</v>
      </c>
      <c r="J118" s="450" t="str">
        <f t="shared" si="8"/>
        <v>Electric DHW</v>
      </c>
      <c r="K118" s="450" t="str">
        <f t="shared" si="9"/>
        <v>Electric Dryer</v>
      </c>
      <c r="L118" s="451">
        <f>VLOOKUP(J118,SFAssumptions!$A$14:$B$16,2,FALSE)</f>
        <v>1</v>
      </c>
      <c r="M118" s="452">
        <f>VLOOKUP(K118,SFAssumptions!$A$18:$B$20,2,FALSE)</f>
        <v>1</v>
      </c>
      <c r="N118" s="453">
        <f ca="1">HLOOKUP($G118,'MHBaselines and Measures'!$C$3:$V$33,7,FALSE)</f>
        <v>3802.5240664273615</v>
      </c>
      <c r="O118" s="454"/>
      <c r="P118" s="455"/>
      <c r="Q118" s="455">
        <f ca="1">HLOOKUP($G118,'MHBaselines and Measures'!$C$3:$V$33,26,FALSE)</f>
        <v>292.2292335830785</v>
      </c>
      <c r="R118" s="455"/>
      <c r="S118" s="456"/>
      <c r="T118" s="456">
        <f ca="1">HLOOKUP($G118,'MHBaselines and Measures'!$C$3:$V$33,30,FALSE)</f>
        <v>11.170637791253329</v>
      </c>
      <c r="U118" s="456"/>
      <c r="V118" s="456"/>
      <c r="W118" s="457"/>
      <c r="X118" s="453"/>
      <c r="Y118" s="454"/>
      <c r="Z118" s="455"/>
      <c r="AA118" s="455">
        <f ca="1">HLOOKUP($H118,'MHBaselines and Measures'!$C$2:$V$33,27,FALSE)</f>
        <v>256.2188281628097</v>
      </c>
      <c r="AB118" s="455"/>
      <c r="AC118" s="456"/>
      <c r="AD118" s="456">
        <f ca="1">HLOOKUP($H118,'MHBaselines and Measures'!$C$2:$V$33,31,FALSE)</f>
        <v>9.7941184378203001</v>
      </c>
      <c r="AE118" s="456"/>
      <c r="AF118" s="456"/>
      <c r="AG118" s="457"/>
      <c r="AH118" s="453"/>
      <c r="AI118" s="454"/>
      <c r="AJ118" s="455"/>
      <c r="AK118" s="455">
        <f t="shared" ca="1" si="35"/>
        <v>36.010405420268796</v>
      </c>
      <c r="AL118" s="455"/>
      <c r="AM118" s="456"/>
      <c r="AN118" s="456">
        <f t="shared" ca="1" si="36"/>
        <v>1.3765193534330287</v>
      </c>
      <c r="AO118" s="456"/>
      <c r="AP118" s="456"/>
      <c r="AQ118" s="458"/>
      <c r="AR118" s="452" t="str">
        <f t="shared" si="41"/>
        <v>Any ENERGY STAR (Top- or Front-Load) Clothes Washer - Electric DHW, Electric Dryer - 54% ENERGY STAR Baseline</v>
      </c>
      <c r="AS118" s="454">
        <f t="shared" si="42"/>
        <v>0</v>
      </c>
      <c r="AT118" s="455">
        <f t="shared" ca="1" si="43"/>
        <v>36.010405420268796</v>
      </c>
      <c r="AU118" s="456">
        <f t="shared" ca="1" si="44"/>
        <v>0</v>
      </c>
      <c r="AV118" s="456">
        <f t="shared" si="45"/>
        <v>0</v>
      </c>
      <c r="AW118" s="456"/>
      <c r="AX118" s="455">
        <f t="shared" ca="1" si="37"/>
        <v>39.429823441594266</v>
      </c>
      <c r="AY118" s="455"/>
      <c r="AZ118" s="458"/>
      <c r="BA118" s="450" t="str">
        <f t="shared" si="49"/>
        <v>Any ENERGY STAR (Top- or Front-Load) Clothes Washer - Electric DHW, Electric Dryer - 54% ENERGY STAR Baseline</v>
      </c>
      <c r="BB118" s="450" t="s">
        <v>26</v>
      </c>
      <c r="BC118" s="455">
        <f t="shared" ca="1" si="46"/>
        <v>36.010405420268796</v>
      </c>
      <c r="BD118" s="455">
        <f>SFAssumptions!$C$7</f>
        <v>14</v>
      </c>
      <c r="BE118" s="459">
        <f t="shared" si="47"/>
        <v>0</v>
      </c>
      <c r="BF118" s="450"/>
      <c r="BG118" s="449" t="s">
        <v>159</v>
      </c>
      <c r="BH118" s="460"/>
      <c r="BI118" s="450"/>
      <c r="BJ118" s="450"/>
      <c r="BK118" s="450"/>
      <c r="BL118" s="450"/>
      <c r="BM118" s="450"/>
      <c r="BN118" s="450"/>
      <c r="BO118" s="461">
        <f t="shared" ca="1" si="48"/>
        <v>0</v>
      </c>
      <c r="BP118" s="450" t="s">
        <v>159</v>
      </c>
    </row>
    <row r="119" spans="1:68" s="309" customFormat="1">
      <c r="A119" s="450">
        <f t="shared" si="39"/>
        <v>42</v>
      </c>
      <c r="B119" s="450">
        <f t="shared" si="3"/>
        <v>2</v>
      </c>
      <c r="C119" s="450">
        <f t="shared" si="4"/>
        <v>12</v>
      </c>
      <c r="D119" s="450">
        <f t="shared" si="5"/>
        <v>3</v>
      </c>
      <c r="E119" s="450">
        <f t="shared" si="6"/>
        <v>2</v>
      </c>
      <c r="F119" s="450"/>
      <c r="G119" s="450" t="str">
        <f t="shared" si="13"/>
        <v>Current Practice Baseline Using 54% ENERGY STAR Penetration</v>
      </c>
      <c r="H119" s="450" t="str">
        <f t="shared" si="40"/>
        <v>Any ENERGY STAR (Top- or Front-Load)</v>
      </c>
      <c r="I119" s="450" t="str">
        <f t="shared" si="7"/>
        <v>Electric DHW, Gas Dryer</v>
      </c>
      <c r="J119" s="450" t="str">
        <f t="shared" si="8"/>
        <v>Electric DHW</v>
      </c>
      <c r="K119" s="450" t="str">
        <f t="shared" si="9"/>
        <v>Gas Dryer</v>
      </c>
      <c r="L119" s="451">
        <f>VLOOKUP(J119,SFAssumptions!$A$14:$B$16,2,FALSE)</f>
        <v>1</v>
      </c>
      <c r="M119" s="452">
        <f>VLOOKUP(K119,SFAssumptions!$A$18:$B$20,2,FALSE)</f>
        <v>0</v>
      </c>
      <c r="N119" s="453">
        <f ca="1">HLOOKUP($G119,'MHBaselines and Measures'!$C$3:$V$33,7,FALSE)</f>
        <v>3802.5240664273615</v>
      </c>
      <c r="O119" s="454"/>
      <c r="P119" s="455"/>
      <c r="Q119" s="455">
        <f ca="1">HLOOKUP($G119,'MHBaselines and Measures'!$C$3:$V$33,26,FALSE)</f>
        <v>292.2292335830785</v>
      </c>
      <c r="R119" s="455"/>
      <c r="S119" s="456"/>
      <c r="T119" s="456">
        <f ca="1">HLOOKUP($G119,'MHBaselines and Measures'!$C$3:$V$33,30,FALSE)</f>
        <v>11.170637791253329</v>
      </c>
      <c r="U119" s="456"/>
      <c r="V119" s="456"/>
      <c r="W119" s="457"/>
      <c r="X119" s="453"/>
      <c r="Y119" s="454"/>
      <c r="Z119" s="455"/>
      <c r="AA119" s="455">
        <f ca="1">HLOOKUP($H119,'MHBaselines and Measures'!$C$2:$V$33,27,FALSE)</f>
        <v>256.2188281628097</v>
      </c>
      <c r="AB119" s="455"/>
      <c r="AC119" s="456"/>
      <c r="AD119" s="456">
        <f ca="1">HLOOKUP($H119,'MHBaselines and Measures'!$C$2:$V$33,31,FALSE)</f>
        <v>9.7941184378203001</v>
      </c>
      <c r="AE119" s="456"/>
      <c r="AF119" s="456"/>
      <c r="AG119" s="457"/>
      <c r="AH119" s="453"/>
      <c r="AI119" s="454"/>
      <c r="AJ119" s="455"/>
      <c r="AK119" s="455">
        <f t="shared" ca="1" si="35"/>
        <v>36.010405420268796</v>
      </c>
      <c r="AL119" s="455"/>
      <c r="AM119" s="456"/>
      <c r="AN119" s="456">
        <f t="shared" ca="1" si="36"/>
        <v>1.3765193534330287</v>
      </c>
      <c r="AO119" s="456"/>
      <c r="AP119" s="456"/>
      <c r="AQ119" s="458"/>
      <c r="AR119" s="452" t="str">
        <f t="shared" si="41"/>
        <v>Any ENERGY STAR (Top- or Front-Load) Clothes Washer - Electric DHW, Gas Dryer - 54% ENERGY STAR Baseline</v>
      </c>
      <c r="AS119" s="454">
        <f t="shared" si="42"/>
        <v>0</v>
      </c>
      <c r="AT119" s="455">
        <f t="shared" ca="1" si="43"/>
        <v>0</v>
      </c>
      <c r="AU119" s="456">
        <f t="shared" ca="1" si="44"/>
        <v>1.3765193534330287</v>
      </c>
      <c r="AV119" s="456">
        <f t="shared" si="45"/>
        <v>0</v>
      </c>
      <c r="AW119" s="456"/>
      <c r="AX119" s="455">
        <f t="shared" ca="1" si="37"/>
        <v>3.4194180213254715</v>
      </c>
      <c r="AY119" s="455"/>
      <c r="AZ119" s="458"/>
      <c r="BA119" s="450" t="str">
        <f t="shared" si="49"/>
        <v>Any ENERGY STAR (Top- or Front-Load) Clothes Washer - Electric DHW, Gas Dryer - 54% ENERGY STAR Baseline</v>
      </c>
      <c r="BB119" s="450" t="s">
        <v>26</v>
      </c>
      <c r="BC119" s="455">
        <f t="shared" ca="1" si="46"/>
        <v>0</v>
      </c>
      <c r="BD119" s="455">
        <f>SFAssumptions!$C$7</f>
        <v>14</v>
      </c>
      <c r="BE119" s="459">
        <f t="shared" si="47"/>
        <v>0</v>
      </c>
      <c r="BF119" s="450"/>
      <c r="BG119" s="449" t="s">
        <v>159</v>
      </c>
      <c r="BH119" s="460"/>
      <c r="BI119" s="450"/>
      <c r="BJ119" s="450"/>
      <c r="BK119" s="450"/>
      <c r="BL119" s="450"/>
      <c r="BM119" s="450"/>
      <c r="BN119" s="450"/>
      <c r="BO119" s="461">
        <f t="shared" ca="1" si="48"/>
        <v>1.3765193534330287</v>
      </c>
      <c r="BP119" s="450" t="s">
        <v>159</v>
      </c>
    </row>
    <row r="120" spans="1:68" s="309" customFormat="1">
      <c r="A120" s="450">
        <f t="shared" si="39"/>
        <v>43</v>
      </c>
      <c r="B120" s="450">
        <f t="shared" si="3"/>
        <v>2</v>
      </c>
      <c r="C120" s="450">
        <f t="shared" si="4"/>
        <v>13</v>
      </c>
      <c r="D120" s="450">
        <f t="shared" si="5"/>
        <v>3</v>
      </c>
      <c r="E120" s="450">
        <f t="shared" si="6"/>
        <v>3</v>
      </c>
      <c r="F120" s="450"/>
      <c r="G120" s="450" t="str">
        <f t="shared" si="13"/>
        <v>Current Practice Baseline Using 54% ENERGY STAR Penetration</v>
      </c>
      <c r="H120" s="450" t="str">
        <f t="shared" si="40"/>
        <v>Any ENERGY STAR (Top- or Front-Load)</v>
      </c>
      <c r="I120" s="450" t="str">
        <f t="shared" si="7"/>
        <v>Gas DHW, Electric Dryer</v>
      </c>
      <c r="J120" s="450" t="str">
        <f t="shared" si="8"/>
        <v>Gas DHW</v>
      </c>
      <c r="K120" s="450" t="str">
        <f t="shared" si="9"/>
        <v>Electric Dryer</v>
      </c>
      <c r="L120" s="451">
        <f>VLOOKUP(J120,SFAssumptions!$A$14:$B$16,2,FALSE)</f>
        <v>0</v>
      </c>
      <c r="M120" s="452">
        <f>VLOOKUP(K120,SFAssumptions!$A$18:$B$20,2,FALSE)</f>
        <v>1</v>
      </c>
      <c r="N120" s="453">
        <f ca="1">HLOOKUP($G120,'MHBaselines and Measures'!$C$3:$V$33,7,FALSE)</f>
        <v>3802.5240664273615</v>
      </c>
      <c r="O120" s="454"/>
      <c r="P120" s="455"/>
      <c r="Q120" s="455">
        <f ca="1">HLOOKUP($G120,'MHBaselines and Measures'!$C$3:$V$33,26,FALSE)</f>
        <v>292.2292335830785</v>
      </c>
      <c r="R120" s="455"/>
      <c r="S120" s="456"/>
      <c r="T120" s="456">
        <f ca="1">HLOOKUP($G120,'MHBaselines and Measures'!$C$3:$V$33,30,FALSE)</f>
        <v>11.170637791253329</v>
      </c>
      <c r="U120" s="456"/>
      <c r="V120" s="456"/>
      <c r="W120" s="457"/>
      <c r="X120" s="453"/>
      <c r="Y120" s="454"/>
      <c r="Z120" s="455"/>
      <c r="AA120" s="455">
        <f ca="1">HLOOKUP($H120,'MHBaselines and Measures'!$C$2:$V$33,27,FALSE)</f>
        <v>256.2188281628097</v>
      </c>
      <c r="AB120" s="455"/>
      <c r="AC120" s="456"/>
      <c r="AD120" s="456">
        <f ca="1">HLOOKUP($H120,'MHBaselines and Measures'!$C$2:$V$33,31,FALSE)</f>
        <v>9.7941184378203001</v>
      </c>
      <c r="AE120" s="456"/>
      <c r="AF120" s="456"/>
      <c r="AG120" s="457"/>
      <c r="AH120" s="453"/>
      <c r="AI120" s="454"/>
      <c r="AJ120" s="455"/>
      <c r="AK120" s="455">
        <f t="shared" ca="1" si="35"/>
        <v>36.010405420268796</v>
      </c>
      <c r="AL120" s="455"/>
      <c r="AM120" s="456"/>
      <c r="AN120" s="456">
        <f t="shared" ca="1" si="36"/>
        <v>1.3765193534330287</v>
      </c>
      <c r="AO120" s="456"/>
      <c r="AP120" s="456"/>
      <c r="AQ120" s="458"/>
      <c r="AR120" s="452" t="str">
        <f t="shared" si="41"/>
        <v>Any ENERGY STAR (Top- or Front-Load) Clothes Washer - Gas DHW, Electric Dryer - 54% ENERGY STAR Baseline</v>
      </c>
      <c r="AS120" s="454">
        <f t="shared" si="42"/>
        <v>0</v>
      </c>
      <c r="AT120" s="455">
        <f t="shared" ca="1" si="43"/>
        <v>36.010405420268796</v>
      </c>
      <c r="AU120" s="456">
        <f t="shared" ca="1" si="44"/>
        <v>0</v>
      </c>
      <c r="AV120" s="456">
        <f t="shared" si="45"/>
        <v>0</v>
      </c>
      <c r="AW120" s="456"/>
      <c r="AX120" s="455">
        <f t="shared" ca="1" si="37"/>
        <v>39.429823441594266</v>
      </c>
      <c r="AY120" s="455"/>
      <c r="AZ120" s="458"/>
      <c r="BA120" s="450" t="str">
        <f t="shared" si="49"/>
        <v>Any ENERGY STAR (Top- or Front-Load) Clothes Washer - Gas DHW, Electric Dryer - 54% ENERGY STAR Baseline</v>
      </c>
      <c r="BB120" s="450" t="s">
        <v>26</v>
      </c>
      <c r="BC120" s="455">
        <f t="shared" ca="1" si="46"/>
        <v>36.010405420268796</v>
      </c>
      <c r="BD120" s="455">
        <f>SFAssumptions!$C$7</f>
        <v>14</v>
      </c>
      <c r="BE120" s="459">
        <f t="shared" si="47"/>
        <v>0</v>
      </c>
      <c r="BF120" s="450"/>
      <c r="BG120" s="449" t="s">
        <v>159</v>
      </c>
      <c r="BH120" s="460"/>
      <c r="BI120" s="450"/>
      <c r="BJ120" s="450"/>
      <c r="BK120" s="450"/>
      <c r="BL120" s="450"/>
      <c r="BM120" s="450"/>
      <c r="BN120" s="450"/>
      <c r="BO120" s="461">
        <f t="shared" ca="1" si="48"/>
        <v>0</v>
      </c>
      <c r="BP120" s="450" t="s">
        <v>159</v>
      </c>
    </row>
    <row r="121" spans="1:68" s="309" customFormat="1">
      <c r="A121" s="450">
        <f t="shared" si="39"/>
        <v>44</v>
      </c>
      <c r="B121" s="450">
        <f t="shared" si="3"/>
        <v>2</v>
      </c>
      <c r="C121" s="450">
        <f t="shared" si="4"/>
        <v>14</v>
      </c>
      <c r="D121" s="450">
        <f t="shared" si="5"/>
        <v>3</v>
      </c>
      <c r="E121" s="450">
        <f t="shared" si="6"/>
        <v>4</v>
      </c>
      <c r="F121" s="450"/>
      <c r="G121" s="450" t="str">
        <f t="shared" si="13"/>
        <v>Current Practice Baseline Using 54% ENERGY STAR Penetration</v>
      </c>
      <c r="H121" s="450" t="str">
        <f t="shared" si="40"/>
        <v>Any ENERGY STAR (Top- or Front-Load)</v>
      </c>
      <c r="I121" s="450" t="str">
        <f t="shared" si="7"/>
        <v>Gas DHW, Gas Dryer</v>
      </c>
      <c r="J121" s="450" t="str">
        <f t="shared" si="8"/>
        <v>Gas DHW</v>
      </c>
      <c r="K121" s="450" t="str">
        <f t="shared" si="9"/>
        <v>Gas Dryer</v>
      </c>
      <c r="L121" s="451">
        <f>VLOOKUP(J121,SFAssumptions!$A$14:$B$16,2,FALSE)</f>
        <v>0</v>
      </c>
      <c r="M121" s="452">
        <f>VLOOKUP(K121,SFAssumptions!$A$18:$B$20,2,FALSE)</f>
        <v>0</v>
      </c>
      <c r="N121" s="453">
        <f ca="1">HLOOKUP($G121,'MHBaselines and Measures'!$C$3:$V$33,7,FALSE)</f>
        <v>3802.5240664273615</v>
      </c>
      <c r="O121" s="454"/>
      <c r="P121" s="455"/>
      <c r="Q121" s="455">
        <f ca="1">HLOOKUP($G121,'MHBaselines and Measures'!$C$3:$V$33,26,FALSE)</f>
        <v>292.2292335830785</v>
      </c>
      <c r="R121" s="455"/>
      <c r="S121" s="456"/>
      <c r="T121" s="456">
        <f ca="1">HLOOKUP($G121,'MHBaselines and Measures'!$C$3:$V$33,30,FALSE)</f>
        <v>11.170637791253329</v>
      </c>
      <c r="U121" s="456"/>
      <c r="V121" s="456"/>
      <c r="W121" s="457"/>
      <c r="X121" s="453"/>
      <c r="Y121" s="454"/>
      <c r="Z121" s="455"/>
      <c r="AA121" s="455">
        <f ca="1">HLOOKUP($H121,'MHBaselines and Measures'!$C$2:$V$33,27,FALSE)</f>
        <v>256.2188281628097</v>
      </c>
      <c r="AB121" s="455"/>
      <c r="AC121" s="456"/>
      <c r="AD121" s="456">
        <f ca="1">HLOOKUP($H121,'MHBaselines and Measures'!$C$2:$V$33,31,FALSE)</f>
        <v>9.7941184378203001</v>
      </c>
      <c r="AE121" s="456"/>
      <c r="AF121" s="456"/>
      <c r="AG121" s="457"/>
      <c r="AH121" s="453"/>
      <c r="AI121" s="454"/>
      <c r="AJ121" s="455"/>
      <c r="AK121" s="455">
        <f t="shared" ca="1" si="35"/>
        <v>36.010405420268796</v>
      </c>
      <c r="AL121" s="455"/>
      <c r="AM121" s="456"/>
      <c r="AN121" s="456">
        <f t="shared" ca="1" si="36"/>
        <v>1.3765193534330287</v>
      </c>
      <c r="AO121" s="456"/>
      <c r="AP121" s="456"/>
      <c r="AQ121" s="458"/>
      <c r="AR121" s="452" t="str">
        <f t="shared" si="41"/>
        <v>Any ENERGY STAR (Top- or Front-Load) Clothes Washer - Gas DHW, Gas Dryer - 54% ENERGY STAR Baseline</v>
      </c>
      <c r="AS121" s="454">
        <f t="shared" si="42"/>
        <v>0</v>
      </c>
      <c r="AT121" s="455">
        <f t="shared" ca="1" si="43"/>
        <v>0</v>
      </c>
      <c r="AU121" s="456">
        <f t="shared" ca="1" si="44"/>
        <v>1.3765193534330287</v>
      </c>
      <c r="AV121" s="456">
        <f t="shared" si="45"/>
        <v>0</v>
      </c>
      <c r="AW121" s="456"/>
      <c r="AX121" s="455">
        <f t="shared" ca="1" si="37"/>
        <v>3.4194180213254715</v>
      </c>
      <c r="AY121" s="455"/>
      <c r="AZ121" s="458"/>
      <c r="BA121" s="450" t="str">
        <f t="shared" si="49"/>
        <v>Any ENERGY STAR (Top- or Front-Load) Clothes Washer - Gas DHW, Gas Dryer - 54% ENERGY STAR Baseline</v>
      </c>
      <c r="BB121" s="450" t="s">
        <v>26</v>
      </c>
      <c r="BC121" s="455">
        <f t="shared" ca="1" si="46"/>
        <v>0</v>
      </c>
      <c r="BD121" s="455">
        <f>SFAssumptions!$C$7</f>
        <v>14</v>
      </c>
      <c r="BE121" s="459">
        <f t="shared" si="47"/>
        <v>0</v>
      </c>
      <c r="BF121" s="450"/>
      <c r="BG121" s="449" t="s">
        <v>159</v>
      </c>
      <c r="BH121" s="460"/>
      <c r="BI121" s="450"/>
      <c r="BJ121" s="450"/>
      <c r="BK121" s="450"/>
      <c r="BL121" s="450"/>
      <c r="BM121" s="450"/>
      <c r="BN121" s="450"/>
      <c r="BO121" s="461">
        <f t="shared" ca="1" si="48"/>
        <v>1.3765193534330287</v>
      </c>
      <c r="BP121" s="450" t="s">
        <v>159</v>
      </c>
    </row>
    <row r="122" spans="1:68" s="309" customFormat="1">
      <c r="A122" s="450">
        <f t="shared" si="39"/>
        <v>45</v>
      </c>
      <c r="B122" s="450">
        <f t="shared" si="3"/>
        <v>2</v>
      </c>
      <c r="C122" s="450">
        <f t="shared" si="4"/>
        <v>15</v>
      </c>
      <c r="D122" s="450">
        <f t="shared" si="5"/>
        <v>3</v>
      </c>
      <c r="E122" s="450">
        <f t="shared" si="6"/>
        <v>5</v>
      </c>
      <c r="F122" s="450"/>
      <c r="G122" s="450" t="str">
        <f t="shared" si="13"/>
        <v>Current Practice Baseline Using 54% ENERGY STAR Penetration</v>
      </c>
      <c r="H122" s="450" t="str">
        <f t="shared" si="40"/>
        <v>Any ENERGY STAR (Top- or Front-Load)</v>
      </c>
      <c r="I122" s="450" t="str">
        <f t="shared" si="7"/>
        <v>Any DHW, Any Dryer</v>
      </c>
      <c r="J122" s="450" t="str">
        <f t="shared" si="8"/>
        <v>Any DHW</v>
      </c>
      <c r="K122" s="450" t="str">
        <f t="shared" si="9"/>
        <v>Any Dryer</v>
      </c>
      <c r="L122" s="451">
        <f>VLOOKUP(J122,SFAssumptions!$A$14:$B$16,2,FALSE)</f>
        <v>0.55200000000000005</v>
      </c>
      <c r="M122" s="452">
        <f>VLOOKUP(K122,SFAssumptions!$A$18:$B$20,2,FALSE)</f>
        <v>0.95</v>
      </c>
      <c r="N122" s="453">
        <f ca="1">HLOOKUP($G122,'MHBaselines and Measures'!$C$3:$V$33,7,FALSE)</f>
        <v>3802.5240664273615</v>
      </c>
      <c r="O122" s="454"/>
      <c r="P122" s="455"/>
      <c r="Q122" s="455">
        <f ca="1">HLOOKUP($G122,'MHBaselines and Measures'!$C$3:$V$33,26,FALSE)</f>
        <v>292.2292335830785</v>
      </c>
      <c r="R122" s="455"/>
      <c r="S122" s="456"/>
      <c r="T122" s="456">
        <f ca="1">HLOOKUP($G122,'MHBaselines and Measures'!$C$3:$V$33,30,FALSE)</f>
        <v>11.170637791253329</v>
      </c>
      <c r="U122" s="456"/>
      <c r="V122" s="456"/>
      <c r="W122" s="457"/>
      <c r="X122" s="453"/>
      <c r="Y122" s="454"/>
      <c r="Z122" s="455"/>
      <c r="AA122" s="455">
        <f ca="1">HLOOKUP($H122,'MHBaselines and Measures'!$C$2:$V$33,27,FALSE)</f>
        <v>256.2188281628097</v>
      </c>
      <c r="AB122" s="455"/>
      <c r="AC122" s="456"/>
      <c r="AD122" s="456">
        <f ca="1">HLOOKUP($H122,'MHBaselines and Measures'!$C$2:$V$33,31,FALSE)</f>
        <v>9.7941184378203001</v>
      </c>
      <c r="AE122" s="456"/>
      <c r="AF122" s="456"/>
      <c r="AG122" s="457"/>
      <c r="AH122" s="453"/>
      <c r="AI122" s="454"/>
      <c r="AJ122" s="455"/>
      <c r="AK122" s="455">
        <f t="shared" ca="1" si="35"/>
        <v>36.010405420268796</v>
      </c>
      <c r="AL122" s="455"/>
      <c r="AM122" s="456"/>
      <c r="AN122" s="456">
        <f t="shared" ca="1" si="36"/>
        <v>1.3765193534330287</v>
      </c>
      <c r="AO122" s="456"/>
      <c r="AP122" s="456"/>
      <c r="AQ122" s="458"/>
      <c r="AR122" s="452" t="str">
        <f t="shared" si="41"/>
        <v>Any ENERGY STAR (Top- or Front-Load) Clothes Washer - Any DHW, Any Dryer - 54% ENERGY STAR Baseline</v>
      </c>
      <c r="AS122" s="454">
        <f t="shared" si="42"/>
        <v>0</v>
      </c>
      <c r="AT122" s="455">
        <f t="shared" ca="1" si="43"/>
        <v>34.209885149255356</v>
      </c>
      <c r="AU122" s="456">
        <f t="shared" ca="1" si="44"/>
        <v>6.88259676716515E-2</v>
      </c>
      <c r="AV122" s="456">
        <f t="shared" si="45"/>
        <v>0</v>
      </c>
      <c r="AW122" s="456"/>
      <c r="AX122" s="455">
        <f t="shared" ca="1" si="37"/>
        <v>37.629303170580826</v>
      </c>
      <c r="AY122" s="455"/>
      <c r="AZ122" s="458"/>
      <c r="BA122" s="450" t="str">
        <f t="shared" si="49"/>
        <v>Any ENERGY STAR (Top- or Front-Load) Clothes Washer - Any DHW, Any Dryer - 54% ENERGY STAR Baseline</v>
      </c>
      <c r="BB122" s="450" t="s">
        <v>26</v>
      </c>
      <c r="BC122" s="455">
        <f t="shared" ca="1" si="46"/>
        <v>34.209885149255356</v>
      </c>
      <c r="BD122" s="455">
        <f>SFAssumptions!$C$7</f>
        <v>14</v>
      </c>
      <c r="BE122" s="459">
        <f t="shared" si="47"/>
        <v>0</v>
      </c>
      <c r="BF122" s="450"/>
      <c r="BG122" s="449" t="s">
        <v>159</v>
      </c>
      <c r="BH122" s="460"/>
      <c r="BI122" s="450"/>
      <c r="BJ122" s="450"/>
      <c r="BK122" s="450"/>
      <c r="BL122" s="450"/>
      <c r="BM122" s="450"/>
      <c r="BN122" s="450"/>
      <c r="BO122" s="461">
        <f t="shared" ca="1" si="48"/>
        <v>6.88259676716515E-2</v>
      </c>
      <c r="BP122" s="450" t="s">
        <v>159</v>
      </c>
    </row>
    <row r="123" spans="1:68" s="309" customFormat="1">
      <c r="A123" s="450">
        <f t="shared" si="39"/>
        <v>46</v>
      </c>
      <c r="B123" s="450">
        <f t="shared" si="3"/>
        <v>2</v>
      </c>
      <c r="C123" s="450">
        <f t="shared" si="4"/>
        <v>16</v>
      </c>
      <c r="D123" s="450">
        <f t="shared" si="5"/>
        <v>4</v>
      </c>
      <c r="E123" s="450">
        <f t="shared" si="6"/>
        <v>1</v>
      </c>
      <c r="F123" s="450"/>
      <c r="G123" s="450" t="str">
        <f t="shared" si="13"/>
        <v>Current Practice Baseline Using 54% ENERGY STAR Penetration</v>
      </c>
      <c r="H123" s="450" t="str">
        <f t="shared" si="40"/>
        <v>CEE Tier 1</v>
      </c>
      <c r="I123" s="450" t="str">
        <f t="shared" si="7"/>
        <v>Electric DHW, Electric Dryer</v>
      </c>
      <c r="J123" s="450" t="str">
        <f t="shared" si="8"/>
        <v>Electric DHW</v>
      </c>
      <c r="K123" s="450" t="str">
        <f t="shared" si="9"/>
        <v>Electric Dryer</v>
      </c>
      <c r="L123" s="451">
        <f>VLOOKUP(J123,SFAssumptions!$A$14:$B$16,2,FALSE)</f>
        <v>1</v>
      </c>
      <c r="M123" s="452">
        <f>VLOOKUP(K123,SFAssumptions!$A$18:$B$20,2,FALSE)</f>
        <v>1</v>
      </c>
      <c r="N123" s="453">
        <f ca="1">HLOOKUP($G123,'MHBaselines and Measures'!$C$3:$V$33,7,FALSE)</f>
        <v>3802.5240664273615</v>
      </c>
      <c r="O123" s="454"/>
      <c r="P123" s="455"/>
      <c r="Q123" s="455">
        <f ca="1">HLOOKUP($G123,'MHBaselines and Measures'!$C$3:$V$33,26,FALSE)</f>
        <v>292.2292335830785</v>
      </c>
      <c r="R123" s="455"/>
      <c r="S123" s="456"/>
      <c r="T123" s="456">
        <f ca="1">HLOOKUP($G123,'MHBaselines and Measures'!$C$3:$V$33,30,FALSE)</f>
        <v>11.170637791253329</v>
      </c>
      <c r="U123" s="456"/>
      <c r="V123" s="456"/>
      <c r="W123" s="457"/>
      <c r="X123" s="453"/>
      <c r="Y123" s="454"/>
      <c r="Z123" s="455"/>
      <c r="AA123" s="455">
        <f ca="1">HLOOKUP($H123,'MHBaselines and Measures'!$C$2:$V$33,27,FALSE)</f>
        <v>256.73635931919466</v>
      </c>
      <c r="AB123" s="455"/>
      <c r="AC123" s="456"/>
      <c r="AD123" s="456">
        <f ca="1">HLOOKUP($H123,'MHBaselines and Measures'!$C$2:$V$33,31,FALSE)</f>
        <v>9.813901376791808</v>
      </c>
      <c r="AE123" s="456"/>
      <c r="AF123" s="456"/>
      <c r="AG123" s="457"/>
      <c r="AH123" s="453"/>
      <c r="AI123" s="454"/>
      <c r="AJ123" s="455"/>
      <c r="AK123" s="455">
        <f t="shared" ca="1" si="35"/>
        <v>35.492874263883834</v>
      </c>
      <c r="AL123" s="455"/>
      <c r="AM123" s="456"/>
      <c r="AN123" s="456">
        <f t="shared" ca="1" si="36"/>
        <v>1.3567364144615208</v>
      </c>
      <c r="AO123" s="456"/>
      <c r="AP123" s="456"/>
      <c r="AQ123" s="458"/>
      <c r="AR123" s="452" t="str">
        <f t="shared" si="41"/>
        <v>CEE Tier 1 Clothes Washer - Electric DHW, Electric Dryer - 54% ENERGY STAR Baseline</v>
      </c>
      <c r="AS123" s="454">
        <f t="shared" si="42"/>
        <v>0</v>
      </c>
      <c r="AT123" s="455">
        <f t="shared" ca="1" si="43"/>
        <v>35.492874263883834</v>
      </c>
      <c r="AU123" s="456">
        <f t="shared" ca="1" si="44"/>
        <v>0</v>
      </c>
      <c r="AV123" s="456">
        <f t="shared" si="45"/>
        <v>0</v>
      </c>
      <c r="AW123" s="456"/>
      <c r="AX123" s="455" t="e">
        <f ca="1">AT123+#REF!</f>
        <v>#REF!</v>
      </c>
      <c r="AY123" s="455"/>
      <c r="AZ123" s="458"/>
      <c r="BA123" s="450" t="str">
        <f t="shared" si="49"/>
        <v>CEE Tier 1 Clothes Washer - Electric DHW, Electric Dryer - 54% ENERGY STAR Baseline</v>
      </c>
      <c r="BB123" s="450" t="s">
        <v>26</v>
      </c>
      <c r="BC123" s="455">
        <f t="shared" ca="1" si="46"/>
        <v>35.492874263883834</v>
      </c>
      <c r="BD123" s="455">
        <f>SFAssumptions!$C$7</f>
        <v>14</v>
      </c>
      <c r="BE123" s="459">
        <f t="shared" si="47"/>
        <v>0</v>
      </c>
      <c r="BF123" s="450"/>
      <c r="BG123" s="449" t="s">
        <v>159</v>
      </c>
      <c r="BH123" s="460"/>
      <c r="BI123" s="450"/>
      <c r="BJ123" s="450"/>
      <c r="BK123" s="450"/>
      <c r="BL123" s="450"/>
      <c r="BM123" s="450"/>
      <c r="BN123" s="450"/>
      <c r="BO123" s="461">
        <f t="shared" ca="1" si="48"/>
        <v>0</v>
      </c>
      <c r="BP123" s="450" t="s">
        <v>159</v>
      </c>
    </row>
    <row r="124" spans="1:68" s="309" customFormat="1">
      <c r="A124" s="450">
        <f t="shared" si="39"/>
        <v>47</v>
      </c>
      <c r="B124" s="450">
        <f t="shared" si="3"/>
        <v>2</v>
      </c>
      <c r="C124" s="450">
        <f t="shared" si="4"/>
        <v>17</v>
      </c>
      <c r="D124" s="450">
        <f t="shared" si="5"/>
        <v>4</v>
      </c>
      <c r="E124" s="450">
        <f t="shared" si="6"/>
        <v>2</v>
      </c>
      <c r="F124" s="450"/>
      <c r="G124" s="450" t="str">
        <f t="shared" si="13"/>
        <v>Current Practice Baseline Using 54% ENERGY STAR Penetration</v>
      </c>
      <c r="H124" s="450" t="str">
        <f t="shared" si="40"/>
        <v>CEE Tier 1</v>
      </c>
      <c r="I124" s="450" t="str">
        <f t="shared" si="7"/>
        <v>Electric DHW, Gas Dryer</v>
      </c>
      <c r="J124" s="450" t="str">
        <f t="shared" si="8"/>
        <v>Electric DHW</v>
      </c>
      <c r="K124" s="450" t="str">
        <f t="shared" si="9"/>
        <v>Gas Dryer</v>
      </c>
      <c r="L124" s="451">
        <f>VLOOKUP(J124,SFAssumptions!$A$14:$B$16,2,FALSE)</f>
        <v>1</v>
      </c>
      <c r="M124" s="452">
        <f>VLOOKUP(K124,SFAssumptions!$A$18:$B$20,2,FALSE)</f>
        <v>0</v>
      </c>
      <c r="N124" s="453">
        <f ca="1">HLOOKUP($G124,'MHBaselines and Measures'!$C$3:$V$33,7,FALSE)</f>
        <v>3802.5240664273615</v>
      </c>
      <c r="O124" s="454"/>
      <c r="P124" s="455"/>
      <c r="Q124" s="455">
        <f ca="1">HLOOKUP($G124,'MHBaselines and Measures'!$C$3:$V$33,26,FALSE)</f>
        <v>292.2292335830785</v>
      </c>
      <c r="R124" s="455"/>
      <c r="S124" s="456"/>
      <c r="T124" s="456">
        <f ca="1">HLOOKUP($G124,'MHBaselines and Measures'!$C$3:$V$33,30,FALSE)</f>
        <v>11.170637791253329</v>
      </c>
      <c r="U124" s="456"/>
      <c r="V124" s="456"/>
      <c r="W124" s="457"/>
      <c r="X124" s="453"/>
      <c r="Y124" s="454"/>
      <c r="Z124" s="455"/>
      <c r="AA124" s="455">
        <f ca="1">HLOOKUP($H124,'MHBaselines and Measures'!$C$2:$V$33,27,FALSE)</f>
        <v>256.73635931919466</v>
      </c>
      <c r="AB124" s="455"/>
      <c r="AC124" s="456"/>
      <c r="AD124" s="456">
        <f ca="1">HLOOKUP($H124,'MHBaselines and Measures'!$C$2:$V$33,31,FALSE)</f>
        <v>9.813901376791808</v>
      </c>
      <c r="AE124" s="456"/>
      <c r="AF124" s="456"/>
      <c r="AG124" s="457"/>
      <c r="AH124" s="453"/>
      <c r="AI124" s="454"/>
      <c r="AJ124" s="455"/>
      <c r="AK124" s="455">
        <f t="shared" ca="1" si="35"/>
        <v>35.492874263883834</v>
      </c>
      <c r="AL124" s="455"/>
      <c r="AM124" s="456"/>
      <c r="AN124" s="456">
        <f t="shared" ca="1" si="36"/>
        <v>1.3567364144615208</v>
      </c>
      <c r="AO124" s="456"/>
      <c r="AP124" s="456"/>
      <c r="AQ124" s="458"/>
      <c r="AR124" s="452" t="str">
        <f t="shared" si="41"/>
        <v>CEE Tier 1 Clothes Washer - Electric DHW, Gas Dryer - 54% ENERGY STAR Baseline</v>
      </c>
      <c r="AS124" s="454">
        <f t="shared" si="42"/>
        <v>0</v>
      </c>
      <c r="AT124" s="455">
        <f t="shared" ca="1" si="43"/>
        <v>0</v>
      </c>
      <c r="AU124" s="456">
        <f t="shared" ca="1" si="44"/>
        <v>1.3567364144615208</v>
      </c>
      <c r="AV124" s="456">
        <f t="shared" si="45"/>
        <v>0</v>
      </c>
      <c r="AW124" s="456"/>
      <c r="AX124" s="455" t="e">
        <f ca="1">AT124+#REF!</f>
        <v>#REF!</v>
      </c>
      <c r="AY124" s="455"/>
      <c r="AZ124" s="458"/>
      <c r="BA124" s="450" t="str">
        <f t="shared" si="49"/>
        <v>CEE Tier 1 Clothes Washer - Electric DHW, Gas Dryer - 54% ENERGY STAR Baseline</v>
      </c>
      <c r="BB124" s="450" t="s">
        <v>26</v>
      </c>
      <c r="BC124" s="455">
        <f t="shared" ca="1" si="46"/>
        <v>0</v>
      </c>
      <c r="BD124" s="455">
        <f>SFAssumptions!$C$7</f>
        <v>14</v>
      </c>
      <c r="BE124" s="459">
        <f t="shared" si="47"/>
        <v>0</v>
      </c>
      <c r="BF124" s="450"/>
      <c r="BG124" s="449" t="s">
        <v>159</v>
      </c>
      <c r="BH124" s="460"/>
      <c r="BI124" s="450"/>
      <c r="BJ124" s="450"/>
      <c r="BK124" s="450"/>
      <c r="BL124" s="450"/>
      <c r="BM124" s="450"/>
      <c r="BN124" s="450"/>
      <c r="BO124" s="461">
        <f t="shared" ca="1" si="48"/>
        <v>1.3567364144615208</v>
      </c>
      <c r="BP124" s="450" t="s">
        <v>159</v>
      </c>
    </row>
    <row r="125" spans="1:68" s="309" customFormat="1">
      <c r="A125" s="450">
        <f t="shared" si="39"/>
        <v>48</v>
      </c>
      <c r="B125" s="450">
        <f t="shared" si="3"/>
        <v>2</v>
      </c>
      <c r="C125" s="450">
        <f t="shared" si="4"/>
        <v>18</v>
      </c>
      <c r="D125" s="450">
        <f t="shared" si="5"/>
        <v>4</v>
      </c>
      <c r="E125" s="450">
        <f t="shared" si="6"/>
        <v>3</v>
      </c>
      <c r="F125" s="450"/>
      <c r="G125" s="450" t="str">
        <f t="shared" si="13"/>
        <v>Current Practice Baseline Using 54% ENERGY STAR Penetration</v>
      </c>
      <c r="H125" s="450" t="str">
        <f t="shared" si="40"/>
        <v>CEE Tier 1</v>
      </c>
      <c r="I125" s="450" t="str">
        <f t="shared" si="7"/>
        <v>Gas DHW, Electric Dryer</v>
      </c>
      <c r="J125" s="450" t="str">
        <f t="shared" si="8"/>
        <v>Gas DHW</v>
      </c>
      <c r="K125" s="450" t="str">
        <f t="shared" si="9"/>
        <v>Electric Dryer</v>
      </c>
      <c r="L125" s="451">
        <f>VLOOKUP(J125,SFAssumptions!$A$14:$B$16,2,FALSE)</f>
        <v>0</v>
      </c>
      <c r="M125" s="452">
        <f>VLOOKUP(K125,SFAssumptions!$A$18:$B$20,2,FALSE)</f>
        <v>1</v>
      </c>
      <c r="N125" s="453">
        <f ca="1">HLOOKUP($G125,'MHBaselines and Measures'!$C$3:$V$33,7,FALSE)</f>
        <v>3802.5240664273615</v>
      </c>
      <c r="O125" s="454"/>
      <c r="P125" s="455"/>
      <c r="Q125" s="455">
        <f ca="1">HLOOKUP($G125,'MHBaselines and Measures'!$C$3:$V$33,26,FALSE)</f>
        <v>292.2292335830785</v>
      </c>
      <c r="R125" s="455"/>
      <c r="S125" s="456"/>
      <c r="T125" s="456">
        <f ca="1">HLOOKUP($G125,'MHBaselines and Measures'!$C$3:$V$33,30,FALSE)</f>
        <v>11.170637791253329</v>
      </c>
      <c r="U125" s="456"/>
      <c r="V125" s="456"/>
      <c r="W125" s="457"/>
      <c r="X125" s="453"/>
      <c r="Y125" s="454"/>
      <c r="Z125" s="455"/>
      <c r="AA125" s="455">
        <f ca="1">HLOOKUP($H125,'MHBaselines and Measures'!$C$2:$V$33,27,FALSE)</f>
        <v>256.73635931919466</v>
      </c>
      <c r="AB125" s="455"/>
      <c r="AC125" s="456"/>
      <c r="AD125" s="456">
        <f ca="1">HLOOKUP($H125,'MHBaselines and Measures'!$C$2:$V$33,31,FALSE)</f>
        <v>9.813901376791808</v>
      </c>
      <c r="AE125" s="456"/>
      <c r="AF125" s="456"/>
      <c r="AG125" s="457"/>
      <c r="AH125" s="453"/>
      <c r="AI125" s="454"/>
      <c r="AJ125" s="455"/>
      <c r="AK125" s="455">
        <f t="shared" ca="1" si="35"/>
        <v>35.492874263883834</v>
      </c>
      <c r="AL125" s="455"/>
      <c r="AM125" s="456"/>
      <c r="AN125" s="456">
        <f t="shared" ca="1" si="36"/>
        <v>1.3567364144615208</v>
      </c>
      <c r="AO125" s="456"/>
      <c r="AP125" s="456"/>
      <c r="AQ125" s="458"/>
      <c r="AR125" s="452" t="str">
        <f t="shared" si="41"/>
        <v>CEE Tier 1 Clothes Washer - Gas DHW, Electric Dryer - 54% ENERGY STAR Baseline</v>
      </c>
      <c r="AS125" s="454">
        <f t="shared" si="42"/>
        <v>0</v>
      </c>
      <c r="AT125" s="455">
        <f t="shared" ca="1" si="43"/>
        <v>35.492874263883834</v>
      </c>
      <c r="AU125" s="456">
        <f t="shared" ca="1" si="44"/>
        <v>0</v>
      </c>
      <c r="AV125" s="456">
        <f t="shared" si="45"/>
        <v>0</v>
      </c>
      <c r="AW125" s="456"/>
      <c r="AX125" s="455" t="e">
        <f ca="1">AT125+#REF!</f>
        <v>#REF!</v>
      </c>
      <c r="AY125" s="455"/>
      <c r="AZ125" s="458"/>
      <c r="BA125" s="450" t="str">
        <f t="shared" si="49"/>
        <v>CEE Tier 1 Clothes Washer - Gas DHW, Electric Dryer - 54% ENERGY STAR Baseline</v>
      </c>
      <c r="BB125" s="450" t="s">
        <v>26</v>
      </c>
      <c r="BC125" s="455">
        <f t="shared" ca="1" si="46"/>
        <v>35.492874263883834</v>
      </c>
      <c r="BD125" s="455">
        <f>SFAssumptions!$C$7</f>
        <v>14</v>
      </c>
      <c r="BE125" s="459">
        <f t="shared" si="47"/>
        <v>0</v>
      </c>
      <c r="BF125" s="450"/>
      <c r="BG125" s="449" t="s">
        <v>159</v>
      </c>
      <c r="BH125" s="460"/>
      <c r="BI125" s="450"/>
      <c r="BJ125" s="450"/>
      <c r="BK125" s="450"/>
      <c r="BL125" s="450"/>
      <c r="BM125" s="450"/>
      <c r="BN125" s="450"/>
      <c r="BO125" s="461">
        <f t="shared" ca="1" si="48"/>
        <v>0</v>
      </c>
      <c r="BP125" s="450" t="s">
        <v>159</v>
      </c>
    </row>
    <row r="126" spans="1:68" s="309" customFormat="1">
      <c r="A126" s="450">
        <f t="shared" si="39"/>
        <v>49</v>
      </c>
      <c r="B126" s="450">
        <f t="shared" si="3"/>
        <v>2</v>
      </c>
      <c r="C126" s="450">
        <f t="shared" si="4"/>
        <v>19</v>
      </c>
      <c r="D126" s="450">
        <f t="shared" si="5"/>
        <v>4</v>
      </c>
      <c r="E126" s="450">
        <f t="shared" si="6"/>
        <v>4</v>
      </c>
      <c r="F126" s="450"/>
      <c r="G126" s="450" t="str">
        <f t="shared" si="13"/>
        <v>Current Practice Baseline Using 54% ENERGY STAR Penetration</v>
      </c>
      <c r="H126" s="450" t="str">
        <f t="shared" si="40"/>
        <v>CEE Tier 1</v>
      </c>
      <c r="I126" s="450" t="str">
        <f t="shared" si="7"/>
        <v>Gas DHW, Gas Dryer</v>
      </c>
      <c r="J126" s="450" t="str">
        <f t="shared" si="8"/>
        <v>Gas DHW</v>
      </c>
      <c r="K126" s="450" t="str">
        <f t="shared" si="9"/>
        <v>Gas Dryer</v>
      </c>
      <c r="L126" s="451">
        <f>VLOOKUP(J126,SFAssumptions!$A$14:$B$16,2,FALSE)</f>
        <v>0</v>
      </c>
      <c r="M126" s="452">
        <f>VLOOKUP(K126,SFAssumptions!$A$18:$B$20,2,FALSE)</f>
        <v>0</v>
      </c>
      <c r="N126" s="453">
        <f ca="1">HLOOKUP($G126,'MHBaselines and Measures'!$C$3:$V$33,7,FALSE)</f>
        <v>3802.5240664273615</v>
      </c>
      <c r="O126" s="454"/>
      <c r="P126" s="455"/>
      <c r="Q126" s="455">
        <f ca="1">HLOOKUP($G126,'MHBaselines and Measures'!$C$3:$V$33,26,FALSE)</f>
        <v>292.2292335830785</v>
      </c>
      <c r="R126" s="455"/>
      <c r="S126" s="456"/>
      <c r="T126" s="456">
        <f ca="1">HLOOKUP($G126,'MHBaselines and Measures'!$C$3:$V$33,30,FALSE)</f>
        <v>11.170637791253329</v>
      </c>
      <c r="U126" s="456"/>
      <c r="V126" s="456"/>
      <c r="W126" s="457"/>
      <c r="X126" s="453"/>
      <c r="Y126" s="454"/>
      <c r="Z126" s="455"/>
      <c r="AA126" s="455">
        <f ca="1">HLOOKUP($H126,'MHBaselines and Measures'!$C$2:$V$33,27,FALSE)</f>
        <v>256.73635931919466</v>
      </c>
      <c r="AB126" s="455"/>
      <c r="AC126" s="456"/>
      <c r="AD126" s="456">
        <f ca="1">HLOOKUP($H126,'MHBaselines and Measures'!$C$2:$V$33,31,FALSE)</f>
        <v>9.813901376791808</v>
      </c>
      <c r="AE126" s="456"/>
      <c r="AF126" s="456"/>
      <c r="AG126" s="457"/>
      <c r="AH126" s="453"/>
      <c r="AI126" s="454"/>
      <c r="AJ126" s="455"/>
      <c r="AK126" s="455">
        <f t="shared" ca="1" si="35"/>
        <v>35.492874263883834</v>
      </c>
      <c r="AL126" s="455"/>
      <c r="AM126" s="456"/>
      <c r="AN126" s="456">
        <f t="shared" ca="1" si="36"/>
        <v>1.3567364144615208</v>
      </c>
      <c r="AO126" s="456"/>
      <c r="AP126" s="456"/>
      <c r="AQ126" s="458"/>
      <c r="AR126" s="452" t="str">
        <f t="shared" si="41"/>
        <v>CEE Tier 1 Clothes Washer - Gas DHW, Gas Dryer - 54% ENERGY STAR Baseline</v>
      </c>
      <c r="AS126" s="454">
        <f t="shared" si="42"/>
        <v>0</v>
      </c>
      <c r="AT126" s="455">
        <f t="shared" ca="1" si="43"/>
        <v>0</v>
      </c>
      <c r="AU126" s="456">
        <f t="shared" ca="1" si="44"/>
        <v>1.3567364144615208</v>
      </c>
      <c r="AV126" s="456">
        <f t="shared" si="45"/>
        <v>0</v>
      </c>
      <c r="AW126" s="456"/>
      <c r="AX126" s="455">
        <f t="shared" ref="AX126:AX137" ca="1" si="50">AT126+BC198</f>
        <v>0</v>
      </c>
      <c r="AY126" s="455"/>
      <c r="AZ126" s="458"/>
      <c r="BA126" s="450" t="str">
        <f t="shared" si="49"/>
        <v>CEE Tier 1 Clothes Washer - Gas DHW, Gas Dryer - 54% ENERGY STAR Baseline</v>
      </c>
      <c r="BB126" s="450" t="s">
        <v>26</v>
      </c>
      <c r="BC126" s="455">
        <f t="shared" ca="1" si="46"/>
        <v>0</v>
      </c>
      <c r="BD126" s="455">
        <f>SFAssumptions!$C$7</f>
        <v>14</v>
      </c>
      <c r="BE126" s="459">
        <f t="shared" si="47"/>
        <v>0</v>
      </c>
      <c r="BF126" s="450"/>
      <c r="BG126" s="449" t="s">
        <v>159</v>
      </c>
      <c r="BH126" s="460"/>
      <c r="BI126" s="450"/>
      <c r="BJ126" s="450"/>
      <c r="BK126" s="450"/>
      <c r="BL126" s="450"/>
      <c r="BM126" s="450"/>
      <c r="BN126" s="450"/>
      <c r="BO126" s="461">
        <f t="shared" ca="1" si="48"/>
        <v>1.3567364144615208</v>
      </c>
      <c r="BP126" s="450" t="s">
        <v>159</v>
      </c>
    </row>
    <row r="127" spans="1:68" s="309" customFormat="1">
      <c r="A127" s="450">
        <f t="shared" si="39"/>
        <v>50</v>
      </c>
      <c r="B127" s="450">
        <f t="shared" si="3"/>
        <v>2</v>
      </c>
      <c r="C127" s="450">
        <f t="shared" si="4"/>
        <v>20</v>
      </c>
      <c r="D127" s="450">
        <f t="shared" si="5"/>
        <v>4</v>
      </c>
      <c r="E127" s="450">
        <f t="shared" si="6"/>
        <v>5</v>
      </c>
      <c r="F127" s="450"/>
      <c r="G127" s="450" t="str">
        <f t="shared" si="13"/>
        <v>Current Practice Baseline Using 54% ENERGY STAR Penetration</v>
      </c>
      <c r="H127" s="450" t="str">
        <f t="shared" si="40"/>
        <v>CEE Tier 1</v>
      </c>
      <c r="I127" s="450" t="str">
        <f t="shared" si="7"/>
        <v>Any DHW, Any Dryer</v>
      </c>
      <c r="J127" s="450" t="str">
        <f t="shared" si="8"/>
        <v>Any DHW</v>
      </c>
      <c r="K127" s="450" t="str">
        <f t="shared" si="9"/>
        <v>Any Dryer</v>
      </c>
      <c r="L127" s="451">
        <f>VLOOKUP(J127,SFAssumptions!$A$14:$B$16,2,FALSE)</f>
        <v>0.55200000000000005</v>
      </c>
      <c r="M127" s="452">
        <f>VLOOKUP(K127,SFAssumptions!$A$18:$B$20,2,FALSE)</f>
        <v>0.95</v>
      </c>
      <c r="N127" s="453">
        <f ca="1">HLOOKUP($G127,'MHBaselines and Measures'!$C$3:$V$33,7,FALSE)</f>
        <v>3802.5240664273615</v>
      </c>
      <c r="O127" s="454"/>
      <c r="P127" s="455"/>
      <c r="Q127" s="455">
        <f ca="1">HLOOKUP($G127,'MHBaselines and Measures'!$C$3:$V$33,26,FALSE)</f>
        <v>292.2292335830785</v>
      </c>
      <c r="R127" s="455"/>
      <c r="S127" s="456"/>
      <c r="T127" s="456">
        <f ca="1">HLOOKUP($G127,'MHBaselines and Measures'!$C$3:$V$33,30,FALSE)</f>
        <v>11.170637791253329</v>
      </c>
      <c r="U127" s="456"/>
      <c r="V127" s="456"/>
      <c r="W127" s="457"/>
      <c r="X127" s="453"/>
      <c r="Y127" s="454"/>
      <c r="Z127" s="455"/>
      <c r="AA127" s="455">
        <f ca="1">HLOOKUP($H127,'MHBaselines and Measures'!$C$2:$V$33,27,FALSE)</f>
        <v>256.73635931919466</v>
      </c>
      <c r="AB127" s="455"/>
      <c r="AC127" s="456"/>
      <c r="AD127" s="456">
        <f ca="1">HLOOKUP($H127,'MHBaselines and Measures'!$C$2:$V$33,31,FALSE)</f>
        <v>9.813901376791808</v>
      </c>
      <c r="AE127" s="456"/>
      <c r="AF127" s="456"/>
      <c r="AG127" s="457"/>
      <c r="AH127" s="453"/>
      <c r="AI127" s="454"/>
      <c r="AJ127" s="455"/>
      <c r="AK127" s="455">
        <f t="shared" ca="1" si="35"/>
        <v>35.492874263883834</v>
      </c>
      <c r="AL127" s="455"/>
      <c r="AM127" s="456"/>
      <c r="AN127" s="456">
        <f t="shared" ca="1" si="36"/>
        <v>1.3567364144615208</v>
      </c>
      <c r="AO127" s="456"/>
      <c r="AP127" s="456"/>
      <c r="AQ127" s="458"/>
      <c r="AR127" s="452" t="str">
        <f t="shared" si="41"/>
        <v>CEE Tier 1 Clothes Washer - Any DHW, Any Dryer - 54% ENERGY STAR Baseline</v>
      </c>
      <c r="AS127" s="454">
        <f t="shared" si="42"/>
        <v>0</v>
      </c>
      <c r="AT127" s="455">
        <f t="shared" ca="1" si="43"/>
        <v>33.71823055068964</v>
      </c>
      <c r="AU127" s="456">
        <f t="shared" ca="1" si="44"/>
        <v>6.7836820723076105E-2</v>
      </c>
      <c r="AV127" s="456">
        <f t="shared" si="45"/>
        <v>0</v>
      </c>
      <c r="AW127" s="456"/>
      <c r="AX127" s="455">
        <f t="shared" ca="1" si="50"/>
        <v>33.71823055068964</v>
      </c>
      <c r="AY127" s="455"/>
      <c r="AZ127" s="458"/>
      <c r="BA127" s="450" t="str">
        <f t="shared" si="49"/>
        <v>CEE Tier 1 Clothes Washer - Any DHW, Any Dryer - 54% ENERGY STAR Baseline</v>
      </c>
      <c r="BB127" s="450" t="s">
        <v>26</v>
      </c>
      <c r="BC127" s="455">
        <f t="shared" ca="1" si="46"/>
        <v>33.71823055068964</v>
      </c>
      <c r="BD127" s="455">
        <f>SFAssumptions!$C$7</f>
        <v>14</v>
      </c>
      <c r="BE127" s="459">
        <f t="shared" si="47"/>
        <v>0</v>
      </c>
      <c r="BF127" s="450"/>
      <c r="BG127" s="449" t="s">
        <v>159</v>
      </c>
      <c r="BH127" s="460"/>
      <c r="BI127" s="450"/>
      <c r="BJ127" s="450"/>
      <c r="BK127" s="450"/>
      <c r="BL127" s="450"/>
      <c r="BM127" s="450"/>
      <c r="BN127" s="450"/>
      <c r="BO127" s="461">
        <f t="shared" ca="1" si="48"/>
        <v>6.7836820723076105E-2</v>
      </c>
      <c r="BP127" s="450" t="s">
        <v>159</v>
      </c>
    </row>
    <row r="128" spans="1:68" s="309" customFormat="1">
      <c r="A128" s="450">
        <f t="shared" si="39"/>
        <v>51</v>
      </c>
      <c r="B128" s="450">
        <f t="shared" si="3"/>
        <v>2</v>
      </c>
      <c r="C128" s="450">
        <f t="shared" si="4"/>
        <v>21</v>
      </c>
      <c r="D128" s="450">
        <f t="shared" si="5"/>
        <v>5</v>
      </c>
      <c r="E128" s="450">
        <f t="shared" si="6"/>
        <v>1</v>
      </c>
      <c r="F128" s="450"/>
      <c r="G128" s="450" t="str">
        <f t="shared" si="13"/>
        <v>Current Practice Baseline Using 54% ENERGY STAR Penetration</v>
      </c>
      <c r="H128" s="450" t="str">
        <f t="shared" si="40"/>
        <v>CEE Tier 2</v>
      </c>
      <c r="I128" s="450" t="str">
        <f t="shared" si="7"/>
        <v>Electric DHW, Electric Dryer</v>
      </c>
      <c r="J128" s="450" t="str">
        <f t="shared" si="8"/>
        <v>Electric DHW</v>
      </c>
      <c r="K128" s="450" t="str">
        <f t="shared" si="9"/>
        <v>Electric Dryer</v>
      </c>
      <c r="L128" s="451">
        <f>VLOOKUP(J128,SFAssumptions!$A$14:$B$16,2,FALSE)</f>
        <v>1</v>
      </c>
      <c r="M128" s="452">
        <f>VLOOKUP(K128,SFAssumptions!$A$18:$B$20,2,FALSE)</f>
        <v>1</v>
      </c>
      <c r="N128" s="453">
        <f ca="1">HLOOKUP($G128,'MHBaselines and Measures'!$C$3:$V$33,7,FALSE)</f>
        <v>3802.5240664273615</v>
      </c>
      <c r="O128" s="454"/>
      <c r="P128" s="455"/>
      <c r="Q128" s="455">
        <f ca="1">HLOOKUP($G128,'MHBaselines and Measures'!$C$3:$V$33,26,FALSE)</f>
        <v>292.2292335830785</v>
      </c>
      <c r="R128" s="455"/>
      <c r="S128" s="456"/>
      <c r="T128" s="456">
        <f ca="1">HLOOKUP($G128,'MHBaselines and Measures'!$C$3:$V$33,30,FALSE)</f>
        <v>11.170637791253329</v>
      </c>
      <c r="U128" s="456"/>
      <c r="V128" s="456"/>
      <c r="W128" s="457"/>
      <c r="X128" s="453"/>
      <c r="Y128" s="454"/>
      <c r="Z128" s="455"/>
      <c r="AA128" s="455">
        <f ca="1">HLOOKUP($H128,'MHBaselines and Measures'!$C$2:$V$33,27,FALSE)</f>
        <v>235.05267290091308</v>
      </c>
      <c r="AB128" s="455"/>
      <c r="AC128" s="456"/>
      <c r="AD128" s="456">
        <f ca="1">HLOOKUP($H128,'MHBaselines and Measures'!$C$2:$V$33,31,FALSE)</f>
        <v>8.9850294532411432</v>
      </c>
      <c r="AE128" s="456"/>
      <c r="AF128" s="456"/>
      <c r="AG128" s="457"/>
      <c r="AH128" s="453"/>
      <c r="AI128" s="454"/>
      <c r="AJ128" s="455"/>
      <c r="AK128" s="455">
        <f t="shared" ca="1" si="35"/>
        <v>57.176560682165416</v>
      </c>
      <c r="AL128" s="455"/>
      <c r="AM128" s="456"/>
      <c r="AN128" s="456">
        <f t="shared" ca="1" si="36"/>
        <v>2.1856083380121856</v>
      </c>
      <c r="AO128" s="456"/>
      <c r="AP128" s="456"/>
      <c r="AQ128" s="458"/>
      <c r="AR128" s="452" t="str">
        <f t="shared" si="41"/>
        <v>CEE Tier 2 Clothes Washer - Electric DHW, Electric Dryer - 54% ENERGY STAR Baseline</v>
      </c>
      <c r="AS128" s="454">
        <f t="shared" si="42"/>
        <v>0</v>
      </c>
      <c r="AT128" s="455">
        <f t="shared" ca="1" si="43"/>
        <v>57.176560682165416</v>
      </c>
      <c r="AU128" s="456">
        <f t="shared" ca="1" si="44"/>
        <v>0</v>
      </c>
      <c r="AV128" s="456">
        <f t="shared" si="45"/>
        <v>0</v>
      </c>
      <c r="AW128" s="456"/>
      <c r="AX128" s="455">
        <f t="shared" ca="1" si="50"/>
        <v>57.176560682165416</v>
      </c>
      <c r="AY128" s="455"/>
      <c r="AZ128" s="458"/>
      <c r="BA128" s="450" t="str">
        <f t="shared" si="49"/>
        <v>CEE Tier 2 Clothes Washer - Electric DHW, Electric Dryer - 54% ENERGY STAR Baseline</v>
      </c>
      <c r="BB128" s="450" t="s">
        <v>26</v>
      </c>
      <c r="BC128" s="455">
        <f t="shared" ca="1" si="46"/>
        <v>57.176560682165416</v>
      </c>
      <c r="BD128" s="455">
        <f>SFAssumptions!$C$7</f>
        <v>14</v>
      </c>
      <c r="BE128" s="459">
        <f t="shared" si="47"/>
        <v>0</v>
      </c>
      <c r="BF128" s="450"/>
      <c r="BG128" s="449" t="s">
        <v>159</v>
      </c>
      <c r="BH128" s="460"/>
      <c r="BI128" s="450"/>
      <c r="BJ128" s="450"/>
      <c r="BK128" s="450"/>
      <c r="BL128" s="450"/>
      <c r="BM128" s="450"/>
      <c r="BN128" s="450"/>
      <c r="BO128" s="461">
        <f t="shared" ca="1" si="48"/>
        <v>0</v>
      </c>
      <c r="BP128" s="450" t="s">
        <v>159</v>
      </c>
    </row>
    <row r="129" spans="1:69" s="309" customFormat="1">
      <c r="A129" s="450">
        <f t="shared" si="39"/>
        <v>52</v>
      </c>
      <c r="B129" s="450">
        <f t="shared" si="3"/>
        <v>2</v>
      </c>
      <c r="C129" s="450">
        <f t="shared" si="4"/>
        <v>22</v>
      </c>
      <c r="D129" s="450">
        <f t="shared" si="5"/>
        <v>5</v>
      </c>
      <c r="E129" s="450">
        <f t="shared" si="6"/>
        <v>2</v>
      </c>
      <c r="F129" s="450"/>
      <c r="G129" s="450" t="str">
        <f t="shared" si="13"/>
        <v>Current Practice Baseline Using 54% ENERGY STAR Penetration</v>
      </c>
      <c r="H129" s="450" t="str">
        <f t="shared" si="40"/>
        <v>CEE Tier 2</v>
      </c>
      <c r="I129" s="450" t="str">
        <f t="shared" si="7"/>
        <v>Electric DHW, Gas Dryer</v>
      </c>
      <c r="J129" s="450" t="str">
        <f t="shared" si="8"/>
        <v>Electric DHW</v>
      </c>
      <c r="K129" s="450" t="str">
        <f t="shared" si="9"/>
        <v>Gas Dryer</v>
      </c>
      <c r="L129" s="451">
        <f>VLOOKUP(J129,SFAssumptions!$A$14:$B$16,2,FALSE)</f>
        <v>1</v>
      </c>
      <c r="M129" s="452">
        <f>VLOOKUP(K129,SFAssumptions!$A$18:$B$20,2,FALSE)</f>
        <v>0</v>
      </c>
      <c r="N129" s="453">
        <f ca="1">HLOOKUP($G129,'MHBaselines and Measures'!$C$3:$V$33,7,FALSE)</f>
        <v>3802.5240664273615</v>
      </c>
      <c r="O129" s="454"/>
      <c r="P129" s="455"/>
      <c r="Q129" s="455">
        <f ca="1">HLOOKUP($G129,'MHBaselines and Measures'!$C$3:$V$33,26,FALSE)</f>
        <v>292.2292335830785</v>
      </c>
      <c r="R129" s="455"/>
      <c r="S129" s="456"/>
      <c r="T129" s="456">
        <f ca="1">HLOOKUP($G129,'MHBaselines and Measures'!$C$3:$V$33,30,FALSE)</f>
        <v>11.170637791253329</v>
      </c>
      <c r="U129" s="456"/>
      <c r="V129" s="456"/>
      <c r="W129" s="457"/>
      <c r="X129" s="453"/>
      <c r="Y129" s="454"/>
      <c r="Z129" s="455"/>
      <c r="AA129" s="455">
        <f ca="1">HLOOKUP($H129,'MHBaselines and Measures'!$C$2:$V$33,27,FALSE)</f>
        <v>235.05267290091308</v>
      </c>
      <c r="AB129" s="455"/>
      <c r="AC129" s="456"/>
      <c r="AD129" s="456">
        <f ca="1">HLOOKUP($H129,'MHBaselines and Measures'!$C$2:$V$33,31,FALSE)</f>
        <v>8.9850294532411432</v>
      </c>
      <c r="AE129" s="456"/>
      <c r="AF129" s="456"/>
      <c r="AG129" s="457"/>
      <c r="AH129" s="453"/>
      <c r="AI129" s="454"/>
      <c r="AJ129" s="455"/>
      <c r="AK129" s="455">
        <f t="shared" ca="1" si="35"/>
        <v>57.176560682165416</v>
      </c>
      <c r="AL129" s="455"/>
      <c r="AM129" s="456"/>
      <c r="AN129" s="456">
        <f t="shared" ca="1" si="36"/>
        <v>2.1856083380121856</v>
      </c>
      <c r="AO129" s="456"/>
      <c r="AP129" s="456"/>
      <c r="AQ129" s="458"/>
      <c r="AR129" s="452" t="str">
        <f t="shared" si="41"/>
        <v>CEE Tier 2 Clothes Washer - Electric DHW, Gas Dryer - 54% ENERGY STAR Baseline</v>
      </c>
      <c r="AS129" s="454">
        <f t="shared" si="42"/>
        <v>0</v>
      </c>
      <c r="AT129" s="455">
        <f t="shared" ca="1" si="43"/>
        <v>0</v>
      </c>
      <c r="AU129" s="456">
        <f t="shared" ca="1" si="44"/>
        <v>2.1856083380121856</v>
      </c>
      <c r="AV129" s="456">
        <f t="shared" si="45"/>
        <v>0</v>
      </c>
      <c r="AW129" s="456"/>
      <c r="AX129" s="455">
        <f t="shared" ca="1" si="50"/>
        <v>0</v>
      </c>
      <c r="AY129" s="455"/>
      <c r="AZ129" s="458"/>
      <c r="BA129" s="450" t="str">
        <f t="shared" si="49"/>
        <v>CEE Tier 2 Clothes Washer - Electric DHW, Gas Dryer - 54% ENERGY STAR Baseline</v>
      </c>
      <c r="BB129" s="450" t="s">
        <v>26</v>
      </c>
      <c r="BC129" s="455">
        <f t="shared" ca="1" si="46"/>
        <v>0</v>
      </c>
      <c r="BD129" s="455">
        <f>SFAssumptions!$C$7</f>
        <v>14</v>
      </c>
      <c r="BE129" s="459">
        <f t="shared" si="47"/>
        <v>0</v>
      </c>
      <c r="BF129" s="450"/>
      <c r="BG129" s="449" t="s">
        <v>159</v>
      </c>
      <c r="BH129" s="460"/>
      <c r="BI129" s="450"/>
      <c r="BJ129" s="450"/>
      <c r="BK129" s="450"/>
      <c r="BL129" s="450"/>
      <c r="BM129" s="450"/>
      <c r="BN129" s="450"/>
      <c r="BO129" s="461">
        <f t="shared" ca="1" si="48"/>
        <v>2.1856083380121856</v>
      </c>
      <c r="BP129" s="450" t="s">
        <v>159</v>
      </c>
    </row>
    <row r="130" spans="1:69" s="309" customFormat="1">
      <c r="A130" s="450">
        <f t="shared" si="39"/>
        <v>53</v>
      </c>
      <c r="B130" s="450">
        <f t="shared" si="3"/>
        <v>2</v>
      </c>
      <c r="C130" s="450">
        <f t="shared" si="4"/>
        <v>23</v>
      </c>
      <c r="D130" s="450">
        <f t="shared" si="5"/>
        <v>5</v>
      </c>
      <c r="E130" s="450">
        <f t="shared" si="6"/>
        <v>3</v>
      </c>
      <c r="F130" s="450"/>
      <c r="G130" s="450" t="str">
        <f t="shared" si="13"/>
        <v>Current Practice Baseline Using 54% ENERGY STAR Penetration</v>
      </c>
      <c r="H130" s="450" t="str">
        <f t="shared" si="40"/>
        <v>CEE Tier 2</v>
      </c>
      <c r="I130" s="450" t="str">
        <f t="shared" si="7"/>
        <v>Gas DHW, Electric Dryer</v>
      </c>
      <c r="J130" s="450" t="str">
        <f t="shared" si="8"/>
        <v>Gas DHW</v>
      </c>
      <c r="K130" s="450" t="str">
        <f t="shared" si="9"/>
        <v>Electric Dryer</v>
      </c>
      <c r="L130" s="451">
        <f>VLOOKUP(J130,SFAssumptions!$A$14:$B$16,2,FALSE)</f>
        <v>0</v>
      </c>
      <c r="M130" s="452">
        <f>VLOOKUP(K130,SFAssumptions!$A$18:$B$20,2,FALSE)</f>
        <v>1</v>
      </c>
      <c r="N130" s="453">
        <f ca="1">HLOOKUP($G130,'MHBaselines and Measures'!$C$3:$V$33,7,FALSE)</f>
        <v>3802.5240664273615</v>
      </c>
      <c r="O130" s="454"/>
      <c r="P130" s="455"/>
      <c r="Q130" s="455">
        <f ca="1">HLOOKUP($G130,'MHBaselines and Measures'!$C$3:$V$33,26,FALSE)</f>
        <v>292.2292335830785</v>
      </c>
      <c r="R130" s="455"/>
      <c r="S130" s="456"/>
      <c r="T130" s="456">
        <f ca="1">HLOOKUP($G130,'MHBaselines and Measures'!$C$3:$V$33,30,FALSE)</f>
        <v>11.170637791253329</v>
      </c>
      <c r="U130" s="456"/>
      <c r="V130" s="456"/>
      <c r="W130" s="457"/>
      <c r="X130" s="453"/>
      <c r="Y130" s="454"/>
      <c r="Z130" s="455"/>
      <c r="AA130" s="455">
        <f ca="1">HLOOKUP($H130,'MHBaselines and Measures'!$C$2:$V$33,27,FALSE)</f>
        <v>235.05267290091308</v>
      </c>
      <c r="AB130" s="455"/>
      <c r="AC130" s="456"/>
      <c r="AD130" s="456">
        <f ca="1">HLOOKUP($H130,'MHBaselines and Measures'!$C$2:$V$33,31,FALSE)</f>
        <v>8.9850294532411432</v>
      </c>
      <c r="AE130" s="456"/>
      <c r="AF130" s="456"/>
      <c r="AG130" s="457"/>
      <c r="AH130" s="453"/>
      <c r="AI130" s="454"/>
      <c r="AJ130" s="455"/>
      <c r="AK130" s="455">
        <f t="shared" ca="1" si="35"/>
        <v>57.176560682165416</v>
      </c>
      <c r="AL130" s="455"/>
      <c r="AM130" s="456"/>
      <c r="AN130" s="456">
        <f t="shared" ca="1" si="36"/>
        <v>2.1856083380121856</v>
      </c>
      <c r="AO130" s="456"/>
      <c r="AP130" s="456"/>
      <c r="AQ130" s="458"/>
      <c r="AR130" s="452" t="str">
        <f t="shared" si="41"/>
        <v>CEE Tier 2 Clothes Washer - Gas DHW, Electric Dryer - 54% ENERGY STAR Baseline</v>
      </c>
      <c r="AS130" s="454">
        <f t="shared" si="42"/>
        <v>0</v>
      </c>
      <c r="AT130" s="455">
        <f t="shared" ca="1" si="43"/>
        <v>57.176560682165416</v>
      </c>
      <c r="AU130" s="456">
        <f t="shared" ca="1" si="44"/>
        <v>0</v>
      </c>
      <c r="AV130" s="456">
        <f t="shared" si="45"/>
        <v>0</v>
      </c>
      <c r="AW130" s="456"/>
      <c r="AX130" s="455">
        <f t="shared" ca="1" si="50"/>
        <v>57.176560682165416</v>
      </c>
      <c r="AY130" s="455"/>
      <c r="AZ130" s="458"/>
      <c r="BA130" s="450" t="str">
        <f t="shared" si="49"/>
        <v>CEE Tier 2 Clothes Washer - Gas DHW, Electric Dryer - 54% ENERGY STAR Baseline</v>
      </c>
      <c r="BB130" s="450" t="s">
        <v>26</v>
      </c>
      <c r="BC130" s="455">
        <f t="shared" ca="1" si="46"/>
        <v>57.176560682165416</v>
      </c>
      <c r="BD130" s="455">
        <f>SFAssumptions!$C$7</f>
        <v>14</v>
      </c>
      <c r="BE130" s="459">
        <f t="shared" si="47"/>
        <v>0</v>
      </c>
      <c r="BF130" s="450"/>
      <c r="BG130" s="449" t="s">
        <v>159</v>
      </c>
      <c r="BH130" s="460"/>
      <c r="BI130" s="450"/>
      <c r="BJ130" s="450"/>
      <c r="BK130" s="450"/>
      <c r="BL130" s="450"/>
      <c r="BM130" s="450"/>
      <c r="BN130" s="450"/>
      <c r="BO130" s="461">
        <f t="shared" ca="1" si="48"/>
        <v>0</v>
      </c>
      <c r="BP130" s="450" t="s">
        <v>159</v>
      </c>
    </row>
    <row r="131" spans="1:69" s="309" customFormat="1">
      <c r="A131" s="450">
        <f t="shared" si="39"/>
        <v>54</v>
      </c>
      <c r="B131" s="450">
        <f t="shared" si="3"/>
        <v>2</v>
      </c>
      <c r="C131" s="450">
        <f t="shared" si="4"/>
        <v>24</v>
      </c>
      <c r="D131" s="450">
        <f t="shared" si="5"/>
        <v>5</v>
      </c>
      <c r="E131" s="450">
        <f t="shared" si="6"/>
        <v>4</v>
      </c>
      <c r="F131" s="450"/>
      <c r="G131" s="450" t="str">
        <f t="shared" si="13"/>
        <v>Current Practice Baseline Using 54% ENERGY STAR Penetration</v>
      </c>
      <c r="H131" s="450" t="str">
        <f t="shared" si="40"/>
        <v>CEE Tier 2</v>
      </c>
      <c r="I131" s="450" t="str">
        <f t="shared" si="7"/>
        <v>Gas DHW, Gas Dryer</v>
      </c>
      <c r="J131" s="450" t="str">
        <f t="shared" si="8"/>
        <v>Gas DHW</v>
      </c>
      <c r="K131" s="450" t="str">
        <f t="shared" si="9"/>
        <v>Gas Dryer</v>
      </c>
      <c r="L131" s="451">
        <f>VLOOKUP(J131,SFAssumptions!$A$14:$B$16,2,FALSE)</f>
        <v>0</v>
      </c>
      <c r="M131" s="452">
        <f>VLOOKUP(K131,SFAssumptions!$A$18:$B$20,2,FALSE)</f>
        <v>0</v>
      </c>
      <c r="N131" s="453">
        <f ca="1">HLOOKUP($G131,'MHBaselines and Measures'!$C$3:$V$33,7,FALSE)</f>
        <v>3802.5240664273615</v>
      </c>
      <c r="O131" s="454"/>
      <c r="P131" s="455"/>
      <c r="Q131" s="455">
        <f ca="1">HLOOKUP($G131,'MHBaselines and Measures'!$C$3:$V$33,26,FALSE)</f>
        <v>292.2292335830785</v>
      </c>
      <c r="R131" s="455"/>
      <c r="S131" s="456"/>
      <c r="T131" s="456">
        <f ca="1">HLOOKUP($G131,'MHBaselines and Measures'!$C$3:$V$33,30,FALSE)</f>
        <v>11.170637791253329</v>
      </c>
      <c r="U131" s="456"/>
      <c r="V131" s="456"/>
      <c r="W131" s="457"/>
      <c r="X131" s="453"/>
      <c r="Y131" s="454"/>
      <c r="Z131" s="455"/>
      <c r="AA131" s="455">
        <f ca="1">HLOOKUP($H131,'MHBaselines and Measures'!$C$2:$V$33,27,FALSE)</f>
        <v>235.05267290091308</v>
      </c>
      <c r="AB131" s="455"/>
      <c r="AC131" s="456"/>
      <c r="AD131" s="456">
        <f ca="1">HLOOKUP($H131,'MHBaselines and Measures'!$C$2:$V$33,31,FALSE)</f>
        <v>8.9850294532411432</v>
      </c>
      <c r="AE131" s="456"/>
      <c r="AF131" s="456"/>
      <c r="AG131" s="457"/>
      <c r="AH131" s="453"/>
      <c r="AI131" s="454"/>
      <c r="AJ131" s="455"/>
      <c r="AK131" s="455">
        <f t="shared" ca="1" si="35"/>
        <v>57.176560682165416</v>
      </c>
      <c r="AL131" s="455"/>
      <c r="AM131" s="456"/>
      <c r="AN131" s="456">
        <f t="shared" ca="1" si="36"/>
        <v>2.1856083380121856</v>
      </c>
      <c r="AO131" s="456"/>
      <c r="AP131" s="456"/>
      <c r="AQ131" s="458"/>
      <c r="AR131" s="452" t="str">
        <f t="shared" si="41"/>
        <v>CEE Tier 2 Clothes Washer - Gas DHW, Gas Dryer - 54% ENERGY STAR Baseline</v>
      </c>
      <c r="AS131" s="454">
        <f t="shared" si="42"/>
        <v>0</v>
      </c>
      <c r="AT131" s="455">
        <f t="shared" ca="1" si="43"/>
        <v>0</v>
      </c>
      <c r="AU131" s="456">
        <f t="shared" ca="1" si="44"/>
        <v>2.1856083380121856</v>
      </c>
      <c r="AV131" s="456">
        <f t="shared" si="45"/>
        <v>0</v>
      </c>
      <c r="AW131" s="456"/>
      <c r="AX131" s="455">
        <f t="shared" ca="1" si="50"/>
        <v>0</v>
      </c>
      <c r="AY131" s="455"/>
      <c r="AZ131" s="458"/>
      <c r="BA131" s="450" t="str">
        <f t="shared" si="49"/>
        <v>CEE Tier 2 Clothes Washer - Gas DHW, Gas Dryer - 54% ENERGY STAR Baseline</v>
      </c>
      <c r="BB131" s="450" t="s">
        <v>26</v>
      </c>
      <c r="BC131" s="455">
        <f t="shared" ca="1" si="46"/>
        <v>0</v>
      </c>
      <c r="BD131" s="455">
        <f>SFAssumptions!$C$7</f>
        <v>14</v>
      </c>
      <c r="BE131" s="459">
        <f t="shared" si="47"/>
        <v>0</v>
      </c>
      <c r="BF131" s="450"/>
      <c r="BG131" s="449" t="s">
        <v>159</v>
      </c>
      <c r="BH131" s="460"/>
      <c r="BI131" s="450"/>
      <c r="BJ131" s="450"/>
      <c r="BK131" s="450"/>
      <c r="BL131" s="450"/>
      <c r="BM131" s="450"/>
      <c r="BN131" s="450"/>
      <c r="BO131" s="461">
        <f t="shared" ca="1" si="48"/>
        <v>2.1856083380121856</v>
      </c>
      <c r="BP131" s="450" t="s">
        <v>159</v>
      </c>
    </row>
    <row r="132" spans="1:69" s="309" customFormat="1">
      <c r="A132" s="450">
        <f t="shared" si="39"/>
        <v>55</v>
      </c>
      <c r="B132" s="450">
        <f t="shared" si="3"/>
        <v>2</v>
      </c>
      <c r="C132" s="450">
        <f t="shared" si="4"/>
        <v>25</v>
      </c>
      <c r="D132" s="450">
        <f t="shared" si="5"/>
        <v>5</v>
      </c>
      <c r="E132" s="450">
        <f t="shared" si="6"/>
        <v>5</v>
      </c>
      <c r="F132" s="450"/>
      <c r="G132" s="450" t="str">
        <f t="shared" si="13"/>
        <v>Current Practice Baseline Using 54% ENERGY STAR Penetration</v>
      </c>
      <c r="H132" s="450" t="str">
        <f t="shared" si="40"/>
        <v>CEE Tier 2</v>
      </c>
      <c r="I132" s="450" t="str">
        <f t="shared" si="7"/>
        <v>Any DHW, Any Dryer</v>
      </c>
      <c r="J132" s="450" t="str">
        <f t="shared" si="8"/>
        <v>Any DHW</v>
      </c>
      <c r="K132" s="450" t="str">
        <f t="shared" si="9"/>
        <v>Any Dryer</v>
      </c>
      <c r="L132" s="451">
        <f>VLOOKUP(J132,SFAssumptions!$A$14:$B$16,2,FALSE)</f>
        <v>0.55200000000000005</v>
      </c>
      <c r="M132" s="452">
        <f>VLOOKUP(K132,SFAssumptions!$A$18:$B$20,2,FALSE)</f>
        <v>0.95</v>
      </c>
      <c r="N132" s="453">
        <f ca="1">HLOOKUP($G132,'MHBaselines and Measures'!$C$3:$V$33,7,FALSE)</f>
        <v>3802.5240664273615</v>
      </c>
      <c r="O132" s="454"/>
      <c r="P132" s="455"/>
      <c r="Q132" s="455">
        <f ca="1">HLOOKUP($G132,'MHBaselines and Measures'!$C$3:$V$33,26,FALSE)</f>
        <v>292.2292335830785</v>
      </c>
      <c r="R132" s="455"/>
      <c r="S132" s="456"/>
      <c r="T132" s="456">
        <f ca="1">HLOOKUP($G132,'MHBaselines and Measures'!$C$3:$V$33,30,FALSE)</f>
        <v>11.170637791253329</v>
      </c>
      <c r="U132" s="456"/>
      <c r="V132" s="456"/>
      <c r="W132" s="457"/>
      <c r="X132" s="453"/>
      <c r="Y132" s="454"/>
      <c r="Z132" s="455"/>
      <c r="AA132" s="455">
        <f ca="1">HLOOKUP($H132,'MHBaselines and Measures'!$C$2:$V$33,27,FALSE)</f>
        <v>235.05267290091308</v>
      </c>
      <c r="AB132" s="455"/>
      <c r="AC132" s="456"/>
      <c r="AD132" s="456">
        <f ca="1">HLOOKUP($H132,'MHBaselines and Measures'!$C$2:$V$33,31,FALSE)</f>
        <v>8.9850294532411432</v>
      </c>
      <c r="AE132" s="456"/>
      <c r="AF132" s="456"/>
      <c r="AG132" s="457"/>
      <c r="AH132" s="453"/>
      <c r="AI132" s="454"/>
      <c r="AJ132" s="455"/>
      <c r="AK132" s="455">
        <f t="shared" ca="1" si="35"/>
        <v>57.176560682165416</v>
      </c>
      <c r="AL132" s="455"/>
      <c r="AM132" s="456"/>
      <c r="AN132" s="456">
        <f t="shared" ca="1" si="36"/>
        <v>2.1856083380121856</v>
      </c>
      <c r="AO132" s="456"/>
      <c r="AP132" s="456"/>
      <c r="AQ132" s="458"/>
      <c r="AR132" s="452" t="str">
        <f t="shared" si="41"/>
        <v>CEE Tier 2 Clothes Washer - Any DHW, Any Dryer - 54% ENERGY STAR Baseline</v>
      </c>
      <c r="AS132" s="454">
        <f t="shared" si="42"/>
        <v>0</v>
      </c>
      <c r="AT132" s="455">
        <f t="shared" ca="1" si="43"/>
        <v>54.317732648057145</v>
      </c>
      <c r="AU132" s="456">
        <f t="shared" ca="1" si="44"/>
        <v>0.10928041690060937</v>
      </c>
      <c r="AV132" s="456">
        <f t="shared" si="45"/>
        <v>0</v>
      </c>
      <c r="AW132" s="456"/>
      <c r="AX132" s="455">
        <f t="shared" ca="1" si="50"/>
        <v>54.317732648057145</v>
      </c>
      <c r="AY132" s="455"/>
      <c r="AZ132" s="458"/>
      <c r="BA132" s="450" t="str">
        <f t="shared" si="49"/>
        <v>CEE Tier 2 Clothes Washer - Any DHW, Any Dryer - 54% ENERGY STAR Baseline</v>
      </c>
      <c r="BB132" s="450" t="s">
        <v>26</v>
      </c>
      <c r="BC132" s="455">
        <f t="shared" ca="1" si="46"/>
        <v>54.317732648057145</v>
      </c>
      <c r="BD132" s="455">
        <f>SFAssumptions!$C$7</f>
        <v>14</v>
      </c>
      <c r="BE132" s="459">
        <f t="shared" si="47"/>
        <v>0</v>
      </c>
      <c r="BF132" s="450"/>
      <c r="BG132" s="449" t="s">
        <v>159</v>
      </c>
      <c r="BH132" s="460"/>
      <c r="BI132" s="450"/>
      <c r="BJ132" s="450"/>
      <c r="BK132" s="450"/>
      <c r="BL132" s="450"/>
      <c r="BM132" s="450"/>
      <c r="BN132" s="450"/>
      <c r="BO132" s="461">
        <f t="shared" ca="1" si="48"/>
        <v>0.10928041690060937</v>
      </c>
      <c r="BP132" s="450" t="s">
        <v>159</v>
      </c>
    </row>
    <row r="133" spans="1:69" s="309" customFormat="1">
      <c r="A133" s="450">
        <f t="shared" si="39"/>
        <v>56</v>
      </c>
      <c r="B133" s="450">
        <f t="shared" si="3"/>
        <v>2</v>
      </c>
      <c r="C133" s="450">
        <f t="shared" si="4"/>
        <v>26</v>
      </c>
      <c r="D133" s="450">
        <f t="shared" si="5"/>
        <v>6</v>
      </c>
      <c r="E133" s="450">
        <f t="shared" si="6"/>
        <v>1</v>
      </c>
      <c r="F133" s="450"/>
      <c r="G133" s="450" t="str">
        <f t="shared" si="13"/>
        <v>Current Practice Baseline Using 54% ENERGY STAR Penetration</v>
      </c>
      <c r="H133" s="450" t="str">
        <f t="shared" si="40"/>
        <v>CEE Tier 3</v>
      </c>
      <c r="I133" s="450" t="str">
        <f t="shared" si="7"/>
        <v>Electric DHW, Electric Dryer</v>
      </c>
      <c r="J133" s="450" t="str">
        <f t="shared" si="8"/>
        <v>Electric DHW</v>
      </c>
      <c r="K133" s="450" t="str">
        <f t="shared" si="9"/>
        <v>Electric Dryer</v>
      </c>
      <c r="L133" s="451">
        <f>VLOOKUP(J133,SFAssumptions!$A$14:$B$16,2,FALSE)</f>
        <v>1</v>
      </c>
      <c r="M133" s="452">
        <f>VLOOKUP(K133,SFAssumptions!$A$18:$B$20,2,FALSE)</f>
        <v>1</v>
      </c>
      <c r="N133" s="453">
        <f ca="1">HLOOKUP($G133,'MHBaselines and Measures'!$C$3:$V$33,7,FALSE)</f>
        <v>3802.5240664273615</v>
      </c>
      <c r="O133" s="454"/>
      <c r="P133" s="455"/>
      <c r="Q133" s="455">
        <f ca="1">HLOOKUP($G133,'MHBaselines and Measures'!$C$3:$V$33,26,FALSE)</f>
        <v>292.2292335830785</v>
      </c>
      <c r="R133" s="455"/>
      <c r="S133" s="456"/>
      <c r="T133" s="456">
        <f ca="1">HLOOKUP($G133,'MHBaselines and Measures'!$C$3:$V$33,30,FALSE)</f>
        <v>11.170637791253329</v>
      </c>
      <c r="U133" s="456"/>
      <c r="V133" s="456"/>
      <c r="W133" s="457"/>
      <c r="X133" s="453"/>
      <c r="Y133" s="454"/>
      <c r="Z133" s="455"/>
      <c r="AA133" s="455">
        <f ca="1">HLOOKUP($H133,'MHBaselines and Measures'!$C$2:$V$33,27,FALSE)</f>
        <v>220.62055645301083</v>
      </c>
      <c r="AB133" s="455"/>
      <c r="AC133" s="456"/>
      <c r="AD133" s="456">
        <f ca="1">HLOOKUP($H133,'MHBaselines and Measures'!$C$2:$V$33,31,FALSE)</f>
        <v>8.433353142750212</v>
      </c>
      <c r="AE133" s="456"/>
      <c r="AF133" s="456"/>
      <c r="AG133" s="457"/>
      <c r="AH133" s="453"/>
      <c r="AI133" s="454"/>
      <c r="AJ133" s="455"/>
      <c r="AK133" s="455">
        <f t="shared" ca="1" si="35"/>
        <v>71.608677130067662</v>
      </c>
      <c r="AL133" s="455"/>
      <c r="AM133" s="456"/>
      <c r="AN133" s="456">
        <f t="shared" ca="1" si="36"/>
        <v>2.7372846485031168</v>
      </c>
      <c r="AO133" s="456"/>
      <c r="AP133" s="456"/>
      <c r="AQ133" s="458"/>
      <c r="AR133" s="452" t="str">
        <f t="shared" si="41"/>
        <v>CEE Tier 3 Clothes Washer - Electric DHW, Electric Dryer - 54% ENERGY STAR Baseline</v>
      </c>
      <c r="AS133" s="454">
        <f t="shared" si="42"/>
        <v>0</v>
      </c>
      <c r="AT133" s="455">
        <f t="shared" ca="1" si="43"/>
        <v>71.608677130067662</v>
      </c>
      <c r="AU133" s="456">
        <f t="shared" ca="1" si="44"/>
        <v>0</v>
      </c>
      <c r="AV133" s="456">
        <f t="shared" si="45"/>
        <v>0</v>
      </c>
      <c r="AW133" s="456"/>
      <c r="AX133" s="455">
        <f t="shared" ca="1" si="50"/>
        <v>71.608677130067662</v>
      </c>
      <c r="AY133" s="455"/>
      <c r="AZ133" s="458"/>
      <c r="BA133" s="450" t="str">
        <f t="shared" si="49"/>
        <v>CEE Tier 3 Clothes Washer - Electric DHW, Electric Dryer - 54% ENERGY STAR Baseline</v>
      </c>
      <c r="BB133" s="450" t="s">
        <v>26</v>
      </c>
      <c r="BC133" s="455">
        <f t="shared" ca="1" si="46"/>
        <v>71.608677130067662</v>
      </c>
      <c r="BD133" s="455">
        <f>SFAssumptions!$C$7</f>
        <v>14</v>
      </c>
      <c r="BE133" s="459">
        <f t="shared" si="47"/>
        <v>0</v>
      </c>
      <c r="BF133" s="450"/>
      <c r="BG133" s="449" t="s">
        <v>159</v>
      </c>
      <c r="BH133" s="460"/>
      <c r="BI133" s="450"/>
      <c r="BJ133" s="450"/>
      <c r="BK133" s="450"/>
      <c r="BL133" s="450"/>
      <c r="BM133" s="450"/>
      <c r="BN133" s="450"/>
      <c r="BO133" s="461">
        <f t="shared" ca="1" si="48"/>
        <v>0</v>
      </c>
      <c r="BP133" s="450" t="s">
        <v>159</v>
      </c>
    </row>
    <row r="134" spans="1:69" s="309" customFormat="1">
      <c r="A134" s="450">
        <f t="shared" si="39"/>
        <v>57</v>
      </c>
      <c r="B134" s="450">
        <f t="shared" si="3"/>
        <v>2</v>
      </c>
      <c r="C134" s="450">
        <f t="shared" si="4"/>
        <v>27</v>
      </c>
      <c r="D134" s="450">
        <f t="shared" si="5"/>
        <v>6</v>
      </c>
      <c r="E134" s="450">
        <f t="shared" si="6"/>
        <v>2</v>
      </c>
      <c r="F134" s="450"/>
      <c r="G134" s="450" t="str">
        <f t="shared" si="13"/>
        <v>Current Practice Baseline Using 54% ENERGY STAR Penetration</v>
      </c>
      <c r="H134" s="450" t="str">
        <f t="shared" si="40"/>
        <v>CEE Tier 3</v>
      </c>
      <c r="I134" s="450" t="str">
        <f t="shared" si="7"/>
        <v>Electric DHW, Gas Dryer</v>
      </c>
      <c r="J134" s="450" t="str">
        <f t="shared" si="8"/>
        <v>Electric DHW</v>
      </c>
      <c r="K134" s="450" t="str">
        <f t="shared" si="9"/>
        <v>Gas Dryer</v>
      </c>
      <c r="L134" s="451">
        <f>VLOOKUP(J134,SFAssumptions!$A$14:$B$16,2,FALSE)</f>
        <v>1</v>
      </c>
      <c r="M134" s="452">
        <f>VLOOKUP(K134,SFAssumptions!$A$18:$B$20,2,FALSE)</f>
        <v>0</v>
      </c>
      <c r="N134" s="453">
        <f ca="1">HLOOKUP($G134,'MHBaselines and Measures'!$C$3:$V$33,7,FALSE)</f>
        <v>3802.5240664273615</v>
      </c>
      <c r="O134" s="454"/>
      <c r="P134" s="455"/>
      <c r="Q134" s="455">
        <f ca="1">HLOOKUP($G134,'MHBaselines and Measures'!$C$3:$V$33,26,FALSE)</f>
        <v>292.2292335830785</v>
      </c>
      <c r="R134" s="455"/>
      <c r="S134" s="456"/>
      <c r="T134" s="456">
        <f ca="1">HLOOKUP($G134,'MHBaselines and Measures'!$C$3:$V$33,30,FALSE)</f>
        <v>11.170637791253329</v>
      </c>
      <c r="U134" s="456"/>
      <c r="V134" s="456"/>
      <c r="W134" s="457"/>
      <c r="X134" s="453"/>
      <c r="Y134" s="454"/>
      <c r="Z134" s="455"/>
      <c r="AA134" s="455">
        <f ca="1">HLOOKUP($H134,'MHBaselines and Measures'!$C$2:$V$33,27,FALSE)</f>
        <v>220.62055645301083</v>
      </c>
      <c r="AB134" s="455"/>
      <c r="AC134" s="456"/>
      <c r="AD134" s="456">
        <f ca="1">HLOOKUP($H134,'MHBaselines and Measures'!$C$2:$V$33,31,FALSE)</f>
        <v>8.433353142750212</v>
      </c>
      <c r="AE134" s="456"/>
      <c r="AF134" s="456"/>
      <c r="AG134" s="457"/>
      <c r="AH134" s="453"/>
      <c r="AI134" s="454"/>
      <c r="AJ134" s="455"/>
      <c r="AK134" s="455">
        <f t="shared" ca="1" si="35"/>
        <v>71.608677130067662</v>
      </c>
      <c r="AL134" s="455"/>
      <c r="AM134" s="456"/>
      <c r="AN134" s="456">
        <f t="shared" ca="1" si="36"/>
        <v>2.7372846485031168</v>
      </c>
      <c r="AO134" s="456"/>
      <c r="AP134" s="456"/>
      <c r="AQ134" s="458"/>
      <c r="AR134" s="452" t="str">
        <f t="shared" si="41"/>
        <v>CEE Tier 3 Clothes Washer - Electric DHW, Gas Dryer - 54% ENERGY STAR Baseline</v>
      </c>
      <c r="AS134" s="454">
        <f t="shared" si="42"/>
        <v>0</v>
      </c>
      <c r="AT134" s="455">
        <f t="shared" ca="1" si="43"/>
        <v>0</v>
      </c>
      <c r="AU134" s="456">
        <f t="shared" ca="1" si="44"/>
        <v>2.7372846485031168</v>
      </c>
      <c r="AV134" s="456">
        <f t="shared" si="45"/>
        <v>0</v>
      </c>
      <c r="AW134" s="456"/>
      <c r="AX134" s="455">
        <f t="shared" ca="1" si="50"/>
        <v>0</v>
      </c>
      <c r="AY134" s="455"/>
      <c r="AZ134" s="458"/>
      <c r="BA134" s="450" t="str">
        <f t="shared" si="49"/>
        <v>CEE Tier 3 Clothes Washer - Electric DHW, Gas Dryer - 54% ENERGY STAR Baseline</v>
      </c>
      <c r="BB134" s="450" t="s">
        <v>26</v>
      </c>
      <c r="BC134" s="455">
        <f t="shared" ca="1" si="46"/>
        <v>0</v>
      </c>
      <c r="BD134" s="455">
        <f>SFAssumptions!$C$7</f>
        <v>14</v>
      </c>
      <c r="BE134" s="459">
        <f t="shared" si="47"/>
        <v>0</v>
      </c>
      <c r="BF134" s="450"/>
      <c r="BG134" s="449" t="s">
        <v>159</v>
      </c>
      <c r="BH134" s="460"/>
      <c r="BI134" s="450"/>
      <c r="BJ134" s="450"/>
      <c r="BK134" s="450"/>
      <c r="BL134" s="450"/>
      <c r="BM134" s="450"/>
      <c r="BN134" s="450"/>
      <c r="BO134" s="461">
        <f t="shared" ca="1" si="48"/>
        <v>2.7372846485031168</v>
      </c>
      <c r="BP134" s="450" t="s">
        <v>159</v>
      </c>
    </row>
    <row r="135" spans="1:69" s="309" customFormat="1">
      <c r="A135" s="450">
        <f t="shared" si="39"/>
        <v>58</v>
      </c>
      <c r="B135" s="450">
        <f t="shared" si="3"/>
        <v>2</v>
      </c>
      <c r="C135" s="450">
        <f t="shared" si="4"/>
        <v>28</v>
      </c>
      <c r="D135" s="450">
        <f t="shared" si="5"/>
        <v>6</v>
      </c>
      <c r="E135" s="450">
        <f t="shared" si="6"/>
        <v>3</v>
      </c>
      <c r="F135" s="450"/>
      <c r="G135" s="450" t="str">
        <f t="shared" si="13"/>
        <v>Current Practice Baseline Using 54% ENERGY STAR Penetration</v>
      </c>
      <c r="H135" s="450" t="str">
        <f t="shared" si="40"/>
        <v>CEE Tier 3</v>
      </c>
      <c r="I135" s="450" t="str">
        <f t="shared" si="7"/>
        <v>Gas DHW, Electric Dryer</v>
      </c>
      <c r="J135" s="450" t="str">
        <f t="shared" si="8"/>
        <v>Gas DHW</v>
      </c>
      <c r="K135" s="450" t="str">
        <f t="shared" si="9"/>
        <v>Electric Dryer</v>
      </c>
      <c r="L135" s="451">
        <f>VLOOKUP(J135,SFAssumptions!$A$14:$B$16,2,FALSE)</f>
        <v>0</v>
      </c>
      <c r="M135" s="452">
        <f>VLOOKUP(K135,SFAssumptions!$A$18:$B$20,2,FALSE)</f>
        <v>1</v>
      </c>
      <c r="N135" s="453">
        <f ca="1">HLOOKUP($G135,'MHBaselines and Measures'!$C$3:$V$33,7,FALSE)</f>
        <v>3802.5240664273615</v>
      </c>
      <c r="O135" s="454"/>
      <c r="P135" s="455"/>
      <c r="Q135" s="455">
        <f ca="1">HLOOKUP($G135,'MHBaselines and Measures'!$C$3:$V$33,26,FALSE)</f>
        <v>292.2292335830785</v>
      </c>
      <c r="R135" s="455"/>
      <c r="S135" s="456"/>
      <c r="T135" s="456">
        <f ca="1">HLOOKUP($G135,'MHBaselines and Measures'!$C$3:$V$33,30,FALSE)</f>
        <v>11.170637791253329</v>
      </c>
      <c r="U135" s="456"/>
      <c r="V135" s="456"/>
      <c r="W135" s="457"/>
      <c r="X135" s="453"/>
      <c r="Y135" s="454"/>
      <c r="Z135" s="455"/>
      <c r="AA135" s="455">
        <f ca="1">HLOOKUP($H135,'MHBaselines and Measures'!$C$2:$V$33,27,FALSE)</f>
        <v>220.62055645301083</v>
      </c>
      <c r="AB135" s="455"/>
      <c r="AC135" s="456"/>
      <c r="AD135" s="456">
        <f ca="1">HLOOKUP($H135,'MHBaselines and Measures'!$C$2:$V$33,31,FALSE)</f>
        <v>8.433353142750212</v>
      </c>
      <c r="AE135" s="456"/>
      <c r="AF135" s="456"/>
      <c r="AG135" s="457"/>
      <c r="AH135" s="453"/>
      <c r="AI135" s="454"/>
      <c r="AJ135" s="455"/>
      <c r="AK135" s="455">
        <f t="shared" ca="1" si="35"/>
        <v>71.608677130067662</v>
      </c>
      <c r="AL135" s="455"/>
      <c r="AM135" s="456"/>
      <c r="AN135" s="456">
        <f t="shared" ca="1" si="36"/>
        <v>2.7372846485031168</v>
      </c>
      <c r="AO135" s="456"/>
      <c r="AP135" s="456"/>
      <c r="AQ135" s="458"/>
      <c r="AR135" s="452" t="str">
        <f t="shared" si="41"/>
        <v>CEE Tier 3 Clothes Washer - Gas DHW, Electric Dryer - 54% ENERGY STAR Baseline</v>
      </c>
      <c r="AS135" s="454">
        <f t="shared" si="42"/>
        <v>0</v>
      </c>
      <c r="AT135" s="455">
        <f t="shared" ca="1" si="43"/>
        <v>71.608677130067662</v>
      </c>
      <c r="AU135" s="456">
        <f t="shared" ca="1" si="44"/>
        <v>0</v>
      </c>
      <c r="AV135" s="456">
        <f t="shared" si="45"/>
        <v>0</v>
      </c>
      <c r="AW135" s="456"/>
      <c r="AX135" s="455">
        <f t="shared" ca="1" si="50"/>
        <v>71.608677130067662</v>
      </c>
      <c r="AY135" s="455"/>
      <c r="AZ135" s="458"/>
      <c r="BA135" s="450" t="str">
        <f t="shared" si="49"/>
        <v>CEE Tier 3 Clothes Washer - Gas DHW, Electric Dryer - 54% ENERGY STAR Baseline</v>
      </c>
      <c r="BB135" s="450" t="s">
        <v>26</v>
      </c>
      <c r="BC135" s="455">
        <f t="shared" ca="1" si="46"/>
        <v>71.608677130067662</v>
      </c>
      <c r="BD135" s="455">
        <f>SFAssumptions!$C$7</f>
        <v>14</v>
      </c>
      <c r="BE135" s="459">
        <f t="shared" si="47"/>
        <v>0</v>
      </c>
      <c r="BF135" s="450"/>
      <c r="BG135" s="449" t="s">
        <v>159</v>
      </c>
      <c r="BH135" s="460"/>
      <c r="BI135" s="450"/>
      <c r="BJ135" s="450"/>
      <c r="BK135" s="450"/>
      <c r="BL135" s="450"/>
      <c r="BM135" s="450"/>
      <c r="BN135" s="450"/>
      <c r="BO135" s="461">
        <f t="shared" ca="1" si="48"/>
        <v>0</v>
      </c>
      <c r="BP135" s="450" t="s">
        <v>159</v>
      </c>
    </row>
    <row r="136" spans="1:69" s="309" customFormat="1">
      <c r="A136" s="450">
        <f t="shared" si="39"/>
        <v>59</v>
      </c>
      <c r="B136" s="450">
        <f t="shared" si="3"/>
        <v>2</v>
      </c>
      <c r="C136" s="450">
        <f t="shared" si="4"/>
        <v>29</v>
      </c>
      <c r="D136" s="450">
        <f t="shared" si="5"/>
        <v>6</v>
      </c>
      <c r="E136" s="450">
        <f t="shared" si="6"/>
        <v>4</v>
      </c>
      <c r="F136" s="450"/>
      <c r="G136" s="450" t="str">
        <f t="shared" si="13"/>
        <v>Current Practice Baseline Using 54% ENERGY STAR Penetration</v>
      </c>
      <c r="H136" s="450" t="str">
        <f t="shared" si="40"/>
        <v>CEE Tier 3</v>
      </c>
      <c r="I136" s="450" t="str">
        <f t="shared" si="7"/>
        <v>Gas DHW, Gas Dryer</v>
      </c>
      <c r="J136" s="450" t="str">
        <f t="shared" si="8"/>
        <v>Gas DHW</v>
      </c>
      <c r="K136" s="450" t="str">
        <f t="shared" si="9"/>
        <v>Gas Dryer</v>
      </c>
      <c r="L136" s="451">
        <f>VLOOKUP(J136,SFAssumptions!$A$14:$B$16,2,FALSE)</f>
        <v>0</v>
      </c>
      <c r="M136" s="452">
        <f>VLOOKUP(K136,SFAssumptions!$A$18:$B$20,2,FALSE)</f>
        <v>0</v>
      </c>
      <c r="N136" s="453">
        <f ca="1">HLOOKUP($G136,'MHBaselines and Measures'!$C$3:$V$33,7,FALSE)</f>
        <v>3802.5240664273615</v>
      </c>
      <c r="O136" s="454"/>
      <c r="P136" s="455"/>
      <c r="Q136" s="455">
        <f ca="1">HLOOKUP($G136,'MHBaselines and Measures'!$C$3:$V$33,26,FALSE)</f>
        <v>292.2292335830785</v>
      </c>
      <c r="R136" s="455"/>
      <c r="S136" s="456"/>
      <c r="T136" s="456">
        <f ca="1">HLOOKUP($G136,'MHBaselines and Measures'!$C$3:$V$33,30,FALSE)</f>
        <v>11.170637791253329</v>
      </c>
      <c r="U136" s="456"/>
      <c r="V136" s="456"/>
      <c r="W136" s="457"/>
      <c r="X136" s="453"/>
      <c r="Y136" s="454"/>
      <c r="Z136" s="455"/>
      <c r="AA136" s="455">
        <f ca="1">HLOOKUP($H136,'MHBaselines and Measures'!$C$2:$V$33,27,FALSE)</f>
        <v>220.62055645301083</v>
      </c>
      <c r="AB136" s="455"/>
      <c r="AC136" s="456"/>
      <c r="AD136" s="456">
        <f ca="1">HLOOKUP($H136,'MHBaselines and Measures'!$C$2:$V$33,31,FALSE)</f>
        <v>8.433353142750212</v>
      </c>
      <c r="AE136" s="456"/>
      <c r="AF136" s="456"/>
      <c r="AG136" s="457"/>
      <c r="AH136" s="453"/>
      <c r="AI136" s="454"/>
      <c r="AJ136" s="455"/>
      <c r="AK136" s="455">
        <f t="shared" ca="1" si="35"/>
        <v>71.608677130067662</v>
      </c>
      <c r="AL136" s="455"/>
      <c r="AM136" s="456"/>
      <c r="AN136" s="456">
        <f t="shared" ca="1" si="36"/>
        <v>2.7372846485031168</v>
      </c>
      <c r="AO136" s="456"/>
      <c r="AP136" s="456"/>
      <c r="AQ136" s="458"/>
      <c r="AR136" s="452" t="str">
        <f t="shared" si="41"/>
        <v>CEE Tier 3 Clothes Washer - Gas DHW, Gas Dryer - 54% ENERGY STAR Baseline</v>
      </c>
      <c r="AS136" s="454">
        <f t="shared" si="42"/>
        <v>0</v>
      </c>
      <c r="AT136" s="455">
        <f t="shared" ca="1" si="43"/>
        <v>0</v>
      </c>
      <c r="AU136" s="456">
        <f t="shared" ca="1" si="44"/>
        <v>2.7372846485031168</v>
      </c>
      <c r="AV136" s="456">
        <f t="shared" si="45"/>
        <v>0</v>
      </c>
      <c r="AW136" s="456"/>
      <c r="AX136" s="455">
        <f t="shared" ca="1" si="50"/>
        <v>0</v>
      </c>
      <c r="AY136" s="455"/>
      <c r="AZ136" s="458"/>
      <c r="BA136" s="450" t="str">
        <f t="shared" si="49"/>
        <v>CEE Tier 3 Clothes Washer - Gas DHW, Gas Dryer - 54% ENERGY STAR Baseline</v>
      </c>
      <c r="BB136" s="450" t="s">
        <v>26</v>
      </c>
      <c r="BC136" s="455">
        <f t="shared" ca="1" si="46"/>
        <v>0</v>
      </c>
      <c r="BD136" s="455">
        <f>SFAssumptions!$C$7</f>
        <v>14</v>
      </c>
      <c r="BE136" s="459">
        <f t="shared" si="47"/>
        <v>0</v>
      </c>
      <c r="BF136" s="450"/>
      <c r="BG136" s="449" t="s">
        <v>159</v>
      </c>
      <c r="BH136" s="460"/>
      <c r="BI136" s="450"/>
      <c r="BJ136" s="450"/>
      <c r="BK136" s="450"/>
      <c r="BL136" s="450"/>
      <c r="BM136" s="450"/>
      <c r="BN136" s="450"/>
      <c r="BO136" s="461">
        <f t="shared" ca="1" si="48"/>
        <v>2.7372846485031168</v>
      </c>
      <c r="BP136" s="450" t="s">
        <v>159</v>
      </c>
    </row>
    <row r="137" spans="1:69" s="309" customFormat="1">
      <c r="A137" s="450">
        <f t="shared" si="39"/>
        <v>60</v>
      </c>
      <c r="B137" s="450">
        <f t="shared" si="3"/>
        <v>2</v>
      </c>
      <c r="C137" s="450">
        <f t="shared" si="4"/>
        <v>30</v>
      </c>
      <c r="D137" s="450">
        <f t="shared" si="5"/>
        <v>6</v>
      </c>
      <c r="E137" s="450">
        <f t="shared" si="6"/>
        <v>5</v>
      </c>
      <c r="F137" s="450"/>
      <c r="G137" s="450" t="str">
        <f t="shared" si="13"/>
        <v>Current Practice Baseline Using 54% ENERGY STAR Penetration</v>
      </c>
      <c r="H137" s="450" t="str">
        <f t="shared" si="40"/>
        <v>CEE Tier 3</v>
      </c>
      <c r="I137" s="450" t="str">
        <f t="shared" si="7"/>
        <v>Any DHW, Any Dryer</v>
      </c>
      <c r="J137" s="450" t="str">
        <f t="shared" si="8"/>
        <v>Any DHW</v>
      </c>
      <c r="K137" s="450" t="str">
        <f t="shared" si="9"/>
        <v>Any Dryer</v>
      </c>
      <c r="L137" s="451">
        <f>VLOOKUP(J137,SFAssumptions!$A$14:$B$16,2,FALSE)</f>
        <v>0.55200000000000005</v>
      </c>
      <c r="M137" s="452">
        <f>VLOOKUP(K137,SFAssumptions!$A$18:$B$20,2,FALSE)</f>
        <v>0.95</v>
      </c>
      <c r="N137" s="453">
        <f ca="1">HLOOKUP($G137,'MHBaselines and Measures'!$C$3:$V$33,7,FALSE)</f>
        <v>3802.5240664273615</v>
      </c>
      <c r="O137" s="454"/>
      <c r="P137" s="455"/>
      <c r="Q137" s="455">
        <f ca="1">HLOOKUP($G137,'MHBaselines and Measures'!$C$3:$V$33,26,FALSE)</f>
        <v>292.2292335830785</v>
      </c>
      <c r="R137" s="455"/>
      <c r="S137" s="456"/>
      <c r="T137" s="456">
        <f ca="1">HLOOKUP($G137,'MHBaselines and Measures'!$C$3:$V$33,30,FALSE)</f>
        <v>11.170637791253329</v>
      </c>
      <c r="U137" s="456"/>
      <c r="V137" s="456"/>
      <c r="W137" s="457"/>
      <c r="X137" s="453"/>
      <c r="Y137" s="454"/>
      <c r="Z137" s="455"/>
      <c r="AA137" s="455">
        <f ca="1">HLOOKUP($H137,'MHBaselines and Measures'!$C$2:$V$33,27,FALSE)</f>
        <v>220.62055645301083</v>
      </c>
      <c r="AB137" s="455"/>
      <c r="AC137" s="456"/>
      <c r="AD137" s="456">
        <f ca="1">HLOOKUP($H137,'MHBaselines and Measures'!$C$2:$V$33,31,FALSE)</f>
        <v>8.433353142750212</v>
      </c>
      <c r="AE137" s="456"/>
      <c r="AF137" s="456"/>
      <c r="AG137" s="457"/>
      <c r="AH137" s="453"/>
      <c r="AI137" s="454"/>
      <c r="AJ137" s="455"/>
      <c r="AK137" s="455">
        <f t="shared" ca="1" si="35"/>
        <v>71.608677130067662</v>
      </c>
      <c r="AL137" s="455"/>
      <c r="AM137" s="456"/>
      <c r="AN137" s="456">
        <f t="shared" ca="1" si="36"/>
        <v>2.7372846485031168</v>
      </c>
      <c r="AO137" s="456"/>
      <c r="AP137" s="456"/>
      <c r="AQ137" s="458"/>
      <c r="AR137" s="452" t="str">
        <f t="shared" si="41"/>
        <v>CEE Tier 3 Clothes Washer - Any DHW, Any Dryer - 54% ENERGY STAR Baseline</v>
      </c>
      <c r="AS137" s="454">
        <f t="shared" si="42"/>
        <v>0</v>
      </c>
      <c r="AT137" s="455">
        <f t="shared" ca="1" si="43"/>
        <v>68.028243273564271</v>
      </c>
      <c r="AU137" s="456">
        <f t="shared" ca="1" si="44"/>
        <v>0.13686423242515597</v>
      </c>
      <c r="AV137" s="456">
        <f t="shared" si="45"/>
        <v>0</v>
      </c>
      <c r="AW137" s="456"/>
      <c r="AX137" s="455">
        <f t="shared" ca="1" si="50"/>
        <v>68.028243273564271</v>
      </c>
      <c r="AY137" s="455"/>
      <c r="AZ137" s="458"/>
      <c r="BA137" s="450" t="str">
        <f t="shared" si="49"/>
        <v>CEE Tier 3 Clothes Washer - Any DHW, Any Dryer - 54% ENERGY STAR Baseline</v>
      </c>
      <c r="BB137" s="450" t="s">
        <v>26</v>
      </c>
      <c r="BC137" s="455">
        <f t="shared" ca="1" si="46"/>
        <v>68.028243273564271</v>
      </c>
      <c r="BD137" s="455">
        <f>SFAssumptions!$C$7</f>
        <v>14</v>
      </c>
      <c r="BE137" s="459">
        <f t="shared" si="47"/>
        <v>0</v>
      </c>
      <c r="BF137" s="450"/>
      <c r="BG137" s="449" t="s">
        <v>159</v>
      </c>
      <c r="BH137" s="460"/>
      <c r="BI137" s="450"/>
      <c r="BJ137" s="450"/>
      <c r="BK137" s="450"/>
      <c r="BL137" s="450"/>
      <c r="BM137" s="450"/>
      <c r="BN137" s="450"/>
      <c r="BO137" s="461">
        <f t="shared" ca="1" si="48"/>
        <v>0.13686423242515597</v>
      </c>
      <c r="BP137" s="450" t="s">
        <v>159</v>
      </c>
    </row>
    <row r="138" spans="1:69" s="469" customFormat="1">
      <c r="A138" s="462">
        <f t="shared" ref="A138:A162" si="51">A18</f>
        <v>1</v>
      </c>
      <c r="B138" s="462">
        <f t="shared" si="3"/>
        <v>1</v>
      </c>
      <c r="C138" s="462">
        <f t="shared" si="4"/>
        <v>1</v>
      </c>
      <c r="D138" s="462">
        <f t="shared" si="5"/>
        <v>1</v>
      </c>
      <c r="E138" s="462">
        <f t="shared" si="6"/>
        <v>1</v>
      </c>
      <c r="F138" s="462"/>
      <c r="G138" s="462" t="str">
        <f t="shared" si="13"/>
        <v>Current Practice Baseline Using 31% ENERGY STAR Penetration</v>
      </c>
      <c r="H138" s="462" t="str">
        <f t="shared" si="40"/>
        <v>ENERGY STAR - Top-Load</v>
      </c>
      <c r="I138" s="462" t="str">
        <f t="shared" si="7"/>
        <v>Electric DHW, Electric Dryer</v>
      </c>
      <c r="J138" s="462" t="str">
        <f t="shared" si="8"/>
        <v>Electric DHW</v>
      </c>
      <c r="K138" s="462" t="str">
        <f t="shared" si="9"/>
        <v>Electric Dryer</v>
      </c>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2" t="str">
        <f>CONCATENATE(H138," Clothes Washer - ",I138," - 31% ENERGY STAR Baseline")</f>
        <v>ENERGY STAR - Top-Load Clothes Washer - Electric DHW, Electric Dryer - 31% ENERGY STAR Baseline</v>
      </c>
      <c r="BB138" s="464" t="s">
        <v>27</v>
      </c>
      <c r="BC138" s="465">
        <f ca="1">AH18*SFAssumptions!$C$26/1000</f>
        <v>0.29472284399684212</v>
      </c>
      <c r="BD138" s="466">
        <f t="shared" ref="BD138:BD197" si="52">BD18</f>
        <v>14</v>
      </c>
      <c r="BE138" s="462">
        <v>0</v>
      </c>
      <c r="BF138" s="462"/>
      <c r="BG138" s="464" t="s">
        <v>160</v>
      </c>
      <c r="BH138" s="467">
        <f ca="1">AH18*SFAssumptions!$C$27/1000</f>
        <v>1.1075262970731625</v>
      </c>
      <c r="BI138" s="462"/>
      <c r="BJ138" s="462"/>
      <c r="BK138" s="462"/>
      <c r="BL138" s="462"/>
      <c r="BM138" s="462"/>
      <c r="BN138" s="462"/>
      <c r="BO138" s="462"/>
      <c r="BP138" s="462"/>
      <c r="BQ138" s="468"/>
    </row>
    <row r="139" spans="1:69" s="469" customFormat="1">
      <c r="A139" s="462">
        <f t="shared" si="51"/>
        <v>2</v>
      </c>
      <c r="B139" s="462">
        <f t="shared" si="3"/>
        <v>1</v>
      </c>
      <c r="C139" s="462">
        <f t="shared" si="4"/>
        <v>2</v>
      </c>
      <c r="D139" s="462">
        <f t="shared" si="5"/>
        <v>1</v>
      </c>
      <c r="E139" s="462">
        <f t="shared" si="6"/>
        <v>2</v>
      </c>
      <c r="F139" s="462"/>
      <c r="G139" s="462" t="str">
        <f t="shared" si="13"/>
        <v>Current Practice Baseline Using 31% ENERGY STAR Penetration</v>
      </c>
      <c r="H139" s="462" t="str">
        <f t="shared" si="40"/>
        <v>ENERGY STAR - Top-Load</v>
      </c>
      <c r="I139" s="462" t="str">
        <f t="shared" si="7"/>
        <v>Electric DHW, Gas Dryer</v>
      </c>
      <c r="J139" s="462" t="str">
        <f t="shared" si="8"/>
        <v>Electric DHW</v>
      </c>
      <c r="K139" s="462" t="str">
        <f t="shared" si="9"/>
        <v>Gas Dryer</v>
      </c>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2" t="str">
        <f t="shared" ref="BA139:BA167" si="53">CONCATENATE(H139," Clothes Washer - ",I139," - 31% ENERGY STAR Baseline")</f>
        <v>ENERGY STAR - Top-Load Clothes Washer - Electric DHW, Gas Dryer - 31% ENERGY STAR Baseline</v>
      </c>
      <c r="BB139" s="464" t="s">
        <v>27</v>
      </c>
      <c r="BC139" s="465">
        <f ca="1">AH19*SFAssumptions!$C$26/1000</f>
        <v>0.29472284399684212</v>
      </c>
      <c r="BD139" s="466">
        <f t="shared" si="52"/>
        <v>14</v>
      </c>
      <c r="BE139" s="462">
        <v>0</v>
      </c>
      <c r="BF139" s="462"/>
      <c r="BG139" s="464" t="s">
        <v>160</v>
      </c>
      <c r="BH139" s="467">
        <f ca="1">AH19*SFAssumptions!$C$27/1000</f>
        <v>1.1075262970731625</v>
      </c>
      <c r="BI139" s="462"/>
      <c r="BJ139" s="462"/>
      <c r="BK139" s="462"/>
      <c r="BL139" s="462"/>
      <c r="BM139" s="462"/>
      <c r="BN139" s="462"/>
      <c r="BO139" s="462"/>
      <c r="BP139" s="462"/>
      <c r="BQ139" s="468"/>
    </row>
    <row r="140" spans="1:69" s="469" customFormat="1">
      <c r="A140" s="462">
        <f t="shared" si="51"/>
        <v>3</v>
      </c>
      <c r="B140" s="462">
        <f t="shared" si="3"/>
        <v>1</v>
      </c>
      <c r="C140" s="462">
        <f t="shared" si="4"/>
        <v>3</v>
      </c>
      <c r="D140" s="462">
        <f t="shared" si="5"/>
        <v>1</v>
      </c>
      <c r="E140" s="462">
        <f t="shared" si="6"/>
        <v>3</v>
      </c>
      <c r="F140" s="462"/>
      <c r="G140" s="462" t="str">
        <f t="shared" si="13"/>
        <v>Current Practice Baseline Using 31% ENERGY STAR Penetration</v>
      </c>
      <c r="H140" s="462" t="str">
        <f t="shared" si="40"/>
        <v>ENERGY STAR - Top-Load</v>
      </c>
      <c r="I140" s="462" t="str">
        <f t="shared" si="7"/>
        <v>Gas DHW, Electric Dryer</v>
      </c>
      <c r="J140" s="462" t="str">
        <f t="shared" si="8"/>
        <v>Gas DHW</v>
      </c>
      <c r="K140" s="462" t="str">
        <f t="shared" si="9"/>
        <v>Electric Dryer</v>
      </c>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2" t="str">
        <f t="shared" si="53"/>
        <v>ENERGY STAR - Top-Load Clothes Washer - Gas DHW, Electric Dryer - 31% ENERGY STAR Baseline</v>
      </c>
      <c r="BB140" s="464" t="s">
        <v>27</v>
      </c>
      <c r="BC140" s="465">
        <f ca="1">AH20*SFAssumptions!$C$26/1000</f>
        <v>0.29472284399684212</v>
      </c>
      <c r="BD140" s="466">
        <f t="shared" si="52"/>
        <v>14</v>
      </c>
      <c r="BE140" s="462">
        <v>0</v>
      </c>
      <c r="BF140" s="462"/>
      <c r="BG140" s="464" t="s">
        <v>160</v>
      </c>
      <c r="BH140" s="467">
        <f ca="1">AH20*SFAssumptions!$C$27/1000</f>
        <v>1.1075262970731625</v>
      </c>
      <c r="BI140" s="462"/>
      <c r="BJ140" s="462"/>
      <c r="BK140" s="462"/>
      <c r="BL140" s="462"/>
      <c r="BM140" s="462"/>
      <c r="BN140" s="462"/>
      <c r="BO140" s="462"/>
      <c r="BP140" s="462"/>
      <c r="BQ140" s="468"/>
    </row>
    <row r="141" spans="1:69" s="469" customFormat="1">
      <c r="A141" s="462">
        <f t="shared" si="51"/>
        <v>4</v>
      </c>
      <c r="B141" s="462">
        <f t="shared" si="3"/>
        <v>1</v>
      </c>
      <c r="C141" s="462">
        <f t="shared" si="4"/>
        <v>4</v>
      </c>
      <c r="D141" s="462">
        <f t="shared" si="5"/>
        <v>1</v>
      </c>
      <c r="E141" s="462">
        <f t="shared" si="6"/>
        <v>4</v>
      </c>
      <c r="F141" s="462"/>
      <c r="G141" s="462" t="str">
        <f t="shared" si="13"/>
        <v>Current Practice Baseline Using 31% ENERGY STAR Penetration</v>
      </c>
      <c r="H141" s="462" t="str">
        <f t="shared" si="40"/>
        <v>ENERGY STAR - Top-Load</v>
      </c>
      <c r="I141" s="462" t="str">
        <f t="shared" si="7"/>
        <v>Gas DHW, Gas Dryer</v>
      </c>
      <c r="J141" s="462" t="str">
        <f t="shared" si="8"/>
        <v>Gas DHW</v>
      </c>
      <c r="K141" s="462" t="str">
        <f t="shared" si="9"/>
        <v>Gas Dryer</v>
      </c>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2" t="str">
        <f t="shared" si="53"/>
        <v>ENERGY STAR - Top-Load Clothes Washer - Gas DHW, Gas Dryer - 31% ENERGY STAR Baseline</v>
      </c>
      <c r="BB141" s="464" t="s">
        <v>27</v>
      </c>
      <c r="BC141" s="465">
        <f ca="1">AH21*SFAssumptions!$C$26/1000</f>
        <v>0.29472284399684212</v>
      </c>
      <c r="BD141" s="466">
        <f t="shared" si="52"/>
        <v>14</v>
      </c>
      <c r="BE141" s="462">
        <v>0</v>
      </c>
      <c r="BF141" s="462"/>
      <c r="BG141" s="464" t="s">
        <v>160</v>
      </c>
      <c r="BH141" s="467">
        <f ca="1">AH21*SFAssumptions!$C$27/1000</f>
        <v>1.1075262970731625</v>
      </c>
      <c r="BI141" s="462"/>
      <c r="BJ141" s="462"/>
      <c r="BK141" s="462"/>
      <c r="BL141" s="462"/>
      <c r="BM141" s="462"/>
      <c r="BN141" s="462"/>
      <c r="BO141" s="462"/>
      <c r="BP141" s="462"/>
      <c r="BQ141" s="470"/>
    </row>
    <row r="142" spans="1:69" s="469" customFormat="1">
      <c r="A142" s="462">
        <f t="shared" si="51"/>
        <v>5</v>
      </c>
      <c r="B142" s="462">
        <f t="shared" si="3"/>
        <v>1</v>
      </c>
      <c r="C142" s="462">
        <f t="shared" si="4"/>
        <v>5</v>
      </c>
      <c r="D142" s="462">
        <f t="shared" si="5"/>
        <v>1</v>
      </c>
      <c r="E142" s="462">
        <f t="shared" si="6"/>
        <v>5</v>
      </c>
      <c r="F142" s="462"/>
      <c r="G142" s="462" t="str">
        <f t="shared" si="13"/>
        <v>Current Practice Baseline Using 31% ENERGY STAR Penetration</v>
      </c>
      <c r="H142" s="462" t="str">
        <f t="shared" si="40"/>
        <v>ENERGY STAR - Top-Load</v>
      </c>
      <c r="I142" s="462" t="str">
        <f t="shared" si="7"/>
        <v>Any DHW, Any Dryer</v>
      </c>
      <c r="J142" s="462" t="str">
        <f t="shared" si="8"/>
        <v>Any DHW</v>
      </c>
      <c r="K142" s="462" t="str">
        <f t="shared" si="9"/>
        <v>Any Dryer</v>
      </c>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2" t="str">
        <f t="shared" si="53"/>
        <v>ENERGY STAR - Top-Load Clothes Washer - Any DHW, Any Dryer - 31% ENERGY STAR Baseline</v>
      </c>
      <c r="BB142" s="464" t="s">
        <v>27</v>
      </c>
      <c r="BC142" s="465">
        <f ca="1">AH22*SFAssumptions!$C$26/1000</f>
        <v>0.29472284399684212</v>
      </c>
      <c r="BD142" s="466">
        <f t="shared" si="52"/>
        <v>14</v>
      </c>
      <c r="BE142" s="462">
        <v>0</v>
      </c>
      <c r="BF142" s="462"/>
      <c r="BG142" s="464" t="s">
        <v>160</v>
      </c>
      <c r="BH142" s="467">
        <f ca="1">AH22*SFAssumptions!$C$27/1000</f>
        <v>1.1075262970731625</v>
      </c>
      <c r="BI142" s="462"/>
      <c r="BJ142" s="462"/>
      <c r="BK142" s="462"/>
      <c r="BL142" s="462"/>
      <c r="BM142" s="462"/>
      <c r="BN142" s="462"/>
      <c r="BO142" s="462"/>
      <c r="BP142" s="462"/>
    </row>
    <row r="143" spans="1:69" s="469" customFormat="1">
      <c r="A143" s="462">
        <f t="shared" si="51"/>
        <v>6</v>
      </c>
      <c r="B143" s="462">
        <f t="shared" si="3"/>
        <v>1</v>
      </c>
      <c r="C143" s="462">
        <f t="shared" si="4"/>
        <v>6</v>
      </c>
      <c r="D143" s="462">
        <f t="shared" si="5"/>
        <v>2</v>
      </c>
      <c r="E143" s="462">
        <f t="shared" si="6"/>
        <v>1</v>
      </c>
      <c r="F143" s="462"/>
      <c r="G143" s="462" t="str">
        <f t="shared" si="13"/>
        <v>Current Practice Baseline Using 31% ENERGY STAR Penetration</v>
      </c>
      <c r="H143" s="462" t="str">
        <f t="shared" si="40"/>
        <v>ENERGY STAR - Front-Load</v>
      </c>
      <c r="I143" s="462" t="str">
        <f t="shared" si="7"/>
        <v>Electric DHW, Electric Dryer</v>
      </c>
      <c r="J143" s="462" t="str">
        <f t="shared" si="8"/>
        <v>Electric DHW</v>
      </c>
      <c r="K143" s="462" t="str">
        <f t="shared" si="9"/>
        <v>Electric Dryer</v>
      </c>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2" t="str">
        <f t="shared" si="53"/>
        <v>ENERGY STAR - Front-Load Clothes Washer - Electric DHW, Electric Dryer - 31% ENERGY STAR Baseline</v>
      </c>
      <c r="BB143" s="464" t="s">
        <v>27</v>
      </c>
      <c r="BC143" s="465">
        <f ca="1">AH23*SFAssumptions!$C$26/1000</f>
        <v>3.6144341128034556</v>
      </c>
      <c r="BD143" s="466">
        <f t="shared" si="52"/>
        <v>14</v>
      </c>
      <c r="BE143" s="462">
        <v>0</v>
      </c>
      <c r="BF143" s="462"/>
      <c r="BG143" s="464" t="s">
        <v>160</v>
      </c>
      <c r="BH143" s="467">
        <f ca="1">AH23*SFAssumptions!$C$27/1000</f>
        <v>13.58252646683548</v>
      </c>
      <c r="BI143" s="462"/>
      <c r="BJ143" s="462"/>
      <c r="BK143" s="462"/>
      <c r="BL143" s="462"/>
      <c r="BM143" s="462"/>
      <c r="BN143" s="462"/>
      <c r="BO143" s="462"/>
      <c r="BP143" s="462"/>
    </row>
    <row r="144" spans="1:69" s="469" customFormat="1">
      <c r="A144" s="462">
        <f t="shared" si="51"/>
        <v>7</v>
      </c>
      <c r="B144" s="462">
        <f t="shared" si="3"/>
        <v>1</v>
      </c>
      <c r="C144" s="462">
        <f t="shared" si="4"/>
        <v>7</v>
      </c>
      <c r="D144" s="462">
        <f t="shared" si="5"/>
        <v>2</v>
      </c>
      <c r="E144" s="462">
        <f t="shared" si="6"/>
        <v>2</v>
      </c>
      <c r="F144" s="462"/>
      <c r="G144" s="462" t="str">
        <f t="shared" si="13"/>
        <v>Current Practice Baseline Using 31% ENERGY STAR Penetration</v>
      </c>
      <c r="H144" s="462" t="str">
        <f t="shared" si="40"/>
        <v>ENERGY STAR - Front-Load</v>
      </c>
      <c r="I144" s="462" t="str">
        <f t="shared" si="7"/>
        <v>Electric DHW, Gas Dryer</v>
      </c>
      <c r="J144" s="462" t="str">
        <f t="shared" si="8"/>
        <v>Electric DHW</v>
      </c>
      <c r="K144" s="462" t="str">
        <f t="shared" si="9"/>
        <v>Gas Dryer</v>
      </c>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2" t="str">
        <f t="shared" si="53"/>
        <v>ENERGY STAR - Front-Load Clothes Washer - Electric DHW, Gas Dryer - 31% ENERGY STAR Baseline</v>
      </c>
      <c r="BB144" s="464" t="s">
        <v>27</v>
      </c>
      <c r="BC144" s="465">
        <f ca="1">AH24*SFAssumptions!$C$26/1000</f>
        <v>3.6144341128034556</v>
      </c>
      <c r="BD144" s="466">
        <f t="shared" si="52"/>
        <v>14</v>
      </c>
      <c r="BE144" s="462">
        <v>0</v>
      </c>
      <c r="BF144" s="462"/>
      <c r="BG144" s="464" t="s">
        <v>160</v>
      </c>
      <c r="BH144" s="467">
        <f ca="1">AH24*SFAssumptions!$C$27/1000</f>
        <v>13.58252646683548</v>
      </c>
      <c r="BI144" s="462"/>
      <c r="BJ144" s="462"/>
      <c r="BK144" s="462"/>
      <c r="BL144" s="462"/>
      <c r="BM144" s="462"/>
      <c r="BN144" s="462"/>
      <c r="BO144" s="462"/>
      <c r="BP144" s="462"/>
    </row>
    <row r="145" spans="1:69" s="469" customFormat="1">
      <c r="A145" s="462">
        <f t="shared" si="51"/>
        <v>8</v>
      </c>
      <c r="B145" s="462">
        <f t="shared" si="3"/>
        <v>1</v>
      </c>
      <c r="C145" s="462">
        <f t="shared" si="4"/>
        <v>8</v>
      </c>
      <c r="D145" s="462">
        <f t="shared" si="5"/>
        <v>2</v>
      </c>
      <c r="E145" s="462">
        <f t="shared" si="6"/>
        <v>3</v>
      </c>
      <c r="F145" s="462"/>
      <c r="G145" s="462" t="str">
        <f t="shared" si="13"/>
        <v>Current Practice Baseline Using 31% ENERGY STAR Penetration</v>
      </c>
      <c r="H145" s="462" t="str">
        <f t="shared" si="40"/>
        <v>ENERGY STAR - Front-Load</v>
      </c>
      <c r="I145" s="462" t="str">
        <f t="shared" si="7"/>
        <v>Gas DHW, Electric Dryer</v>
      </c>
      <c r="J145" s="462" t="str">
        <f t="shared" si="8"/>
        <v>Gas DHW</v>
      </c>
      <c r="K145" s="462" t="str">
        <f t="shared" si="9"/>
        <v>Electric Dryer</v>
      </c>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2" t="str">
        <f t="shared" si="53"/>
        <v>ENERGY STAR - Front-Load Clothes Washer - Gas DHW, Electric Dryer - 31% ENERGY STAR Baseline</v>
      </c>
      <c r="BB145" s="464" t="s">
        <v>27</v>
      </c>
      <c r="BC145" s="465">
        <f ca="1">AH25*SFAssumptions!$C$26/1000</f>
        <v>3.6144341128034556</v>
      </c>
      <c r="BD145" s="466">
        <f t="shared" si="52"/>
        <v>14</v>
      </c>
      <c r="BE145" s="462">
        <v>0</v>
      </c>
      <c r="BF145" s="462"/>
      <c r="BG145" s="464" t="s">
        <v>160</v>
      </c>
      <c r="BH145" s="467">
        <f ca="1">AH25*SFAssumptions!$C$27/1000</f>
        <v>13.58252646683548</v>
      </c>
      <c r="BI145" s="462"/>
      <c r="BJ145" s="462"/>
      <c r="BK145" s="462"/>
      <c r="BL145" s="462"/>
      <c r="BM145" s="462"/>
      <c r="BN145" s="462"/>
      <c r="BO145" s="462"/>
      <c r="BP145" s="462"/>
      <c r="BQ145" s="470"/>
    </row>
    <row r="146" spans="1:69" s="469" customFormat="1">
      <c r="A146" s="462">
        <f t="shared" si="51"/>
        <v>9</v>
      </c>
      <c r="B146" s="462">
        <f t="shared" si="3"/>
        <v>1</v>
      </c>
      <c r="C146" s="462">
        <f t="shared" si="4"/>
        <v>9</v>
      </c>
      <c r="D146" s="462">
        <f t="shared" si="5"/>
        <v>2</v>
      </c>
      <c r="E146" s="462">
        <f t="shared" si="6"/>
        <v>4</v>
      </c>
      <c r="F146" s="462"/>
      <c r="G146" s="462" t="str">
        <f t="shared" si="13"/>
        <v>Current Practice Baseline Using 31% ENERGY STAR Penetration</v>
      </c>
      <c r="H146" s="462" t="str">
        <f t="shared" si="40"/>
        <v>ENERGY STAR - Front-Load</v>
      </c>
      <c r="I146" s="462" t="str">
        <f t="shared" si="7"/>
        <v>Gas DHW, Gas Dryer</v>
      </c>
      <c r="J146" s="462" t="str">
        <f t="shared" si="8"/>
        <v>Gas DHW</v>
      </c>
      <c r="K146" s="462" t="str">
        <f t="shared" si="9"/>
        <v>Gas Dryer</v>
      </c>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2" t="str">
        <f t="shared" si="53"/>
        <v>ENERGY STAR - Front-Load Clothes Washer - Gas DHW, Gas Dryer - 31% ENERGY STAR Baseline</v>
      </c>
      <c r="BB146" s="464" t="s">
        <v>27</v>
      </c>
      <c r="BC146" s="465">
        <f ca="1">AH26*SFAssumptions!$C$26/1000</f>
        <v>3.6144341128034556</v>
      </c>
      <c r="BD146" s="466">
        <f t="shared" si="52"/>
        <v>14</v>
      </c>
      <c r="BE146" s="462">
        <v>0</v>
      </c>
      <c r="BF146" s="462"/>
      <c r="BG146" s="464" t="s">
        <v>160</v>
      </c>
      <c r="BH146" s="467">
        <f ca="1">AH26*SFAssumptions!$C$27/1000</f>
        <v>13.58252646683548</v>
      </c>
      <c r="BI146" s="462"/>
      <c r="BJ146" s="462"/>
      <c r="BK146" s="462"/>
      <c r="BL146" s="462"/>
      <c r="BM146" s="462"/>
      <c r="BN146" s="462"/>
      <c r="BO146" s="462"/>
      <c r="BP146" s="462"/>
    </row>
    <row r="147" spans="1:69" s="469" customFormat="1">
      <c r="A147" s="462">
        <f t="shared" si="51"/>
        <v>10</v>
      </c>
      <c r="B147" s="462">
        <f t="shared" si="3"/>
        <v>1</v>
      </c>
      <c r="C147" s="462">
        <f t="shared" si="4"/>
        <v>10</v>
      </c>
      <c r="D147" s="462">
        <f t="shared" si="5"/>
        <v>2</v>
      </c>
      <c r="E147" s="462">
        <f t="shared" si="6"/>
        <v>5</v>
      </c>
      <c r="F147" s="462"/>
      <c r="G147" s="462" t="str">
        <f t="shared" si="13"/>
        <v>Current Practice Baseline Using 31% ENERGY STAR Penetration</v>
      </c>
      <c r="H147" s="462" t="str">
        <f t="shared" ref="H147:H197" si="54">VLOOKUP(D147,$J$2:$O$12,6,FALSE)</f>
        <v>ENERGY STAR - Front-Load</v>
      </c>
      <c r="I147" s="462" t="str">
        <f t="shared" si="7"/>
        <v>Any DHW, Any Dryer</v>
      </c>
      <c r="J147" s="462" t="str">
        <f t="shared" si="8"/>
        <v>Any DHW</v>
      </c>
      <c r="K147" s="462" t="str">
        <f t="shared" si="9"/>
        <v>Any Dryer</v>
      </c>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2" t="str">
        <f t="shared" si="53"/>
        <v>ENERGY STAR - Front-Load Clothes Washer - Any DHW, Any Dryer - 31% ENERGY STAR Baseline</v>
      </c>
      <c r="BB147" s="464" t="s">
        <v>27</v>
      </c>
      <c r="BC147" s="465">
        <f ca="1">AH27*SFAssumptions!$C$26/1000</f>
        <v>3.6144341128034556</v>
      </c>
      <c r="BD147" s="466">
        <f t="shared" si="52"/>
        <v>14</v>
      </c>
      <c r="BE147" s="462">
        <v>0</v>
      </c>
      <c r="BF147" s="462"/>
      <c r="BG147" s="464" t="s">
        <v>160</v>
      </c>
      <c r="BH147" s="467">
        <f ca="1">AH27*SFAssumptions!$C$27/1000</f>
        <v>13.58252646683548</v>
      </c>
      <c r="BI147" s="462"/>
      <c r="BJ147" s="462"/>
      <c r="BK147" s="462"/>
      <c r="BL147" s="462"/>
      <c r="BM147" s="462"/>
      <c r="BN147" s="462"/>
      <c r="BO147" s="462"/>
      <c r="BP147" s="462"/>
    </row>
    <row r="148" spans="1:69" s="469" customFormat="1">
      <c r="A148" s="462">
        <f t="shared" si="51"/>
        <v>11</v>
      </c>
      <c r="B148" s="462">
        <f t="shared" si="3"/>
        <v>1</v>
      </c>
      <c r="C148" s="462">
        <f t="shared" si="4"/>
        <v>11</v>
      </c>
      <c r="D148" s="462">
        <f t="shared" si="5"/>
        <v>3</v>
      </c>
      <c r="E148" s="462">
        <f t="shared" si="6"/>
        <v>1</v>
      </c>
      <c r="F148" s="462"/>
      <c r="G148" s="462" t="str">
        <f t="shared" si="13"/>
        <v>Current Practice Baseline Using 31% ENERGY STAR Penetration</v>
      </c>
      <c r="H148" s="462" t="str">
        <f t="shared" si="54"/>
        <v>Any ENERGY STAR (Top- or Front-Load)</v>
      </c>
      <c r="I148" s="462" t="str">
        <f t="shared" si="7"/>
        <v>Electric DHW, Electric Dryer</v>
      </c>
      <c r="J148" s="462" t="str">
        <f t="shared" si="8"/>
        <v>Electric DHW</v>
      </c>
      <c r="K148" s="462" t="str">
        <f t="shared" si="9"/>
        <v>Electric Dryer</v>
      </c>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2" t="str">
        <f t="shared" si="53"/>
        <v>Any ENERGY STAR (Top- or Front-Load) Clothes Washer - Electric DHW, Electric Dryer - 31% ENERGY STAR Baseline</v>
      </c>
      <c r="BB148" s="464" t="s">
        <v>27</v>
      </c>
      <c r="BC148" s="465">
        <f ca="1">AH28*SFAssumptions!$C$26/1000</f>
        <v>2.6771038721992375</v>
      </c>
      <c r="BD148" s="466">
        <f t="shared" si="52"/>
        <v>14</v>
      </c>
      <c r="BE148" s="462">
        <v>0</v>
      </c>
      <c r="BF148" s="462"/>
      <c r="BG148" s="464" t="s">
        <v>160</v>
      </c>
      <c r="BH148" s="467">
        <f ca="1">AH28*SFAssumptions!$C$27/1000</f>
        <v>10.060173477726128</v>
      </c>
      <c r="BI148" s="462"/>
      <c r="BJ148" s="462"/>
      <c r="BK148" s="462"/>
      <c r="BL148" s="462"/>
      <c r="BM148" s="462"/>
      <c r="BN148" s="462"/>
      <c r="BO148" s="462"/>
      <c r="BP148" s="462"/>
    </row>
    <row r="149" spans="1:69" s="469" customFormat="1">
      <c r="A149" s="462">
        <f t="shared" si="51"/>
        <v>12</v>
      </c>
      <c r="B149" s="462">
        <f t="shared" si="3"/>
        <v>1</v>
      </c>
      <c r="C149" s="462">
        <f t="shared" si="4"/>
        <v>12</v>
      </c>
      <c r="D149" s="462">
        <f t="shared" si="5"/>
        <v>3</v>
      </c>
      <c r="E149" s="462">
        <f t="shared" si="6"/>
        <v>2</v>
      </c>
      <c r="F149" s="462"/>
      <c r="G149" s="462" t="str">
        <f t="shared" si="13"/>
        <v>Current Practice Baseline Using 31% ENERGY STAR Penetration</v>
      </c>
      <c r="H149" s="462" t="str">
        <f t="shared" si="54"/>
        <v>Any ENERGY STAR (Top- or Front-Load)</v>
      </c>
      <c r="I149" s="462" t="str">
        <f t="shared" si="7"/>
        <v>Electric DHW, Gas Dryer</v>
      </c>
      <c r="J149" s="462" t="str">
        <f t="shared" si="8"/>
        <v>Electric DHW</v>
      </c>
      <c r="K149" s="462" t="str">
        <f t="shared" si="9"/>
        <v>Gas Dryer</v>
      </c>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2" t="str">
        <f t="shared" si="53"/>
        <v>Any ENERGY STAR (Top- or Front-Load) Clothes Washer - Electric DHW, Gas Dryer - 31% ENERGY STAR Baseline</v>
      </c>
      <c r="BB149" s="464" t="s">
        <v>27</v>
      </c>
      <c r="BC149" s="465">
        <f ca="1">AH29*SFAssumptions!$C$26/1000</f>
        <v>2.6771038721992375</v>
      </c>
      <c r="BD149" s="466">
        <f t="shared" si="52"/>
        <v>14</v>
      </c>
      <c r="BE149" s="462">
        <v>0</v>
      </c>
      <c r="BF149" s="462"/>
      <c r="BG149" s="464" t="s">
        <v>160</v>
      </c>
      <c r="BH149" s="467">
        <f ca="1">AH29*SFAssumptions!$C$27/1000</f>
        <v>10.060173477726128</v>
      </c>
      <c r="BI149" s="462"/>
      <c r="BJ149" s="462"/>
      <c r="BK149" s="462"/>
      <c r="BL149" s="462"/>
      <c r="BM149" s="462"/>
      <c r="BN149" s="462"/>
      <c r="BO149" s="462"/>
      <c r="BP149" s="462"/>
    </row>
    <row r="150" spans="1:69" s="469" customFormat="1">
      <c r="A150" s="462">
        <f t="shared" si="51"/>
        <v>13</v>
      </c>
      <c r="B150" s="462">
        <f t="shared" si="3"/>
        <v>1</v>
      </c>
      <c r="C150" s="462">
        <f t="shared" si="4"/>
        <v>13</v>
      </c>
      <c r="D150" s="462">
        <f t="shared" si="5"/>
        <v>3</v>
      </c>
      <c r="E150" s="462">
        <f t="shared" si="6"/>
        <v>3</v>
      </c>
      <c r="F150" s="462"/>
      <c r="G150" s="462" t="str">
        <f t="shared" si="13"/>
        <v>Current Practice Baseline Using 31% ENERGY STAR Penetration</v>
      </c>
      <c r="H150" s="462" t="str">
        <f t="shared" si="54"/>
        <v>Any ENERGY STAR (Top- or Front-Load)</v>
      </c>
      <c r="I150" s="462" t="str">
        <f t="shared" si="7"/>
        <v>Gas DHW, Electric Dryer</v>
      </c>
      <c r="J150" s="462" t="str">
        <f t="shared" si="8"/>
        <v>Gas DHW</v>
      </c>
      <c r="K150" s="462" t="str">
        <f t="shared" si="9"/>
        <v>Electric Dryer</v>
      </c>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2" t="str">
        <f t="shared" si="53"/>
        <v>Any ENERGY STAR (Top- or Front-Load) Clothes Washer - Gas DHW, Electric Dryer - 31% ENERGY STAR Baseline</v>
      </c>
      <c r="BB150" s="464" t="s">
        <v>27</v>
      </c>
      <c r="BC150" s="465">
        <f ca="1">AH30*SFAssumptions!$C$26/1000</f>
        <v>2.6771038721992375</v>
      </c>
      <c r="BD150" s="466">
        <f t="shared" si="52"/>
        <v>14</v>
      </c>
      <c r="BE150" s="462">
        <v>0</v>
      </c>
      <c r="BF150" s="462"/>
      <c r="BG150" s="464" t="s">
        <v>160</v>
      </c>
      <c r="BH150" s="467">
        <f ca="1">AH30*SFAssumptions!$C$27/1000</f>
        <v>10.060173477726128</v>
      </c>
      <c r="BI150" s="462"/>
      <c r="BJ150" s="462"/>
      <c r="BK150" s="462"/>
      <c r="BL150" s="462"/>
      <c r="BM150" s="462"/>
      <c r="BN150" s="462"/>
      <c r="BO150" s="462"/>
      <c r="BP150" s="462"/>
    </row>
    <row r="151" spans="1:69" s="469" customFormat="1">
      <c r="A151" s="462">
        <f t="shared" si="51"/>
        <v>14</v>
      </c>
      <c r="B151" s="462">
        <f t="shared" si="3"/>
        <v>1</v>
      </c>
      <c r="C151" s="462">
        <f t="shared" si="4"/>
        <v>14</v>
      </c>
      <c r="D151" s="462">
        <f t="shared" si="5"/>
        <v>3</v>
      </c>
      <c r="E151" s="462">
        <f t="shared" si="6"/>
        <v>4</v>
      </c>
      <c r="F151" s="462"/>
      <c r="G151" s="462" t="str">
        <f t="shared" si="13"/>
        <v>Current Practice Baseline Using 31% ENERGY STAR Penetration</v>
      </c>
      <c r="H151" s="462" t="str">
        <f t="shared" si="54"/>
        <v>Any ENERGY STAR (Top- or Front-Load)</v>
      </c>
      <c r="I151" s="462" t="str">
        <f t="shared" si="7"/>
        <v>Gas DHW, Gas Dryer</v>
      </c>
      <c r="J151" s="462" t="str">
        <f t="shared" si="8"/>
        <v>Gas DHW</v>
      </c>
      <c r="K151" s="462" t="str">
        <f t="shared" si="9"/>
        <v>Gas Dryer</v>
      </c>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2" t="str">
        <f t="shared" si="53"/>
        <v>Any ENERGY STAR (Top- or Front-Load) Clothes Washer - Gas DHW, Gas Dryer - 31% ENERGY STAR Baseline</v>
      </c>
      <c r="BB151" s="464" t="s">
        <v>27</v>
      </c>
      <c r="BC151" s="465">
        <f ca="1">AH31*SFAssumptions!$C$26/1000</f>
        <v>2.6771038721992375</v>
      </c>
      <c r="BD151" s="466">
        <f t="shared" si="52"/>
        <v>14</v>
      </c>
      <c r="BE151" s="462">
        <v>0</v>
      </c>
      <c r="BF151" s="462"/>
      <c r="BG151" s="464" t="s">
        <v>160</v>
      </c>
      <c r="BH151" s="467">
        <f ca="1">AH31*SFAssumptions!$C$27/1000</f>
        <v>10.060173477726128</v>
      </c>
      <c r="BI151" s="462"/>
      <c r="BJ151" s="462"/>
      <c r="BK151" s="462"/>
      <c r="BL151" s="462"/>
      <c r="BM151" s="462"/>
      <c r="BN151" s="462"/>
      <c r="BO151" s="462"/>
      <c r="BP151" s="462"/>
    </row>
    <row r="152" spans="1:69" s="469" customFormat="1">
      <c r="A152" s="462">
        <f t="shared" si="51"/>
        <v>15</v>
      </c>
      <c r="B152" s="462">
        <f t="shared" si="3"/>
        <v>1</v>
      </c>
      <c r="C152" s="462">
        <f t="shared" si="4"/>
        <v>15</v>
      </c>
      <c r="D152" s="462">
        <f t="shared" si="5"/>
        <v>3</v>
      </c>
      <c r="E152" s="462">
        <f t="shared" si="6"/>
        <v>5</v>
      </c>
      <c r="F152" s="462"/>
      <c r="G152" s="462" t="str">
        <f t="shared" si="13"/>
        <v>Current Practice Baseline Using 31% ENERGY STAR Penetration</v>
      </c>
      <c r="H152" s="462" t="str">
        <f t="shared" si="54"/>
        <v>Any ENERGY STAR (Top- or Front-Load)</v>
      </c>
      <c r="I152" s="462" t="str">
        <f t="shared" si="7"/>
        <v>Any DHW, Any Dryer</v>
      </c>
      <c r="J152" s="462" t="str">
        <f t="shared" si="8"/>
        <v>Any DHW</v>
      </c>
      <c r="K152" s="462" t="str">
        <f t="shared" si="9"/>
        <v>Any Dryer</v>
      </c>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2" t="str">
        <f t="shared" si="53"/>
        <v>Any ENERGY STAR (Top- or Front-Load) Clothes Washer - Any DHW, Any Dryer - 31% ENERGY STAR Baseline</v>
      </c>
      <c r="BB152" s="464" t="s">
        <v>27</v>
      </c>
      <c r="BC152" s="465">
        <f ca="1">AH32*SFAssumptions!$C$26/1000</f>
        <v>2.6771038721992375</v>
      </c>
      <c r="BD152" s="466">
        <f t="shared" si="52"/>
        <v>14</v>
      </c>
      <c r="BE152" s="462">
        <v>0</v>
      </c>
      <c r="BF152" s="462"/>
      <c r="BG152" s="464" t="s">
        <v>160</v>
      </c>
      <c r="BH152" s="467">
        <f ca="1">AH32*SFAssumptions!$C$27/1000</f>
        <v>10.060173477726128</v>
      </c>
      <c r="BI152" s="462"/>
      <c r="BJ152" s="462"/>
      <c r="BK152" s="462"/>
      <c r="BL152" s="462"/>
      <c r="BM152" s="462"/>
      <c r="BN152" s="462"/>
      <c r="BO152" s="462"/>
      <c r="BP152" s="462"/>
    </row>
    <row r="153" spans="1:69" s="746" customFormat="1">
      <c r="A153" s="462">
        <f t="shared" si="51"/>
        <v>16</v>
      </c>
      <c r="B153" s="462">
        <f t="shared" si="3"/>
        <v>1</v>
      </c>
      <c r="C153" s="462">
        <f t="shared" si="4"/>
        <v>16</v>
      </c>
      <c r="D153" s="462">
        <f t="shared" si="5"/>
        <v>4</v>
      </c>
      <c r="E153" s="462">
        <f t="shared" si="6"/>
        <v>1</v>
      </c>
      <c r="F153" s="462"/>
      <c r="G153" s="462" t="str">
        <f t="shared" ref="G153:G197" si="55">VLOOKUP(B153,$G$2:$H$13,2,FALSE)</f>
        <v>Current Practice Baseline Using 31% ENERGY STAR Penetration</v>
      </c>
      <c r="H153" s="462" t="str">
        <f t="shared" si="54"/>
        <v>CEE Tier 1</v>
      </c>
      <c r="I153" s="462" t="str">
        <f t="shared" si="7"/>
        <v>Electric DHW, Electric Dryer</v>
      </c>
      <c r="J153" s="462" t="str">
        <f t="shared" si="8"/>
        <v>Electric DHW</v>
      </c>
      <c r="K153" s="462" t="str">
        <f t="shared" si="9"/>
        <v>Electric Dryer</v>
      </c>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T153" s="463"/>
      <c r="AU153" s="463"/>
      <c r="AV153" s="463"/>
      <c r="AW153" s="463"/>
      <c r="AX153" s="463"/>
      <c r="AY153" s="463"/>
      <c r="AZ153" s="463"/>
      <c r="BA153" s="462" t="str">
        <f t="shared" si="53"/>
        <v>CEE Tier 1 Clothes Washer - Electric DHW, Electric Dryer - 31% ENERGY STAR Baseline</v>
      </c>
      <c r="BB153" s="464" t="s">
        <v>27</v>
      </c>
      <c r="BC153" s="465">
        <f ca="1">AH33*SFAssumptions!$C$26/1000</f>
        <v>3.17293366135821</v>
      </c>
      <c r="BD153" s="466">
        <f t="shared" si="52"/>
        <v>14</v>
      </c>
      <c r="BE153" s="462">
        <v>0</v>
      </c>
      <c r="BF153" s="462"/>
      <c r="BG153" s="464" t="s">
        <v>160</v>
      </c>
      <c r="BH153" s="467">
        <f ca="1">AH33*SFAssumptions!$C$27/1000</f>
        <v>11.923430912808721</v>
      </c>
      <c r="BI153" s="462"/>
      <c r="BJ153" s="462"/>
      <c r="BK153" s="462"/>
      <c r="BL153" s="462"/>
      <c r="BM153" s="462"/>
      <c r="BN153" s="462"/>
      <c r="BO153" s="462"/>
      <c r="BP153" s="462"/>
    </row>
    <row r="154" spans="1:69" s="746" customFormat="1">
      <c r="A154" s="462">
        <f t="shared" si="51"/>
        <v>17</v>
      </c>
      <c r="B154" s="462">
        <f t="shared" ref="B154:B197" si="56">CEILING(A154/($B$2*$B$3),1)</f>
        <v>1</v>
      </c>
      <c r="C154" s="462">
        <f t="shared" ref="C154:C197" si="57">CEILING(A154-(B154-1)*$B$2*$B$3,1)</f>
        <v>17</v>
      </c>
      <c r="D154" s="462">
        <f t="shared" ref="D154:D197" si="58">CEILING(C154/$B$3,1)</f>
        <v>4</v>
      </c>
      <c r="E154" s="462">
        <f t="shared" ref="E154:E197" si="59">C154-((D154-1)*$B$3)</f>
        <v>2</v>
      </c>
      <c r="F154" s="462"/>
      <c r="G154" s="462" t="str">
        <f t="shared" si="55"/>
        <v>Current Practice Baseline Using 31% ENERGY STAR Penetration</v>
      </c>
      <c r="H154" s="462" t="str">
        <f t="shared" si="54"/>
        <v>CEE Tier 1</v>
      </c>
      <c r="I154" s="462" t="str">
        <f t="shared" ref="I154:I197" si="60">VLOOKUP($E154,$AI$2:$AL$12,2,FALSE)</f>
        <v>Electric DHW, Gas Dryer</v>
      </c>
      <c r="J154" s="462" t="str">
        <f t="shared" ref="J154:J197" si="61">VLOOKUP($E154,$AI$2:$AL$12,3,FALSE)</f>
        <v>Electric DHW</v>
      </c>
      <c r="K154" s="462" t="str">
        <f t="shared" ref="K154:K197" si="62">VLOOKUP($E154,$AI$2:$AL$12,4,FALSE)</f>
        <v>Gas Dryer</v>
      </c>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c r="AS154" s="463"/>
      <c r="AT154" s="463"/>
      <c r="AU154" s="463"/>
      <c r="AV154" s="463"/>
      <c r="AW154" s="463"/>
      <c r="AX154" s="463"/>
      <c r="AY154" s="463"/>
      <c r="AZ154" s="463"/>
      <c r="BA154" s="462" t="str">
        <f t="shared" si="53"/>
        <v>CEE Tier 1 Clothes Washer - Electric DHW, Gas Dryer - 31% ENERGY STAR Baseline</v>
      </c>
      <c r="BB154" s="464" t="s">
        <v>27</v>
      </c>
      <c r="BC154" s="465">
        <f ca="1">AH34*SFAssumptions!$C$26/1000</f>
        <v>3.17293366135821</v>
      </c>
      <c r="BD154" s="466">
        <f t="shared" si="52"/>
        <v>14</v>
      </c>
      <c r="BE154" s="462">
        <v>0</v>
      </c>
      <c r="BF154" s="462"/>
      <c r="BG154" s="464" t="s">
        <v>160</v>
      </c>
      <c r="BH154" s="467">
        <f ca="1">AH34*SFAssumptions!$C$27/1000</f>
        <v>11.923430912808721</v>
      </c>
      <c r="BI154" s="462"/>
      <c r="BJ154" s="462"/>
      <c r="BK154" s="462"/>
      <c r="BL154" s="462"/>
      <c r="BM154" s="462"/>
      <c r="BN154" s="462"/>
      <c r="BO154" s="462"/>
      <c r="BP154" s="462"/>
    </row>
    <row r="155" spans="1:69" s="746" customFormat="1">
      <c r="A155" s="462">
        <f t="shared" si="51"/>
        <v>18</v>
      </c>
      <c r="B155" s="462">
        <f t="shared" si="56"/>
        <v>1</v>
      </c>
      <c r="C155" s="462">
        <f t="shared" si="57"/>
        <v>18</v>
      </c>
      <c r="D155" s="462">
        <f t="shared" si="58"/>
        <v>4</v>
      </c>
      <c r="E155" s="462">
        <f t="shared" si="59"/>
        <v>3</v>
      </c>
      <c r="F155" s="462"/>
      <c r="G155" s="462" t="str">
        <f t="shared" si="55"/>
        <v>Current Practice Baseline Using 31% ENERGY STAR Penetration</v>
      </c>
      <c r="H155" s="462" t="str">
        <f t="shared" si="54"/>
        <v>CEE Tier 1</v>
      </c>
      <c r="I155" s="462" t="str">
        <f t="shared" si="60"/>
        <v>Gas DHW, Electric Dryer</v>
      </c>
      <c r="J155" s="462" t="str">
        <f t="shared" si="61"/>
        <v>Gas DHW</v>
      </c>
      <c r="K155" s="462" t="str">
        <f t="shared" si="62"/>
        <v>Electric Dryer</v>
      </c>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2" t="str">
        <f t="shared" si="53"/>
        <v>CEE Tier 1 Clothes Washer - Gas DHW, Electric Dryer - 31% ENERGY STAR Baseline</v>
      </c>
      <c r="BB155" s="464" t="s">
        <v>27</v>
      </c>
      <c r="BC155" s="465">
        <f ca="1">AH35*SFAssumptions!$C$26/1000</f>
        <v>3.17293366135821</v>
      </c>
      <c r="BD155" s="466">
        <f t="shared" si="52"/>
        <v>14</v>
      </c>
      <c r="BE155" s="462">
        <v>0</v>
      </c>
      <c r="BF155" s="462"/>
      <c r="BG155" s="464" t="s">
        <v>160</v>
      </c>
      <c r="BH155" s="467">
        <f ca="1">AH35*SFAssumptions!$C$27/1000</f>
        <v>11.923430912808721</v>
      </c>
      <c r="BI155" s="462"/>
      <c r="BJ155" s="462"/>
      <c r="BK155" s="462"/>
      <c r="BL155" s="462"/>
      <c r="BM155" s="462"/>
      <c r="BN155" s="462"/>
      <c r="BO155" s="462"/>
      <c r="BP155" s="462"/>
    </row>
    <row r="156" spans="1:69" s="746" customFormat="1">
      <c r="A156" s="462">
        <f t="shared" si="51"/>
        <v>19</v>
      </c>
      <c r="B156" s="462">
        <f t="shared" si="56"/>
        <v>1</v>
      </c>
      <c r="C156" s="462">
        <f t="shared" si="57"/>
        <v>19</v>
      </c>
      <c r="D156" s="462">
        <f t="shared" si="58"/>
        <v>4</v>
      </c>
      <c r="E156" s="462">
        <f t="shared" si="59"/>
        <v>4</v>
      </c>
      <c r="F156" s="462"/>
      <c r="G156" s="462" t="str">
        <f t="shared" si="55"/>
        <v>Current Practice Baseline Using 31% ENERGY STAR Penetration</v>
      </c>
      <c r="H156" s="462" t="str">
        <f t="shared" si="54"/>
        <v>CEE Tier 1</v>
      </c>
      <c r="I156" s="462" t="str">
        <f t="shared" si="60"/>
        <v>Gas DHW, Gas Dryer</v>
      </c>
      <c r="J156" s="462" t="str">
        <f t="shared" si="61"/>
        <v>Gas DHW</v>
      </c>
      <c r="K156" s="462" t="str">
        <f t="shared" si="62"/>
        <v>Gas Dryer</v>
      </c>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c r="AP156" s="463"/>
      <c r="AQ156" s="463"/>
      <c r="AR156" s="463"/>
      <c r="AS156" s="463"/>
      <c r="AT156" s="463"/>
      <c r="AU156" s="463"/>
      <c r="AV156" s="463"/>
      <c r="AW156" s="463"/>
      <c r="AX156" s="463"/>
      <c r="AY156" s="463"/>
      <c r="AZ156" s="463"/>
      <c r="BA156" s="462" t="str">
        <f t="shared" si="53"/>
        <v>CEE Tier 1 Clothes Washer - Gas DHW, Gas Dryer - 31% ENERGY STAR Baseline</v>
      </c>
      <c r="BB156" s="464" t="s">
        <v>27</v>
      </c>
      <c r="BC156" s="465">
        <f ca="1">AH36*SFAssumptions!$C$26/1000</f>
        <v>3.17293366135821</v>
      </c>
      <c r="BD156" s="466">
        <f t="shared" si="52"/>
        <v>14</v>
      </c>
      <c r="BE156" s="462">
        <v>0</v>
      </c>
      <c r="BF156" s="462"/>
      <c r="BG156" s="464" t="s">
        <v>160</v>
      </c>
      <c r="BH156" s="467">
        <f ca="1">AH36*SFAssumptions!$C$27/1000</f>
        <v>11.923430912808721</v>
      </c>
      <c r="BI156" s="462"/>
      <c r="BJ156" s="462"/>
      <c r="BK156" s="462"/>
      <c r="BL156" s="462"/>
      <c r="BM156" s="462"/>
      <c r="BN156" s="462"/>
      <c r="BO156" s="462"/>
      <c r="BP156" s="462"/>
    </row>
    <row r="157" spans="1:69" s="746" customFormat="1">
      <c r="A157" s="462">
        <f t="shared" si="51"/>
        <v>20</v>
      </c>
      <c r="B157" s="462">
        <f t="shared" si="56"/>
        <v>1</v>
      </c>
      <c r="C157" s="462">
        <f t="shared" si="57"/>
        <v>20</v>
      </c>
      <c r="D157" s="462">
        <f t="shared" si="58"/>
        <v>4</v>
      </c>
      <c r="E157" s="462">
        <f t="shared" si="59"/>
        <v>5</v>
      </c>
      <c r="F157" s="462"/>
      <c r="G157" s="462" t="str">
        <f t="shared" si="55"/>
        <v>Current Practice Baseline Using 31% ENERGY STAR Penetration</v>
      </c>
      <c r="H157" s="462" t="str">
        <f t="shared" si="54"/>
        <v>CEE Tier 1</v>
      </c>
      <c r="I157" s="462" t="str">
        <f t="shared" si="60"/>
        <v>Any DHW, Any Dryer</v>
      </c>
      <c r="J157" s="462" t="str">
        <f t="shared" si="61"/>
        <v>Any DHW</v>
      </c>
      <c r="K157" s="462" t="str">
        <f t="shared" si="62"/>
        <v>Any Dryer</v>
      </c>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c r="AS157" s="463"/>
      <c r="AT157" s="463"/>
      <c r="AU157" s="463"/>
      <c r="AV157" s="463"/>
      <c r="AW157" s="463"/>
      <c r="AX157" s="463"/>
      <c r="AY157" s="463"/>
      <c r="AZ157" s="463"/>
      <c r="BA157" s="462" t="str">
        <f t="shared" si="53"/>
        <v>CEE Tier 1 Clothes Washer - Any DHW, Any Dryer - 31% ENERGY STAR Baseline</v>
      </c>
      <c r="BB157" s="464" t="s">
        <v>27</v>
      </c>
      <c r="BC157" s="465">
        <f ca="1">AH37*SFAssumptions!$C$26/1000</f>
        <v>3.17293366135821</v>
      </c>
      <c r="BD157" s="466">
        <f t="shared" si="52"/>
        <v>14</v>
      </c>
      <c r="BE157" s="462">
        <v>0</v>
      </c>
      <c r="BF157" s="462"/>
      <c r="BG157" s="464" t="s">
        <v>160</v>
      </c>
      <c r="BH157" s="467">
        <f ca="1">AH37*SFAssumptions!$C$27/1000</f>
        <v>11.923430912808721</v>
      </c>
      <c r="BI157" s="462"/>
      <c r="BJ157" s="462"/>
      <c r="BK157" s="462"/>
      <c r="BL157" s="462"/>
      <c r="BM157" s="462"/>
      <c r="BN157" s="462"/>
      <c r="BO157" s="462"/>
      <c r="BP157" s="462"/>
    </row>
    <row r="158" spans="1:69" s="746" customFormat="1">
      <c r="A158" s="462">
        <f t="shared" si="51"/>
        <v>21</v>
      </c>
      <c r="B158" s="462">
        <f t="shared" si="56"/>
        <v>1</v>
      </c>
      <c r="C158" s="462">
        <f t="shared" si="57"/>
        <v>21</v>
      </c>
      <c r="D158" s="462">
        <f t="shared" si="58"/>
        <v>5</v>
      </c>
      <c r="E158" s="462">
        <f t="shared" si="59"/>
        <v>1</v>
      </c>
      <c r="F158" s="462"/>
      <c r="G158" s="462" t="str">
        <f t="shared" si="55"/>
        <v>Current Practice Baseline Using 31% ENERGY STAR Penetration</v>
      </c>
      <c r="H158" s="462" t="str">
        <f t="shared" si="54"/>
        <v>CEE Tier 2</v>
      </c>
      <c r="I158" s="462" t="str">
        <f t="shared" si="60"/>
        <v>Electric DHW, Electric Dryer</v>
      </c>
      <c r="J158" s="462" t="str">
        <f t="shared" si="61"/>
        <v>Electric DHW</v>
      </c>
      <c r="K158" s="462" t="str">
        <f t="shared" si="62"/>
        <v>Electric Dryer</v>
      </c>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c r="AS158" s="463"/>
      <c r="AT158" s="463"/>
      <c r="AU158" s="463"/>
      <c r="AV158" s="463"/>
      <c r="AW158" s="463"/>
      <c r="AX158" s="463"/>
      <c r="AY158" s="463"/>
      <c r="AZ158" s="463"/>
      <c r="BA158" s="462" t="str">
        <f t="shared" si="53"/>
        <v>CEE Tier 2 Clothes Washer - Electric DHW, Electric Dryer - 31% ENERGY STAR Baseline</v>
      </c>
      <c r="BB158" s="464" t="s">
        <v>27</v>
      </c>
      <c r="BC158" s="465">
        <f ca="1">AH38*SFAssumptions!$C$26/1000</f>
        <v>4.2319016498398385</v>
      </c>
      <c r="BD158" s="466">
        <f t="shared" si="52"/>
        <v>14</v>
      </c>
      <c r="BE158" s="462">
        <v>0</v>
      </c>
      <c r="BF158" s="462"/>
      <c r="BG158" s="464" t="s">
        <v>160</v>
      </c>
      <c r="BH158" s="467">
        <f ca="1">AH38*SFAssumptions!$C$27/1000</f>
        <v>15.902881162055911</v>
      </c>
      <c r="BI158" s="462"/>
      <c r="BJ158" s="462"/>
      <c r="BK158" s="462"/>
      <c r="BL158" s="462"/>
      <c r="BM158" s="462"/>
      <c r="BN158" s="462"/>
      <c r="BO158" s="462"/>
      <c r="BP158" s="462"/>
    </row>
    <row r="159" spans="1:69" s="746" customFormat="1">
      <c r="A159" s="462">
        <f t="shared" si="51"/>
        <v>22</v>
      </c>
      <c r="B159" s="462">
        <f t="shared" si="56"/>
        <v>1</v>
      </c>
      <c r="C159" s="462">
        <f t="shared" si="57"/>
        <v>22</v>
      </c>
      <c r="D159" s="462">
        <f t="shared" si="58"/>
        <v>5</v>
      </c>
      <c r="E159" s="462">
        <f t="shared" si="59"/>
        <v>2</v>
      </c>
      <c r="F159" s="462"/>
      <c r="G159" s="462" t="str">
        <f t="shared" si="55"/>
        <v>Current Practice Baseline Using 31% ENERGY STAR Penetration</v>
      </c>
      <c r="H159" s="462" t="str">
        <f t="shared" si="54"/>
        <v>CEE Tier 2</v>
      </c>
      <c r="I159" s="462" t="str">
        <f t="shared" si="60"/>
        <v>Electric DHW, Gas Dryer</v>
      </c>
      <c r="J159" s="462" t="str">
        <f t="shared" si="61"/>
        <v>Electric DHW</v>
      </c>
      <c r="K159" s="462" t="str">
        <f t="shared" si="62"/>
        <v>Gas Dryer</v>
      </c>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c r="AS159" s="463"/>
      <c r="AT159" s="463"/>
      <c r="AU159" s="463"/>
      <c r="AV159" s="463"/>
      <c r="AW159" s="463"/>
      <c r="AX159" s="463"/>
      <c r="AY159" s="463"/>
      <c r="AZ159" s="463"/>
      <c r="BA159" s="462" t="str">
        <f t="shared" si="53"/>
        <v>CEE Tier 2 Clothes Washer - Electric DHW, Gas Dryer - 31% ENERGY STAR Baseline</v>
      </c>
      <c r="BB159" s="464" t="s">
        <v>27</v>
      </c>
      <c r="BC159" s="465">
        <f ca="1">AH39*SFAssumptions!$C$26/1000</f>
        <v>4.2319016498398385</v>
      </c>
      <c r="BD159" s="466">
        <f t="shared" si="52"/>
        <v>14</v>
      </c>
      <c r="BE159" s="462">
        <v>0</v>
      </c>
      <c r="BF159" s="462"/>
      <c r="BG159" s="464" t="s">
        <v>160</v>
      </c>
      <c r="BH159" s="467">
        <f ca="1">AH39*SFAssumptions!$C$27/1000</f>
        <v>15.902881162055911</v>
      </c>
      <c r="BI159" s="462"/>
      <c r="BJ159" s="462"/>
      <c r="BK159" s="462"/>
      <c r="BL159" s="462"/>
      <c r="BM159" s="462"/>
      <c r="BN159" s="462"/>
      <c r="BO159" s="462"/>
      <c r="BP159" s="462"/>
    </row>
    <row r="160" spans="1:69" s="746" customFormat="1">
      <c r="A160" s="462">
        <f t="shared" si="51"/>
        <v>23</v>
      </c>
      <c r="B160" s="462">
        <f t="shared" si="56"/>
        <v>1</v>
      </c>
      <c r="C160" s="462">
        <f t="shared" si="57"/>
        <v>23</v>
      </c>
      <c r="D160" s="462">
        <f t="shared" si="58"/>
        <v>5</v>
      </c>
      <c r="E160" s="462">
        <f t="shared" si="59"/>
        <v>3</v>
      </c>
      <c r="F160" s="462"/>
      <c r="G160" s="462" t="str">
        <f t="shared" si="55"/>
        <v>Current Practice Baseline Using 31% ENERGY STAR Penetration</v>
      </c>
      <c r="H160" s="462" t="str">
        <f t="shared" si="54"/>
        <v>CEE Tier 2</v>
      </c>
      <c r="I160" s="462" t="str">
        <f t="shared" si="60"/>
        <v>Gas DHW, Electric Dryer</v>
      </c>
      <c r="J160" s="462" t="str">
        <f t="shared" si="61"/>
        <v>Gas DHW</v>
      </c>
      <c r="K160" s="462" t="str">
        <f t="shared" si="62"/>
        <v>Electric Dryer</v>
      </c>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2" t="str">
        <f t="shared" si="53"/>
        <v>CEE Tier 2 Clothes Washer - Gas DHW, Electric Dryer - 31% ENERGY STAR Baseline</v>
      </c>
      <c r="BB160" s="464" t="s">
        <v>27</v>
      </c>
      <c r="BC160" s="465">
        <f ca="1">AH40*SFAssumptions!$C$26/1000</f>
        <v>4.2319016498398385</v>
      </c>
      <c r="BD160" s="466">
        <f t="shared" si="52"/>
        <v>14</v>
      </c>
      <c r="BE160" s="462">
        <v>0</v>
      </c>
      <c r="BF160" s="462"/>
      <c r="BG160" s="464" t="s">
        <v>160</v>
      </c>
      <c r="BH160" s="467">
        <f ca="1">AH40*SFAssumptions!$C$27/1000</f>
        <v>15.902881162055911</v>
      </c>
      <c r="BI160" s="462"/>
      <c r="BJ160" s="462"/>
      <c r="BK160" s="462"/>
      <c r="BL160" s="462"/>
      <c r="BM160" s="462"/>
      <c r="BN160" s="462"/>
      <c r="BO160" s="462"/>
      <c r="BP160" s="462"/>
    </row>
    <row r="161" spans="1:68" s="746" customFormat="1">
      <c r="A161" s="462">
        <f t="shared" si="51"/>
        <v>24</v>
      </c>
      <c r="B161" s="462">
        <f t="shared" si="56"/>
        <v>1</v>
      </c>
      <c r="C161" s="462">
        <f t="shared" si="57"/>
        <v>24</v>
      </c>
      <c r="D161" s="462">
        <f t="shared" si="58"/>
        <v>5</v>
      </c>
      <c r="E161" s="462">
        <f t="shared" si="59"/>
        <v>4</v>
      </c>
      <c r="F161" s="462"/>
      <c r="G161" s="462" t="str">
        <f t="shared" si="55"/>
        <v>Current Practice Baseline Using 31% ENERGY STAR Penetration</v>
      </c>
      <c r="H161" s="462" t="str">
        <f t="shared" si="54"/>
        <v>CEE Tier 2</v>
      </c>
      <c r="I161" s="462" t="str">
        <f t="shared" si="60"/>
        <v>Gas DHW, Gas Dryer</v>
      </c>
      <c r="J161" s="462" t="str">
        <f t="shared" si="61"/>
        <v>Gas DHW</v>
      </c>
      <c r="K161" s="462" t="str">
        <f t="shared" si="62"/>
        <v>Gas Dryer</v>
      </c>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3"/>
      <c r="AZ161" s="463"/>
      <c r="BA161" s="462" t="str">
        <f t="shared" si="53"/>
        <v>CEE Tier 2 Clothes Washer - Gas DHW, Gas Dryer - 31% ENERGY STAR Baseline</v>
      </c>
      <c r="BB161" s="464" t="s">
        <v>27</v>
      </c>
      <c r="BC161" s="465">
        <f ca="1">AH41*SFAssumptions!$C$26/1000</f>
        <v>4.2319016498398385</v>
      </c>
      <c r="BD161" s="466">
        <f t="shared" si="52"/>
        <v>14</v>
      </c>
      <c r="BE161" s="462">
        <v>0</v>
      </c>
      <c r="BF161" s="462"/>
      <c r="BG161" s="464" t="s">
        <v>160</v>
      </c>
      <c r="BH161" s="467">
        <f ca="1">AH41*SFAssumptions!$C$27/1000</f>
        <v>15.902881162055911</v>
      </c>
      <c r="BI161" s="462"/>
      <c r="BJ161" s="462"/>
      <c r="BK161" s="462"/>
      <c r="BL161" s="462"/>
      <c r="BM161" s="462"/>
      <c r="BN161" s="462"/>
      <c r="BO161" s="462"/>
      <c r="BP161" s="462"/>
    </row>
    <row r="162" spans="1:68" s="746" customFormat="1">
      <c r="A162" s="462">
        <f t="shared" si="51"/>
        <v>25</v>
      </c>
      <c r="B162" s="462">
        <f t="shared" si="56"/>
        <v>1</v>
      </c>
      <c r="C162" s="462">
        <f t="shared" si="57"/>
        <v>25</v>
      </c>
      <c r="D162" s="462">
        <f t="shared" si="58"/>
        <v>5</v>
      </c>
      <c r="E162" s="462">
        <f t="shared" si="59"/>
        <v>5</v>
      </c>
      <c r="F162" s="462"/>
      <c r="G162" s="462" t="str">
        <f t="shared" si="55"/>
        <v>Current Practice Baseline Using 31% ENERGY STAR Penetration</v>
      </c>
      <c r="H162" s="462" t="str">
        <f t="shared" si="54"/>
        <v>CEE Tier 2</v>
      </c>
      <c r="I162" s="462" t="str">
        <f t="shared" si="60"/>
        <v>Any DHW, Any Dryer</v>
      </c>
      <c r="J162" s="462" t="str">
        <f t="shared" si="61"/>
        <v>Any DHW</v>
      </c>
      <c r="K162" s="462" t="str">
        <f t="shared" si="62"/>
        <v>Any Dryer</v>
      </c>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c r="AS162" s="463"/>
      <c r="AT162" s="463"/>
      <c r="AU162" s="463"/>
      <c r="AV162" s="463"/>
      <c r="AW162" s="463"/>
      <c r="AX162" s="463"/>
      <c r="AY162" s="463"/>
      <c r="AZ162" s="463"/>
      <c r="BA162" s="462" t="str">
        <f t="shared" si="53"/>
        <v>CEE Tier 2 Clothes Washer - Any DHW, Any Dryer - 31% ENERGY STAR Baseline</v>
      </c>
      <c r="BB162" s="464" t="s">
        <v>27</v>
      </c>
      <c r="BC162" s="465">
        <f ca="1">AH42*SFAssumptions!$C$26/1000</f>
        <v>4.2319016498398385</v>
      </c>
      <c r="BD162" s="466">
        <f t="shared" si="52"/>
        <v>14</v>
      </c>
      <c r="BE162" s="462">
        <v>0</v>
      </c>
      <c r="BF162" s="462"/>
      <c r="BG162" s="464" t="s">
        <v>160</v>
      </c>
      <c r="BH162" s="467">
        <f ca="1">AH42*SFAssumptions!$C$27/1000</f>
        <v>15.902881162055911</v>
      </c>
      <c r="BI162" s="462"/>
      <c r="BJ162" s="462"/>
      <c r="BK162" s="462"/>
      <c r="BL162" s="462"/>
      <c r="BM162" s="462"/>
      <c r="BN162" s="462"/>
      <c r="BO162" s="462"/>
      <c r="BP162" s="462"/>
    </row>
    <row r="163" spans="1:68">
      <c r="A163" s="462">
        <f>A43</f>
        <v>26</v>
      </c>
      <c r="B163" s="462">
        <f t="shared" si="56"/>
        <v>1</v>
      </c>
      <c r="C163" s="462">
        <f t="shared" si="57"/>
        <v>26</v>
      </c>
      <c r="D163" s="462">
        <f t="shared" si="58"/>
        <v>6</v>
      </c>
      <c r="E163" s="462">
        <f t="shared" si="59"/>
        <v>1</v>
      </c>
      <c r="F163" s="462"/>
      <c r="G163" s="462" t="str">
        <f t="shared" si="55"/>
        <v>Current Practice Baseline Using 31% ENERGY STAR Penetration</v>
      </c>
      <c r="H163" s="462" t="str">
        <f t="shared" si="54"/>
        <v>CEE Tier 3</v>
      </c>
      <c r="I163" s="462" t="str">
        <f t="shared" si="60"/>
        <v>Electric DHW, Electric Dryer</v>
      </c>
      <c r="J163" s="462" t="str">
        <f t="shared" si="61"/>
        <v>Electric DHW</v>
      </c>
      <c r="K163" s="462" t="str">
        <f t="shared" si="62"/>
        <v>Electric Dryer</v>
      </c>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2" t="str">
        <f t="shared" si="53"/>
        <v>CEE Tier 3 Clothes Washer - Electric DHW, Electric Dryer - 31% ENERGY STAR Baseline</v>
      </c>
      <c r="BB163" s="464" t="s">
        <v>27</v>
      </c>
      <c r="BC163" s="465">
        <f ca="1">AH43*SFAssumptions!$C$26/1000</f>
        <v>4.3233672150637759</v>
      </c>
      <c r="BD163" s="466">
        <f t="shared" si="52"/>
        <v>14</v>
      </c>
      <c r="BE163" s="462">
        <v>0</v>
      </c>
      <c r="BF163" s="462"/>
      <c r="BG163" s="464" t="s">
        <v>160</v>
      </c>
      <c r="BH163" s="467">
        <f ca="1">AH43*SFAssumptions!$C$27/1000</f>
        <v>16.246595674946729</v>
      </c>
      <c r="BI163" s="462"/>
      <c r="BJ163" s="462"/>
      <c r="BK163" s="462"/>
      <c r="BL163" s="462"/>
      <c r="BM163" s="462"/>
      <c r="BN163" s="462"/>
      <c r="BO163" s="462"/>
      <c r="BP163" s="462"/>
    </row>
    <row r="164" spans="1:68">
      <c r="A164" s="462">
        <f>A44</f>
        <v>27</v>
      </c>
      <c r="B164" s="462">
        <f t="shared" si="56"/>
        <v>1</v>
      </c>
      <c r="C164" s="462">
        <f t="shared" si="57"/>
        <v>27</v>
      </c>
      <c r="D164" s="462">
        <f t="shared" si="58"/>
        <v>6</v>
      </c>
      <c r="E164" s="462">
        <f t="shared" si="59"/>
        <v>2</v>
      </c>
      <c r="F164" s="462"/>
      <c r="G164" s="462" t="str">
        <f t="shared" si="55"/>
        <v>Current Practice Baseline Using 31% ENERGY STAR Penetration</v>
      </c>
      <c r="H164" s="462" t="str">
        <f t="shared" si="54"/>
        <v>CEE Tier 3</v>
      </c>
      <c r="I164" s="462" t="str">
        <f t="shared" si="60"/>
        <v>Electric DHW, Gas Dryer</v>
      </c>
      <c r="J164" s="462" t="str">
        <f t="shared" si="61"/>
        <v>Electric DHW</v>
      </c>
      <c r="K164" s="462" t="str">
        <f t="shared" si="62"/>
        <v>Gas Dryer</v>
      </c>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2" t="str">
        <f t="shared" si="53"/>
        <v>CEE Tier 3 Clothes Washer - Electric DHW, Gas Dryer - 31% ENERGY STAR Baseline</v>
      </c>
      <c r="BB164" s="464" t="s">
        <v>27</v>
      </c>
      <c r="BC164" s="465">
        <f ca="1">AH44*SFAssumptions!$C$26/1000</f>
        <v>4.3233672150637759</v>
      </c>
      <c r="BD164" s="466">
        <f t="shared" si="52"/>
        <v>14</v>
      </c>
      <c r="BE164" s="462">
        <v>0</v>
      </c>
      <c r="BF164" s="462"/>
      <c r="BG164" s="464" t="s">
        <v>160</v>
      </c>
      <c r="BH164" s="467">
        <f ca="1">AH44*SFAssumptions!$C$27/1000</f>
        <v>16.246595674946729</v>
      </c>
      <c r="BI164" s="462"/>
      <c r="BJ164" s="462"/>
      <c r="BK164" s="462"/>
      <c r="BL164" s="462"/>
      <c r="BM164" s="462"/>
      <c r="BN164" s="462"/>
      <c r="BO164" s="462"/>
      <c r="BP164" s="462"/>
    </row>
    <row r="165" spans="1:68">
      <c r="A165" s="462">
        <f>A45</f>
        <v>28</v>
      </c>
      <c r="B165" s="462">
        <f t="shared" si="56"/>
        <v>1</v>
      </c>
      <c r="C165" s="462">
        <f t="shared" si="57"/>
        <v>28</v>
      </c>
      <c r="D165" s="462">
        <f t="shared" si="58"/>
        <v>6</v>
      </c>
      <c r="E165" s="462">
        <f t="shared" si="59"/>
        <v>3</v>
      </c>
      <c r="F165" s="462"/>
      <c r="G165" s="462" t="str">
        <f t="shared" si="55"/>
        <v>Current Practice Baseline Using 31% ENERGY STAR Penetration</v>
      </c>
      <c r="H165" s="462" t="str">
        <f t="shared" si="54"/>
        <v>CEE Tier 3</v>
      </c>
      <c r="I165" s="462" t="str">
        <f t="shared" si="60"/>
        <v>Gas DHW, Electric Dryer</v>
      </c>
      <c r="J165" s="462" t="str">
        <f t="shared" si="61"/>
        <v>Gas DHW</v>
      </c>
      <c r="K165" s="462" t="str">
        <f t="shared" si="62"/>
        <v>Electric Dryer</v>
      </c>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463"/>
      <c r="AN165" s="463"/>
      <c r="AO165" s="463"/>
      <c r="AP165" s="463"/>
      <c r="AQ165" s="463"/>
      <c r="AR165" s="463"/>
      <c r="AS165" s="463"/>
      <c r="AT165" s="463"/>
      <c r="AU165" s="463"/>
      <c r="AV165" s="463"/>
      <c r="AW165" s="463"/>
      <c r="AX165" s="463"/>
      <c r="AY165" s="463"/>
      <c r="AZ165" s="463"/>
      <c r="BA165" s="462" t="str">
        <f t="shared" si="53"/>
        <v>CEE Tier 3 Clothes Washer - Gas DHW, Electric Dryer - 31% ENERGY STAR Baseline</v>
      </c>
      <c r="BB165" s="464" t="s">
        <v>27</v>
      </c>
      <c r="BC165" s="465">
        <f ca="1">AH45*SFAssumptions!$C$26/1000</f>
        <v>4.3233672150637759</v>
      </c>
      <c r="BD165" s="466">
        <f t="shared" si="52"/>
        <v>14</v>
      </c>
      <c r="BE165" s="462">
        <v>0</v>
      </c>
      <c r="BF165" s="462"/>
      <c r="BG165" s="464" t="s">
        <v>160</v>
      </c>
      <c r="BH165" s="467">
        <f ca="1">AH45*SFAssumptions!$C$27/1000</f>
        <v>16.246595674946729</v>
      </c>
      <c r="BI165" s="462"/>
      <c r="BJ165" s="462"/>
      <c r="BK165" s="462"/>
      <c r="BL165" s="462"/>
      <c r="BM165" s="462"/>
      <c r="BN165" s="462"/>
      <c r="BO165" s="462"/>
      <c r="BP165" s="462"/>
    </row>
    <row r="166" spans="1:68">
      <c r="A166" s="462">
        <f>A46</f>
        <v>29</v>
      </c>
      <c r="B166" s="462">
        <f t="shared" si="56"/>
        <v>1</v>
      </c>
      <c r="C166" s="462">
        <f t="shared" si="57"/>
        <v>29</v>
      </c>
      <c r="D166" s="462">
        <f t="shared" si="58"/>
        <v>6</v>
      </c>
      <c r="E166" s="462">
        <f t="shared" si="59"/>
        <v>4</v>
      </c>
      <c r="F166" s="462"/>
      <c r="G166" s="462" t="str">
        <f t="shared" si="55"/>
        <v>Current Practice Baseline Using 31% ENERGY STAR Penetration</v>
      </c>
      <c r="H166" s="462" t="str">
        <f t="shared" si="54"/>
        <v>CEE Tier 3</v>
      </c>
      <c r="I166" s="462" t="str">
        <f t="shared" si="60"/>
        <v>Gas DHW, Gas Dryer</v>
      </c>
      <c r="J166" s="462" t="str">
        <f t="shared" si="61"/>
        <v>Gas DHW</v>
      </c>
      <c r="K166" s="462" t="str">
        <f t="shared" si="62"/>
        <v>Gas Dryer</v>
      </c>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63"/>
      <c r="AN166" s="463"/>
      <c r="AO166" s="463"/>
      <c r="AP166" s="463"/>
      <c r="AQ166" s="463"/>
      <c r="AR166" s="463"/>
      <c r="AS166" s="463"/>
      <c r="AT166" s="463"/>
      <c r="AU166" s="463"/>
      <c r="AV166" s="463"/>
      <c r="AW166" s="463"/>
      <c r="AX166" s="463"/>
      <c r="AY166" s="463"/>
      <c r="AZ166" s="463"/>
      <c r="BA166" s="462" t="str">
        <f t="shared" si="53"/>
        <v>CEE Tier 3 Clothes Washer - Gas DHW, Gas Dryer - 31% ENERGY STAR Baseline</v>
      </c>
      <c r="BB166" s="464" t="s">
        <v>27</v>
      </c>
      <c r="BC166" s="465">
        <f ca="1">AH46*SFAssumptions!$C$26/1000</f>
        <v>4.3233672150637759</v>
      </c>
      <c r="BD166" s="466">
        <f t="shared" si="52"/>
        <v>14</v>
      </c>
      <c r="BE166" s="462">
        <v>0</v>
      </c>
      <c r="BF166" s="462"/>
      <c r="BG166" s="464" t="s">
        <v>160</v>
      </c>
      <c r="BH166" s="467">
        <f ca="1">AH46*SFAssumptions!$C$27/1000</f>
        <v>16.246595674946729</v>
      </c>
      <c r="BI166" s="462"/>
      <c r="BJ166" s="462"/>
      <c r="BK166" s="462"/>
      <c r="BL166" s="462"/>
      <c r="BM166" s="462"/>
      <c r="BN166" s="462"/>
      <c r="BO166" s="462"/>
      <c r="BP166" s="462"/>
    </row>
    <row r="167" spans="1:68">
      <c r="A167" s="462">
        <f>A47</f>
        <v>30</v>
      </c>
      <c r="B167" s="462">
        <f t="shared" si="56"/>
        <v>1</v>
      </c>
      <c r="C167" s="462">
        <f t="shared" si="57"/>
        <v>30</v>
      </c>
      <c r="D167" s="462">
        <f t="shared" si="58"/>
        <v>6</v>
      </c>
      <c r="E167" s="462">
        <f t="shared" si="59"/>
        <v>5</v>
      </c>
      <c r="F167" s="462"/>
      <c r="G167" s="462" t="str">
        <f t="shared" si="55"/>
        <v>Current Practice Baseline Using 31% ENERGY STAR Penetration</v>
      </c>
      <c r="H167" s="462" t="str">
        <f t="shared" si="54"/>
        <v>CEE Tier 3</v>
      </c>
      <c r="I167" s="462" t="str">
        <f t="shared" si="60"/>
        <v>Any DHW, Any Dryer</v>
      </c>
      <c r="J167" s="462" t="str">
        <f t="shared" si="61"/>
        <v>Any DHW</v>
      </c>
      <c r="K167" s="462" t="str">
        <f t="shared" si="62"/>
        <v>Any Dryer</v>
      </c>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463"/>
      <c r="AX167" s="463"/>
      <c r="AY167" s="463"/>
      <c r="AZ167" s="463"/>
      <c r="BA167" s="462" t="str">
        <f t="shared" si="53"/>
        <v>CEE Tier 3 Clothes Washer - Any DHW, Any Dryer - 31% ENERGY STAR Baseline</v>
      </c>
      <c r="BB167" s="464" t="s">
        <v>27</v>
      </c>
      <c r="BC167" s="465">
        <f ca="1">AH47*SFAssumptions!$C$26/1000</f>
        <v>4.3233672150637759</v>
      </c>
      <c r="BD167" s="466">
        <f t="shared" si="52"/>
        <v>14</v>
      </c>
      <c r="BE167" s="462">
        <v>0</v>
      </c>
      <c r="BF167" s="462"/>
      <c r="BG167" s="464" t="s">
        <v>160</v>
      </c>
      <c r="BH167" s="467">
        <f ca="1">AH47*SFAssumptions!$C$27/1000</f>
        <v>16.246595674946729</v>
      </c>
      <c r="BI167" s="462"/>
      <c r="BJ167" s="462"/>
      <c r="BK167" s="462"/>
      <c r="BL167" s="462"/>
      <c r="BM167" s="462"/>
      <c r="BN167" s="462"/>
      <c r="BO167" s="462"/>
      <c r="BP167" s="462"/>
    </row>
    <row r="168" spans="1:68">
      <c r="A168" s="462">
        <f t="shared" ref="A168:A197" si="63">A48</f>
        <v>31</v>
      </c>
      <c r="B168" s="462">
        <f t="shared" si="56"/>
        <v>2</v>
      </c>
      <c r="C168" s="462">
        <f t="shared" si="57"/>
        <v>1</v>
      </c>
      <c r="D168" s="462">
        <f t="shared" si="58"/>
        <v>1</v>
      </c>
      <c r="E168" s="462">
        <f t="shared" si="59"/>
        <v>1</v>
      </c>
      <c r="F168" s="462"/>
      <c r="G168" s="462" t="str">
        <f t="shared" si="55"/>
        <v>Current Practice Baseline Using 54% ENERGY STAR Penetration</v>
      </c>
      <c r="H168" s="462" t="str">
        <f t="shared" si="54"/>
        <v>ENERGY STAR - Top-Load</v>
      </c>
      <c r="I168" s="462" t="str">
        <f t="shared" si="60"/>
        <v>Electric DHW, Electric Dryer</v>
      </c>
      <c r="J168" s="462" t="str">
        <f t="shared" si="61"/>
        <v>Electric DHW</v>
      </c>
      <c r="K168" s="462" t="str">
        <f t="shared" si="62"/>
        <v>Electric Dryer</v>
      </c>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c r="AI168" s="463"/>
      <c r="AJ168" s="463"/>
      <c r="AK168" s="463"/>
      <c r="AL168" s="463"/>
      <c r="AM168" s="463"/>
      <c r="AN168" s="463"/>
      <c r="AO168" s="463"/>
      <c r="AP168" s="463"/>
      <c r="AQ168" s="463"/>
      <c r="AR168" s="463"/>
      <c r="AS168" s="463"/>
      <c r="AT168" s="463"/>
      <c r="AU168" s="463"/>
      <c r="AV168" s="463"/>
      <c r="AW168" s="463"/>
      <c r="AX168" s="463"/>
      <c r="AY168" s="463"/>
      <c r="AZ168" s="463"/>
      <c r="BA168" s="462" t="str">
        <f>CONCATENATE(H168," Clothes Washer - ",I168," - 54% ENERGY STAR Baseline")</f>
        <v>ENERGY STAR - Top-Load Clothes Washer - Electric DHW, Electric Dryer - 54% ENERGY STAR Baseline</v>
      </c>
      <c r="BB168" s="464" t="s">
        <v>27</v>
      </c>
      <c r="BC168" s="465">
        <f ca="1">AH48*SFAssumptions!$C$26/1000</f>
        <v>-0.60922634974146261</v>
      </c>
      <c r="BD168" s="466">
        <f t="shared" si="52"/>
        <v>14</v>
      </c>
      <c r="BE168" s="462">
        <v>0</v>
      </c>
      <c r="BF168" s="462"/>
      <c r="BG168" s="464" t="s">
        <v>160</v>
      </c>
      <c r="BH168" s="467">
        <f ca="1">AH48*SFAssumptions!$C$27/1000</f>
        <v>-2.2893854920041119</v>
      </c>
      <c r="BI168" s="462"/>
      <c r="BJ168" s="462"/>
      <c r="BK168" s="462"/>
      <c r="BL168" s="462"/>
      <c r="BM168" s="462"/>
      <c r="BN168" s="462"/>
      <c r="BO168" s="462"/>
      <c r="BP168" s="462"/>
    </row>
    <row r="169" spans="1:68">
      <c r="A169" s="462">
        <f t="shared" si="63"/>
        <v>32</v>
      </c>
      <c r="B169" s="462">
        <f t="shared" si="56"/>
        <v>2</v>
      </c>
      <c r="C169" s="462">
        <f t="shared" si="57"/>
        <v>2</v>
      </c>
      <c r="D169" s="462">
        <f t="shared" si="58"/>
        <v>1</v>
      </c>
      <c r="E169" s="462">
        <f t="shared" si="59"/>
        <v>2</v>
      </c>
      <c r="F169" s="462"/>
      <c r="G169" s="462" t="str">
        <f t="shared" si="55"/>
        <v>Current Practice Baseline Using 54% ENERGY STAR Penetration</v>
      </c>
      <c r="H169" s="462" t="str">
        <f t="shared" si="54"/>
        <v>ENERGY STAR - Top-Load</v>
      </c>
      <c r="I169" s="462" t="str">
        <f t="shared" si="60"/>
        <v>Electric DHW, Gas Dryer</v>
      </c>
      <c r="J169" s="462" t="str">
        <f t="shared" si="61"/>
        <v>Electric DHW</v>
      </c>
      <c r="K169" s="462" t="str">
        <f t="shared" si="62"/>
        <v>Gas Dryer</v>
      </c>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2" t="str">
        <f t="shared" ref="BA169:BA197" si="64">CONCATENATE(H169," Clothes Washer - ",I169," - 54% ENERGY STAR Baseline")</f>
        <v>ENERGY STAR - Top-Load Clothes Washer - Electric DHW, Gas Dryer - 54% ENERGY STAR Baseline</v>
      </c>
      <c r="BB169" s="464" t="s">
        <v>27</v>
      </c>
      <c r="BC169" s="465">
        <f ca="1">AH49*SFAssumptions!$C$26/1000</f>
        <v>-0.60922634974146261</v>
      </c>
      <c r="BD169" s="466">
        <f t="shared" si="52"/>
        <v>14</v>
      </c>
      <c r="BE169" s="462">
        <v>0</v>
      </c>
      <c r="BF169" s="462"/>
      <c r="BG169" s="464" t="s">
        <v>160</v>
      </c>
      <c r="BH169" s="467">
        <f ca="1">AH49*SFAssumptions!$C$27/1000</f>
        <v>-2.2893854920041119</v>
      </c>
      <c r="BI169" s="462"/>
      <c r="BJ169" s="462"/>
      <c r="BK169" s="462"/>
      <c r="BL169" s="462"/>
      <c r="BM169" s="462"/>
      <c r="BN169" s="462"/>
      <c r="BO169" s="462"/>
      <c r="BP169" s="462"/>
    </row>
    <row r="170" spans="1:68">
      <c r="A170" s="462">
        <f t="shared" si="63"/>
        <v>33</v>
      </c>
      <c r="B170" s="462">
        <f t="shared" si="56"/>
        <v>2</v>
      </c>
      <c r="C170" s="462">
        <f t="shared" si="57"/>
        <v>3</v>
      </c>
      <c r="D170" s="462">
        <f t="shared" si="58"/>
        <v>1</v>
      </c>
      <c r="E170" s="462">
        <f t="shared" si="59"/>
        <v>3</v>
      </c>
      <c r="F170" s="462"/>
      <c r="G170" s="462" t="str">
        <f t="shared" si="55"/>
        <v>Current Practice Baseline Using 54% ENERGY STAR Penetration</v>
      </c>
      <c r="H170" s="462" t="str">
        <f t="shared" si="54"/>
        <v>ENERGY STAR - Top-Load</v>
      </c>
      <c r="I170" s="462" t="str">
        <f t="shared" si="60"/>
        <v>Gas DHW, Electric Dryer</v>
      </c>
      <c r="J170" s="462" t="str">
        <f t="shared" si="61"/>
        <v>Gas DHW</v>
      </c>
      <c r="K170" s="462" t="str">
        <f t="shared" si="62"/>
        <v>Electric Dryer</v>
      </c>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c r="AI170" s="463"/>
      <c r="AJ170" s="463"/>
      <c r="AK170" s="463"/>
      <c r="AL170" s="463"/>
      <c r="AM170" s="463"/>
      <c r="AN170" s="463"/>
      <c r="AO170" s="463"/>
      <c r="AP170" s="463"/>
      <c r="AQ170" s="463"/>
      <c r="AR170" s="463"/>
      <c r="AS170" s="463"/>
      <c r="AT170" s="463"/>
      <c r="AU170" s="463"/>
      <c r="AV170" s="463"/>
      <c r="AW170" s="463"/>
      <c r="AX170" s="463"/>
      <c r="AY170" s="463"/>
      <c r="AZ170" s="463"/>
      <c r="BA170" s="462" t="str">
        <f t="shared" si="64"/>
        <v>ENERGY STAR - Top-Load Clothes Washer - Gas DHW, Electric Dryer - 54% ENERGY STAR Baseline</v>
      </c>
      <c r="BB170" s="464" t="s">
        <v>27</v>
      </c>
      <c r="BC170" s="465">
        <f ca="1">AH50*SFAssumptions!$C$26/1000</f>
        <v>-0.60922634974146261</v>
      </c>
      <c r="BD170" s="466">
        <f t="shared" si="52"/>
        <v>14</v>
      </c>
      <c r="BE170" s="462">
        <v>0</v>
      </c>
      <c r="BF170" s="462"/>
      <c r="BG170" s="464" t="s">
        <v>160</v>
      </c>
      <c r="BH170" s="467">
        <f ca="1">AH50*SFAssumptions!$C$27/1000</f>
        <v>-2.2893854920041119</v>
      </c>
      <c r="BI170" s="462"/>
      <c r="BJ170" s="462"/>
      <c r="BK170" s="462"/>
      <c r="BL170" s="462"/>
      <c r="BM170" s="462"/>
      <c r="BN170" s="462"/>
      <c r="BO170" s="462"/>
      <c r="BP170" s="462"/>
    </row>
    <row r="171" spans="1:68">
      <c r="A171" s="462">
        <f t="shared" si="63"/>
        <v>34</v>
      </c>
      <c r="B171" s="462">
        <f t="shared" si="56"/>
        <v>2</v>
      </c>
      <c r="C171" s="462">
        <f t="shared" si="57"/>
        <v>4</v>
      </c>
      <c r="D171" s="462">
        <f t="shared" si="58"/>
        <v>1</v>
      </c>
      <c r="E171" s="462">
        <f t="shared" si="59"/>
        <v>4</v>
      </c>
      <c r="F171" s="462"/>
      <c r="G171" s="462" t="str">
        <f t="shared" si="55"/>
        <v>Current Practice Baseline Using 54% ENERGY STAR Penetration</v>
      </c>
      <c r="H171" s="462" t="str">
        <f t="shared" si="54"/>
        <v>ENERGY STAR - Top-Load</v>
      </c>
      <c r="I171" s="462" t="str">
        <f t="shared" si="60"/>
        <v>Gas DHW, Gas Dryer</v>
      </c>
      <c r="J171" s="462" t="str">
        <f t="shared" si="61"/>
        <v>Gas DHW</v>
      </c>
      <c r="K171" s="462" t="str">
        <f t="shared" si="62"/>
        <v>Gas Dryer</v>
      </c>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63"/>
      <c r="AO171" s="463"/>
      <c r="AP171" s="463"/>
      <c r="AQ171" s="463"/>
      <c r="AR171" s="463"/>
      <c r="AS171" s="463"/>
      <c r="AT171" s="463"/>
      <c r="AU171" s="463"/>
      <c r="AV171" s="463"/>
      <c r="AW171" s="463"/>
      <c r="AX171" s="463"/>
      <c r="AY171" s="463"/>
      <c r="AZ171" s="463"/>
      <c r="BA171" s="462" t="str">
        <f t="shared" si="64"/>
        <v>ENERGY STAR - Top-Load Clothes Washer - Gas DHW, Gas Dryer - 54% ENERGY STAR Baseline</v>
      </c>
      <c r="BB171" s="464" t="s">
        <v>27</v>
      </c>
      <c r="BC171" s="465">
        <f ca="1">AH51*SFAssumptions!$C$26/1000</f>
        <v>-0.60922634974146261</v>
      </c>
      <c r="BD171" s="466">
        <f t="shared" si="52"/>
        <v>14</v>
      </c>
      <c r="BE171" s="462">
        <v>0</v>
      </c>
      <c r="BF171" s="462"/>
      <c r="BG171" s="464" t="s">
        <v>160</v>
      </c>
      <c r="BH171" s="467">
        <f ca="1">AH51*SFAssumptions!$C$27/1000</f>
        <v>-2.2893854920041119</v>
      </c>
      <c r="BI171" s="462"/>
      <c r="BJ171" s="462"/>
      <c r="BK171" s="462"/>
      <c r="BL171" s="462"/>
      <c r="BM171" s="462"/>
      <c r="BN171" s="462"/>
      <c r="BO171" s="462"/>
      <c r="BP171" s="462"/>
    </row>
    <row r="172" spans="1:68">
      <c r="A172" s="462">
        <f t="shared" si="63"/>
        <v>35</v>
      </c>
      <c r="B172" s="462">
        <f t="shared" si="56"/>
        <v>2</v>
      </c>
      <c r="C172" s="462">
        <f t="shared" si="57"/>
        <v>5</v>
      </c>
      <c r="D172" s="462">
        <f t="shared" si="58"/>
        <v>1</v>
      </c>
      <c r="E172" s="462">
        <f t="shared" si="59"/>
        <v>5</v>
      </c>
      <c r="F172" s="462"/>
      <c r="G172" s="462" t="str">
        <f t="shared" si="55"/>
        <v>Current Practice Baseline Using 54% ENERGY STAR Penetration</v>
      </c>
      <c r="H172" s="462" t="str">
        <f t="shared" si="54"/>
        <v>ENERGY STAR - Top-Load</v>
      </c>
      <c r="I172" s="462" t="str">
        <f t="shared" si="60"/>
        <v>Any DHW, Any Dryer</v>
      </c>
      <c r="J172" s="462" t="str">
        <f t="shared" si="61"/>
        <v>Any DHW</v>
      </c>
      <c r="K172" s="462" t="str">
        <f t="shared" si="62"/>
        <v>Any Dryer</v>
      </c>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2" t="str">
        <f t="shared" si="64"/>
        <v>ENERGY STAR - Top-Load Clothes Washer - Any DHW, Any Dryer - 54% ENERGY STAR Baseline</v>
      </c>
      <c r="BB172" s="464" t="s">
        <v>27</v>
      </c>
      <c r="BC172" s="465">
        <f ca="1">AH52*SFAssumptions!$C$26/1000</f>
        <v>-0.60922634974146261</v>
      </c>
      <c r="BD172" s="466">
        <f t="shared" si="52"/>
        <v>14</v>
      </c>
      <c r="BE172" s="462">
        <v>0</v>
      </c>
      <c r="BF172" s="462"/>
      <c r="BG172" s="464" t="s">
        <v>160</v>
      </c>
      <c r="BH172" s="467">
        <f ca="1">AH52*SFAssumptions!$C$27/1000</f>
        <v>-2.2893854920041119</v>
      </c>
      <c r="BI172" s="462"/>
      <c r="BJ172" s="462"/>
      <c r="BK172" s="462"/>
      <c r="BL172" s="462"/>
      <c r="BM172" s="462"/>
      <c r="BN172" s="462"/>
      <c r="BO172" s="462"/>
      <c r="BP172" s="462"/>
    </row>
    <row r="173" spans="1:68">
      <c r="A173" s="462">
        <f t="shared" si="63"/>
        <v>36</v>
      </c>
      <c r="B173" s="462">
        <f t="shared" si="56"/>
        <v>2</v>
      </c>
      <c r="C173" s="462">
        <f t="shared" si="57"/>
        <v>6</v>
      </c>
      <c r="D173" s="462">
        <f t="shared" si="58"/>
        <v>2</v>
      </c>
      <c r="E173" s="462">
        <f t="shared" si="59"/>
        <v>1</v>
      </c>
      <c r="F173" s="462"/>
      <c r="G173" s="462" t="str">
        <f t="shared" si="55"/>
        <v>Current Practice Baseline Using 54% ENERGY STAR Penetration</v>
      </c>
      <c r="H173" s="462" t="str">
        <f t="shared" si="54"/>
        <v>ENERGY STAR - Front-Load</v>
      </c>
      <c r="I173" s="462" t="str">
        <f t="shared" si="60"/>
        <v>Electric DHW, Electric Dryer</v>
      </c>
      <c r="J173" s="462" t="str">
        <f t="shared" si="61"/>
        <v>Electric DHW</v>
      </c>
      <c r="K173" s="462" t="str">
        <f t="shared" si="62"/>
        <v>Electric Dryer</v>
      </c>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c r="AI173" s="463"/>
      <c r="AJ173" s="463"/>
      <c r="AK173" s="463"/>
      <c r="AL173" s="463"/>
      <c r="AM173" s="463"/>
      <c r="AN173" s="463"/>
      <c r="AO173" s="463"/>
      <c r="AP173" s="463"/>
      <c r="AQ173" s="463"/>
      <c r="AR173" s="463"/>
      <c r="AS173" s="463"/>
      <c r="AT173" s="463"/>
      <c r="AU173" s="463"/>
      <c r="AV173" s="463"/>
      <c r="AW173" s="463"/>
      <c r="AX173" s="463"/>
      <c r="AY173" s="463"/>
      <c r="AZ173" s="463"/>
      <c r="BA173" s="462" t="str">
        <f t="shared" si="64"/>
        <v>ENERGY STAR - Front-Load Clothes Washer - Electric DHW, Electric Dryer - 54% ENERGY STAR Baseline</v>
      </c>
      <c r="BB173" s="464" t="s">
        <v>27</v>
      </c>
      <c r="BC173" s="465">
        <f ca="1">AH53*SFAssumptions!$C$26/1000</f>
        <v>2.7104849190651508</v>
      </c>
      <c r="BD173" s="466">
        <f t="shared" si="52"/>
        <v>14</v>
      </c>
      <c r="BE173" s="462">
        <v>0</v>
      </c>
      <c r="BF173" s="462"/>
      <c r="BG173" s="464" t="s">
        <v>160</v>
      </c>
      <c r="BH173" s="467">
        <f ca="1">AH53*SFAssumptions!$C$27/1000</f>
        <v>10.185614677758206</v>
      </c>
      <c r="BI173" s="462"/>
      <c r="BJ173" s="462"/>
      <c r="BK173" s="462"/>
      <c r="BL173" s="462"/>
      <c r="BM173" s="462"/>
      <c r="BN173" s="462"/>
      <c r="BO173" s="462"/>
      <c r="BP173" s="462"/>
    </row>
    <row r="174" spans="1:68">
      <c r="A174" s="462">
        <f t="shared" si="63"/>
        <v>37</v>
      </c>
      <c r="B174" s="462">
        <f t="shared" si="56"/>
        <v>2</v>
      </c>
      <c r="C174" s="462">
        <f t="shared" si="57"/>
        <v>7</v>
      </c>
      <c r="D174" s="462">
        <f t="shared" si="58"/>
        <v>2</v>
      </c>
      <c r="E174" s="462">
        <f t="shared" si="59"/>
        <v>2</v>
      </c>
      <c r="F174" s="462"/>
      <c r="G174" s="462" t="str">
        <f t="shared" si="55"/>
        <v>Current Practice Baseline Using 54% ENERGY STAR Penetration</v>
      </c>
      <c r="H174" s="462" t="str">
        <f t="shared" si="54"/>
        <v>ENERGY STAR - Front-Load</v>
      </c>
      <c r="I174" s="462" t="str">
        <f t="shared" si="60"/>
        <v>Electric DHW, Gas Dryer</v>
      </c>
      <c r="J174" s="462" t="str">
        <f t="shared" si="61"/>
        <v>Electric DHW</v>
      </c>
      <c r="K174" s="462" t="str">
        <f t="shared" si="62"/>
        <v>Gas Dryer</v>
      </c>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3"/>
      <c r="AY174" s="463"/>
      <c r="AZ174" s="463"/>
      <c r="BA174" s="462" t="str">
        <f t="shared" si="64"/>
        <v>ENERGY STAR - Front-Load Clothes Washer - Electric DHW, Gas Dryer - 54% ENERGY STAR Baseline</v>
      </c>
      <c r="BB174" s="464" t="s">
        <v>27</v>
      </c>
      <c r="BC174" s="465">
        <f ca="1">AH54*SFAssumptions!$C$26/1000</f>
        <v>2.7104849190651508</v>
      </c>
      <c r="BD174" s="466">
        <f t="shared" si="52"/>
        <v>14</v>
      </c>
      <c r="BE174" s="462">
        <v>0</v>
      </c>
      <c r="BF174" s="462"/>
      <c r="BG174" s="464" t="s">
        <v>160</v>
      </c>
      <c r="BH174" s="467">
        <f ca="1">AH54*SFAssumptions!$C$27/1000</f>
        <v>10.185614677758206</v>
      </c>
      <c r="BI174" s="462"/>
      <c r="BJ174" s="462"/>
      <c r="BK174" s="462"/>
      <c r="BL174" s="462"/>
      <c r="BM174" s="462"/>
      <c r="BN174" s="462"/>
      <c r="BO174" s="462"/>
      <c r="BP174" s="462"/>
    </row>
    <row r="175" spans="1:68">
      <c r="A175" s="462">
        <f t="shared" si="63"/>
        <v>38</v>
      </c>
      <c r="B175" s="462">
        <f t="shared" si="56"/>
        <v>2</v>
      </c>
      <c r="C175" s="462">
        <f t="shared" si="57"/>
        <v>8</v>
      </c>
      <c r="D175" s="462">
        <f t="shared" si="58"/>
        <v>2</v>
      </c>
      <c r="E175" s="462">
        <f t="shared" si="59"/>
        <v>3</v>
      </c>
      <c r="F175" s="462"/>
      <c r="G175" s="462" t="str">
        <f t="shared" si="55"/>
        <v>Current Practice Baseline Using 54% ENERGY STAR Penetration</v>
      </c>
      <c r="H175" s="462" t="str">
        <f t="shared" si="54"/>
        <v>ENERGY STAR - Front-Load</v>
      </c>
      <c r="I175" s="462" t="str">
        <f t="shared" si="60"/>
        <v>Gas DHW, Electric Dryer</v>
      </c>
      <c r="J175" s="462" t="str">
        <f t="shared" si="61"/>
        <v>Gas DHW</v>
      </c>
      <c r="K175" s="462" t="str">
        <f t="shared" si="62"/>
        <v>Electric Dryer</v>
      </c>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c r="AI175" s="463"/>
      <c r="AJ175" s="463"/>
      <c r="AK175" s="463"/>
      <c r="AL175" s="463"/>
      <c r="AM175" s="463"/>
      <c r="AN175" s="463"/>
      <c r="AO175" s="463"/>
      <c r="AP175" s="463"/>
      <c r="AQ175" s="463"/>
      <c r="AR175" s="463"/>
      <c r="AS175" s="463"/>
      <c r="AT175" s="463"/>
      <c r="AU175" s="463"/>
      <c r="AV175" s="463"/>
      <c r="AW175" s="463"/>
      <c r="AX175" s="463"/>
      <c r="AY175" s="463"/>
      <c r="AZ175" s="463"/>
      <c r="BA175" s="462" t="str">
        <f t="shared" si="64"/>
        <v>ENERGY STAR - Front-Load Clothes Washer - Gas DHW, Electric Dryer - 54% ENERGY STAR Baseline</v>
      </c>
      <c r="BB175" s="464" t="s">
        <v>27</v>
      </c>
      <c r="BC175" s="465">
        <f ca="1">AH55*SFAssumptions!$C$26/1000</f>
        <v>2.7104849190651508</v>
      </c>
      <c r="BD175" s="466">
        <f t="shared" si="52"/>
        <v>14</v>
      </c>
      <c r="BE175" s="462">
        <v>0</v>
      </c>
      <c r="BF175" s="462"/>
      <c r="BG175" s="464" t="s">
        <v>160</v>
      </c>
      <c r="BH175" s="467">
        <f ca="1">AH55*SFAssumptions!$C$27/1000</f>
        <v>10.185614677758206</v>
      </c>
      <c r="BI175" s="462"/>
      <c r="BJ175" s="462"/>
      <c r="BK175" s="462"/>
      <c r="BL175" s="462"/>
      <c r="BM175" s="462"/>
      <c r="BN175" s="462"/>
      <c r="BO175" s="462"/>
      <c r="BP175" s="462"/>
    </row>
    <row r="176" spans="1:68">
      <c r="A176" s="462">
        <f t="shared" si="63"/>
        <v>39</v>
      </c>
      <c r="B176" s="462">
        <f t="shared" si="56"/>
        <v>2</v>
      </c>
      <c r="C176" s="462">
        <f t="shared" si="57"/>
        <v>9</v>
      </c>
      <c r="D176" s="462">
        <f t="shared" si="58"/>
        <v>2</v>
      </c>
      <c r="E176" s="462">
        <f t="shared" si="59"/>
        <v>4</v>
      </c>
      <c r="F176" s="462"/>
      <c r="G176" s="462" t="str">
        <f t="shared" si="55"/>
        <v>Current Practice Baseline Using 54% ENERGY STAR Penetration</v>
      </c>
      <c r="H176" s="462" t="str">
        <f t="shared" si="54"/>
        <v>ENERGY STAR - Front-Load</v>
      </c>
      <c r="I176" s="462" t="str">
        <f t="shared" si="60"/>
        <v>Gas DHW, Gas Dryer</v>
      </c>
      <c r="J176" s="462" t="str">
        <f t="shared" si="61"/>
        <v>Gas DHW</v>
      </c>
      <c r="K176" s="462" t="str">
        <f t="shared" si="62"/>
        <v>Gas Dryer</v>
      </c>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c r="AI176" s="463"/>
      <c r="AJ176" s="463"/>
      <c r="AK176" s="463"/>
      <c r="AL176" s="463"/>
      <c r="AM176" s="463"/>
      <c r="AN176" s="463"/>
      <c r="AO176" s="463"/>
      <c r="AP176" s="463"/>
      <c r="AQ176" s="463"/>
      <c r="AR176" s="463"/>
      <c r="AS176" s="463"/>
      <c r="AT176" s="463"/>
      <c r="AU176" s="463"/>
      <c r="AV176" s="463"/>
      <c r="AW176" s="463"/>
      <c r="AX176" s="463"/>
      <c r="AY176" s="463"/>
      <c r="AZ176" s="463"/>
      <c r="BA176" s="462" t="str">
        <f t="shared" si="64"/>
        <v>ENERGY STAR - Front-Load Clothes Washer - Gas DHW, Gas Dryer - 54% ENERGY STAR Baseline</v>
      </c>
      <c r="BB176" s="464" t="s">
        <v>27</v>
      </c>
      <c r="BC176" s="465">
        <f ca="1">AH56*SFAssumptions!$C$26/1000</f>
        <v>2.7104849190651508</v>
      </c>
      <c r="BD176" s="466">
        <f t="shared" si="52"/>
        <v>14</v>
      </c>
      <c r="BE176" s="462">
        <v>0</v>
      </c>
      <c r="BF176" s="462"/>
      <c r="BG176" s="464" t="s">
        <v>160</v>
      </c>
      <c r="BH176" s="467">
        <f ca="1">AH56*SFAssumptions!$C$27/1000</f>
        <v>10.185614677758206</v>
      </c>
      <c r="BI176" s="462"/>
      <c r="BJ176" s="462"/>
      <c r="BK176" s="462"/>
      <c r="BL176" s="462"/>
      <c r="BM176" s="462"/>
      <c r="BN176" s="462"/>
      <c r="BO176" s="462"/>
      <c r="BP176" s="462"/>
    </row>
    <row r="177" spans="1:68">
      <c r="A177" s="462">
        <f t="shared" si="63"/>
        <v>40</v>
      </c>
      <c r="B177" s="462">
        <f t="shared" si="56"/>
        <v>2</v>
      </c>
      <c r="C177" s="462">
        <f t="shared" si="57"/>
        <v>10</v>
      </c>
      <c r="D177" s="462">
        <f t="shared" si="58"/>
        <v>2</v>
      </c>
      <c r="E177" s="462">
        <f t="shared" si="59"/>
        <v>5</v>
      </c>
      <c r="F177" s="462"/>
      <c r="G177" s="462" t="str">
        <f t="shared" si="55"/>
        <v>Current Practice Baseline Using 54% ENERGY STAR Penetration</v>
      </c>
      <c r="H177" s="462" t="str">
        <f t="shared" si="54"/>
        <v>ENERGY STAR - Front-Load</v>
      </c>
      <c r="I177" s="462" t="str">
        <f t="shared" si="60"/>
        <v>Any DHW, Any Dryer</v>
      </c>
      <c r="J177" s="462" t="str">
        <f t="shared" si="61"/>
        <v>Any DHW</v>
      </c>
      <c r="K177" s="462" t="str">
        <f t="shared" si="62"/>
        <v>Any Dryer</v>
      </c>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3"/>
      <c r="AY177" s="463"/>
      <c r="AZ177" s="463"/>
      <c r="BA177" s="462" t="str">
        <f t="shared" si="64"/>
        <v>ENERGY STAR - Front-Load Clothes Washer - Any DHW, Any Dryer - 54% ENERGY STAR Baseline</v>
      </c>
      <c r="BB177" s="464" t="s">
        <v>27</v>
      </c>
      <c r="BC177" s="465">
        <f ca="1">AH57*SFAssumptions!$C$26/1000</f>
        <v>2.7104849190651508</v>
      </c>
      <c r="BD177" s="466">
        <f t="shared" si="52"/>
        <v>14</v>
      </c>
      <c r="BE177" s="462">
        <v>0</v>
      </c>
      <c r="BF177" s="462"/>
      <c r="BG177" s="464" t="s">
        <v>160</v>
      </c>
      <c r="BH177" s="467">
        <f ca="1">AH57*SFAssumptions!$C$27/1000</f>
        <v>10.185614677758206</v>
      </c>
      <c r="BI177" s="462"/>
      <c r="BJ177" s="462"/>
      <c r="BK177" s="462"/>
      <c r="BL177" s="462"/>
      <c r="BM177" s="462"/>
      <c r="BN177" s="462"/>
      <c r="BO177" s="462"/>
      <c r="BP177" s="462"/>
    </row>
    <row r="178" spans="1:68">
      <c r="A178" s="462">
        <f t="shared" si="63"/>
        <v>41</v>
      </c>
      <c r="B178" s="462">
        <f t="shared" si="56"/>
        <v>2</v>
      </c>
      <c r="C178" s="462">
        <f t="shared" si="57"/>
        <v>11</v>
      </c>
      <c r="D178" s="462">
        <f t="shared" si="58"/>
        <v>3</v>
      </c>
      <c r="E178" s="462">
        <f t="shared" si="59"/>
        <v>1</v>
      </c>
      <c r="F178" s="462"/>
      <c r="G178" s="462" t="str">
        <f t="shared" si="55"/>
        <v>Current Practice Baseline Using 54% ENERGY STAR Penetration</v>
      </c>
      <c r="H178" s="462" t="str">
        <f t="shared" si="54"/>
        <v>Any ENERGY STAR (Top- or Front-Load)</v>
      </c>
      <c r="I178" s="462" t="str">
        <f t="shared" si="60"/>
        <v>Electric DHW, Electric Dryer</v>
      </c>
      <c r="J178" s="462" t="str">
        <f t="shared" si="61"/>
        <v>Electric DHW</v>
      </c>
      <c r="K178" s="462" t="str">
        <f t="shared" si="62"/>
        <v>Electric Dryer</v>
      </c>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2" t="str">
        <f t="shared" si="64"/>
        <v>Any ENERGY STAR (Top- or Front-Load) Clothes Washer - Electric DHW, Electric Dryer - 54% ENERGY STAR Baseline</v>
      </c>
      <c r="BB178" s="464" t="s">
        <v>27</v>
      </c>
      <c r="BC178" s="465">
        <f ca="1">AH58*SFAssumptions!$C$26/1000</f>
        <v>1.7731546784609331</v>
      </c>
      <c r="BD178" s="466">
        <f t="shared" si="52"/>
        <v>14</v>
      </c>
      <c r="BE178" s="462">
        <v>0</v>
      </c>
      <c r="BF178" s="462"/>
      <c r="BG178" s="464" t="s">
        <v>160</v>
      </c>
      <c r="BH178" s="467">
        <f ca="1">AH58*SFAssumptions!$C$27/1000</f>
        <v>6.6632616886488547</v>
      </c>
      <c r="BI178" s="462"/>
      <c r="BJ178" s="462"/>
      <c r="BK178" s="462"/>
      <c r="BL178" s="462"/>
      <c r="BM178" s="462"/>
      <c r="BN178" s="462"/>
      <c r="BO178" s="462"/>
      <c r="BP178" s="462"/>
    </row>
    <row r="179" spans="1:68">
      <c r="A179" s="462">
        <f t="shared" si="63"/>
        <v>42</v>
      </c>
      <c r="B179" s="462">
        <f t="shared" si="56"/>
        <v>2</v>
      </c>
      <c r="C179" s="462">
        <f t="shared" si="57"/>
        <v>12</v>
      </c>
      <c r="D179" s="462">
        <f t="shared" si="58"/>
        <v>3</v>
      </c>
      <c r="E179" s="462">
        <f t="shared" si="59"/>
        <v>2</v>
      </c>
      <c r="F179" s="462"/>
      <c r="G179" s="462" t="str">
        <f t="shared" si="55"/>
        <v>Current Practice Baseline Using 54% ENERGY STAR Penetration</v>
      </c>
      <c r="H179" s="462" t="str">
        <f t="shared" si="54"/>
        <v>Any ENERGY STAR (Top- or Front-Load)</v>
      </c>
      <c r="I179" s="462" t="str">
        <f t="shared" si="60"/>
        <v>Electric DHW, Gas Dryer</v>
      </c>
      <c r="J179" s="462" t="str">
        <f t="shared" si="61"/>
        <v>Electric DHW</v>
      </c>
      <c r="K179" s="462" t="str">
        <f t="shared" si="62"/>
        <v>Gas Dryer</v>
      </c>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2" t="str">
        <f t="shared" si="64"/>
        <v>Any ENERGY STAR (Top- or Front-Load) Clothes Washer - Electric DHW, Gas Dryer - 54% ENERGY STAR Baseline</v>
      </c>
      <c r="BB179" s="464" t="s">
        <v>27</v>
      </c>
      <c r="BC179" s="465">
        <f ca="1">AH59*SFAssumptions!$C$26/1000</f>
        <v>1.7731546784609331</v>
      </c>
      <c r="BD179" s="466">
        <f t="shared" si="52"/>
        <v>14</v>
      </c>
      <c r="BE179" s="462">
        <v>0</v>
      </c>
      <c r="BF179" s="462"/>
      <c r="BG179" s="464" t="s">
        <v>160</v>
      </c>
      <c r="BH179" s="467">
        <f ca="1">AH59*SFAssumptions!$C$27/1000</f>
        <v>6.6632616886488547</v>
      </c>
      <c r="BI179" s="462"/>
      <c r="BJ179" s="462"/>
      <c r="BK179" s="462"/>
      <c r="BL179" s="462"/>
      <c r="BM179" s="462"/>
      <c r="BN179" s="462"/>
      <c r="BO179" s="462"/>
      <c r="BP179" s="462"/>
    </row>
    <row r="180" spans="1:68">
      <c r="A180" s="462">
        <f t="shared" si="63"/>
        <v>43</v>
      </c>
      <c r="B180" s="462">
        <f t="shared" si="56"/>
        <v>2</v>
      </c>
      <c r="C180" s="462">
        <f t="shared" si="57"/>
        <v>13</v>
      </c>
      <c r="D180" s="462">
        <f t="shared" si="58"/>
        <v>3</v>
      </c>
      <c r="E180" s="462">
        <f t="shared" si="59"/>
        <v>3</v>
      </c>
      <c r="F180" s="462"/>
      <c r="G180" s="462" t="str">
        <f t="shared" si="55"/>
        <v>Current Practice Baseline Using 54% ENERGY STAR Penetration</v>
      </c>
      <c r="H180" s="462" t="str">
        <f t="shared" si="54"/>
        <v>Any ENERGY STAR (Top- or Front-Load)</v>
      </c>
      <c r="I180" s="462" t="str">
        <f t="shared" si="60"/>
        <v>Gas DHW, Electric Dryer</v>
      </c>
      <c r="J180" s="462" t="str">
        <f t="shared" si="61"/>
        <v>Gas DHW</v>
      </c>
      <c r="K180" s="462" t="str">
        <f t="shared" si="62"/>
        <v>Electric Dryer</v>
      </c>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2" t="str">
        <f t="shared" si="64"/>
        <v>Any ENERGY STAR (Top- or Front-Load) Clothes Washer - Gas DHW, Electric Dryer - 54% ENERGY STAR Baseline</v>
      </c>
      <c r="BB180" s="464" t="s">
        <v>27</v>
      </c>
      <c r="BC180" s="465">
        <f ca="1">AH60*SFAssumptions!$C$26/1000</f>
        <v>1.7731546784609331</v>
      </c>
      <c r="BD180" s="466">
        <f t="shared" si="52"/>
        <v>14</v>
      </c>
      <c r="BE180" s="462">
        <v>0</v>
      </c>
      <c r="BF180" s="462"/>
      <c r="BG180" s="464" t="s">
        <v>160</v>
      </c>
      <c r="BH180" s="467">
        <f ca="1">AH60*SFAssumptions!$C$27/1000</f>
        <v>6.6632616886488547</v>
      </c>
      <c r="BI180" s="462"/>
      <c r="BJ180" s="462"/>
      <c r="BK180" s="462"/>
      <c r="BL180" s="462"/>
      <c r="BM180" s="462"/>
      <c r="BN180" s="462"/>
      <c r="BO180" s="462"/>
      <c r="BP180" s="462"/>
    </row>
    <row r="181" spans="1:68">
      <c r="A181" s="462">
        <f t="shared" si="63"/>
        <v>44</v>
      </c>
      <c r="B181" s="462">
        <f t="shared" si="56"/>
        <v>2</v>
      </c>
      <c r="C181" s="462">
        <f t="shared" si="57"/>
        <v>14</v>
      </c>
      <c r="D181" s="462">
        <f t="shared" si="58"/>
        <v>3</v>
      </c>
      <c r="E181" s="462">
        <f t="shared" si="59"/>
        <v>4</v>
      </c>
      <c r="F181" s="462"/>
      <c r="G181" s="462" t="str">
        <f t="shared" si="55"/>
        <v>Current Practice Baseline Using 54% ENERGY STAR Penetration</v>
      </c>
      <c r="H181" s="462" t="str">
        <f t="shared" si="54"/>
        <v>Any ENERGY STAR (Top- or Front-Load)</v>
      </c>
      <c r="I181" s="462" t="str">
        <f t="shared" si="60"/>
        <v>Gas DHW, Gas Dryer</v>
      </c>
      <c r="J181" s="462" t="str">
        <f t="shared" si="61"/>
        <v>Gas DHW</v>
      </c>
      <c r="K181" s="462" t="str">
        <f t="shared" si="62"/>
        <v>Gas Dryer</v>
      </c>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2" t="str">
        <f t="shared" si="64"/>
        <v>Any ENERGY STAR (Top- or Front-Load) Clothes Washer - Gas DHW, Gas Dryer - 54% ENERGY STAR Baseline</v>
      </c>
      <c r="BB181" s="464" t="s">
        <v>27</v>
      </c>
      <c r="BC181" s="465">
        <f ca="1">AH61*SFAssumptions!$C$26/1000</f>
        <v>1.7731546784609331</v>
      </c>
      <c r="BD181" s="466">
        <f t="shared" si="52"/>
        <v>14</v>
      </c>
      <c r="BE181" s="462">
        <v>0</v>
      </c>
      <c r="BF181" s="462"/>
      <c r="BG181" s="464" t="s">
        <v>160</v>
      </c>
      <c r="BH181" s="467">
        <f ca="1">AH61*SFAssumptions!$C$27/1000</f>
        <v>6.6632616886488547</v>
      </c>
      <c r="BI181" s="462"/>
      <c r="BJ181" s="462"/>
      <c r="BK181" s="462"/>
      <c r="BL181" s="462"/>
      <c r="BM181" s="462"/>
      <c r="BN181" s="462"/>
      <c r="BO181" s="462"/>
      <c r="BP181" s="462"/>
    </row>
    <row r="182" spans="1:68">
      <c r="A182" s="462">
        <f t="shared" si="63"/>
        <v>45</v>
      </c>
      <c r="B182" s="462">
        <f t="shared" si="56"/>
        <v>2</v>
      </c>
      <c r="C182" s="462">
        <f t="shared" si="57"/>
        <v>15</v>
      </c>
      <c r="D182" s="462">
        <f t="shared" si="58"/>
        <v>3</v>
      </c>
      <c r="E182" s="462">
        <f t="shared" si="59"/>
        <v>5</v>
      </c>
      <c r="F182" s="462"/>
      <c r="G182" s="462" t="str">
        <f t="shared" si="55"/>
        <v>Current Practice Baseline Using 54% ENERGY STAR Penetration</v>
      </c>
      <c r="H182" s="462" t="str">
        <f t="shared" si="54"/>
        <v>Any ENERGY STAR (Top- or Front-Load)</v>
      </c>
      <c r="I182" s="462" t="str">
        <f t="shared" si="60"/>
        <v>Any DHW, Any Dryer</v>
      </c>
      <c r="J182" s="462" t="str">
        <f t="shared" si="61"/>
        <v>Any DHW</v>
      </c>
      <c r="K182" s="462" t="str">
        <f t="shared" si="62"/>
        <v>Any Dryer</v>
      </c>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2" t="str">
        <f t="shared" si="64"/>
        <v>Any ENERGY STAR (Top- or Front-Load) Clothes Washer - Any DHW, Any Dryer - 54% ENERGY STAR Baseline</v>
      </c>
      <c r="BB182" s="464" t="s">
        <v>27</v>
      </c>
      <c r="BC182" s="465">
        <f ca="1">AH62*SFAssumptions!$C$26/1000</f>
        <v>1.7731546784609331</v>
      </c>
      <c r="BD182" s="466">
        <f t="shared" si="52"/>
        <v>14</v>
      </c>
      <c r="BE182" s="462">
        <v>0</v>
      </c>
      <c r="BF182" s="462"/>
      <c r="BG182" s="464" t="s">
        <v>160</v>
      </c>
      <c r="BH182" s="467">
        <f ca="1">AH62*SFAssumptions!$C$27/1000</f>
        <v>6.6632616886488547</v>
      </c>
      <c r="BI182" s="462"/>
      <c r="BJ182" s="462"/>
      <c r="BK182" s="462"/>
      <c r="BL182" s="462"/>
      <c r="BM182" s="462"/>
      <c r="BN182" s="462"/>
      <c r="BO182" s="462"/>
      <c r="BP182" s="462"/>
    </row>
    <row r="183" spans="1:68">
      <c r="A183" s="462">
        <f t="shared" si="63"/>
        <v>46</v>
      </c>
      <c r="B183" s="462">
        <f t="shared" si="56"/>
        <v>2</v>
      </c>
      <c r="C183" s="462">
        <f t="shared" si="57"/>
        <v>16</v>
      </c>
      <c r="D183" s="462">
        <f t="shared" si="58"/>
        <v>4</v>
      </c>
      <c r="E183" s="462">
        <f t="shared" si="59"/>
        <v>1</v>
      </c>
      <c r="F183" s="462"/>
      <c r="G183" s="462" t="str">
        <f t="shared" si="55"/>
        <v>Current Practice Baseline Using 54% ENERGY STAR Penetration</v>
      </c>
      <c r="H183" s="462" t="str">
        <f t="shared" si="54"/>
        <v>CEE Tier 1</v>
      </c>
      <c r="I183" s="462" t="str">
        <f t="shared" si="60"/>
        <v>Electric DHW, Electric Dryer</v>
      </c>
      <c r="J183" s="462" t="str">
        <f t="shared" si="61"/>
        <v>Electric DHW</v>
      </c>
      <c r="K183" s="462" t="str">
        <f t="shared" si="62"/>
        <v>Electric Dryer</v>
      </c>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2" t="str">
        <f t="shared" si="64"/>
        <v>CEE Tier 1 Clothes Washer - Electric DHW, Electric Dryer - 54% ENERGY STAR Baseline</v>
      </c>
      <c r="BB183" s="464" t="s">
        <v>27</v>
      </c>
      <c r="BC183" s="465">
        <f ca="1">AH63*SFAssumptions!$C$26/1000</f>
        <v>2.2689844676199051</v>
      </c>
      <c r="BD183" s="466">
        <f t="shared" si="52"/>
        <v>14</v>
      </c>
      <c r="BE183" s="462">
        <v>0</v>
      </c>
      <c r="BF183" s="462"/>
      <c r="BG183" s="464" t="s">
        <v>160</v>
      </c>
      <c r="BH183" s="467">
        <f ca="1">AH63*SFAssumptions!$C$27/1000</f>
        <v>8.5265191237314468</v>
      </c>
      <c r="BI183" s="462"/>
      <c r="BJ183" s="462"/>
      <c r="BK183" s="462"/>
      <c r="BL183" s="462"/>
      <c r="BM183" s="462"/>
      <c r="BN183" s="462"/>
      <c r="BO183" s="462"/>
      <c r="BP183" s="462"/>
    </row>
    <row r="184" spans="1:68">
      <c r="A184" s="462">
        <f t="shared" si="63"/>
        <v>47</v>
      </c>
      <c r="B184" s="462">
        <f t="shared" si="56"/>
        <v>2</v>
      </c>
      <c r="C184" s="462">
        <f t="shared" si="57"/>
        <v>17</v>
      </c>
      <c r="D184" s="462">
        <f t="shared" si="58"/>
        <v>4</v>
      </c>
      <c r="E184" s="462">
        <f t="shared" si="59"/>
        <v>2</v>
      </c>
      <c r="F184" s="462"/>
      <c r="G184" s="462" t="str">
        <f t="shared" si="55"/>
        <v>Current Practice Baseline Using 54% ENERGY STAR Penetration</v>
      </c>
      <c r="H184" s="462" t="str">
        <f t="shared" si="54"/>
        <v>CEE Tier 1</v>
      </c>
      <c r="I184" s="462" t="str">
        <f t="shared" si="60"/>
        <v>Electric DHW, Gas Dryer</v>
      </c>
      <c r="J184" s="462" t="str">
        <f t="shared" si="61"/>
        <v>Electric DHW</v>
      </c>
      <c r="K184" s="462" t="str">
        <f t="shared" si="62"/>
        <v>Gas Dryer</v>
      </c>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2" t="str">
        <f t="shared" si="64"/>
        <v>CEE Tier 1 Clothes Washer - Electric DHW, Gas Dryer - 54% ENERGY STAR Baseline</v>
      </c>
      <c r="BB184" s="464" t="s">
        <v>27</v>
      </c>
      <c r="BC184" s="465">
        <f ca="1">AH64*SFAssumptions!$C$26/1000</f>
        <v>2.2689844676199051</v>
      </c>
      <c r="BD184" s="466">
        <f t="shared" si="52"/>
        <v>14</v>
      </c>
      <c r="BE184" s="462">
        <v>0</v>
      </c>
      <c r="BF184" s="462"/>
      <c r="BG184" s="464" t="s">
        <v>160</v>
      </c>
      <c r="BH184" s="467">
        <f ca="1">AH64*SFAssumptions!$C$27/1000</f>
        <v>8.5265191237314468</v>
      </c>
      <c r="BI184" s="462"/>
      <c r="BJ184" s="462"/>
      <c r="BK184" s="462"/>
      <c r="BL184" s="462"/>
      <c r="BM184" s="462"/>
      <c r="BN184" s="462"/>
      <c r="BO184" s="462"/>
      <c r="BP184" s="462"/>
    </row>
    <row r="185" spans="1:68">
      <c r="A185" s="462">
        <f t="shared" si="63"/>
        <v>48</v>
      </c>
      <c r="B185" s="462">
        <f t="shared" si="56"/>
        <v>2</v>
      </c>
      <c r="C185" s="462">
        <f t="shared" si="57"/>
        <v>18</v>
      </c>
      <c r="D185" s="462">
        <f t="shared" si="58"/>
        <v>4</v>
      </c>
      <c r="E185" s="462">
        <f t="shared" si="59"/>
        <v>3</v>
      </c>
      <c r="F185" s="462"/>
      <c r="G185" s="462" t="str">
        <f t="shared" si="55"/>
        <v>Current Practice Baseline Using 54% ENERGY STAR Penetration</v>
      </c>
      <c r="H185" s="462" t="str">
        <f t="shared" si="54"/>
        <v>CEE Tier 1</v>
      </c>
      <c r="I185" s="462" t="str">
        <f t="shared" si="60"/>
        <v>Gas DHW, Electric Dryer</v>
      </c>
      <c r="J185" s="462" t="str">
        <f t="shared" si="61"/>
        <v>Gas DHW</v>
      </c>
      <c r="K185" s="462" t="str">
        <f t="shared" si="62"/>
        <v>Electric Dryer</v>
      </c>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2" t="str">
        <f t="shared" si="64"/>
        <v>CEE Tier 1 Clothes Washer - Gas DHW, Electric Dryer - 54% ENERGY STAR Baseline</v>
      </c>
      <c r="BB185" s="464" t="s">
        <v>27</v>
      </c>
      <c r="BC185" s="465">
        <f ca="1">AH65*SFAssumptions!$C$26/1000</f>
        <v>2.2689844676199051</v>
      </c>
      <c r="BD185" s="466">
        <f t="shared" si="52"/>
        <v>14</v>
      </c>
      <c r="BE185" s="462">
        <v>0</v>
      </c>
      <c r="BF185" s="462"/>
      <c r="BG185" s="464" t="s">
        <v>160</v>
      </c>
      <c r="BH185" s="467">
        <f ca="1">AH65*SFAssumptions!$C$27/1000</f>
        <v>8.5265191237314468</v>
      </c>
      <c r="BI185" s="462"/>
      <c r="BJ185" s="462"/>
      <c r="BK185" s="462"/>
      <c r="BL185" s="462"/>
      <c r="BM185" s="462"/>
      <c r="BN185" s="462"/>
      <c r="BO185" s="462"/>
      <c r="BP185" s="462"/>
    </row>
    <row r="186" spans="1:68">
      <c r="A186" s="462">
        <f t="shared" si="63"/>
        <v>49</v>
      </c>
      <c r="B186" s="462">
        <f t="shared" si="56"/>
        <v>2</v>
      </c>
      <c r="C186" s="462">
        <f t="shared" si="57"/>
        <v>19</v>
      </c>
      <c r="D186" s="462">
        <f t="shared" si="58"/>
        <v>4</v>
      </c>
      <c r="E186" s="462">
        <f t="shared" si="59"/>
        <v>4</v>
      </c>
      <c r="F186" s="462"/>
      <c r="G186" s="462" t="str">
        <f t="shared" si="55"/>
        <v>Current Practice Baseline Using 54% ENERGY STAR Penetration</v>
      </c>
      <c r="H186" s="462" t="str">
        <f t="shared" si="54"/>
        <v>CEE Tier 1</v>
      </c>
      <c r="I186" s="462" t="str">
        <f t="shared" si="60"/>
        <v>Gas DHW, Gas Dryer</v>
      </c>
      <c r="J186" s="462" t="str">
        <f t="shared" si="61"/>
        <v>Gas DHW</v>
      </c>
      <c r="K186" s="462" t="str">
        <f t="shared" si="62"/>
        <v>Gas Dryer</v>
      </c>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2" t="str">
        <f t="shared" si="64"/>
        <v>CEE Tier 1 Clothes Washer - Gas DHW, Gas Dryer - 54% ENERGY STAR Baseline</v>
      </c>
      <c r="BB186" s="464" t="s">
        <v>27</v>
      </c>
      <c r="BC186" s="465">
        <f ca="1">AH66*SFAssumptions!$C$26/1000</f>
        <v>2.2689844676199051</v>
      </c>
      <c r="BD186" s="466">
        <f t="shared" si="52"/>
        <v>14</v>
      </c>
      <c r="BE186" s="462">
        <v>0</v>
      </c>
      <c r="BF186" s="462"/>
      <c r="BG186" s="464" t="s">
        <v>160</v>
      </c>
      <c r="BH186" s="467">
        <f ca="1">AH66*SFAssumptions!$C$27/1000</f>
        <v>8.5265191237314468</v>
      </c>
      <c r="BI186" s="462"/>
      <c r="BJ186" s="462"/>
      <c r="BK186" s="462"/>
      <c r="BL186" s="462"/>
      <c r="BM186" s="462"/>
      <c r="BN186" s="462"/>
      <c r="BO186" s="462"/>
      <c r="BP186" s="462"/>
    </row>
    <row r="187" spans="1:68">
      <c r="A187" s="462">
        <f t="shared" si="63"/>
        <v>50</v>
      </c>
      <c r="B187" s="462">
        <f t="shared" si="56"/>
        <v>2</v>
      </c>
      <c r="C187" s="462">
        <f t="shared" si="57"/>
        <v>20</v>
      </c>
      <c r="D187" s="462">
        <f t="shared" si="58"/>
        <v>4</v>
      </c>
      <c r="E187" s="462">
        <f t="shared" si="59"/>
        <v>5</v>
      </c>
      <c r="F187" s="462"/>
      <c r="G187" s="462" t="str">
        <f t="shared" si="55"/>
        <v>Current Practice Baseline Using 54% ENERGY STAR Penetration</v>
      </c>
      <c r="H187" s="462" t="str">
        <f t="shared" si="54"/>
        <v>CEE Tier 1</v>
      </c>
      <c r="I187" s="462" t="str">
        <f t="shared" si="60"/>
        <v>Any DHW, Any Dryer</v>
      </c>
      <c r="J187" s="462" t="str">
        <f t="shared" si="61"/>
        <v>Any DHW</v>
      </c>
      <c r="K187" s="462" t="str">
        <f t="shared" si="62"/>
        <v>Any Dryer</v>
      </c>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2" t="str">
        <f t="shared" si="64"/>
        <v>CEE Tier 1 Clothes Washer - Any DHW, Any Dryer - 54% ENERGY STAR Baseline</v>
      </c>
      <c r="BB187" s="464" t="s">
        <v>27</v>
      </c>
      <c r="BC187" s="465">
        <f ca="1">AH67*SFAssumptions!$C$26/1000</f>
        <v>2.2689844676199051</v>
      </c>
      <c r="BD187" s="466">
        <f t="shared" si="52"/>
        <v>14</v>
      </c>
      <c r="BE187" s="462">
        <v>0</v>
      </c>
      <c r="BF187" s="462"/>
      <c r="BG187" s="464" t="s">
        <v>160</v>
      </c>
      <c r="BH187" s="467">
        <f ca="1">AH67*SFAssumptions!$C$27/1000</f>
        <v>8.5265191237314468</v>
      </c>
      <c r="BI187" s="462"/>
      <c r="BJ187" s="462"/>
      <c r="BK187" s="462"/>
      <c r="BL187" s="462"/>
      <c r="BM187" s="462"/>
      <c r="BN187" s="462"/>
      <c r="BO187" s="462"/>
      <c r="BP187" s="462"/>
    </row>
    <row r="188" spans="1:68">
      <c r="A188" s="462">
        <f t="shared" si="63"/>
        <v>51</v>
      </c>
      <c r="B188" s="462">
        <f t="shared" si="56"/>
        <v>2</v>
      </c>
      <c r="C188" s="462">
        <f t="shared" si="57"/>
        <v>21</v>
      </c>
      <c r="D188" s="462">
        <f t="shared" si="58"/>
        <v>5</v>
      </c>
      <c r="E188" s="462">
        <f t="shared" si="59"/>
        <v>1</v>
      </c>
      <c r="F188" s="462"/>
      <c r="G188" s="462" t="str">
        <f t="shared" si="55"/>
        <v>Current Practice Baseline Using 54% ENERGY STAR Penetration</v>
      </c>
      <c r="H188" s="462" t="str">
        <f t="shared" si="54"/>
        <v>CEE Tier 2</v>
      </c>
      <c r="I188" s="462" t="str">
        <f t="shared" si="60"/>
        <v>Electric DHW, Electric Dryer</v>
      </c>
      <c r="J188" s="462" t="str">
        <f t="shared" si="61"/>
        <v>Electric DHW</v>
      </c>
      <c r="K188" s="462" t="str">
        <f t="shared" si="62"/>
        <v>Electric Dryer</v>
      </c>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2" t="str">
        <f t="shared" si="64"/>
        <v>CEE Tier 2 Clothes Washer - Electric DHW, Electric Dryer - 54% ENERGY STAR Baseline</v>
      </c>
      <c r="BB188" s="464" t="s">
        <v>27</v>
      </c>
      <c r="BC188" s="465">
        <f ca="1">AH68*SFAssumptions!$C$26/1000</f>
        <v>3.3279524561015337</v>
      </c>
      <c r="BD188" s="466">
        <f t="shared" si="52"/>
        <v>14</v>
      </c>
      <c r="BE188" s="462">
        <v>0</v>
      </c>
      <c r="BF188" s="462"/>
      <c r="BG188" s="464" t="s">
        <v>160</v>
      </c>
      <c r="BH188" s="467">
        <f ca="1">AH68*SFAssumptions!$C$27/1000</f>
        <v>12.505969372978637</v>
      </c>
      <c r="BI188" s="462"/>
      <c r="BJ188" s="462"/>
      <c r="BK188" s="462"/>
      <c r="BL188" s="462"/>
      <c r="BM188" s="462"/>
      <c r="BN188" s="462"/>
      <c r="BO188" s="462"/>
      <c r="BP188" s="462"/>
    </row>
    <row r="189" spans="1:68">
      <c r="A189" s="462">
        <f t="shared" si="63"/>
        <v>52</v>
      </c>
      <c r="B189" s="462">
        <f t="shared" si="56"/>
        <v>2</v>
      </c>
      <c r="C189" s="462">
        <f t="shared" si="57"/>
        <v>22</v>
      </c>
      <c r="D189" s="462">
        <f t="shared" si="58"/>
        <v>5</v>
      </c>
      <c r="E189" s="462">
        <f t="shared" si="59"/>
        <v>2</v>
      </c>
      <c r="F189" s="462"/>
      <c r="G189" s="462" t="str">
        <f t="shared" si="55"/>
        <v>Current Practice Baseline Using 54% ENERGY STAR Penetration</v>
      </c>
      <c r="H189" s="462" t="str">
        <f t="shared" si="54"/>
        <v>CEE Tier 2</v>
      </c>
      <c r="I189" s="462" t="str">
        <f t="shared" si="60"/>
        <v>Electric DHW, Gas Dryer</v>
      </c>
      <c r="J189" s="462" t="str">
        <f t="shared" si="61"/>
        <v>Electric DHW</v>
      </c>
      <c r="K189" s="462" t="str">
        <f t="shared" si="62"/>
        <v>Gas Dryer</v>
      </c>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c r="AI189" s="463"/>
      <c r="AJ189" s="463"/>
      <c r="AK189" s="463"/>
      <c r="AL189" s="463"/>
      <c r="AM189" s="463"/>
      <c r="AN189" s="463"/>
      <c r="AO189" s="463"/>
      <c r="AP189" s="463"/>
      <c r="AQ189" s="463"/>
      <c r="AR189" s="463"/>
      <c r="AS189" s="463"/>
      <c r="AT189" s="463"/>
      <c r="AU189" s="463"/>
      <c r="AV189" s="463"/>
      <c r="AW189" s="463"/>
      <c r="AX189" s="463"/>
      <c r="AY189" s="463"/>
      <c r="AZ189" s="463"/>
      <c r="BA189" s="462" t="str">
        <f t="shared" si="64"/>
        <v>CEE Tier 2 Clothes Washer - Electric DHW, Gas Dryer - 54% ENERGY STAR Baseline</v>
      </c>
      <c r="BB189" s="464" t="s">
        <v>27</v>
      </c>
      <c r="BC189" s="465">
        <f ca="1">AH69*SFAssumptions!$C$26/1000</f>
        <v>3.3279524561015337</v>
      </c>
      <c r="BD189" s="466">
        <f t="shared" si="52"/>
        <v>14</v>
      </c>
      <c r="BE189" s="462">
        <v>0</v>
      </c>
      <c r="BF189" s="462"/>
      <c r="BG189" s="464" t="s">
        <v>160</v>
      </c>
      <c r="BH189" s="467">
        <f ca="1">AH69*SFAssumptions!$C$27/1000</f>
        <v>12.505969372978637</v>
      </c>
      <c r="BI189" s="462"/>
      <c r="BJ189" s="462"/>
      <c r="BK189" s="462"/>
      <c r="BL189" s="462"/>
      <c r="BM189" s="462"/>
      <c r="BN189" s="462"/>
      <c r="BO189" s="462"/>
      <c r="BP189" s="462"/>
    </row>
    <row r="190" spans="1:68">
      <c r="A190" s="462">
        <f t="shared" si="63"/>
        <v>53</v>
      </c>
      <c r="B190" s="462">
        <f t="shared" si="56"/>
        <v>2</v>
      </c>
      <c r="C190" s="462">
        <f t="shared" si="57"/>
        <v>23</v>
      </c>
      <c r="D190" s="462">
        <f t="shared" si="58"/>
        <v>5</v>
      </c>
      <c r="E190" s="462">
        <f t="shared" si="59"/>
        <v>3</v>
      </c>
      <c r="F190" s="462"/>
      <c r="G190" s="462" t="str">
        <f t="shared" si="55"/>
        <v>Current Practice Baseline Using 54% ENERGY STAR Penetration</v>
      </c>
      <c r="H190" s="462" t="str">
        <f t="shared" si="54"/>
        <v>CEE Tier 2</v>
      </c>
      <c r="I190" s="462" t="str">
        <f t="shared" si="60"/>
        <v>Gas DHW, Electric Dryer</v>
      </c>
      <c r="J190" s="462" t="str">
        <f t="shared" si="61"/>
        <v>Gas DHW</v>
      </c>
      <c r="K190" s="462" t="str">
        <f t="shared" si="62"/>
        <v>Electric Dryer</v>
      </c>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3"/>
      <c r="AY190" s="463"/>
      <c r="AZ190" s="463"/>
      <c r="BA190" s="462" t="str">
        <f t="shared" si="64"/>
        <v>CEE Tier 2 Clothes Washer - Gas DHW, Electric Dryer - 54% ENERGY STAR Baseline</v>
      </c>
      <c r="BB190" s="464" t="s">
        <v>27</v>
      </c>
      <c r="BC190" s="465">
        <f ca="1">AH70*SFAssumptions!$C$26/1000</f>
        <v>3.3279524561015337</v>
      </c>
      <c r="BD190" s="466">
        <f t="shared" si="52"/>
        <v>14</v>
      </c>
      <c r="BE190" s="462">
        <v>0</v>
      </c>
      <c r="BF190" s="462"/>
      <c r="BG190" s="464" t="s">
        <v>160</v>
      </c>
      <c r="BH190" s="467">
        <f ca="1">AH70*SFAssumptions!$C$27/1000</f>
        <v>12.505969372978637</v>
      </c>
      <c r="BI190" s="462"/>
      <c r="BJ190" s="462"/>
      <c r="BK190" s="462"/>
      <c r="BL190" s="462"/>
      <c r="BM190" s="462"/>
      <c r="BN190" s="462"/>
      <c r="BO190" s="462"/>
      <c r="BP190" s="462"/>
    </row>
    <row r="191" spans="1:68">
      <c r="A191" s="462">
        <f t="shared" si="63"/>
        <v>54</v>
      </c>
      <c r="B191" s="462">
        <f t="shared" si="56"/>
        <v>2</v>
      </c>
      <c r="C191" s="462">
        <f t="shared" si="57"/>
        <v>24</v>
      </c>
      <c r="D191" s="462">
        <f t="shared" si="58"/>
        <v>5</v>
      </c>
      <c r="E191" s="462">
        <f t="shared" si="59"/>
        <v>4</v>
      </c>
      <c r="F191" s="462"/>
      <c r="G191" s="462" t="str">
        <f t="shared" si="55"/>
        <v>Current Practice Baseline Using 54% ENERGY STAR Penetration</v>
      </c>
      <c r="H191" s="462" t="str">
        <f t="shared" si="54"/>
        <v>CEE Tier 2</v>
      </c>
      <c r="I191" s="462" t="str">
        <f t="shared" si="60"/>
        <v>Gas DHW, Gas Dryer</v>
      </c>
      <c r="J191" s="462" t="str">
        <f t="shared" si="61"/>
        <v>Gas DHW</v>
      </c>
      <c r="K191" s="462" t="str">
        <f t="shared" si="62"/>
        <v>Gas Dryer</v>
      </c>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63"/>
      <c r="AN191" s="463"/>
      <c r="AO191" s="463"/>
      <c r="AP191" s="463"/>
      <c r="AQ191" s="463"/>
      <c r="AR191" s="463"/>
      <c r="AS191" s="463"/>
      <c r="AT191" s="463"/>
      <c r="AU191" s="463"/>
      <c r="AV191" s="463"/>
      <c r="AW191" s="463"/>
      <c r="AX191" s="463"/>
      <c r="AY191" s="463"/>
      <c r="AZ191" s="463"/>
      <c r="BA191" s="462" t="str">
        <f t="shared" si="64"/>
        <v>CEE Tier 2 Clothes Washer - Gas DHW, Gas Dryer - 54% ENERGY STAR Baseline</v>
      </c>
      <c r="BB191" s="464" t="s">
        <v>27</v>
      </c>
      <c r="BC191" s="465">
        <f ca="1">AH71*SFAssumptions!$C$26/1000</f>
        <v>3.3279524561015337</v>
      </c>
      <c r="BD191" s="466">
        <f t="shared" si="52"/>
        <v>14</v>
      </c>
      <c r="BE191" s="462">
        <v>0</v>
      </c>
      <c r="BF191" s="462"/>
      <c r="BG191" s="464" t="s">
        <v>160</v>
      </c>
      <c r="BH191" s="467">
        <f ca="1">AH71*SFAssumptions!$C$27/1000</f>
        <v>12.505969372978637</v>
      </c>
      <c r="BI191" s="462"/>
      <c r="BJ191" s="462"/>
      <c r="BK191" s="462"/>
      <c r="BL191" s="462"/>
      <c r="BM191" s="462"/>
      <c r="BN191" s="462"/>
      <c r="BO191" s="462"/>
      <c r="BP191" s="462"/>
    </row>
    <row r="192" spans="1:68">
      <c r="A192" s="462">
        <f t="shared" si="63"/>
        <v>55</v>
      </c>
      <c r="B192" s="462">
        <f t="shared" si="56"/>
        <v>2</v>
      </c>
      <c r="C192" s="462">
        <f t="shared" si="57"/>
        <v>25</v>
      </c>
      <c r="D192" s="462">
        <f t="shared" si="58"/>
        <v>5</v>
      </c>
      <c r="E192" s="462">
        <f t="shared" si="59"/>
        <v>5</v>
      </c>
      <c r="F192" s="462"/>
      <c r="G192" s="462" t="str">
        <f t="shared" si="55"/>
        <v>Current Practice Baseline Using 54% ENERGY STAR Penetration</v>
      </c>
      <c r="H192" s="462" t="str">
        <f t="shared" si="54"/>
        <v>CEE Tier 2</v>
      </c>
      <c r="I192" s="462" t="str">
        <f t="shared" si="60"/>
        <v>Any DHW, Any Dryer</v>
      </c>
      <c r="J192" s="462" t="str">
        <f t="shared" si="61"/>
        <v>Any DHW</v>
      </c>
      <c r="K192" s="462" t="str">
        <f t="shared" si="62"/>
        <v>Any Dryer</v>
      </c>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c r="AI192" s="463"/>
      <c r="AJ192" s="463"/>
      <c r="AK192" s="463"/>
      <c r="AL192" s="463"/>
      <c r="AM192" s="463"/>
      <c r="AN192" s="463"/>
      <c r="AO192" s="463"/>
      <c r="AP192" s="463"/>
      <c r="AQ192" s="463"/>
      <c r="AR192" s="463"/>
      <c r="AS192" s="463"/>
      <c r="AT192" s="463"/>
      <c r="AU192" s="463"/>
      <c r="AV192" s="463"/>
      <c r="AW192" s="463"/>
      <c r="AX192" s="463"/>
      <c r="AY192" s="463"/>
      <c r="AZ192" s="463"/>
      <c r="BA192" s="462" t="str">
        <f t="shared" si="64"/>
        <v>CEE Tier 2 Clothes Washer - Any DHW, Any Dryer - 54% ENERGY STAR Baseline</v>
      </c>
      <c r="BB192" s="464" t="s">
        <v>27</v>
      </c>
      <c r="BC192" s="465">
        <f ca="1">AH72*SFAssumptions!$C$26/1000</f>
        <v>3.3279524561015337</v>
      </c>
      <c r="BD192" s="466">
        <f t="shared" si="52"/>
        <v>14</v>
      </c>
      <c r="BE192" s="462">
        <v>0</v>
      </c>
      <c r="BF192" s="462"/>
      <c r="BG192" s="464" t="s">
        <v>160</v>
      </c>
      <c r="BH192" s="467">
        <f ca="1">AH72*SFAssumptions!$C$27/1000</f>
        <v>12.505969372978637</v>
      </c>
      <c r="BI192" s="462"/>
      <c r="BJ192" s="462"/>
      <c r="BK192" s="462"/>
      <c r="BL192" s="462"/>
      <c r="BM192" s="462"/>
      <c r="BN192" s="462"/>
      <c r="BO192" s="462"/>
      <c r="BP192" s="462"/>
    </row>
    <row r="193" spans="1:68">
      <c r="A193" s="462">
        <f t="shared" si="63"/>
        <v>56</v>
      </c>
      <c r="B193" s="462">
        <f t="shared" si="56"/>
        <v>2</v>
      </c>
      <c r="C193" s="462">
        <f t="shared" si="57"/>
        <v>26</v>
      </c>
      <c r="D193" s="462">
        <f t="shared" si="58"/>
        <v>6</v>
      </c>
      <c r="E193" s="462">
        <f t="shared" si="59"/>
        <v>1</v>
      </c>
      <c r="F193" s="462"/>
      <c r="G193" s="462" t="str">
        <f t="shared" si="55"/>
        <v>Current Practice Baseline Using 54% ENERGY STAR Penetration</v>
      </c>
      <c r="H193" s="462" t="str">
        <f t="shared" si="54"/>
        <v>CEE Tier 3</v>
      </c>
      <c r="I193" s="462" t="str">
        <f t="shared" si="60"/>
        <v>Electric DHW, Electric Dryer</v>
      </c>
      <c r="J193" s="462" t="str">
        <f t="shared" si="61"/>
        <v>Electric DHW</v>
      </c>
      <c r="K193" s="462" t="str">
        <f t="shared" si="62"/>
        <v>Electric Dryer</v>
      </c>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c r="AI193" s="463"/>
      <c r="AJ193" s="463"/>
      <c r="AK193" s="463"/>
      <c r="AL193" s="463"/>
      <c r="AM193" s="463"/>
      <c r="AN193" s="463"/>
      <c r="AO193" s="463"/>
      <c r="AP193" s="463"/>
      <c r="AQ193" s="463"/>
      <c r="AR193" s="463"/>
      <c r="AS193" s="463"/>
      <c r="AT193" s="463"/>
      <c r="AU193" s="463"/>
      <c r="AV193" s="463"/>
      <c r="AW193" s="463"/>
      <c r="AX193" s="463"/>
      <c r="AY193" s="463"/>
      <c r="AZ193" s="463"/>
      <c r="BA193" s="462" t="str">
        <f t="shared" si="64"/>
        <v>CEE Tier 3 Clothes Washer - Electric DHW, Electric Dryer - 54% ENERGY STAR Baseline</v>
      </c>
      <c r="BB193" s="464" t="s">
        <v>27</v>
      </c>
      <c r="BC193" s="465">
        <f ca="1">AH73*SFAssumptions!$C$26/1000</f>
        <v>3.4194180213254715</v>
      </c>
      <c r="BD193" s="466">
        <f t="shared" si="52"/>
        <v>14</v>
      </c>
      <c r="BE193" s="462">
        <v>0</v>
      </c>
      <c r="BF193" s="462"/>
      <c r="BG193" s="464" t="s">
        <v>160</v>
      </c>
      <c r="BH193" s="467">
        <f ca="1">AH73*SFAssumptions!$C$27/1000</f>
        <v>12.849683885869453</v>
      </c>
      <c r="BI193" s="462"/>
      <c r="BJ193" s="462"/>
      <c r="BK193" s="462"/>
      <c r="BL193" s="462"/>
      <c r="BM193" s="462"/>
      <c r="BN193" s="462"/>
      <c r="BO193" s="462"/>
      <c r="BP193" s="462"/>
    </row>
    <row r="194" spans="1:68">
      <c r="A194" s="462">
        <f t="shared" si="63"/>
        <v>57</v>
      </c>
      <c r="B194" s="462">
        <f t="shared" si="56"/>
        <v>2</v>
      </c>
      <c r="C194" s="462">
        <f t="shared" si="57"/>
        <v>27</v>
      </c>
      <c r="D194" s="462">
        <f t="shared" si="58"/>
        <v>6</v>
      </c>
      <c r="E194" s="462">
        <f t="shared" si="59"/>
        <v>2</v>
      </c>
      <c r="F194" s="462"/>
      <c r="G194" s="462" t="str">
        <f t="shared" si="55"/>
        <v>Current Practice Baseline Using 54% ENERGY STAR Penetration</v>
      </c>
      <c r="H194" s="462" t="str">
        <f t="shared" si="54"/>
        <v>CEE Tier 3</v>
      </c>
      <c r="I194" s="462" t="str">
        <f t="shared" si="60"/>
        <v>Electric DHW, Gas Dryer</v>
      </c>
      <c r="J194" s="462" t="str">
        <f t="shared" si="61"/>
        <v>Electric DHW</v>
      </c>
      <c r="K194" s="462" t="str">
        <f t="shared" si="62"/>
        <v>Gas Dryer</v>
      </c>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2" t="str">
        <f t="shared" si="64"/>
        <v>CEE Tier 3 Clothes Washer - Electric DHW, Gas Dryer - 54% ENERGY STAR Baseline</v>
      </c>
      <c r="BB194" s="464" t="s">
        <v>27</v>
      </c>
      <c r="BC194" s="465">
        <f ca="1">AH74*SFAssumptions!$C$26/1000</f>
        <v>3.4194180213254715</v>
      </c>
      <c r="BD194" s="466">
        <f t="shared" si="52"/>
        <v>14</v>
      </c>
      <c r="BE194" s="462">
        <v>0</v>
      </c>
      <c r="BF194" s="462"/>
      <c r="BG194" s="464" t="s">
        <v>160</v>
      </c>
      <c r="BH194" s="467">
        <f ca="1">AH74*SFAssumptions!$C$27/1000</f>
        <v>12.849683885869453</v>
      </c>
      <c r="BI194" s="462"/>
      <c r="BJ194" s="462"/>
      <c r="BK194" s="462"/>
      <c r="BL194" s="462"/>
      <c r="BM194" s="462"/>
      <c r="BN194" s="462"/>
      <c r="BO194" s="462"/>
      <c r="BP194" s="462"/>
    </row>
    <row r="195" spans="1:68">
      <c r="A195" s="462">
        <f t="shared" si="63"/>
        <v>58</v>
      </c>
      <c r="B195" s="462">
        <f t="shared" si="56"/>
        <v>2</v>
      </c>
      <c r="C195" s="462">
        <f t="shared" si="57"/>
        <v>28</v>
      </c>
      <c r="D195" s="462">
        <f t="shared" si="58"/>
        <v>6</v>
      </c>
      <c r="E195" s="462">
        <f t="shared" si="59"/>
        <v>3</v>
      </c>
      <c r="F195" s="462"/>
      <c r="G195" s="462" t="str">
        <f t="shared" si="55"/>
        <v>Current Practice Baseline Using 54% ENERGY STAR Penetration</v>
      </c>
      <c r="H195" s="462" t="str">
        <f t="shared" si="54"/>
        <v>CEE Tier 3</v>
      </c>
      <c r="I195" s="462" t="str">
        <f t="shared" si="60"/>
        <v>Gas DHW, Electric Dryer</v>
      </c>
      <c r="J195" s="462" t="str">
        <f t="shared" si="61"/>
        <v>Gas DHW</v>
      </c>
      <c r="K195" s="462" t="str">
        <f t="shared" si="62"/>
        <v>Electric Dryer</v>
      </c>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463"/>
      <c r="AJ195" s="463"/>
      <c r="AK195" s="463"/>
      <c r="AL195" s="463"/>
      <c r="AM195" s="463"/>
      <c r="AN195" s="463"/>
      <c r="AO195" s="463"/>
      <c r="AP195" s="463"/>
      <c r="AQ195" s="463"/>
      <c r="AR195" s="463"/>
      <c r="AS195" s="463"/>
      <c r="AT195" s="463"/>
      <c r="AU195" s="463"/>
      <c r="AV195" s="463"/>
      <c r="AW195" s="463"/>
      <c r="AX195" s="463"/>
      <c r="AY195" s="463"/>
      <c r="AZ195" s="463"/>
      <c r="BA195" s="462" t="str">
        <f t="shared" si="64"/>
        <v>CEE Tier 3 Clothes Washer - Gas DHW, Electric Dryer - 54% ENERGY STAR Baseline</v>
      </c>
      <c r="BB195" s="464" t="s">
        <v>27</v>
      </c>
      <c r="BC195" s="465">
        <f ca="1">AH75*SFAssumptions!$C$26/1000</f>
        <v>3.4194180213254715</v>
      </c>
      <c r="BD195" s="466">
        <f t="shared" si="52"/>
        <v>14</v>
      </c>
      <c r="BE195" s="462">
        <v>0</v>
      </c>
      <c r="BF195" s="462"/>
      <c r="BG195" s="464" t="s">
        <v>160</v>
      </c>
      <c r="BH195" s="467">
        <f ca="1">AH75*SFAssumptions!$C$27/1000</f>
        <v>12.849683885869453</v>
      </c>
      <c r="BI195" s="462"/>
      <c r="BJ195" s="462"/>
      <c r="BK195" s="462"/>
      <c r="BL195" s="462"/>
      <c r="BM195" s="462"/>
      <c r="BN195" s="462"/>
      <c r="BO195" s="462"/>
      <c r="BP195" s="462"/>
    </row>
    <row r="196" spans="1:68">
      <c r="A196" s="462">
        <f t="shared" si="63"/>
        <v>59</v>
      </c>
      <c r="B196" s="462">
        <f t="shared" si="56"/>
        <v>2</v>
      </c>
      <c r="C196" s="462">
        <f t="shared" si="57"/>
        <v>29</v>
      </c>
      <c r="D196" s="462">
        <f t="shared" si="58"/>
        <v>6</v>
      </c>
      <c r="E196" s="462">
        <f t="shared" si="59"/>
        <v>4</v>
      </c>
      <c r="F196" s="462"/>
      <c r="G196" s="462" t="str">
        <f t="shared" si="55"/>
        <v>Current Practice Baseline Using 54% ENERGY STAR Penetration</v>
      </c>
      <c r="H196" s="462" t="str">
        <f t="shared" si="54"/>
        <v>CEE Tier 3</v>
      </c>
      <c r="I196" s="462" t="str">
        <f t="shared" si="60"/>
        <v>Gas DHW, Gas Dryer</v>
      </c>
      <c r="J196" s="462" t="str">
        <f t="shared" si="61"/>
        <v>Gas DHW</v>
      </c>
      <c r="K196" s="462" t="str">
        <f t="shared" si="62"/>
        <v>Gas Dryer</v>
      </c>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c r="AI196" s="463"/>
      <c r="AJ196" s="463"/>
      <c r="AK196" s="463"/>
      <c r="AL196" s="463"/>
      <c r="AM196" s="463"/>
      <c r="AN196" s="463"/>
      <c r="AO196" s="463"/>
      <c r="AP196" s="463"/>
      <c r="AQ196" s="463"/>
      <c r="AR196" s="463"/>
      <c r="AS196" s="463"/>
      <c r="AT196" s="463"/>
      <c r="AU196" s="463"/>
      <c r="AV196" s="463"/>
      <c r="AW196" s="463"/>
      <c r="AX196" s="463"/>
      <c r="AY196" s="463"/>
      <c r="AZ196" s="463"/>
      <c r="BA196" s="462" t="str">
        <f t="shared" si="64"/>
        <v>CEE Tier 3 Clothes Washer - Gas DHW, Gas Dryer - 54% ENERGY STAR Baseline</v>
      </c>
      <c r="BB196" s="464" t="s">
        <v>27</v>
      </c>
      <c r="BC196" s="465">
        <f ca="1">AH76*SFAssumptions!$C$26/1000</f>
        <v>3.4194180213254715</v>
      </c>
      <c r="BD196" s="466">
        <f t="shared" si="52"/>
        <v>14</v>
      </c>
      <c r="BE196" s="462">
        <v>0</v>
      </c>
      <c r="BF196" s="462"/>
      <c r="BG196" s="464" t="s">
        <v>160</v>
      </c>
      <c r="BH196" s="467">
        <f ca="1">AH76*SFAssumptions!$C$27/1000</f>
        <v>12.849683885869453</v>
      </c>
      <c r="BI196" s="462"/>
      <c r="BJ196" s="462"/>
      <c r="BK196" s="462"/>
      <c r="BL196" s="462"/>
      <c r="BM196" s="462"/>
      <c r="BN196" s="462"/>
      <c r="BO196" s="462"/>
      <c r="BP196" s="462"/>
    </row>
    <row r="197" spans="1:68">
      <c r="A197" s="462">
        <f t="shared" si="63"/>
        <v>60</v>
      </c>
      <c r="B197" s="462">
        <f t="shared" si="56"/>
        <v>2</v>
      </c>
      <c r="C197" s="462">
        <f t="shared" si="57"/>
        <v>30</v>
      </c>
      <c r="D197" s="462">
        <f t="shared" si="58"/>
        <v>6</v>
      </c>
      <c r="E197" s="462">
        <f t="shared" si="59"/>
        <v>5</v>
      </c>
      <c r="F197" s="462"/>
      <c r="G197" s="462" t="str">
        <f t="shared" si="55"/>
        <v>Current Practice Baseline Using 54% ENERGY STAR Penetration</v>
      </c>
      <c r="H197" s="462" t="str">
        <f t="shared" si="54"/>
        <v>CEE Tier 3</v>
      </c>
      <c r="I197" s="462" t="str">
        <f t="shared" si="60"/>
        <v>Any DHW, Any Dryer</v>
      </c>
      <c r="J197" s="462" t="str">
        <f t="shared" si="61"/>
        <v>Any DHW</v>
      </c>
      <c r="K197" s="462" t="str">
        <f t="shared" si="62"/>
        <v>Any Dryer</v>
      </c>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463"/>
      <c r="AM197" s="463"/>
      <c r="AN197" s="463"/>
      <c r="AO197" s="463"/>
      <c r="AP197" s="463"/>
      <c r="AQ197" s="463"/>
      <c r="AR197" s="463"/>
      <c r="AS197" s="463"/>
      <c r="AT197" s="463"/>
      <c r="AU197" s="463"/>
      <c r="AV197" s="463"/>
      <c r="AW197" s="463"/>
      <c r="AX197" s="463"/>
      <c r="AY197" s="463"/>
      <c r="AZ197" s="463"/>
      <c r="BA197" s="462" t="str">
        <f t="shared" si="64"/>
        <v>CEE Tier 3 Clothes Washer - Any DHW, Any Dryer - 54% ENERGY STAR Baseline</v>
      </c>
      <c r="BB197" s="464" t="s">
        <v>27</v>
      </c>
      <c r="BC197" s="465">
        <f ca="1">AH77*SFAssumptions!$C$26/1000</f>
        <v>3.4194180213254715</v>
      </c>
      <c r="BD197" s="466">
        <f t="shared" si="52"/>
        <v>14</v>
      </c>
      <c r="BE197" s="462">
        <v>0</v>
      </c>
      <c r="BF197" s="462"/>
      <c r="BG197" s="464" t="s">
        <v>160</v>
      </c>
      <c r="BH197" s="467">
        <f ca="1">AH77*SFAssumptions!$C$27/1000</f>
        <v>12.849683885869453</v>
      </c>
      <c r="BI197" s="462"/>
      <c r="BJ197" s="462"/>
      <c r="BK197" s="462"/>
      <c r="BL197" s="462"/>
      <c r="BM197" s="462"/>
      <c r="BN197" s="462"/>
      <c r="BO197" s="462"/>
      <c r="BP197" s="462"/>
    </row>
  </sheetData>
  <mergeCells count="9">
    <mergeCell ref="AM16:AO16"/>
    <mergeCell ref="BI16:BN16"/>
    <mergeCell ref="BO16:BP16"/>
    <mergeCell ref="K1:N1"/>
    <mergeCell ref="P16:R16"/>
    <mergeCell ref="S16:U16"/>
    <mergeCell ref="Z16:AB16"/>
    <mergeCell ref="AC16:AE16"/>
    <mergeCell ref="AJ16:AL16"/>
  </mergeCells>
  <pageMargins left="0.7" right="0.7" top="0.75" bottom="0.75" header="0.3" footer="0.3"/>
  <pageSetup orientation="portrait" verticalDpi="0" r:id="rId1"/>
  <legacyDrawing r:id="rId2"/>
</worksheet>
</file>

<file path=xl/worksheets/sheet25.xml><?xml version="1.0" encoding="utf-8"?>
<worksheet xmlns="http://schemas.openxmlformats.org/spreadsheetml/2006/main" xmlns:r="http://schemas.openxmlformats.org/officeDocument/2006/relationships">
  <dimension ref="B2:AD127"/>
  <sheetViews>
    <sheetView workbookViewId="0">
      <selection activeCell="J11" sqref="J11"/>
    </sheetView>
  </sheetViews>
  <sheetFormatPr defaultRowHeight="12.75"/>
  <cols>
    <col min="1" max="1" width="4.42578125" style="9" customWidth="1"/>
    <col min="2" max="4" width="9.140625" style="9"/>
    <col min="5" max="5" width="10.28515625" style="9" customWidth="1"/>
    <col min="6" max="9" width="9.140625" style="9"/>
    <col min="10" max="10" width="10" style="9" customWidth="1"/>
    <col min="11" max="14" width="9.140625" style="9"/>
    <col min="15" max="15" width="14.28515625" style="9" customWidth="1"/>
    <col min="16" max="16" width="11.85546875" style="9" customWidth="1"/>
    <col min="17" max="16384" width="9.140625" style="9"/>
  </cols>
  <sheetData>
    <row r="2" spans="2:30">
      <c r="B2" s="684" t="s">
        <v>1569</v>
      </c>
    </row>
    <row r="4" spans="2:30">
      <c r="B4" s="802" t="s">
        <v>1570</v>
      </c>
      <c r="C4" s="803"/>
      <c r="D4" s="803"/>
      <c r="E4" s="803"/>
      <c r="F4" s="803"/>
      <c r="G4" s="803"/>
      <c r="H4" s="803"/>
      <c r="I4" s="803"/>
      <c r="J4" s="803"/>
      <c r="K4" s="803"/>
      <c r="L4" s="803"/>
      <c r="M4" s="803"/>
      <c r="N4" s="803"/>
      <c r="O4" s="803"/>
      <c r="P4" s="803"/>
      <c r="Q4" s="803"/>
    </row>
    <row r="5" spans="2:30">
      <c r="B5" s="804"/>
      <c r="C5" s="805"/>
      <c r="D5" s="806" t="s">
        <v>1571</v>
      </c>
      <c r="E5" s="805"/>
      <c r="F5" s="805"/>
      <c r="G5" s="926" t="s">
        <v>1122</v>
      </c>
      <c r="H5" s="806" t="s">
        <v>1572</v>
      </c>
      <c r="I5" s="807"/>
      <c r="J5" s="807" t="s">
        <v>1573</v>
      </c>
      <c r="K5" s="807" t="s">
        <v>1123</v>
      </c>
      <c r="L5" s="808" t="s">
        <v>1092</v>
      </c>
      <c r="M5" s="807" t="s">
        <v>1574</v>
      </c>
      <c r="N5" s="807" t="s">
        <v>1124</v>
      </c>
      <c r="O5" s="807" t="s">
        <v>1209</v>
      </c>
      <c r="P5" s="809" t="s">
        <v>1575</v>
      </c>
      <c r="Q5" s="810" t="s">
        <v>1576</v>
      </c>
    </row>
    <row r="6" spans="2:30">
      <c r="B6" s="811" t="s">
        <v>1121</v>
      </c>
      <c r="C6" s="812" t="s">
        <v>1577</v>
      </c>
      <c r="D6" s="811" t="s">
        <v>1578</v>
      </c>
      <c r="E6" s="811" t="s">
        <v>824</v>
      </c>
      <c r="F6" s="811" t="s">
        <v>1225</v>
      </c>
      <c r="G6" s="927"/>
      <c r="H6" s="811" t="s">
        <v>1579</v>
      </c>
      <c r="I6" s="811" t="s">
        <v>1125</v>
      </c>
      <c r="J6" s="811" t="s">
        <v>1580</v>
      </c>
      <c r="K6" s="811" t="s">
        <v>1581</v>
      </c>
      <c r="L6" s="813" t="s">
        <v>1582</v>
      </c>
      <c r="M6" s="811" t="s">
        <v>1583</v>
      </c>
      <c r="N6" s="811" t="s">
        <v>1584</v>
      </c>
      <c r="O6" s="811" t="s">
        <v>1584</v>
      </c>
      <c r="P6" s="814" t="s">
        <v>1553</v>
      </c>
      <c r="Q6" s="815" t="s">
        <v>1585</v>
      </c>
    </row>
    <row r="7" spans="2:30">
      <c r="B7" s="805"/>
      <c r="C7" s="805"/>
      <c r="D7" s="816" t="s">
        <v>1586</v>
      </c>
      <c r="E7" s="816" t="s">
        <v>1587</v>
      </c>
      <c r="F7" s="816" t="s">
        <v>1587</v>
      </c>
      <c r="G7" s="816" t="s">
        <v>1588</v>
      </c>
      <c r="H7" s="816" t="s">
        <v>1589</v>
      </c>
      <c r="I7" s="816" t="s">
        <v>1590</v>
      </c>
      <c r="J7" s="816" t="s">
        <v>1573</v>
      </c>
      <c r="K7" s="816" t="s">
        <v>1573</v>
      </c>
      <c r="L7" s="817" t="s">
        <v>1591</v>
      </c>
      <c r="M7" s="816" t="s">
        <v>1591</v>
      </c>
      <c r="N7" s="816" t="s">
        <v>1592</v>
      </c>
      <c r="O7" s="816" t="s">
        <v>1592</v>
      </c>
      <c r="P7" s="818"/>
      <c r="Q7" s="819"/>
    </row>
    <row r="8" spans="2:30">
      <c r="B8" s="820">
        <v>0</v>
      </c>
      <c r="C8" s="805" t="s">
        <v>1593</v>
      </c>
      <c r="D8" s="821">
        <v>0</v>
      </c>
      <c r="E8" s="821">
        <v>1.26</v>
      </c>
      <c r="F8" s="821">
        <v>0.83977999999999997</v>
      </c>
      <c r="G8" s="821">
        <v>9.9214000000000002</v>
      </c>
      <c r="H8" s="821">
        <v>3.0880000000000001</v>
      </c>
      <c r="I8" s="822">
        <v>0.51900000000000002</v>
      </c>
      <c r="J8" s="823">
        <v>3.6771535402129132</v>
      </c>
      <c r="K8" s="823">
        <v>0.27900000000000003</v>
      </c>
      <c r="L8" s="824">
        <v>2.1556551960000001</v>
      </c>
      <c r="M8" s="825">
        <v>1.2424983442129132</v>
      </c>
      <c r="N8" s="826">
        <v>6.9027685789606288</v>
      </c>
      <c r="O8" s="827">
        <v>30.637283200000002</v>
      </c>
      <c r="P8" s="828">
        <v>0.33789678092717623</v>
      </c>
      <c r="Q8" s="829" t="s">
        <v>1594</v>
      </c>
    </row>
    <row r="9" spans="2:30">
      <c r="B9" s="820">
        <v>1</v>
      </c>
      <c r="C9" s="805" t="s">
        <v>1595</v>
      </c>
      <c r="D9" s="821">
        <v>0</v>
      </c>
      <c r="E9" s="821">
        <v>1.4</v>
      </c>
      <c r="F9" s="830">
        <v>0.97809999999999997</v>
      </c>
      <c r="G9" s="830">
        <v>9.9214000000000002</v>
      </c>
      <c r="H9" s="821">
        <v>3.3774999999999999</v>
      </c>
      <c r="I9" s="822">
        <v>0.53600000000000003</v>
      </c>
      <c r="J9" s="823">
        <v>3.4531234025150801</v>
      </c>
      <c r="K9" s="823">
        <v>0.28100000000000003</v>
      </c>
      <c r="L9" s="824">
        <v>2.4281553024</v>
      </c>
      <c r="M9" s="825">
        <v>0.74396810011507997</v>
      </c>
      <c r="N9" s="826">
        <v>4.1331561117504441</v>
      </c>
      <c r="O9" s="827">
        <v>33.509528500000002</v>
      </c>
      <c r="P9" s="828">
        <v>0.21544787526944775</v>
      </c>
      <c r="Q9" s="829" t="s">
        <v>1594</v>
      </c>
      <c r="S9" s="684" t="s">
        <v>1596</v>
      </c>
      <c r="T9" s="831">
        <v>0.99</v>
      </c>
      <c r="AC9" s="684"/>
      <c r="AD9" s="831"/>
    </row>
    <row r="10" spans="2:30">
      <c r="B10" s="820">
        <v>2</v>
      </c>
      <c r="C10" s="805" t="s">
        <v>1597</v>
      </c>
      <c r="D10" s="821">
        <v>0</v>
      </c>
      <c r="E10" s="821">
        <v>1.72</v>
      </c>
      <c r="F10" s="821">
        <v>1.29426</v>
      </c>
      <c r="G10" s="821">
        <v>8.4403000000000006</v>
      </c>
      <c r="H10" s="821">
        <v>3.3774999999999999</v>
      </c>
      <c r="I10" s="822">
        <v>0.48799999999999999</v>
      </c>
      <c r="J10" s="823">
        <v>2.6095993077125152</v>
      </c>
      <c r="K10" s="823">
        <v>0.22800000000000001</v>
      </c>
      <c r="L10" s="824">
        <v>1.6889313504000001</v>
      </c>
      <c r="M10" s="825">
        <v>0.69266795731251496</v>
      </c>
      <c r="N10" s="826">
        <v>3.8481553184028612</v>
      </c>
      <c r="O10" s="827">
        <v>28.50711325</v>
      </c>
      <c r="P10" s="828">
        <v>0.26543077140822963</v>
      </c>
      <c r="Q10" s="829" t="s">
        <v>1598</v>
      </c>
      <c r="S10" s="684" t="s">
        <v>1599</v>
      </c>
      <c r="T10" s="9">
        <v>-0.4163</v>
      </c>
      <c r="AC10" s="684"/>
    </row>
    <row r="11" spans="2:30">
      <c r="B11" s="820">
        <v>3</v>
      </c>
      <c r="C11" s="805" t="s">
        <v>1600</v>
      </c>
      <c r="D11" s="821">
        <v>2.2999999999999998</v>
      </c>
      <c r="E11" s="821">
        <v>1.8</v>
      </c>
      <c r="F11" s="821">
        <v>1.33538</v>
      </c>
      <c r="G11" s="821">
        <v>7.9466000000000001</v>
      </c>
      <c r="H11" s="821">
        <v>3.7634999999999996</v>
      </c>
      <c r="I11" s="822">
        <v>0.379</v>
      </c>
      <c r="J11" s="823">
        <v>2.8182989111713517</v>
      </c>
      <c r="K11" s="823">
        <v>8.2000000000000003E-2</v>
      </c>
      <c r="L11" s="824">
        <v>1.4071580153999999</v>
      </c>
      <c r="M11" s="825">
        <v>1.2634544550933859</v>
      </c>
      <c r="N11" s="826">
        <v>7.0191914171854775</v>
      </c>
      <c r="O11" s="827">
        <v>29.907029099999999</v>
      </c>
      <c r="P11" s="828">
        <v>0.45900193675534756</v>
      </c>
      <c r="Q11" s="829" t="s">
        <v>1598</v>
      </c>
    </row>
    <row r="12" spans="2:30">
      <c r="B12" s="820">
        <v>4</v>
      </c>
      <c r="C12" s="805" t="s">
        <v>1601</v>
      </c>
      <c r="D12" s="821">
        <v>1.7</v>
      </c>
      <c r="E12" s="821">
        <v>1.8</v>
      </c>
      <c r="F12" s="821">
        <v>1.34362</v>
      </c>
      <c r="G12" s="821">
        <v>7.9466000000000001</v>
      </c>
      <c r="H12" s="821">
        <v>3.7634999999999996</v>
      </c>
      <c r="I12" s="822">
        <v>0.379</v>
      </c>
      <c r="J12" s="823">
        <v>2.8010151679790414</v>
      </c>
      <c r="K12" s="823">
        <v>8.2000000000000003E-2</v>
      </c>
      <c r="L12" s="824">
        <v>1.4071580153999999</v>
      </c>
      <c r="M12" s="825">
        <v>1.2633063051214146</v>
      </c>
      <c r="N12" s="826">
        <v>7.0183683617856367</v>
      </c>
      <c r="O12" s="827">
        <v>29.907029099999999</v>
      </c>
      <c r="P12" s="828">
        <v>0.45897281781371085</v>
      </c>
      <c r="Q12" s="829" t="s">
        <v>1598</v>
      </c>
    </row>
    <row r="13" spans="2:30">
      <c r="B13" s="820">
        <v>5</v>
      </c>
      <c r="C13" s="805" t="s">
        <v>1602</v>
      </c>
      <c r="D13" s="821">
        <v>0.08</v>
      </c>
      <c r="E13" s="821">
        <v>1.8</v>
      </c>
      <c r="F13" s="821">
        <v>1.3733</v>
      </c>
      <c r="G13" s="821">
        <v>7.9466000000000001</v>
      </c>
      <c r="H13" s="821">
        <v>3.7634999999999996</v>
      </c>
      <c r="I13" s="822">
        <v>0.379</v>
      </c>
      <c r="J13" s="823">
        <v>2.7404791378431512</v>
      </c>
      <c r="K13" s="823">
        <v>8.2000000000000003E-2</v>
      </c>
      <c r="L13" s="824">
        <v>1.4071580153999999</v>
      </c>
      <c r="M13" s="825">
        <v>1.2490363766804398</v>
      </c>
      <c r="N13" s="826">
        <v>4.9180974814814826</v>
      </c>
      <c r="O13" s="827">
        <v>29.25</v>
      </c>
      <c r="P13" s="828">
        <v>0.40858040615384617</v>
      </c>
      <c r="Q13" s="829" t="s">
        <v>1598</v>
      </c>
    </row>
    <row r="14" spans="2:30">
      <c r="B14" s="820">
        <v>6</v>
      </c>
      <c r="C14" s="805" t="s">
        <v>1603</v>
      </c>
      <c r="D14" s="821">
        <v>0.08</v>
      </c>
      <c r="E14" s="821">
        <v>2</v>
      </c>
      <c r="F14" s="821">
        <v>1.5709</v>
      </c>
      <c r="G14" s="821">
        <v>6.4655000000000005</v>
      </c>
      <c r="H14" s="821">
        <v>3.86</v>
      </c>
      <c r="I14" s="822">
        <v>0.36599999999999999</v>
      </c>
      <c r="J14" s="823">
        <v>2.4571901457763063</v>
      </c>
      <c r="K14" s="823">
        <v>8.2000000000000003E-2</v>
      </c>
      <c r="L14" s="824">
        <v>1.3824190392</v>
      </c>
      <c r="M14" s="825">
        <v>0.99048636081359465</v>
      </c>
      <c r="N14" s="826">
        <v>5.5027020045199704</v>
      </c>
      <c r="O14" s="827">
        <v>24.95683</v>
      </c>
      <c r="P14" s="828">
        <v>0.40347231335598899</v>
      </c>
      <c r="Q14" s="829" t="s">
        <v>1598</v>
      </c>
    </row>
    <row r="15" spans="2:30">
      <c r="B15" s="820">
        <v>7</v>
      </c>
      <c r="C15" s="805" t="s">
        <v>1604</v>
      </c>
      <c r="D15" s="821">
        <v>0.08</v>
      </c>
      <c r="E15" s="821">
        <v>2.2599999999999998</v>
      </c>
      <c r="F15" s="821">
        <v>1.8277799999999997</v>
      </c>
      <c r="G15" s="821">
        <v>4.964652000000001</v>
      </c>
      <c r="H15" s="821">
        <v>3.9564999999999997</v>
      </c>
      <c r="I15" s="822">
        <v>0.36599999999999999</v>
      </c>
      <c r="J15" s="823">
        <v>2.164647824136384</v>
      </c>
      <c r="K15" s="823">
        <v>7.6999999999999999E-2</v>
      </c>
      <c r="L15" s="824">
        <v>1.4116418747999999</v>
      </c>
      <c r="M15" s="825">
        <v>0.67372120357367227</v>
      </c>
      <c r="N15" s="826">
        <v>3.7428955754092903</v>
      </c>
      <c r="O15" s="827">
        <v>19.642645638000001</v>
      </c>
      <c r="P15" s="828">
        <v>0.31156710466975907</v>
      </c>
      <c r="Q15" s="829" t="s">
        <v>1598</v>
      </c>
    </row>
    <row r="16" spans="2:30">
      <c r="B16" s="832">
        <v>8</v>
      </c>
      <c r="C16" s="833" t="s">
        <v>1605</v>
      </c>
      <c r="D16" s="825">
        <v>0.08</v>
      </c>
      <c r="E16" s="825">
        <v>2.4700000000000002</v>
      </c>
      <c r="F16" s="825">
        <v>2.0352600000000001</v>
      </c>
      <c r="G16" s="825">
        <v>4.0957400000000002</v>
      </c>
      <c r="H16" s="825">
        <v>4.3425000000000002</v>
      </c>
      <c r="I16" s="822">
        <v>0.34799999999999998</v>
      </c>
      <c r="J16" s="823">
        <v>2.1336340320155656</v>
      </c>
      <c r="K16" s="823">
        <v>8.2000000000000003E-2</v>
      </c>
      <c r="L16" s="824">
        <v>1.3889170680000003</v>
      </c>
      <c r="M16" s="825">
        <v>0.66043221825285359</v>
      </c>
      <c r="N16" s="826">
        <v>3.6690678791825202</v>
      </c>
      <c r="O16" s="827">
        <v>17.785750950000001</v>
      </c>
      <c r="P16" s="834">
        <v>0.30986578432386647</v>
      </c>
      <c r="Q16" s="829" t="s">
        <v>1598</v>
      </c>
    </row>
    <row r="17" spans="2:20">
      <c r="B17" s="835"/>
      <c r="C17" s="835"/>
      <c r="D17" s="835"/>
      <c r="E17" s="835"/>
      <c r="F17" s="835"/>
      <c r="G17" s="835"/>
      <c r="H17" s="835"/>
      <c r="I17" s="835"/>
      <c r="J17" s="835"/>
      <c r="K17" s="835"/>
      <c r="L17" s="835"/>
      <c r="M17" s="835"/>
      <c r="N17" s="835"/>
      <c r="O17" s="835"/>
      <c r="P17" s="835"/>
      <c r="Q17" s="835"/>
    </row>
    <row r="18" spans="2:20">
      <c r="B18" s="835"/>
      <c r="C18" s="835"/>
      <c r="D18" s="835"/>
      <c r="E18" s="835"/>
      <c r="F18" s="835"/>
      <c r="G18" s="835"/>
      <c r="H18" s="835"/>
      <c r="I18" s="835"/>
      <c r="J18" s="835"/>
      <c r="K18" s="835"/>
      <c r="L18" s="835"/>
      <c r="M18" s="835"/>
      <c r="N18" s="835"/>
      <c r="O18" s="835"/>
      <c r="P18" s="835"/>
      <c r="Q18" s="835"/>
    </row>
    <row r="19" spans="2:20">
      <c r="B19" s="835"/>
      <c r="C19" s="835"/>
      <c r="D19" s="835"/>
      <c r="E19" s="835"/>
      <c r="F19" s="835"/>
      <c r="G19" s="835"/>
      <c r="H19" s="835"/>
      <c r="I19" s="835"/>
      <c r="J19" s="835"/>
      <c r="K19" s="835"/>
      <c r="L19" s="835"/>
      <c r="M19" s="835"/>
      <c r="N19" s="835"/>
      <c r="O19" s="835"/>
      <c r="P19" s="835"/>
      <c r="Q19" s="835"/>
    </row>
    <row r="20" spans="2:20">
      <c r="B20" s="835"/>
      <c r="C20" s="835"/>
      <c r="D20" s="835"/>
      <c r="E20" s="835"/>
      <c r="F20" s="835"/>
      <c r="G20" s="835"/>
      <c r="H20" s="835"/>
      <c r="I20" s="835"/>
      <c r="J20" s="835"/>
      <c r="K20" s="835"/>
      <c r="L20" s="835"/>
      <c r="M20" s="835"/>
      <c r="N20" s="835"/>
      <c r="O20" s="835"/>
      <c r="P20" s="835"/>
      <c r="Q20" s="835"/>
    </row>
    <row r="21" spans="2:20">
      <c r="B21" s="802" t="s">
        <v>1606</v>
      </c>
      <c r="C21" s="803"/>
      <c r="D21" s="803"/>
      <c r="E21" s="803"/>
      <c r="F21" s="803"/>
      <c r="G21" s="803"/>
      <c r="H21" s="803"/>
      <c r="I21" s="803"/>
      <c r="J21" s="803"/>
      <c r="K21" s="803"/>
      <c r="L21" s="803"/>
      <c r="M21" s="803"/>
      <c r="N21" s="803"/>
      <c r="O21" s="803"/>
      <c r="P21" s="803"/>
      <c r="Q21" s="803"/>
    </row>
    <row r="22" spans="2:20">
      <c r="B22" s="804"/>
      <c r="C22" s="805"/>
      <c r="D22" s="806" t="s">
        <v>1571</v>
      </c>
      <c r="E22" s="805"/>
      <c r="F22" s="805"/>
      <c r="G22" s="926" t="s">
        <v>1122</v>
      </c>
      <c r="H22" s="806" t="s">
        <v>1572</v>
      </c>
      <c r="I22" s="807"/>
      <c r="J22" s="807" t="s">
        <v>1573</v>
      </c>
      <c r="K22" s="807" t="s">
        <v>1123</v>
      </c>
      <c r="L22" s="808" t="s">
        <v>1092</v>
      </c>
      <c r="M22" s="807" t="s">
        <v>1574</v>
      </c>
      <c r="N22" s="807" t="s">
        <v>1124</v>
      </c>
      <c r="O22" s="807" t="s">
        <v>1209</v>
      </c>
      <c r="P22" s="809" t="s">
        <v>1575</v>
      </c>
      <c r="Q22" s="810" t="s">
        <v>1576</v>
      </c>
    </row>
    <row r="23" spans="2:20">
      <c r="B23" s="811" t="s">
        <v>1121</v>
      </c>
      <c r="C23" s="812" t="s">
        <v>1577</v>
      </c>
      <c r="D23" s="811" t="s">
        <v>1578</v>
      </c>
      <c r="E23" s="811" t="s">
        <v>824</v>
      </c>
      <c r="F23" s="811" t="s">
        <v>1225</v>
      </c>
      <c r="G23" s="927"/>
      <c r="H23" s="811" t="s">
        <v>1579</v>
      </c>
      <c r="I23" s="811" t="s">
        <v>1125</v>
      </c>
      <c r="J23" s="811" t="s">
        <v>1580</v>
      </c>
      <c r="K23" s="811" t="s">
        <v>1581</v>
      </c>
      <c r="L23" s="813" t="s">
        <v>1582</v>
      </c>
      <c r="M23" s="811" t="s">
        <v>1583</v>
      </c>
      <c r="N23" s="811" t="s">
        <v>1584</v>
      </c>
      <c r="O23" s="811" t="s">
        <v>1584</v>
      </c>
      <c r="P23" s="814" t="s">
        <v>1553</v>
      </c>
      <c r="Q23" s="815" t="s">
        <v>1585</v>
      </c>
    </row>
    <row r="24" spans="2:20">
      <c r="B24" s="805"/>
      <c r="C24" s="805"/>
      <c r="D24" s="816"/>
      <c r="E24" s="816" t="s">
        <v>1607</v>
      </c>
      <c r="F24" s="816" t="s">
        <v>1607</v>
      </c>
      <c r="G24" s="816" t="s">
        <v>1588</v>
      </c>
      <c r="H24" s="816" t="s">
        <v>1589</v>
      </c>
      <c r="I24" s="816" t="s">
        <v>1590</v>
      </c>
      <c r="J24" s="816" t="s">
        <v>1573</v>
      </c>
      <c r="K24" s="816" t="s">
        <v>1573</v>
      </c>
      <c r="L24" s="817" t="s">
        <v>1591</v>
      </c>
      <c r="M24" s="816" t="s">
        <v>1591</v>
      </c>
      <c r="N24" s="816" t="s">
        <v>1592</v>
      </c>
      <c r="O24" s="816" t="s">
        <v>1592</v>
      </c>
      <c r="P24" s="818"/>
      <c r="Q24" s="819"/>
    </row>
    <row r="25" spans="2:20">
      <c r="B25" s="820">
        <v>0</v>
      </c>
      <c r="C25" s="805" t="s">
        <v>1608</v>
      </c>
      <c r="D25" s="821">
        <v>2.2999999999999998</v>
      </c>
      <c r="E25" s="821">
        <v>1.72</v>
      </c>
      <c r="F25" s="821">
        <v>1.3742999999999999</v>
      </c>
      <c r="G25" s="821">
        <v>8.3108000000000004</v>
      </c>
      <c r="H25" s="821">
        <v>3</v>
      </c>
      <c r="I25" s="822">
        <v>0.41399999999999998</v>
      </c>
      <c r="J25" s="823">
        <v>2.1829294913774286</v>
      </c>
      <c r="K25" s="823">
        <v>0.11323633000000001</v>
      </c>
      <c r="L25" s="824">
        <v>1.3093793295</v>
      </c>
      <c r="M25" s="825">
        <v>0.6946273911994626</v>
      </c>
      <c r="N25" s="826">
        <v>3.8590410622192368</v>
      </c>
      <c r="O25" s="827">
        <v>24.932400000000001</v>
      </c>
      <c r="P25" s="828">
        <v>0.328081082127053</v>
      </c>
      <c r="Q25" s="829" t="s">
        <v>1598</v>
      </c>
    </row>
    <row r="26" spans="2:20">
      <c r="B26" s="820">
        <v>1</v>
      </c>
      <c r="C26" s="805" t="s">
        <v>1609</v>
      </c>
      <c r="D26" s="821">
        <v>1.7</v>
      </c>
      <c r="E26" s="821">
        <v>1.72</v>
      </c>
      <c r="F26" s="821">
        <v>1.3891880000000001</v>
      </c>
      <c r="G26" s="821">
        <v>8.3108000000000004</v>
      </c>
      <c r="H26" s="821">
        <v>3</v>
      </c>
      <c r="I26" s="822">
        <v>0.41399999999999998</v>
      </c>
      <c r="J26" s="823">
        <v>2.1595349225590774</v>
      </c>
      <c r="K26" s="823">
        <v>0.11323633000000001</v>
      </c>
      <c r="L26" s="824">
        <v>1.3093793295</v>
      </c>
      <c r="M26" s="825">
        <v>0.68836841560145035</v>
      </c>
      <c r="N26" s="826">
        <v>3.824268975563613</v>
      </c>
      <c r="O26" s="827">
        <v>24.932400000000001</v>
      </c>
      <c r="P26" s="828">
        <v>0.3260888718776187</v>
      </c>
      <c r="Q26" s="829" t="s">
        <v>1598</v>
      </c>
      <c r="S26" s="684" t="s">
        <v>1596</v>
      </c>
      <c r="T26" s="9">
        <v>0.91449999999999998</v>
      </c>
    </row>
    <row r="27" spans="2:20">
      <c r="B27" s="820">
        <v>2</v>
      </c>
      <c r="C27" s="805" t="s">
        <v>1610</v>
      </c>
      <c r="D27" s="821">
        <v>0.08</v>
      </c>
      <c r="E27" s="821">
        <v>1.72</v>
      </c>
      <c r="F27" s="821">
        <v>1.4132880000000001</v>
      </c>
      <c r="G27" s="821">
        <v>8.3108000000000004</v>
      </c>
      <c r="H27" s="821">
        <v>3</v>
      </c>
      <c r="I27" s="822">
        <v>0.41399999999999998</v>
      </c>
      <c r="J27" s="823">
        <v>2.1227095963455431</v>
      </c>
      <c r="K27" s="823">
        <v>0.11323633000000001</v>
      </c>
      <c r="L27" s="824">
        <v>1.3093793295</v>
      </c>
      <c r="M27" s="825">
        <v>0.69780919108283135</v>
      </c>
      <c r="N27" s="826">
        <v>3.8767177282379519</v>
      </c>
      <c r="O27" s="827">
        <v>24.932400000000001</v>
      </c>
      <c r="P27" s="828">
        <v>0.32908932891020765</v>
      </c>
      <c r="Q27" s="829" t="s">
        <v>1598</v>
      </c>
      <c r="S27" s="684" t="s">
        <v>1599</v>
      </c>
      <c r="T27" s="9">
        <v>-0.17330000000000001</v>
      </c>
    </row>
    <row r="28" spans="2:20">
      <c r="B28" s="820">
        <v>3</v>
      </c>
      <c r="C28" s="805" t="s">
        <v>1611</v>
      </c>
      <c r="D28" s="821">
        <v>0.08</v>
      </c>
      <c r="E28" s="821">
        <v>1.8</v>
      </c>
      <c r="F28" s="821">
        <v>1.48512</v>
      </c>
      <c r="G28" s="821">
        <v>7.7987000000000002</v>
      </c>
      <c r="H28" s="821">
        <v>3</v>
      </c>
      <c r="I28" s="822">
        <v>0.41399999999999998</v>
      </c>
      <c r="J28" s="823">
        <v>2.020038784744667</v>
      </c>
      <c r="K28" s="823">
        <v>0.11323633000000001</v>
      </c>
      <c r="L28" s="824">
        <v>1.3093793295</v>
      </c>
      <c r="M28" s="825">
        <v>0.59513837948195503</v>
      </c>
      <c r="N28" s="826">
        <v>3.3063243304553058</v>
      </c>
      <c r="O28" s="827">
        <v>23.396100000000001</v>
      </c>
      <c r="P28" s="828">
        <v>0.29495090481009684</v>
      </c>
      <c r="Q28" s="829" t="s">
        <v>1598</v>
      </c>
    </row>
    <row r="29" spans="2:20">
      <c r="B29" s="820">
        <v>4</v>
      </c>
      <c r="C29" s="805" t="s">
        <v>1612</v>
      </c>
      <c r="D29" s="821">
        <v>0.08</v>
      </c>
      <c r="E29" s="821">
        <v>2</v>
      </c>
      <c r="F29" s="830">
        <v>1.6647000000000001</v>
      </c>
      <c r="G29" s="830">
        <v>6.2624000000000004</v>
      </c>
      <c r="H29" s="821">
        <v>3.3</v>
      </c>
      <c r="I29" s="822">
        <v>0.41600000000000004</v>
      </c>
      <c r="J29" s="823">
        <v>1.9823391602090465</v>
      </c>
      <c r="K29" s="823">
        <v>0.16322645599999999</v>
      </c>
      <c r="L29" s="824">
        <v>1.4174959548000001</v>
      </c>
      <c r="M29" s="825">
        <v>0.39933200364633448</v>
      </c>
      <c r="N29" s="826">
        <v>2.2185111313685248</v>
      </c>
      <c r="O29" s="827">
        <v>20.66592</v>
      </c>
      <c r="P29" s="828">
        <v>0.20167728762039916</v>
      </c>
      <c r="Q29" s="829" t="s">
        <v>1598</v>
      </c>
    </row>
    <row r="30" spans="2:20">
      <c r="B30" s="820">
        <v>5</v>
      </c>
      <c r="C30" s="805" t="s">
        <v>1613</v>
      </c>
      <c r="D30" s="821">
        <v>0.08</v>
      </c>
      <c r="E30" s="821">
        <v>2.2000000000000002</v>
      </c>
      <c r="F30" s="830">
        <v>1.8442800000000001</v>
      </c>
      <c r="G30" s="830">
        <v>4.7261000000000006</v>
      </c>
      <c r="H30" s="821">
        <v>3.4146919431279623</v>
      </c>
      <c r="I30" s="822">
        <v>0.3863507109004739</v>
      </c>
      <c r="J30" s="823">
        <v>1.8515040791680015</v>
      </c>
      <c r="K30" s="823">
        <v>0.153667647450237</v>
      </c>
      <c r="L30" s="824">
        <v>1.3367671165023696</v>
      </c>
      <c r="M30" s="825">
        <v>0.35878456945268311</v>
      </c>
      <c r="N30" s="826">
        <v>1.9932476080704618</v>
      </c>
      <c r="O30" s="827">
        <v>16.138175592417063</v>
      </c>
      <c r="P30" s="828">
        <v>0.19401947782580803</v>
      </c>
      <c r="Q30" s="829" t="s">
        <v>1598</v>
      </c>
    </row>
    <row r="31" spans="2:20">
      <c r="B31" s="820">
        <v>6</v>
      </c>
      <c r="C31" s="805" t="s">
        <v>1614</v>
      </c>
      <c r="D31" s="821">
        <v>0.08</v>
      </c>
      <c r="E31" s="821">
        <v>2.4</v>
      </c>
      <c r="F31" s="830">
        <v>2.02386</v>
      </c>
      <c r="G31" s="830">
        <v>4.4188400000000003</v>
      </c>
      <c r="H31" s="821">
        <v>3.6</v>
      </c>
      <c r="I31" s="822">
        <v>0.38700000000000001</v>
      </c>
      <c r="J31" s="823">
        <v>1.778779164566719</v>
      </c>
      <c r="K31" s="823">
        <v>0.16382397200000001</v>
      </c>
      <c r="L31" s="824">
        <v>1.4092599960000003</v>
      </c>
      <c r="M31" s="825">
        <v>0.20341045080400677</v>
      </c>
      <c r="N31" s="826">
        <v>1.1300580600222598</v>
      </c>
      <c r="O31" s="827">
        <v>15.907824000000002</v>
      </c>
      <c r="P31" s="828">
        <v>0.11450103566379297</v>
      </c>
      <c r="Q31" s="829" t="s">
        <v>1598</v>
      </c>
    </row>
    <row r="32" spans="2:20">
      <c r="B32" s="820">
        <v>7</v>
      </c>
      <c r="C32" s="805" t="s">
        <v>1615</v>
      </c>
      <c r="D32" s="821">
        <v>0.08</v>
      </c>
      <c r="E32" s="821">
        <v>2.6</v>
      </c>
      <c r="F32" s="821">
        <v>2.2034400000000001</v>
      </c>
      <c r="G32" s="821">
        <v>4.0091599999999996</v>
      </c>
      <c r="H32" s="821">
        <v>3.8340909090909094</v>
      </c>
      <c r="I32" s="822">
        <v>0.3619772727272727</v>
      </c>
      <c r="J32" s="823">
        <v>1.7400477930376634</v>
      </c>
      <c r="K32" s="823">
        <v>0.1668235398863637</v>
      </c>
      <c r="L32" s="824">
        <v>1.3653604662818182</v>
      </c>
      <c r="M32" s="825">
        <v>0.20557904110676961</v>
      </c>
      <c r="N32" s="826">
        <v>1.1421057839264979</v>
      </c>
      <c r="O32" s="827">
        <v>15.371483909090909</v>
      </c>
      <c r="P32" s="828">
        <v>0.11830096250990343</v>
      </c>
      <c r="Q32" s="829" t="s">
        <v>1598</v>
      </c>
    </row>
    <row r="33" spans="2:22">
      <c r="B33" s="820">
        <v>8</v>
      </c>
      <c r="C33" s="805" t="s">
        <v>1616</v>
      </c>
      <c r="D33" s="821">
        <v>0.08</v>
      </c>
      <c r="E33" s="821">
        <v>2.89</v>
      </c>
      <c r="F33" s="821">
        <v>2.4638310000000003</v>
      </c>
      <c r="G33" s="821">
        <v>3.3946400000000003</v>
      </c>
      <c r="H33" s="821">
        <v>3.9</v>
      </c>
      <c r="I33" s="822">
        <v>0.35899999999999999</v>
      </c>
      <c r="J33" s="823">
        <v>1.5829007752560948</v>
      </c>
      <c r="K33" s="823">
        <v>0.155</v>
      </c>
      <c r="L33" s="824">
        <v>1.3813305461999998</v>
      </c>
      <c r="M33" s="825">
        <v>4.4285483293383117E-2</v>
      </c>
      <c r="N33" s="826">
        <v>0.24603046274101734</v>
      </c>
      <c r="O33" s="827">
        <v>13.239096000000002</v>
      </c>
      <c r="P33" s="828">
        <v>2.8017862951559107E-2</v>
      </c>
      <c r="Q33" s="829" t="s">
        <v>1598</v>
      </c>
    </row>
    <row r="38" spans="2:22">
      <c r="B38" s="684" t="s">
        <v>1617</v>
      </c>
    </row>
    <row r="43" spans="2:22">
      <c r="N43" s="802" t="s">
        <v>1570</v>
      </c>
      <c r="O43" s="803"/>
      <c r="P43" s="803"/>
      <c r="Q43" s="802"/>
      <c r="R43" s="802"/>
      <c r="S43" s="802"/>
    </row>
    <row r="44" spans="2:22">
      <c r="N44" s="804"/>
      <c r="O44" s="805"/>
      <c r="Q44" s="926" t="s">
        <v>825</v>
      </c>
      <c r="R44" s="926" t="s">
        <v>1122</v>
      </c>
    </row>
    <row r="45" spans="2:22">
      <c r="N45" s="811" t="s">
        <v>1121</v>
      </c>
      <c r="O45" s="812" t="s">
        <v>1577</v>
      </c>
      <c r="P45" s="684" t="s">
        <v>824</v>
      </c>
      <c r="Q45" s="927" t="s">
        <v>825</v>
      </c>
      <c r="R45" s="927"/>
    </row>
    <row r="46" spans="2:22">
      <c r="N46" s="805"/>
      <c r="O46" s="805"/>
      <c r="Q46" s="816"/>
      <c r="R46" s="816"/>
    </row>
    <row r="47" spans="2:22">
      <c r="N47" s="820">
        <v>0</v>
      </c>
      <c r="O47" s="805" t="s">
        <v>1593</v>
      </c>
      <c r="P47" s="836">
        <f>E8</f>
        <v>1.26</v>
      </c>
      <c r="Q47" s="36">
        <v>9.5</v>
      </c>
      <c r="R47" s="836">
        <f>G8</f>
        <v>9.9214000000000002</v>
      </c>
      <c r="U47" s="684" t="s">
        <v>1596</v>
      </c>
      <c r="V47" s="9">
        <v>0.9889</v>
      </c>
    </row>
    <row r="48" spans="2:22">
      <c r="N48" s="820">
        <v>1</v>
      </c>
      <c r="O48" s="805" t="s">
        <v>1595</v>
      </c>
      <c r="P48" s="836">
        <f t="shared" ref="P48:P55" si="0">E9</f>
        <v>1.4</v>
      </c>
      <c r="Q48" s="36">
        <v>9.5</v>
      </c>
      <c r="R48" s="836">
        <f t="shared" ref="R48:R55" si="1">G9</f>
        <v>9.9214000000000002</v>
      </c>
      <c r="U48" s="684" t="s">
        <v>1599</v>
      </c>
      <c r="V48" s="9">
        <v>0.52810000000000001</v>
      </c>
    </row>
    <row r="49" spans="14:22">
      <c r="N49" s="820">
        <v>2</v>
      </c>
      <c r="O49" s="805" t="s">
        <v>1597</v>
      </c>
      <c r="P49" s="836">
        <f t="shared" si="0"/>
        <v>1.72</v>
      </c>
      <c r="Q49" s="36">
        <v>8</v>
      </c>
      <c r="R49" s="836">
        <f t="shared" si="1"/>
        <v>8.4403000000000006</v>
      </c>
    </row>
    <row r="50" spans="14:22">
      <c r="N50" s="820">
        <v>3</v>
      </c>
      <c r="O50" s="805" t="s">
        <v>1600</v>
      </c>
      <c r="P50" s="836">
        <f t="shared" si="0"/>
        <v>1.8</v>
      </c>
      <c r="Q50" s="36">
        <v>7.5</v>
      </c>
      <c r="R50" s="836">
        <f t="shared" si="1"/>
        <v>7.9466000000000001</v>
      </c>
    </row>
    <row r="51" spans="14:22">
      <c r="N51" s="820">
        <v>4</v>
      </c>
      <c r="O51" s="805" t="s">
        <v>1601</v>
      </c>
      <c r="P51" s="836">
        <f t="shared" si="0"/>
        <v>1.8</v>
      </c>
      <c r="Q51" s="36">
        <v>7.5</v>
      </c>
      <c r="R51" s="836">
        <f t="shared" si="1"/>
        <v>7.9466000000000001</v>
      </c>
    </row>
    <row r="52" spans="14:22">
      <c r="N52" s="820">
        <v>5</v>
      </c>
      <c r="O52" s="805" t="s">
        <v>1602</v>
      </c>
      <c r="P52" s="836">
        <f t="shared" si="0"/>
        <v>1.8</v>
      </c>
      <c r="Q52" s="36">
        <v>7.5</v>
      </c>
      <c r="R52" s="836">
        <f t="shared" si="1"/>
        <v>7.9466000000000001</v>
      </c>
    </row>
    <row r="53" spans="14:22" ht="30.75" customHeight="1">
      <c r="N53" s="820">
        <v>6</v>
      </c>
      <c r="O53" s="805" t="s">
        <v>1603</v>
      </c>
      <c r="P53" s="836">
        <f t="shared" si="0"/>
        <v>2</v>
      </c>
      <c r="Q53" s="36">
        <v>6</v>
      </c>
      <c r="R53" s="836">
        <f t="shared" si="1"/>
        <v>6.4655000000000005</v>
      </c>
    </row>
    <row r="54" spans="14:22">
      <c r="N54" s="820">
        <v>7</v>
      </c>
      <c r="O54" s="805" t="s">
        <v>1604</v>
      </c>
      <c r="P54" s="836">
        <f t="shared" si="0"/>
        <v>2.2599999999999998</v>
      </c>
      <c r="Q54" s="36">
        <v>4.5</v>
      </c>
      <c r="R54" s="836">
        <f t="shared" si="1"/>
        <v>4.964652000000001</v>
      </c>
    </row>
    <row r="55" spans="14:22">
      <c r="N55" s="832">
        <v>8</v>
      </c>
      <c r="O55" s="833" t="s">
        <v>1605</v>
      </c>
      <c r="P55" s="836">
        <f t="shared" si="0"/>
        <v>2.4700000000000002</v>
      </c>
      <c r="Q55" s="36">
        <v>3.6</v>
      </c>
      <c r="R55" s="836">
        <f t="shared" si="1"/>
        <v>4.0957400000000002</v>
      </c>
    </row>
    <row r="57" spans="14:22">
      <c r="N57" s="802" t="s">
        <v>1606</v>
      </c>
      <c r="O57" s="803"/>
      <c r="P57" s="803"/>
      <c r="Q57" s="803"/>
      <c r="R57" s="803"/>
      <c r="S57" s="803"/>
    </row>
    <row r="58" spans="14:22">
      <c r="N58" s="804"/>
      <c r="O58" s="805"/>
      <c r="Q58" s="926" t="s">
        <v>825</v>
      </c>
      <c r="R58" s="926" t="s">
        <v>1122</v>
      </c>
    </row>
    <row r="59" spans="14:22">
      <c r="N59" s="811" t="s">
        <v>1121</v>
      </c>
      <c r="O59" s="812" t="s">
        <v>1577</v>
      </c>
      <c r="P59" s="684" t="s">
        <v>824</v>
      </c>
      <c r="Q59" s="927" t="s">
        <v>825</v>
      </c>
      <c r="R59" s="927"/>
    </row>
    <row r="60" spans="14:22">
      <c r="N60" s="805"/>
      <c r="O60" s="805"/>
    </row>
    <row r="61" spans="14:22">
      <c r="N61" s="820">
        <v>0</v>
      </c>
      <c r="O61" s="805" t="s">
        <v>1608</v>
      </c>
      <c r="P61" s="836">
        <f>E25</f>
        <v>1.72</v>
      </c>
      <c r="Q61" s="9">
        <v>8</v>
      </c>
      <c r="R61" s="836">
        <f>G25</f>
        <v>8.3108000000000004</v>
      </c>
    </row>
    <row r="62" spans="14:22" ht="39.75" customHeight="1">
      <c r="N62" s="820">
        <v>1</v>
      </c>
      <c r="O62" s="805" t="s">
        <v>1609</v>
      </c>
      <c r="P62" s="836">
        <f t="shared" ref="P62:P69" si="2">E26</f>
        <v>1.72</v>
      </c>
      <c r="Q62" s="9">
        <v>8</v>
      </c>
      <c r="R62" s="836">
        <f t="shared" ref="R62:R69" si="3">G26</f>
        <v>8.3108000000000004</v>
      </c>
    </row>
    <row r="63" spans="14:22">
      <c r="N63" s="820">
        <v>2</v>
      </c>
      <c r="O63" s="805" t="s">
        <v>1610</v>
      </c>
      <c r="P63" s="836">
        <f t="shared" si="2"/>
        <v>1.72</v>
      </c>
      <c r="Q63" s="9">
        <v>8</v>
      </c>
      <c r="R63" s="836">
        <f t="shared" si="3"/>
        <v>8.3108000000000004</v>
      </c>
      <c r="U63" s="684" t="s">
        <v>1596</v>
      </c>
      <c r="V63" s="9">
        <v>1.0242</v>
      </c>
    </row>
    <row r="64" spans="14:22">
      <c r="N64" s="820">
        <v>3</v>
      </c>
      <c r="O64" s="805" t="s">
        <v>1611</v>
      </c>
      <c r="P64" s="836">
        <f t="shared" si="2"/>
        <v>1.8</v>
      </c>
      <c r="Q64" s="9">
        <v>7.5</v>
      </c>
      <c r="R64" s="836">
        <f t="shared" si="3"/>
        <v>7.7987000000000002</v>
      </c>
      <c r="U64" s="684" t="s">
        <v>1599</v>
      </c>
      <c r="V64" s="9">
        <v>0.1172</v>
      </c>
    </row>
    <row r="65" spans="2:26">
      <c r="N65" s="820">
        <v>4</v>
      </c>
      <c r="O65" s="805" t="s">
        <v>1612</v>
      </c>
      <c r="P65" s="836">
        <f t="shared" si="2"/>
        <v>2</v>
      </c>
      <c r="Q65" s="9">
        <v>6</v>
      </c>
      <c r="R65" s="836">
        <f t="shared" si="3"/>
        <v>6.2624000000000004</v>
      </c>
    </row>
    <row r="66" spans="2:26">
      <c r="N66" s="820">
        <v>5</v>
      </c>
      <c r="O66" s="805" t="s">
        <v>1613</v>
      </c>
      <c r="P66" s="836">
        <f t="shared" si="2"/>
        <v>2.2000000000000002</v>
      </c>
      <c r="Q66" s="9">
        <v>4.5</v>
      </c>
      <c r="R66" s="836">
        <f t="shared" si="3"/>
        <v>4.7261000000000006</v>
      </c>
    </row>
    <row r="67" spans="2:26">
      <c r="N67" s="820">
        <v>6</v>
      </c>
      <c r="O67" s="805" t="s">
        <v>1614</v>
      </c>
      <c r="P67" s="836">
        <f t="shared" si="2"/>
        <v>2.4</v>
      </c>
      <c r="Q67" s="9">
        <v>4.2</v>
      </c>
      <c r="R67" s="836">
        <f t="shared" si="3"/>
        <v>4.4188400000000003</v>
      </c>
    </row>
    <row r="68" spans="2:26">
      <c r="N68" s="820">
        <v>7</v>
      </c>
      <c r="O68" s="805" t="s">
        <v>1615</v>
      </c>
      <c r="P68" s="836">
        <f t="shared" si="2"/>
        <v>2.6</v>
      </c>
      <c r="Q68" s="9">
        <v>3.8</v>
      </c>
      <c r="R68" s="836">
        <f t="shared" si="3"/>
        <v>4.0091599999999996</v>
      </c>
    </row>
    <row r="69" spans="2:26">
      <c r="N69" s="820">
        <v>8</v>
      </c>
      <c r="O69" s="805" t="s">
        <v>1616</v>
      </c>
      <c r="P69" s="836">
        <f t="shared" si="2"/>
        <v>2.89</v>
      </c>
      <c r="Q69" s="9">
        <v>3.2</v>
      </c>
      <c r="R69" s="836">
        <f t="shared" si="3"/>
        <v>3.3946400000000003</v>
      </c>
    </row>
    <row r="74" spans="2:26">
      <c r="B74" s="837"/>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2:26">
      <c r="B75" s="837"/>
      <c r="C75" s="54"/>
      <c r="D75" s="54"/>
      <c r="E75" s="54"/>
      <c r="F75" s="54"/>
      <c r="G75" s="54"/>
      <c r="H75" s="837"/>
      <c r="I75" s="54"/>
      <c r="J75" s="837"/>
      <c r="K75" s="837"/>
      <c r="L75" s="54"/>
      <c r="M75" s="54"/>
      <c r="N75" s="54"/>
      <c r="O75" s="54"/>
      <c r="P75" s="54"/>
      <c r="Q75" s="54"/>
      <c r="R75" s="54"/>
      <c r="S75" s="54"/>
      <c r="T75" s="54"/>
      <c r="U75" s="54"/>
      <c r="V75" s="54"/>
      <c r="W75" s="54"/>
      <c r="X75" s="54"/>
      <c r="Y75" s="54"/>
      <c r="Z75" s="54"/>
    </row>
    <row r="76" spans="2:26">
      <c r="B76" s="837"/>
      <c r="C76" s="54"/>
      <c r="D76" s="54"/>
      <c r="E76" s="54"/>
      <c r="F76" s="54"/>
      <c r="G76" s="54"/>
      <c r="H76" s="54"/>
      <c r="I76" s="838"/>
      <c r="J76" s="839"/>
      <c r="K76" s="839"/>
      <c r="L76" s="54"/>
      <c r="M76" s="54"/>
      <c r="N76" s="54"/>
      <c r="O76" s="54"/>
      <c r="P76" s="54"/>
      <c r="Q76" s="54"/>
      <c r="R76" s="54"/>
      <c r="S76" s="54"/>
      <c r="T76" s="54"/>
      <c r="U76" s="54"/>
      <c r="V76" s="54"/>
      <c r="W76" s="54"/>
      <c r="X76" s="54"/>
      <c r="Y76" s="54"/>
      <c r="Z76" s="54"/>
    </row>
    <row r="77" spans="2:26">
      <c r="B77" s="837"/>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2:26">
      <c r="B78" s="837"/>
      <c r="C78" s="54"/>
      <c r="D78" s="54"/>
      <c r="E78" s="54"/>
      <c r="F78" s="54"/>
      <c r="G78" s="54"/>
      <c r="H78" s="54"/>
      <c r="I78" s="54"/>
      <c r="J78" s="840"/>
      <c r="K78" s="54"/>
      <c r="L78" s="54"/>
      <c r="M78" s="54"/>
      <c r="N78" s="54"/>
      <c r="O78" s="54"/>
      <c r="P78" s="54"/>
      <c r="Q78" s="54"/>
      <c r="R78" s="54"/>
      <c r="S78" s="54"/>
      <c r="T78" s="54"/>
      <c r="U78" s="54"/>
      <c r="V78" s="54"/>
      <c r="W78" s="54"/>
      <c r="X78" s="54"/>
      <c r="Y78" s="54"/>
      <c r="Z78" s="54"/>
    </row>
    <row r="79" spans="2:26">
      <c r="B79" s="837"/>
      <c r="C79" s="54"/>
      <c r="D79" s="54"/>
      <c r="E79" s="54"/>
      <c r="F79" s="54"/>
      <c r="G79" s="54"/>
      <c r="H79" s="54"/>
      <c r="I79" s="54"/>
      <c r="J79" s="841"/>
      <c r="K79" s="842"/>
      <c r="L79" s="54"/>
      <c r="M79" s="54"/>
      <c r="N79" s="54"/>
      <c r="O79" s="54"/>
      <c r="P79" s="54"/>
      <c r="Q79" s="54"/>
      <c r="R79" s="54"/>
      <c r="S79" s="54"/>
      <c r="T79" s="54"/>
      <c r="U79" s="54"/>
      <c r="V79" s="54"/>
      <c r="W79" s="54"/>
      <c r="X79" s="54"/>
      <c r="Y79" s="54"/>
      <c r="Z79" s="54"/>
    </row>
    <row r="80" spans="2:26">
      <c r="B80" s="837"/>
      <c r="C80" s="54"/>
      <c r="D80" s="54"/>
      <c r="E80" s="840"/>
      <c r="F80" s="54"/>
      <c r="G80" s="54"/>
      <c r="H80" s="54"/>
      <c r="I80" s="54"/>
      <c r="J80" s="841"/>
      <c r="K80" s="842"/>
      <c r="L80" s="54"/>
      <c r="M80" s="54"/>
      <c r="N80" s="54"/>
      <c r="O80" s="54"/>
      <c r="P80" s="54"/>
      <c r="Q80" s="54"/>
      <c r="R80" s="840"/>
      <c r="S80" s="54"/>
      <c r="T80" s="54"/>
      <c r="U80" s="54"/>
      <c r="V80" s="54"/>
      <c r="W80" s="54"/>
      <c r="X80" s="54"/>
      <c r="Y80" s="54"/>
      <c r="Z80" s="54"/>
    </row>
    <row r="81" spans="2:26">
      <c r="B81" s="837"/>
      <c r="C81" s="54"/>
      <c r="D81" s="54"/>
      <c r="E81" s="841"/>
      <c r="F81" s="838"/>
      <c r="G81" s="54"/>
      <c r="H81" s="54"/>
      <c r="I81" s="54"/>
      <c r="J81" s="54"/>
      <c r="K81" s="54"/>
      <c r="L81" s="54"/>
      <c r="M81" s="54"/>
      <c r="N81" s="54"/>
      <c r="O81" s="54"/>
      <c r="P81" s="54"/>
      <c r="Q81" s="54"/>
      <c r="R81" s="841"/>
      <c r="S81" s="838"/>
      <c r="T81" s="54"/>
      <c r="U81" s="54"/>
      <c r="V81" s="54"/>
      <c r="W81" s="54"/>
      <c r="X81" s="54"/>
      <c r="Y81" s="54"/>
      <c r="Z81" s="54"/>
    </row>
    <row r="82" spans="2:26">
      <c r="B82" s="837"/>
      <c r="C82" s="54"/>
      <c r="D82" s="54"/>
      <c r="E82" s="841"/>
      <c r="F82" s="838"/>
      <c r="G82" s="54"/>
      <c r="H82" s="54"/>
      <c r="I82" s="54"/>
      <c r="J82" s="54"/>
      <c r="K82" s="54"/>
      <c r="L82" s="54"/>
      <c r="M82" s="54"/>
      <c r="N82" s="54"/>
      <c r="O82" s="54"/>
      <c r="P82" s="54"/>
      <c r="Q82" s="54"/>
      <c r="R82" s="841"/>
      <c r="S82" s="838"/>
      <c r="T82" s="54"/>
      <c r="U82" s="54"/>
      <c r="V82" s="54"/>
      <c r="W82" s="54"/>
      <c r="X82" s="54"/>
      <c r="Y82" s="54"/>
      <c r="Z82" s="54"/>
    </row>
    <row r="83" spans="2:26">
      <c r="B83" s="843"/>
      <c r="C83" s="844"/>
      <c r="D83" s="845"/>
      <c r="E83" s="846"/>
      <c r="F83" s="54"/>
      <c r="G83" s="54"/>
      <c r="H83" s="54"/>
      <c r="I83" s="54"/>
      <c r="J83" s="54"/>
      <c r="K83" s="54"/>
      <c r="L83" s="54"/>
      <c r="M83" s="54"/>
      <c r="N83" s="54"/>
      <c r="O83" s="54"/>
      <c r="P83" s="54"/>
      <c r="Q83" s="54"/>
      <c r="R83" s="54"/>
      <c r="S83" s="54"/>
      <c r="T83" s="54"/>
      <c r="U83" s="54"/>
      <c r="V83" s="54"/>
      <c r="W83" s="54"/>
      <c r="X83" s="54"/>
      <c r="Y83" s="54"/>
      <c r="Z83" s="54"/>
    </row>
    <row r="84" spans="2:26">
      <c r="B84" s="847"/>
      <c r="C84" s="848"/>
      <c r="D84" s="849"/>
      <c r="E84" s="54"/>
      <c r="F84" s="54"/>
      <c r="G84" s="54"/>
      <c r="H84" s="54"/>
      <c r="I84" s="54"/>
      <c r="J84" s="54"/>
      <c r="K84" s="54"/>
      <c r="L84" s="54"/>
      <c r="M84" s="54"/>
      <c r="N84" s="54"/>
      <c r="O84" s="54"/>
      <c r="P84" s="54"/>
      <c r="Q84" s="54"/>
      <c r="R84" s="54"/>
      <c r="S84" s="54"/>
      <c r="T84" s="54"/>
      <c r="U84" s="54"/>
      <c r="V84" s="54"/>
      <c r="W84" s="54"/>
      <c r="X84" s="54"/>
      <c r="Y84" s="54"/>
      <c r="Z84" s="54"/>
    </row>
    <row r="85" spans="2:26">
      <c r="B85" s="847"/>
      <c r="C85" s="848"/>
      <c r="D85" s="849"/>
      <c r="E85" s="849"/>
      <c r="F85" s="849"/>
      <c r="G85" s="849"/>
      <c r="H85" s="849"/>
      <c r="I85" s="849"/>
      <c r="J85" s="849"/>
      <c r="K85" s="849"/>
      <c r="L85" s="849"/>
      <c r="M85" s="54"/>
      <c r="N85" s="54"/>
      <c r="O85" s="54"/>
      <c r="P85" s="850"/>
      <c r="Q85" s="849"/>
      <c r="R85" s="849"/>
      <c r="S85" s="849"/>
      <c r="T85" s="849"/>
      <c r="U85" s="849"/>
      <c r="V85" s="849"/>
      <c r="W85" s="849"/>
      <c r="X85" s="849"/>
      <c r="Y85" s="849"/>
      <c r="Z85" s="54"/>
    </row>
    <row r="86" spans="2:26">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2:26">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2:26">
      <c r="B88" s="54"/>
      <c r="C88" s="54"/>
      <c r="D88" s="851"/>
      <c r="E88" s="851"/>
      <c r="F88" s="851"/>
      <c r="G88" s="851"/>
      <c r="H88" s="851"/>
      <c r="I88" s="851"/>
      <c r="J88" s="851"/>
      <c r="K88" s="851"/>
      <c r="L88" s="851"/>
      <c r="M88" s="851"/>
      <c r="N88" s="54"/>
      <c r="O88" s="54"/>
      <c r="P88" s="852"/>
      <c r="Q88" s="851"/>
      <c r="R88" s="851"/>
      <c r="S88" s="851"/>
      <c r="T88" s="851"/>
      <c r="U88" s="851"/>
      <c r="V88" s="851"/>
      <c r="W88" s="851"/>
      <c r="X88" s="851"/>
      <c r="Y88" s="851"/>
      <c r="Z88" s="54"/>
    </row>
    <row r="89" spans="2:26">
      <c r="B89" s="54"/>
      <c r="C89" s="54"/>
      <c r="D89" s="851"/>
      <c r="E89" s="851"/>
      <c r="F89" s="851"/>
      <c r="G89" s="851"/>
      <c r="H89" s="851"/>
      <c r="I89" s="851"/>
      <c r="J89" s="851"/>
      <c r="K89" s="851"/>
      <c r="L89" s="851"/>
      <c r="M89" s="851"/>
      <c r="N89" s="54"/>
      <c r="O89" s="54"/>
      <c r="P89" s="852"/>
      <c r="Q89" s="851"/>
      <c r="R89" s="851"/>
      <c r="S89" s="851"/>
      <c r="T89" s="851"/>
      <c r="U89" s="851"/>
      <c r="V89" s="851"/>
      <c r="W89" s="851"/>
      <c r="X89" s="851"/>
      <c r="Y89" s="851"/>
      <c r="Z89" s="54"/>
    </row>
    <row r="90" spans="2:26">
      <c r="B90" s="54"/>
      <c r="C90" s="54"/>
      <c r="D90" s="851"/>
      <c r="E90" s="851"/>
      <c r="F90" s="851"/>
      <c r="G90" s="851"/>
      <c r="H90" s="851"/>
      <c r="I90" s="851"/>
      <c r="J90" s="851"/>
      <c r="K90" s="851"/>
      <c r="L90" s="851"/>
      <c r="M90" s="851"/>
      <c r="N90" s="54"/>
      <c r="O90" s="54"/>
      <c r="P90" s="852"/>
      <c r="Q90" s="851"/>
      <c r="R90" s="851"/>
      <c r="S90" s="851"/>
      <c r="T90" s="851"/>
      <c r="U90" s="851"/>
      <c r="V90" s="851"/>
      <c r="W90" s="851"/>
      <c r="X90" s="851"/>
      <c r="Y90" s="851"/>
      <c r="Z90" s="54"/>
    </row>
    <row r="91" spans="2:26">
      <c r="B91" s="54"/>
      <c r="C91" s="54"/>
      <c r="D91" s="851"/>
      <c r="E91" s="851"/>
      <c r="F91" s="851"/>
      <c r="G91" s="851"/>
      <c r="H91" s="851"/>
      <c r="I91" s="851"/>
      <c r="J91" s="851"/>
      <c r="K91" s="851"/>
      <c r="L91" s="851"/>
      <c r="M91" s="851"/>
      <c r="N91" s="54"/>
      <c r="O91" s="54"/>
      <c r="P91" s="852"/>
      <c r="Q91" s="851"/>
      <c r="R91" s="851"/>
      <c r="S91" s="851"/>
      <c r="T91" s="851"/>
      <c r="U91" s="851"/>
      <c r="V91" s="851"/>
      <c r="W91" s="851"/>
      <c r="X91" s="851"/>
      <c r="Y91" s="851"/>
      <c r="Z91" s="54"/>
    </row>
    <row r="92" spans="2:26">
      <c r="B92" s="54"/>
      <c r="C92" s="54"/>
      <c r="D92" s="851"/>
      <c r="E92" s="851"/>
      <c r="F92" s="851"/>
      <c r="G92" s="851"/>
      <c r="H92" s="851"/>
      <c r="I92" s="851"/>
      <c r="J92" s="851"/>
      <c r="K92" s="851"/>
      <c r="L92" s="851"/>
      <c r="M92" s="851"/>
      <c r="N92" s="54"/>
      <c r="O92" s="54"/>
      <c r="P92" s="852"/>
      <c r="Q92" s="851"/>
      <c r="R92" s="851"/>
      <c r="S92" s="851"/>
      <c r="T92" s="851"/>
      <c r="U92" s="851"/>
      <c r="V92" s="851"/>
      <c r="W92" s="851"/>
      <c r="X92" s="851"/>
      <c r="Y92" s="851"/>
      <c r="Z92" s="54"/>
    </row>
    <row r="93" spans="2:26">
      <c r="B93" s="54"/>
      <c r="C93" s="54"/>
      <c r="D93" s="851"/>
      <c r="E93" s="851"/>
      <c r="F93" s="851"/>
      <c r="G93" s="851"/>
      <c r="H93" s="851"/>
      <c r="I93" s="851"/>
      <c r="J93" s="851"/>
      <c r="K93" s="851"/>
      <c r="L93" s="851"/>
      <c r="M93" s="851"/>
      <c r="N93" s="54"/>
      <c r="O93" s="54"/>
      <c r="P93" s="852"/>
      <c r="Q93" s="851"/>
      <c r="R93" s="851"/>
      <c r="S93" s="851"/>
      <c r="T93" s="851"/>
      <c r="U93" s="851"/>
      <c r="V93" s="851"/>
      <c r="W93" s="851"/>
      <c r="X93" s="851"/>
      <c r="Y93" s="851"/>
      <c r="Z93" s="54"/>
    </row>
    <row r="94" spans="2:26">
      <c r="B94" s="54"/>
      <c r="C94" s="54"/>
      <c r="D94" s="851"/>
      <c r="E94" s="851"/>
      <c r="F94" s="851"/>
      <c r="G94" s="851"/>
      <c r="H94" s="851"/>
      <c r="I94" s="851"/>
      <c r="J94" s="851"/>
      <c r="K94" s="851"/>
      <c r="L94" s="851"/>
      <c r="M94" s="851"/>
      <c r="N94" s="54"/>
      <c r="O94" s="54"/>
      <c r="P94" s="852"/>
      <c r="Q94" s="851"/>
      <c r="R94" s="851"/>
      <c r="S94" s="851"/>
      <c r="T94" s="851"/>
      <c r="U94" s="851"/>
      <c r="V94" s="851"/>
      <c r="W94" s="851"/>
      <c r="X94" s="851"/>
      <c r="Y94" s="851"/>
      <c r="Z94" s="54"/>
    </row>
    <row r="95" spans="2:26">
      <c r="B95" s="54"/>
      <c r="C95" s="54"/>
      <c r="D95" s="851"/>
      <c r="E95" s="851"/>
      <c r="F95" s="851"/>
      <c r="G95" s="851"/>
      <c r="H95" s="851"/>
      <c r="I95" s="851"/>
      <c r="J95" s="851"/>
      <c r="K95" s="851"/>
      <c r="L95" s="851"/>
      <c r="M95" s="851"/>
      <c r="N95" s="54"/>
      <c r="O95" s="54"/>
      <c r="P95" s="852"/>
      <c r="Q95" s="851"/>
      <c r="R95" s="851"/>
      <c r="S95" s="851"/>
      <c r="T95" s="851"/>
      <c r="U95" s="851"/>
      <c r="V95" s="851"/>
      <c r="W95" s="851"/>
      <c r="X95" s="851"/>
      <c r="Y95" s="851"/>
      <c r="Z95" s="54"/>
    </row>
    <row r="96" spans="2:26">
      <c r="B96" s="54"/>
      <c r="C96" s="54"/>
      <c r="D96" s="851"/>
      <c r="E96" s="851"/>
      <c r="F96" s="851"/>
      <c r="G96" s="851"/>
      <c r="H96" s="851"/>
      <c r="I96" s="851"/>
      <c r="J96" s="851"/>
      <c r="K96" s="851"/>
      <c r="L96" s="851"/>
      <c r="M96" s="851"/>
      <c r="N96" s="54"/>
      <c r="O96" s="54"/>
      <c r="P96" s="852"/>
      <c r="Q96" s="851"/>
      <c r="R96" s="851"/>
      <c r="S96" s="851"/>
      <c r="T96" s="851"/>
      <c r="U96" s="851"/>
      <c r="V96" s="851"/>
      <c r="W96" s="851"/>
      <c r="X96" s="851"/>
      <c r="Y96" s="851"/>
      <c r="Z96" s="54"/>
    </row>
    <row r="97" spans="2:26">
      <c r="B97" s="54"/>
      <c r="C97" s="54"/>
      <c r="D97" s="851"/>
      <c r="E97" s="851"/>
      <c r="F97" s="851"/>
      <c r="G97" s="851"/>
      <c r="H97" s="851"/>
      <c r="I97" s="851"/>
      <c r="J97" s="851"/>
      <c r="K97" s="851"/>
      <c r="L97" s="851"/>
      <c r="M97" s="851"/>
      <c r="N97" s="54"/>
      <c r="O97" s="54"/>
      <c r="P97" s="852"/>
      <c r="Q97" s="851"/>
      <c r="R97" s="851"/>
      <c r="S97" s="851"/>
      <c r="T97" s="851"/>
      <c r="U97" s="851"/>
      <c r="V97" s="851"/>
      <c r="W97" s="851"/>
      <c r="X97" s="851"/>
      <c r="Y97" s="851"/>
      <c r="Z97" s="54"/>
    </row>
    <row r="98" spans="2:26">
      <c r="B98" s="54"/>
      <c r="C98" s="54"/>
      <c r="D98" s="851"/>
      <c r="E98" s="851"/>
      <c r="F98" s="851"/>
      <c r="G98" s="851"/>
      <c r="H98" s="851"/>
      <c r="I98" s="851"/>
      <c r="J98" s="851"/>
      <c r="K98" s="851"/>
      <c r="L98" s="851"/>
      <c r="M98" s="851"/>
      <c r="N98" s="54"/>
      <c r="O98" s="54"/>
      <c r="P98" s="852"/>
      <c r="Q98" s="851"/>
      <c r="R98" s="851"/>
      <c r="S98" s="851"/>
      <c r="T98" s="851"/>
      <c r="U98" s="851"/>
      <c r="V98" s="851"/>
      <c r="W98" s="851"/>
      <c r="X98" s="851"/>
      <c r="Y98" s="851"/>
      <c r="Z98" s="54"/>
    </row>
    <row r="99" spans="2:26">
      <c r="B99" s="54"/>
      <c r="C99" s="54"/>
      <c r="D99" s="851"/>
      <c r="E99" s="851"/>
      <c r="F99" s="851"/>
      <c r="G99" s="851"/>
      <c r="H99" s="851"/>
      <c r="I99" s="851"/>
      <c r="J99" s="851"/>
      <c r="K99" s="851"/>
      <c r="L99" s="851"/>
      <c r="M99" s="851"/>
      <c r="N99" s="54"/>
      <c r="O99" s="54"/>
      <c r="P99" s="852"/>
      <c r="Q99" s="851"/>
      <c r="R99" s="851"/>
      <c r="S99" s="851"/>
      <c r="T99" s="851"/>
      <c r="U99" s="851"/>
      <c r="V99" s="851"/>
      <c r="W99" s="851"/>
      <c r="X99" s="851"/>
      <c r="Y99" s="851"/>
      <c r="Z99" s="54"/>
    </row>
    <row r="100" spans="2:26">
      <c r="B100" s="54"/>
      <c r="C100" s="54"/>
      <c r="D100" s="851"/>
      <c r="E100" s="851"/>
      <c r="F100" s="851"/>
      <c r="G100" s="851"/>
      <c r="H100" s="851"/>
      <c r="I100" s="851"/>
      <c r="J100" s="851"/>
      <c r="K100" s="851"/>
      <c r="L100" s="851"/>
      <c r="M100" s="851"/>
      <c r="N100" s="54"/>
      <c r="O100" s="54"/>
      <c r="P100" s="852"/>
      <c r="Q100" s="851"/>
      <c r="R100" s="851"/>
      <c r="S100" s="851"/>
      <c r="T100" s="851"/>
      <c r="U100" s="851"/>
      <c r="V100" s="851"/>
      <c r="W100" s="851"/>
      <c r="X100" s="851"/>
      <c r="Y100" s="851"/>
      <c r="Z100" s="54"/>
    </row>
    <row r="101" spans="2:26">
      <c r="B101" s="54"/>
      <c r="C101" s="54"/>
      <c r="D101" s="851"/>
      <c r="E101" s="851"/>
      <c r="F101" s="851"/>
      <c r="G101" s="851"/>
      <c r="H101" s="851"/>
      <c r="I101" s="851"/>
      <c r="J101" s="851"/>
      <c r="K101" s="851"/>
      <c r="L101" s="851"/>
      <c r="M101" s="851"/>
      <c r="N101" s="54"/>
      <c r="O101" s="54"/>
      <c r="P101" s="852"/>
      <c r="Q101" s="851"/>
      <c r="R101" s="851"/>
      <c r="S101" s="851"/>
      <c r="T101" s="851"/>
      <c r="U101" s="851"/>
      <c r="V101" s="851"/>
      <c r="W101" s="851"/>
      <c r="X101" s="851"/>
      <c r="Y101" s="851"/>
      <c r="Z101" s="54"/>
    </row>
    <row r="102" spans="2:26">
      <c r="B102" s="54"/>
      <c r="C102" s="54"/>
      <c r="D102" s="851"/>
      <c r="E102" s="851"/>
      <c r="F102" s="851"/>
      <c r="G102" s="851"/>
      <c r="H102" s="851"/>
      <c r="I102" s="851"/>
      <c r="J102" s="851"/>
      <c r="K102" s="851"/>
      <c r="L102" s="851"/>
      <c r="M102" s="851"/>
      <c r="N102" s="54"/>
      <c r="O102" s="54"/>
      <c r="P102" s="852"/>
      <c r="Q102" s="851"/>
      <c r="R102" s="851"/>
      <c r="S102" s="851"/>
      <c r="T102" s="851"/>
      <c r="U102" s="851"/>
      <c r="V102" s="851"/>
      <c r="W102" s="851"/>
      <c r="X102" s="851"/>
      <c r="Y102" s="851"/>
      <c r="Z102" s="54"/>
    </row>
    <row r="103" spans="2:26">
      <c r="B103" s="54"/>
      <c r="C103" s="54"/>
      <c r="D103" s="851"/>
      <c r="E103" s="851"/>
      <c r="F103" s="851"/>
      <c r="G103" s="851"/>
      <c r="H103" s="851"/>
      <c r="I103" s="851"/>
      <c r="J103" s="851"/>
      <c r="K103" s="851"/>
      <c r="L103" s="851"/>
      <c r="M103" s="851"/>
      <c r="N103" s="54"/>
      <c r="O103" s="54"/>
      <c r="P103" s="852"/>
      <c r="Q103" s="851"/>
      <c r="R103" s="851"/>
      <c r="S103" s="851"/>
      <c r="T103" s="851"/>
      <c r="U103" s="851"/>
      <c r="V103" s="851"/>
      <c r="W103" s="851"/>
      <c r="X103" s="851"/>
      <c r="Y103" s="851"/>
      <c r="Z103" s="54"/>
    </row>
    <row r="104" spans="2:26">
      <c r="B104" s="54"/>
      <c r="C104" s="54"/>
      <c r="D104" s="851"/>
      <c r="E104" s="851"/>
      <c r="F104" s="851"/>
      <c r="G104" s="851"/>
      <c r="H104" s="851"/>
      <c r="I104" s="851"/>
      <c r="J104" s="851"/>
      <c r="K104" s="851"/>
      <c r="L104" s="851"/>
      <c r="M104" s="851"/>
      <c r="N104" s="54"/>
      <c r="O104" s="54"/>
      <c r="P104" s="852"/>
      <c r="Q104" s="851"/>
      <c r="R104" s="851"/>
      <c r="S104" s="851"/>
      <c r="T104" s="851"/>
      <c r="U104" s="851"/>
      <c r="V104" s="851"/>
      <c r="W104" s="851"/>
      <c r="X104" s="851"/>
      <c r="Y104" s="851"/>
      <c r="Z104" s="54"/>
    </row>
    <row r="105" spans="2:26">
      <c r="B105" s="54"/>
      <c r="C105" s="54"/>
      <c r="D105" s="851"/>
      <c r="E105" s="851"/>
      <c r="F105" s="851"/>
      <c r="G105" s="851"/>
      <c r="H105" s="851"/>
      <c r="I105" s="851"/>
      <c r="J105" s="851"/>
      <c r="K105" s="851"/>
      <c r="L105" s="851"/>
      <c r="M105" s="851"/>
      <c r="N105" s="54"/>
      <c r="O105" s="54"/>
      <c r="P105" s="852"/>
      <c r="Q105" s="851"/>
      <c r="R105" s="851"/>
      <c r="S105" s="851"/>
      <c r="T105" s="851"/>
      <c r="U105" s="851"/>
      <c r="V105" s="851"/>
      <c r="W105" s="851"/>
      <c r="X105" s="851"/>
      <c r="Y105" s="851"/>
      <c r="Z105" s="54"/>
    </row>
    <row r="106" spans="2:26">
      <c r="B106" s="54"/>
      <c r="C106" s="54"/>
      <c r="D106" s="851"/>
      <c r="E106" s="851"/>
      <c r="F106" s="851"/>
      <c r="G106" s="851"/>
      <c r="H106" s="851"/>
      <c r="I106" s="851"/>
      <c r="J106" s="851"/>
      <c r="K106" s="851"/>
      <c r="L106" s="851"/>
      <c r="M106" s="851"/>
      <c r="N106" s="54"/>
      <c r="O106" s="54"/>
      <c r="P106" s="852"/>
      <c r="Q106" s="851"/>
      <c r="R106" s="851"/>
      <c r="S106" s="851"/>
      <c r="T106" s="851"/>
      <c r="U106" s="851"/>
      <c r="V106" s="851"/>
      <c r="W106" s="851"/>
      <c r="X106" s="851"/>
      <c r="Y106" s="851"/>
      <c r="Z106" s="54"/>
    </row>
    <row r="107" spans="2:26">
      <c r="B107" s="54"/>
      <c r="C107" s="54"/>
      <c r="D107" s="851"/>
      <c r="E107" s="851"/>
      <c r="F107" s="851"/>
      <c r="G107" s="851"/>
      <c r="H107" s="851"/>
      <c r="I107" s="851"/>
      <c r="J107" s="851"/>
      <c r="K107" s="851"/>
      <c r="L107" s="851"/>
      <c r="M107" s="851"/>
      <c r="N107" s="54"/>
      <c r="O107" s="54"/>
      <c r="P107" s="852"/>
      <c r="Q107" s="851"/>
      <c r="R107" s="851"/>
      <c r="S107" s="851"/>
      <c r="T107" s="851"/>
      <c r="U107" s="851"/>
      <c r="V107" s="851"/>
      <c r="W107" s="851"/>
      <c r="X107" s="851"/>
      <c r="Y107" s="851"/>
      <c r="Z107" s="54"/>
    </row>
    <row r="108" spans="2:26">
      <c r="B108" s="54"/>
      <c r="C108" s="54"/>
      <c r="D108" s="851"/>
      <c r="E108" s="851"/>
      <c r="F108" s="851"/>
      <c r="G108" s="851"/>
      <c r="H108" s="851"/>
      <c r="I108" s="851"/>
      <c r="J108" s="851"/>
      <c r="K108" s="851"/>
      <c r="L108" s="851"/>
      <c r="M108" s="851"/>
      <c r="N108" s="54"/>
      <c r="O108" s="54"/>
      <c r="P108" s="852"/>
      <c r="Q108" s="851"/>
      <c r="R108" s="851"/>
      <c r="S108" s="851"/>
      <c r="T108" s="851"/>
      <c r="U108" s="851"/>
      <c r="V108" s="851"/>
      <c r="W108" s="851"/>
      <c r="X108" s="851"/>
      <c r="Y108" s="851"/>
      <c r="Z108" s="54"/>
    </row>
    <row r="109" spans="2:26">
      <c r="B109" s="54"/>
      <c r="C109" s="54"/>
      <c r="D109" s="851"/>
      <c r="E109" s="851"/>
      <c r="F109" s="851"/>
      <c r="G109" s="851"/>
      <c r="H109" s="851"/>
      <c r="I109" s="851"/>
      <c r="J109" s="851"/>
      <c r="K109" s="851"/>
      <c r="L109" s="851"/>
      <c r="M109" s="851"/>
      <c r="N109" s="54"/>
      <c r="O109" s="54"/>
      <c r="P109" s="852"/>
      <c r="Q109" s="851"/>
      <c r="R109" s="851"/>
      <c r="S109" s="851"/>
      <c r="T109" s="851"/>
      <c r="U109" s="851"/>
      <c r="V109" s="851"/>
      <c r="W109" s="851"/>
      <c r="X109" s="851"/>
      <c r="Y109" s="851"/>
      <c r="Z109" s="54"/>
    </row>
    <row r="110" spans="2:26">
      <c r="B110" s="54"/>
      <c r="C110" s="54"/>
      <c r="D110" s="851"/>
      <c r="E110" s="851"/>
      <c r="F110" s="851"/>
      <c r="G110" s="851"/>
      <c r="H110" s="851"/>
      <c r="I110" s="851"/>
      <c r="J110" s="851"/>
      <c r="K110" s="851"/>
      <c r="L110" s="851"/>
      <c r="M110" s="851"/>
      <c r="N110" s="54"/>
      <c r="O110" s="54"/>
      <c r="P110" s="852"/>
      <c r="Q110" s="851"/>
      <c r="R110" s="851"/>
      <c r="S110" s="851"/>
      <c r="T110" s="851"/>
      <c r="U110" s="851"/>
      <c r="V110" s="851"/>
      <c r="W110" s="851"/>
      <c r="X110" s="851"/>
      <c r="Y110" s="851"/>
      <c r="Z110" s="54"/>
    </row>
    <row r="111" spans="2:26">
      <c r="B111" s="54"/>
      <c r="C111" s="54"/>
      <c r="D111" s="851"/>
      <c r="E111" s="851"/>
      <c r="F111" s="851"/>
      <c r="G111" s="851"/>
      <c r="H111" s="851"/>
      <c r="I111" s="851"/>
      <c r="J111" s="851"/>
      <c r="K111" s="851"/>
      <c r="L111" s="851"/>
      <c r="M111" s="851"/>
      <c r="N111" s="54"/>
      <c r="O111" s="54"/>
      <c r="P111" s="852"/>
      <c r="Q111" s="851"/>
      <c r="R111" s="851"/>
      <c r="S111" s="851"/>
      <c r="T111" s="851"/>
      <c r="U111" s="851"/>
      <c r="V111" s="851"/>
      <c r="W111" s="851"/>
      <c r="X111" s="851"/>
      <c r="Y111" s="851"/>
      <c r="Z111" s="54"/>
    </row>
    <row r="112" spans="2:26">
      <c r="B112" s="54"/>
      <c r="C112" s="54"/>
      <c r="D112" s="851"/>
      <c r="E112" s="851"/>
      <c r="F112" s="851"/>
      <c r="G112" s="851"/>
      <c r="H112" s="851"/>
      <c r="I112" s="851"/>
      <c r="J112" s="851"/>
      <c r="K112" s="851"/>
      <c r="L112" s="851"/>
      <c r="M112" s="851"/>
      <c r="N112" s="54"/>
      <c r="O112" s="54"/>
      <c r="P112" s="852"/>
      <c r="Q112" s="851"/>
      <c r="R112" s="851"/>
      <c r="S112" s="851"/>
      <c r="T112" s="851"/>
      <c r="U112" s="851"/>
      <c r="V112" s="851"/>
      <c r="W112" s="851"/>
      <c r="X112" s="851"/>
      <c r="Y112" s="851"/>
      <c r="Z112" s="54"/>
    </row>
    <row r="113" spans="2:26">
      <c r="B113" s="54"/>
      <c r="C113" s="54"/>
      <c r="D113" s="851"/>
      <c r="E113" s="851"/>
      <c r="F113" s="851"/>
      <c r="G113" s="851"/>
      <c r="H113" s="851"/>
      <c r="I113" s="851"/>
      <c r="J113" s="851"/>
      <c r="K113" s="851"/>
      <c r="L113" s="851"/>
      <c r="M113" s="851"/>
      <c r="N113" s="54"/>
      <c r="O113" s="54"/>
      <c r="P113" s="852"/>
      <c r="Q113" s="851"/>
      <c r="R113" s="851"/>
      <c r="S113" s="851"/>
      <c r="T113" s="851"/>
      <c r="U113" s="851"/>
      <c r="V113" s="851"/>
      <c r="W113" s="851"/>
      <c r="X113" s="851"/>
      <c r="Y113" s="851"/>
      <c r="Z113" s="54"/>
    </row>
    <row r="114" spans="2:26">
      <c r="B114" s="54"/>
      <c r="C114" s="54"/>
      <c r="D114" s="851"/>
      <c r="E114" s="851"/>
      <c r="F114" s="851"/>
      <c r="G114" s="851"/>
      <c r="H114" s="851"/>
      <c r="I114" s="851"/>
      <c r="J114" s="851"/>
      <c r="K114" s="851"/>
      <c r="L114" s="851"/>
      <c r="M114" s="851"/>
      <c r="N114" s="54"/>
      <c r="O114" s="54"/>
      <c r="P114" s="852"/>
      <c r="Q114" s="851"/>
      <c r="R114" s="851"/>
      <c r="S114" s="851"/>
      <c r="T114" s="851"/>
      <c r="U114" s="851"/>
      <c r="V114" s="851"/>
      <c r="W114" s="851"/>
      <c r="X114" s="851"/>
      <c r="Y114" s="851"/>
      <c r="Z114" s="54"/>
    </row>
    <row r="115" spans="2:26">
      <c r="B115" s="54"/>
      <c r="C115" s="54"/>
      <c r="D115" s="851"/>
      <c r="E115" s="851"/>
      <c r="F115" s="851"/>
      <c r="G115" s="851"/>
      <c r="H115" s="851"/>
      <c r="I115" s="851"/>
      <c r="J115" s="851"/>
      <c r="K115" s="851"/>
      <c r="L115" s="851"/>
      <c r="M115" s="851"/>
      <c r="N115" s="54"/>
      <c r="O115" s="54"/>
      <c r="P115" s="852"/>
      <c r="Q115" s="851"/>
      <c r="R115" s="851"/>
      <c r="S115" s="851"/>
      <c r="T115" s="851"/>
      <c r="U115" s="851"/>
      <c r="V115" s="851"/>
      <c r="W115" s="851"/>
      <c r="X115" s="851"/>
      <c r="Y115" s="851"/>
      <c r="Z115" s="54"/>
    </row>
    <row r="116" spans="2:26">
      <c r="B116" s="54"/>
      <c r="C116" s="54"/>
      <c r="D116" s="851"/>
      <c r="E116" s="851"/>
      <c r="F116" s="851"/>
      <c r="G116" s="851"/>
      <c r="H116" s="851"/>
      <c r="I116" s="851"/>
      <c r="J116" s="851"/>
      <c r="K116" s="851"/>
      <c r="L116" s="851"/>
      <c r="M116" s="851"/>
      <c r="N116" s="54"/>
      <c r="O116" s="54"/>
      <c r="P116" s="852"/>
      <c r="Q116" s="851"/>
      <c r="R116" s="851"/>
      <c r="S116" s="851"/>
      <c r="T116" s="851"/>
      <c r="U116" s="851"/>
      <c r="V116" s="851"/>
      <c r="W116" s="851"/>
      <c r="X116" s="851"/>
      <c r="Y116" s="851"/>
      <c r="Z116" s="54"/>
    </row>
    <row r="117" spans="2:26">
      <c r="B117" s="54"/>
      <c r="C117" s="54"/>
      <c r="D117" s="851"/>
      <c r="E117" s="851"/>
      <c r="F117" s="851"/>
      <c r="G117" s="851"/>
      <c r="H117" s="851"/>
      <c r="I117" s="851"/>
      <c r="J117" s="851"/>
      <c r="K117" s="851"/>
      <c r="L117" s="851"/>
      <c r="M117" s="851"/>
      <c r="N117" s="54"/>
      <c r="O117" s="54"/>
      <c r="P117" s="852"/>
      <c r="Q117" s="851"/>
      <c r="R117" s="851"/>
      <c r="S117" s="851"/>
      <c r="T117" s="851"/>
      <c r="U117" s="851"/>
      <c r="V117" s="851"/>
      <c r="W117" s="851"/>
      <c r="X117" s="851"/>
      <c r="Y117" s="851"/>
      <c r="Z117" s="54"/>
    </row>
    <row r="118" spans="2:26">
      <c r="B118" s="54"/>
      <c r="C118" s="54"/>
      <c r="D118" s="851"/>
      <c r="E118" s="851"/>
      <c r="F118" s="851"/>
      <c r="G118" s="851"/>
      <c r="H118" s="851"/>
      <c r="I118" s="851"/>
      <c r="J118" s="851"/>
      <c r="K118" s="851"/>
      <c r="L118" s="851"/>
      <c r="M118" s="851"/>
      <c r="N118" s="54"/>
      <c r="O118" s="54"/>
      <c r="P118" s="852"/>
      <c r="Q118" s="851"/>
      <c r="R118" s="851"/>
      <c r="S118" s="851"/>
      <c r="T118" s="851"/>
      <c r="U118" s="851"/>
      <c r="V118" s="851"/>
      <c r="W118" s="851"/>
      <c r="X118" s="851"/>
      <c r="Y118" s="851"/>
      <c r="Z118" s="54"/>
    </row>
    <row r="119" spans="2:26">
      <c r="B119" s="54"/>
      <c r="C119" s="54"/>
      <c r="D119" s="851"/>
      <c r="E119" s="851"/>
      <c r="F119" s="851"/>
      <c r="G119" s="851"/>
      <c r="H119" s="851"/>
      <c r="I119" s="851"/>
      <c r="J119" s="851"/>
      <c r="K119" s="851"/>
      <c r="L119" s="851"/>
      <c r="M119" s="851"/>
      <c r="N119" s="54"/>
      <c r="O119" s="54"/>
      <c r="P119" s="852"/>
      <c r="Q119" s="851"/>
      <c r="R119" s="851"/>
      <c r="S119" s="851"/>
      <c r="T119" s="851"/>
      <c r="U119" s="851"/>
      <c r="V119" s="851"/>
      <c r="W119" s="851"/>
      <c r="X119" s="851"/>
      <c r="Y119" s="851"/>
      <c r="Z119" s="54"/>
    </row>
    <row r="120" spans="2:26">
      <c r="B120" s="54"/>
      <c r="C120" s="54"/>
      <c r="D120" s="851"/>
      <c r="E120" s="851"/>
      <c r="F120" s="851"/>
      <c r="G120" s="851"/>
      <c r="H120" s="851"/>
      <c r="I120" s="851"/>
      <c r="J120" s="851"/>
      <c r="K120" s="851"/>
      <c r="L120" s="851"/>
      <c r="M120" s="851"/>
      <c r="N120" s="54"/>
      <c r="O120" s="54"/>
      <c r="P120" s="852"/>
      <c r="Q120" s="851"/>
      <c r="R120" s="851"/>
      <c r="S120" s="851"/>
      <c r="T120" s="851"/>
      <c r="U120" s="851"/>
      <c r="V120" s="851"/>
      <c r="W120" s="851"/>
      <c r="X120" s="851"/>
      <c r="Y120" s="851"/>
      <c r="Z120" s="54"/>
    </row>
    <row r="121" spans="2:26">
      <c r="B121" s="54"/>
      <c r="C121" s="54"/>
      <c r="D121" s="851"/>
      <c r="E121" s="851"/>
      <c r="F121" s="851"/>
      <c r="G121" s="851"/>
      <c r="H121" s="851"/>
      <c r="I121" s="851"/>
      <c r="J121" s="851"/>
      <c r="K121" s="851"/>
      <c r="L121" s="851"/>
      <c r="M121" s="851"/>
      <c r="N121" s="54"/>
      <c r="O121" s="54"/>
      <c r="P121" s="852"/>
      <c r="Q121" s="851"/>
      <c r="R121" s="851"/>
      <c r="S121" s="851"/>
      <c r="T121" s="851"/>
      <c r="U121" s="851"/>
      <c r="V121" s="851"/>
      <c r="W121" s="851"/>
      <c r="X121" s="851"/>
      <c r="Y121" s="851"/>
      <c r="Z121" s="54"/>
    </row>
    <row r="122" spans="2:26">
      <c r="B122" s="54"/>
      <c r="C122" s="54"/>
      <c r="D122" s="851"/>
      <c r="E122" s="851"/>
      <c r="F122" s="851"/>
      <c r="G122" s="851"/>
      <c r="H122" s="851"/>
      <c r="I122" s="851"/>
      <c r="J122" s="851"/>
      <c r="K122" s="851"/>
      <c r="L122" s="851"/>
      <c r="M122" s="851"/>
      <c r="N122" s="54"/>
      <c r="O122" s="54"/>
      <c r="P122" s="852"/>
      <c r="Q122" s="851"/>
      <c r="R122" s="851"/>
      <c r="S122" s="851"/>
      <c r="T122" s="851"/>
      <c r="U122" s="851"/>
      <c r="V122" s="851"/>
      <c r="W122" s="851"/>
      <c r="X122" s="851"/>
      <c r="Y122" s="851"/>
      <c r="Z122" s="54"/>
    </row>
    <row r="123" spans="2:26">
      <c r="B123" s="54"/>
      <c r="C123" s="54"/>
      <c r="D123" s="851"/>
      <c r="E123" s="851"/>
      <c r="F123" s="851"/>
      <c r="G123" s="851"/>
      <c r="H123" s="851"/>
      <c r="I123" s="851"/>
      <c r="J123" s="851"/>
      <c r="K123" s="851"/>
      <c r="L123" s="851"/>
      <c r="M123" s="851"/>
      <c r="N123" s="54"/>
      <c r="O123" s="54"/>
      <c r="P123" s="852"/>
      <c r="Q123" s="851"/>
      <c r="R123" s="851"/>
      <c r="S123" s="851"/>
      <c r="T123" s="851"/>
      <c r="U123" s="851"/>
      <c r="V123" s="851"/>
      <c r="W123" s="851"/>
      <c r="X123" s="851"/>
      <c r="Y123" s="851"/>
      <c r="Z123" s="54"/>
    </row>
    <row r="124" spans="2:26">
      <c r="B124" s="54"/>
      <c r="C124" s="54"/>
      <c r="D124" s="851"/>
      <c r="E124" s="851"/>
      <c r="F124" s="851"/>
      <c r="G124" s="851"/>
      <c r="H124" s="851"/>
      <c r="I124" s="851"/>
      <c r="J124" s="851"/>
      <c r="K124" s="851"/>
      <c r="L124" s="851"/>
      <c r="M124" s="851"/>
      <c r="N124" s="54"/>
      <c r="O124" s="54"/>
      <c r="P124" s="852"/>
      <c r="Q124" s="851"/>
      <c r="R124" s="851"/>
      <c r="S124" s="851"/>
      <c r="T124" s="851"/>
      <c r="U124" s="851"/>
      <c r="V124" s="851"/>
      <c r="W124" s="851"/>
      <c r="X124" s="851"/>
      <c r="Y124" s="851"/>
      <c r="Z124" s="54"/>
    </row>
    <row r="125" spans="2:26">
      <c r="B125" s="54"/>
      <c r="C125" s="54"/>
      <c r="D125" s="851"/>
      <c r="E125" s="851"/>
      <c r="F125" s="851"/>
      <c r="G125" s="851"/>
      <c r="H125" s="851"/>
      <c r="I125" s="851"/>
      <c r="J125" s="851"/>
      <c r="K125" s="851"/>
      <c r="L125" s="851"/>
      <c r="M125" s="851"/>
      <c r="N125" s="54"/>
      <c r="O125" s="54"/>
      <c r="P125" s="852"/>
      <c r="Q125" s="851"/>
      <c r="R125" s="851"/>
      <c r="S125" s="851"/>
      <c r="T125" s="851"/>
      <c r="U125" s="851"/>
      <c r="V125" s="851"/>
      <c r="W125" s="851"/>
      <c r="X125" s="851"/>
      <c r="Y125" s="851"/>
      <c r="Z125" s="54"/>
    </row>
    <row r="126" spans="2:26">
      <c r="B126" s="54"/>
      <c r="C126" s="54"/>
      <c r="D126" s="851"/>
      <c r="E126" s="851"/>
      <c r="F126" s="851"/>
      <c r="G126" s="851"/>
      <c r="H126" s="851"/>
      <c r="I126" s="851"/>
      <c r="J126" s="851"/>
      <c r="K126" s="851"/>
      <c r="L126" s="851"/>
      <c r="M126" s="851"/>
      <c r="N126" s="54"/>
      <c r="O126" s="54"/>
      <c r="P126" s="852"/>
      <c r="Q126" s="851"/>
      <c r="R126" s="851"/>
      <c r="S126" s="851"/>
      <c r="T126" s="851"/>
      <c r="U126" s="851"/>
      <c r="V126" s="851"/>
      <c r="W126" s="851"/>
      <c r="X126" s="851"/>
      <c r="Y126" s="851"/>
      <c r="Z126" s="54"/>
    </row>
    <row r="127" spans="2:26">
      <c r="B127" s="54"/>
      <c r="C127" s="54"/>
      <c r="D127" s="851"/>
      <c r="E127" s="851"/>
      <c r="F127" s="851"/>
      <c r="G127" s="851"/>
      <c r="H127" s="851"/>
      <c r="I127" s="851"/>
      <c r="J127" s="851"/>
      <c r="K127" s="851"/>
      <c r="L127" s="851"/>
      <c r="M127" s="851"/>
      <c r="N127" s="54"/>
      <c r="O127" s="54"/>
      <c r="P127" s="852"/>
      <c r="Q127" s="851"/>
      <c r="R127" s="851"/>
      <c r="S127" s="851"/>
      <c r="T127" s="851"/>
      <c r="U127" s="851"/>
      <c r="V127" s="851"/>
      <c r="W127" s="851"/>
      <c r="X127" s="851"/>
      <c r="Y127" s="851"/>
      <c r="Z127" s="54"/>
    </row>
  </sheetData>
  <mergeCells count="6">
    <mergeCell ref="R44:R45"/>
    <mergeCell ref="Q58:Q59"/>
    <mergeCell ref="R58:R59"/>
    <mergeCell ref="G5:G6"/>
    <mergeCell ref="G22:G23"/>
    <mergeCell ref="Q44:Q45"/>
  </mergeCells>
  <hyperlinks>
    <hyperlink ref="A6" r:id="rId1" display="http://www1.eere.energy.gov/buildings/appliance_standards/standards_test_procedures.html"/>
  </hyperlinks>
  <pageMargins left="0.7" right="0.7" top="0.75" bottom="0.75" header="0.3" footer="0.3"/>
  <pageSetup orientation="portrait" verticalDpi="0" r:id="rId2"/>
  <drawing r:id="rId3"/>
</worksheet>
</file>

<file path=xl/worksheets/sheet26.xml><?xml version="1.0" encoding="utf-8"?>
<worksheet xmlns="http://schemas.openxmlformats.org/spreadsheetml/2006/main" xmlns:r="http://schemas.openxmlformats.org/officeDocument/2006/relationships">
  <dimension ref="A1:M67"/>
  <sheetViews>
    <sheetView topLeftCell="A9" workbookViewId="0">
      <selection activeCell="J29" sqref="J29"/>
    </sheetView>
  </sheetViews>
  <sheetFormatPr defaultColWidth="8.85546875" defaultRowHeight="12.75"/>
  <cols>
    <col min="1" max="3" width="13.42578125" style="853" customWidth="1"/>
    <col min="4" max="7" width="8.85546875" style="853"/>
    <col min="8" max="8" width="11.42578125" style="853" customWidth="1"/>
    <col min="9" max="9" width="7.140625" style="853" customWidth="1"/>
    <col min="10" max="10" width="13.5703125" style="853" customWidth="1"/>
    <col min="11" max="11" width="3.42578125" style="853" customWidth="1"/>
    <col min="12" max="12" width="8.85546875" style="853"/>
    <col min="13" max="13" width="10.42578125" style="853" customWidth="1"/>
    <col min="14" max="16384" width="8.85546875" style="853"/>
  </cols>
  <sheetData>
    <row r="1" spans="1:13">
      <c r="A1" s="928" t="s">
        <v>1618</v>
      </c>
      <c r="B1" s="928"/>
      <c r="C1" s="928"/>
      <c r="D1" s="928"/>
      <c r="E1" s="928"/>
      <c r="F1" s="928"/>
      <c r="G1" s="928"/>
      <c r="H1" s="928"/>
      <c r="I1" s="928"/>
      <c r="J1" s="928"/>
    </row>
    <row r="2" spans="1:13">
      <c r="A2" s="854" t="s">
        <v>1619</v>
      </c>
    </row>
    <row r="3" spans="1:13">
      <c r="A3" s="853" t="s">
        <v>1620</v>
      </c>
    </row>
    <row r="4" spans="1:13">
      <c r="A4" s="929" t="s">
        <v>1621</v>
      </c>
      <c r="B4" s="929"/>
      <c r="C4" s="929"/>
      <c r="D4" s="929"/>
      <c r="E4" s="929"/>
      <c r="F4" s="929"/>
      <c r="G4" s="929"/>
      <c r="H4" s="929"/>
      <c r="I4" s="929"/>
      <c r="J4" s="929"/>
    </row>
    <row r="6" spans="1:13">
      <c r="A6" s="855" t="s">
        <v>1622</v>
      </c>
    </row>
    <row r="8" spans="1:13">
      <c r="A8" s="856" t="s">
        <v>1623</v>
      </c>
    </row>
    <row r="9" spans="1:13">
      <c r="A9" s="856"/>
      <c r="B9" s="856"/>
      <c r="C9" s="856"/>
      <c r="D9" s="856"/>
      <c r="E9" s="856"/>
      <c r="F9" s="857" t="s">
        <v>1624</v>
      </c>
      <c r="G9" s="857"/>
      <c r="H9" s="857"/>
      <c r="I9" s="857" t="s">
        <v>1625</v>
      </c>
      <c r="J9" s="857"/>
      <c r="K9" s="858"/>
      <c r="L9" s="857" t="s">
        <v>1626</v>
      </c>
      <c r="M9" s="857" t="s">
        <v>1626</v>
      </c>
    </row>
    <row r="10" spans="1:13" ht="25.5">
      <c r="A10" s="859" t="s">
        <v>1627</v>
      </c>
      <c r="B10" s="859" t="s">
        <v>1121</v>
      </c>
      <c r="C10" s="859" t="s">
        <v>824</v>
      </c>
      <c r="D10" s="859" t="s">
        <v>1122</v>
      </c>
      <c r="E10" s="859" t="s">
        <v>1628</v>
      </c>
      <c r="F10" s="859" t="s">
        <v>1123</v>
      </c>
      <c r="G10" s="859" t="s">
        <v>1092</v>
      </c>
      <c r="H10" s="859" t="s">
        <v>1629</v>
      </c>
      <c r="I10" s="859" t="s">
        <v>1124</v>
      </c>
      <c r="J10" s="859" t="s">
        <v>1630</v>
      </c>
      <c r="K10" s="860"/>
      <c r="L10" s="859" t="s">
        <v>1628</v>
      </c>
      <c r="M10" s="859" t="s">
        <v>1631</v>
      </c>
    </row>
    <row r="11" spans="1:13">
      <c r="A11" s="861" t="s">
        <v>1026</v>
      </c>
      <c r="B11" s="861" t="s">
        <v>1059</v>
      </c>
      <c r="C11" s="861">
        <v>1.26</v>
      </c>
      <c r="D11" s="861">
        <v>9.92</v>
      </c>
      <c r="E11" s="862">
        <v>0.51900000000000002</v>
      </c>
      <c r="F11" s="861">
        <v>0.27900000000000003</v>
      </c>
      <c r="G11" s="861">
        <v>2.16</v>
      </c>
      <c r="H11" s="861">
        <v>1.24</v>
      </c>
      <c r="I11" s="861">
        <v>6.9</v>
      </c>
      <c r="J11" s="863">
        <v>3.09</v>
      </c>
      <c r="K11" s="861"/>
      <c r="L11" s="864">
        <f ca="1">E11*$J$29/'DOE Res Data'!J11</f>
        <v>0.63439054638225478</v>
      </c>
      <c r="M11" s="865">
        <f ca="1">G11*$J$29/'DOE Res Data'!J11</f>
        <v>2.6402381121111187</v>
      </c>
    </row>
    <row r="12" spans="1:13">
      <c r="A12" s="861" t="s">
        <v>1026</v>
      </c>
      <c r="B12" s="861">
        <v>1</v>
      </c>
      <c r="C12" s="861">
        <v>1.4</v>
      </c>
      <c r="D12" s="861">
        <v>9.92</v>
      </c>
      <c r="E12" s="862">
        <v>0.53600000000000003</v>
      </c>
      <c r="F12" s="861">
        <v>0.28100000000000003</v>
      </c>
      <c r="G12" s="861">
        <v>2.4300000000000002</v>
      </c>
      <c r="H12" s="861">
        <v>0.74</v>
      </c>
      <c r="I12" s="861">
        <v>4.13</v>
      </c>
      <c r="J12" s="863">
        <v>3.38</v>
      </c>
      <c r="K12" s="861"/>
      <c r="L12" s="864">
        <f ca="1">E12*$J$29/'DOE Res Data'!J12</f>
        <v>0.59895737053513565</v>
      </c>
      <c r="M12" s="865">
        <f ca="1">G12*$J$29/'DOE Res Data'!J12</f>
        <v>2.7154224074633948</v>
      </c>
    </row>
    <row r="13" spans="1:13">
      <c r="A13" s="861" t="s">
        <v>1026</v>
      </c>
      <c r="B13" s="861">
        <v>2</v>
      </c>
      <c r="C13" s="861">
        <v>1.72</v>
      </c>
      <c r="D13" s="861">
        <v>8.44</v>
      </c>
      <c r="E13" s="862">
        <v>0.48799999999999999</v>
      </c>
      <c r="F13" s="861">
        <v>0.22800000000000001</v>
      </c>
      <c r="G13" s="861">
        <v>1.69</v>
      </c>
      <c r="H13" s="861">
        <v>0.69</v>
      </c>
      <c r="I13" s="861">
        <v>3.85</v>
      </c>
      <c r="J13" s="863">
        <v>3.38</v>
      </c>
      <c r="K13" s="861"/>
      <c r="L13" s="864">
        <f ca="1">E13*$J$29/'DOE Res Data'!J13</f>
        <v>0.54531939705437726</v>
      </c>
      <c r="M13" s="865">
        <f ca="1">G13*$J$29/'DOE Res Data'!J13</f>
        <v>1.8885036496350358</v>
      </c>
    </row>
    <row r="14" spans="1:13">
      <c r="A14" s="861" t="s">
        <v>1026</v>
      </c>
      <c r="B14" s="861">
        <v>3</v>
      </c>
      <c r="C14" s="861">
        <v>1.8</v>
      </c>
      <c r="D14" s="861">
        <v>7.95</v>
      </c>
      <c r="E14" s="862">
        <v>0.379</v>
      </c>
      <c r="F14" s="861">
        <v>8.2000000000000003E-2</v>
      </c>
      <c r="G14" s="861">
        <v>1.41</v>
      </c>
      <c r="H14" s="861">
        <v>1.26</v>
      </c>
      <c r="I14" s="861">
        <v>7.02</v>
      </c>
      <c r="J14" s="863">
        <v>3.76</v>
      </c>
      <c r="K14" s="861"/>
      <c r="L14" s="864">
        <f ca="1">E14*$J$29/'DOE Res Data'!J14</f>
        <v>0.38071429958068009</v>
      </c>
      <c r="M14" s="865">
        <f ca="1">G14*$J$29/'DOE Res Data'!J14</f>
        <v>1.4163777372262769</v>
      </c>
    </row>
    <row r="15" spans="1:13">
      <c r="A15" s="861" t="s">
        <v>1026</v>
      </c>
      <c r="B15" s="861">
        <v>4</v>
      </c>
      <c r="C15" s="861">
        <v>1.8</v>
      </c>
      <c r="D15" s="861">
        <v>7.95</v>
      </c>
      <c r="E15" s="862">
        <v>0.379</v>
      </c>
      <c r="F15" s="861">
        <v>8.2000000000000003E-2</v>
      </c>
      <c r="G15" s="861">
        <v>1.41</v>
      </c>
      <c r="H15" s="861">
        <v>1.26</v>
      </c>
      <c r="I15" s="861">
        <v>7.02</v>
      </c>
      <c r="J15" s="863">
        <v>3.76</v>
      </c>
      <c r="K15" s="861"/>
      <c r="L15" s="864">
        <f ca="1">E15*$J$29/'DOE Res Data'!J15</f>
        <v>0.38071429958068009</v>
      </c>
      <c r="M15" s="865">
        <f ca="1">G15*$J$29/'DOE Res Data'!J15</f>
        <v>1.4163777372262769</v>
      </c>
    </row>
    <row r="16" spans="1:13">
      <c r="A16" s="861" t="s">
        <v>1026</v>
      </c>
      <c r="B16" s="861">
        <v>5</v>
      </c>
      <c r="C16" s="861">
        <v>1.8</v>
      </c>
      <c r="D16" s="861">
        <v>7.95</v>
      </c>
      <c r="E16" s="862">
        <v>0.379</v>
      </c>
      <c r="F16" s="861">
        <v>8.2000000000000003E-2</v>
      </c>
      <c r="G16" s="861">
        <v>1.41</v>
      </c>
      <c r="H16" s="861">
        <v>1.25</v>
      </c>
      <c r="I16" s="861">
        <v>4.92</v>
      </c>
      <c r="J16" s="863">
        <v>3.76</v>
      </c>
      <c r="K16" s="861"/>
      <c r="L16" s="864">
        <f ca="1">E16*$J$29/'DOE Res Data'!J16</f>
        <v>0.38071429958068009</v>
      </c>
      <c r="M16" s="865">
        <f ca="1">G16*$J$29/'DOE Res Data'!J16</f>
        <v>1.4163777372262769</v>
      </c>
    </row>
    <row r="17" spans="1:13">
      <c r="A17" s="861" t="s">
        <v>1026</v>
      </c>
      <c r="B17" s="861">
        <v>6</v>
      </c>
      <c r="C17" s="861">
        <v>2</v>
      </c>
      <c r="D17" s="861">
        <v>6.47</v>
      </c>
      <c r="E17" s="862">
        <v>0.36599999999999999</v>
      </c>
      <c r="F17" s="861">
        <v>8.2000000000000003E-2</v>
      </c>
      <c r="G17" s="861">
        <v>1.38</v>
      </c>
      <c r="H17" s="861">
        <v>0.99</v>
      </c>
      <c r="I17" s="861">
        <v>5.5</v>
      </c>
      <c r="J17" s="863">
        <v>3.86</v>
      </c>
      <c r="K17" s="861"/>
      <c r="L17" s="864">
        <f ca="1">E17*$J$29/'DOE Res Data'!J17</f>
        <v>0.35813074392042649</v>
      </c>
      <c r="M17" s="865">
        <f ca="1">G17*$J$29/'DOE Res Data'!J17</f>
        <v>1.350329034454067</v>
      </c>
    </row>
    <row r="18" spans="1:13">
      <c r="A18" s="861" t="s">
        <v>1026</v>
      </c>
      <c r="B18" s="861">
        <v>7</v>
      </c>
      <c r="C18" s="861">
        <v>2.2599999999999998</v>
      </c>
      <c r="D18" s="861">
        <v>4.96</v>
      </c>
      <c r="E18" s="862">
        <v>0.36599999999999999</v>
      </c>
      <c r="F18" s="861">
        <v>7.6999999999999999E-2</v>
      </c>
      <c r="G18" s="861">
        <v>1.41</v>
      </c>
      <c r="H18" s="861">
        <v>0.67</v>
      </c>
      <c r="I18" s="861">
        <v>3.74</v>
      </c>
      <c r="J18" s="863">
        <v>3.96</v>
      </c>
      <c r="K18" s="861"/>
      <c r="L18" s="864">
        <f ca="1">E18*$J$29/'DOE Res Data'!J18</f>
        <v>0.34908703826587029</v>
      </c>
      <c r="M18" s="865">
        <f ca="1">G18*$J$29/'DOE Res Data'!J18</f>
        <v>1.3448435080734347</v>
      </c>
    </row>
    <row r="19" spans="1:13">
      <c r="A19" s="861" t="s">
        <v>1026</v>
      </c>
      <c r="B19" s="861">
        <v>8</v>
      </c>
      <c r="C19" s="861">
        <v>2.4700000000000002</v>
      </c>
      <c r="D19" s="861">
        <v>4.0999999999999996</v>
      </c>
      <c r="E19" s="866">
        <v>0.34799999999999998</v>
      </c>
      <c r="F19" s="861">
        <v>8.2000000000000003E-2</v>
      </c>
      <c r="G19" s="861">
        <v>1.39</v>
      </c>
      <c r="H19" s="861">
        <v>0.66</v>
      </c>
      <c r="I19" s="861">
        <v>3.67</v>
      </c>
      <c r="J19" s="863">
        <v>4.34</v>
      </c>
      <c r="K19" s="861"/>
      <c r="L19" s="864">
        <f ca="1">E19*$J$29/'DOE Res Data'!J19</f>
        <v>0.30285680648524999</v>
      </c>
      <c r="M19" s="865">
        <f ca="1">G19*$J$29/'DOE Res Data'!J19</f>
        <v>1.2096866695818893</v>
      </c>
    </row>
    <row r="20" spans="1:13">
      <c r="A20" s="861" t="s">
        <v>1023</v>
      </c>
      <c r="B20" s="861" t="s">
        <v>1059</v>
      </c>
      <c r="C20" s="861">
        <v>1.72</v>
      </c>
      <c r="D20" s="861">
        <v>8.31</v>
      </c>
      <c r="E20" s="866">
        <v>0.41399999999999998</v>
      </c>
      <c r="F20" s="861">
        <v>0.113</v>
      </c>
      <c r="G20" s="861">
        <v>1.31</v>
      </c>
      <c r="H20" s="861">
        <v>0.69</v>
      </c>
      <c r="I20" s="861">
        <v>3.86</v>
      </c>
      <c r="J20" s="863">
        <v>3</v>
      </c>
      <c r="K20" s="861"/>
      <c r="L20" s="864">
        <f ca="1">E20*$J$29/'DOE Res Data'!J20</f>
        <v>0.52122700729926985</v>
      </c>
      <c r="M20" s="865">
        <f ca="1">G20*$J$29/'DOE Res Data'!J20</f>
        <v>1.6492931873479313</v>
      </c>
    </row>
    <row r="21" spans="1:13">
      <c r="A21" s="861" t="s">
        <v>1023</v>
      </c>
      <c r="B21" s="861">
        <v>1</v>
      </c>
      <c r="C21" s="861">
        <v>1.72</v>
      </c>
      <c r="D21" s="861">
        <v>8.31</v>
      </c>
      <c r="E21" s="866">
        <v>0.41399999999999998</v>
      </c>
      <c r="F21" s="861">
        <v>0.113</v>
      </c>
      <c r="G21" s="861">
        <v>1.31</v>
      </c>
      <c r="H21" s="861">
        <v>0.69</v>
      </c>
      <c r="I21" s="861">
        <v>3.82</v>
      </c>
      <c r="J21" s="863">
        <v>3</v>
      </c>
      <c r="K21" s="861"/>
      <c r="L21" s="864">
        <f ca="1">E21*$J$29/'DOE Res Data'!J21</f>
        <v>0.52122700729926985</v>
      </c>
      <c r="M21" s="865">
        <f ca="1">G21*$J$29/'DOE Res Data'!J21</f>
        <v>1.6492931873479313</v>
      </c>
    </row>
    <row r="22" spans="1:13">
      <c r="A22" s="861" t="s">
        <v>1023</v>
      </c>
      <c r="B22" s="861">
        <v>2</v>
      </c>
      <c r="C22" s="861">
        <v>1.72</v>
      </c>
      <c r="D22" s="861">
        <v>8.31</v>
      </c>
      <c r="E22" s="866">
        <v>0.41399999999999998</v>
      </c>
      <c r="F22" s="861">
        <v>0.113</v>
      </c>
      <c r="G22" s="861">
        <v>1.31</v>
      </c>
      <c r="H22" s="861">
        <v>0.7</v>
      </c>
      <c r="I22" s="861">
        <v>3.88</v>
      </c>
      <c r="J22" s="863">
        <v>3</v>
      </c>
      <c r="K22" s="861"/>
      <c r="L22" s="864">
        <f ca="1">E22*$J$29/'DOE Res Data'!J22</f>
        <v>0.52122700729926985</v>
      </c>
      <c r="M22" s="865">
        <f ca="1">G22*$J$29/'DOE Res Data'!J22</f>
        <v>1.6492931873479313</v>
      </c>
    </row>
    <row r="23" spans="1:13">
      <c r="A23" s="861" t="s">
        <v>1023</v>
      </c>
      <c r="B23" s="861">
        <v>3</v>
      </c>
      <c r="C23" s="861">
        <v>1.8</v>
      </c>
      <c r="D23" s="861">
        <v>7.8</v>
      </c>
      <c r="E23" s="866">
        <v>0.41399999999999998</v>
      </c>
      <c r="F23" s="861">
        <v>0.113</v>
      </c>
      <c r="G23" s="861">
        <v>1.31</v>
      </c>
      <c r="H23" s="861">
        <v>0.6</v>
      </c>
      <c r="I23" s="861">
        <v>3.31</v>
      </c>
      <c r="J23" s="863">
        <v>3</v>
      </c>
      <c r="K23" s="861"/>
      <c r="L23" s="864">
        <f ca="1">E23*$J$29/'DOE Res Data'!J23</f>
        <v>0.52122700729926985</v>
      </c>
      <c r="M23" s="865">
        <f ca="1">G23*$J$29/'DOE Res Data'!J23</f>
        <v>1.6492931873479313</v>
      </c>
    </row>
    <row r="24" spans="1:13">
      <c r="A24" s="861" t="s">
        <v>1023</v>
      </c>
      <c r="B24" s="861">
        <v>4</v>
      </c>
      <c r="C24" s="861">
        <v>2</v>
      </c>
      <c r="D24" s="861">
        <v>6.26</v>
      </c>
      <c r="E24" s="866">
        <v>0.41599999999999998</v>
      </c>
      <c r="F24" s="861">
        <v>0.16300000000000001</v>
      </c>
      <c r="G24" s="861">
        <v>1.42</v>
      </c>
      <c r="H24" s="861">
        <v>0.4</v>
      </c>
      <c r="I24" s="861">
        <v>2.2200000000000002</v>
      </c>
      <c r="J24" s="863">
        <v>3.3</v>
      </c>
      <c r="K24" s="861"/>
      <c r="L24" s="864">
        <f ca="1">E24*$J$29/'DOE Res Data'!J24</f>
        <v>0.47613182924131808</v>
      </c>
      <c r="M24" s="865">
        <f ca="1">G24*$J$29/'DOE Res Data'!J24</f>
        <v>1.6252576863525763</v>
      </c>
    </row>
    <row r="25" spans="1:13">
      <c r="A25" s="861" t="s">
        <v>1023</v>
      </c>
      <c r="B25" s="861">
        <v>5</v>
      </c>
      <c r="C25" s="861">
        <v>2.2000000000000002</v>
      </c>
      <c r="D25" s="861">
        <v>4.7300000000000004</v>
      </c>
      <c r="E25" s="862">
        <v>0.38600000000000001</v>
      </c>
      <c r="F25" s="861">
        <v>0.154</v>
      </c>
      <c r="G25" s="861">
        <v>1.34</v>
      </c>
      <c r="H25" s="861">
        <v>0.36</v>
      </c>
      <c r="I25" s="861">
        <v>1.99</v>
      </c>
      <c r="J25" s="863">
        <v>3.41</v>
      </c>
      <c r="K25" s="861"/>
      <c r="L25" s="864">
        <f ca="1">E25*$J$29/'DOE Res Data'!J25</f>
        <v>0.42754393475608438</v>
      </c>
      <c r="M25" s="865">
        <f ca="1">G25*$J$29/'DOE Res Data'!J25</f>
        <v>1.484219877132521</v>
      </c>
    </row>
    <row r="26" spans="1:13">
      <c r="A26" s="861" t="s">
        <v>1023</v>
      </c>
      <c r="B26" s="861">
        <v>6</v>
      </c>
      <c r="C26" s="861">
        <v>2.4</v>
      </c>
      <c r="D26" s="861">
        <v>4.42</v>
      </c>
      <c r="E26" s="862">
        <v>0.38700000000000001</v>
      </c>
      <c r="F26" s="861">
        <v>0.16400000000000001</v>
      </c>
      <c r="G26" s="861">
        <v>1.41</v>
      </c>
      <c r="H26" s="861">
        <v>0.2</v>
      </c>
      <c r="I26" s="861">
        <v>1.1299999999999999</v>
      </c>
      <c r="J26" s="863">
        <v>3.6</v>
      </c>
      <c r="K26" s="861"/>
      <c r="L26" s="864">
        <f ca="1">E26*$J$29/'DOE Res Data'!J26</f>
        <v>0.40602828467153268</v>
      </c>
      <c r="M26" s="865">
        <f ca="1">G26*$J$29/'DOE Res Data'!J26</f>
        <v>1.4793278588807779</v>
      </c>
    </row>
    <row r="27" spans="1:13">
      <c r="A27" s="861" t="s">
        <v>1023</v>
      </c>
      <c r="B27" s="861">
        <v>7</v>
      </c>
      <c r="C27" s="861">
        <v>2.6</v>
      </c>
      <c r="D27" s="861">
        <v>4.01</v>
      </c>
      <c r="E27" s="862">
        <v>0.36199999999999999</v>
      </c>
      <c r="F27" s="861">
        <v>0.16700000000000001</v>
      </c>
      <c r="G27" s="861">
        <v>1.37</v>
      </c>
      <c r="H27" s="861">
        <v>0.21</v>
      </c>
      <c r="I27" s="861">
        <v>1.1399999999999999</v>
      </c>
      <c r="J27" s="863">
        <v>3.83</v>
      </c>
      <c r="K27" s="861"/>
      <c r="L27" s="864">
        <f ca="1">E27*$J$29/'DOE Res Data'!J27</f>
        <v>0.35699129042709288</v>
      </c>
      <c r="M27" s="865">
        <f ca="1">G27*$J$29/'DOE Res Data'!J27</f>
        <v>1.351044386422976</v>
      </c>
    </row>
    <row r="28" spans="1:13">
      <c r="A28" s="861" t="s">
        <v>1023</v>
      </c>
      <c r="B28" s="861">
        <v>8</v>
      </c>
      <c r="C28" s="861">
        <v>2.89</v>
      </c>
      <c r="D28" s="861">
        <v>3.39</v>
      </c>
      <c r="E28" s="866">
        <v>0.35899999999999999</v>
      </c>
      <c r="F28" s="861">
        <v>0.155</v>
      </c>
      <c r="G28" s="861">
        <v>1.38</v>
      </c>
      <c r="H28" s="861">
        <v>0.04</v>
      </c>
      <c r="I28" s="861">
        <v>0.25</v>
      </c>
      <c r="J28" s="863">
        <v>3.9</v>
      </c>
      <c r="K28" s="861"/>
      <c r="L28" s="864">
        <f ca="1">E28*$J$29/'DOE Res Data'!J28</f>
        <v>0.34767836421486042</v>
      </c>
      <c r="M28" s="865">
        <f ca="1">G28*$J$29/'DOE Res Data'!J28</f>
        <v>1.3364795058955636</v>
      </c>
    </row>
    <row r="29" spans="1:13">
      <c r="A29" s="867"/>
      <c r="B29" s="867"/>
      <c r="C29" s="867"/>
      <c r="D29" s="867"/>
      <c r="E29" s="868"/>
      <c r="F29" s="867"/>
      <c r="G29" s="867"/>
      <c r="H29" s="867"/>
      <c r="I29" s="869" t="s">
        <v>1632</v>
      </c>
      <c r="J29" s="870">
        <f ca="1">SFAssumptions!C8</f>
        <v>3.7770072992700716</v>
      </c>
      <c r="K29" s="867"/>
      <c r="L29" s="871"/>
      <c r="M29" s="867"/>
    </row>
    <row r="30" spans="1:13" s="873" customFormat="1">
      <c r="A30" s="872" t="s">
        <v>1633</v>
      </c>
    </row>
    <row r="31" spans="1:13">
      <c r="A31" s="856"/>
    </row>
    <row r="32" spans="1:13">
      <c r="B32" s="874" t="s">
        <v>1125</v>
      </c>
      <c r="C32" s="874" t="s">
        <v>1634</v>
      </c>
    </row>
    <row r="33" spans="2:3">
      <c r="B33" s="853">
        <f t="array" aca="1" ref="B33:C33" ca="1">LINEST(M11:M28,L11:L28,TRUE,FALSE)</f>
        <v>3.7253700774873062</v>
      </c>
      <c r="C33" s="853">
        <f ca="1"/>
        <v>-3.576019252956808E-2</v>
      </c>
    </row>
    <row r="52" spans="1:7" s="877" customFormat="1">
      <c r="A52" s="875"/>
      <c r="B52" s="876"/>
      <c r="C52" s="876"/>
      <c r="D52" s="876"/>
    </row>
    <row r="53" spans="1:7" ht="15">
      <c r="A53" s="878"/>
      <c r="B53" s="878"/>
      <c r="C53" s="878"/>
      <c r="D53" s="879"/>
    </row>
    <row r="54" spans="1:7" ht="15">
      <c r="A54" s="880"/>
      <c r="B54" s="881"/>
      <c r="C54" s="881"/>
      <c r="D54" s="879"/>
    </row>
    <row r="55" spans="1:7" ht="15">
      <c r="A55" s="880"/>
      <c r="B55" s="881"/>
      <c r="C55" s="881"/>
      <c r="D55" s="879"/>
    </row>
    <row r="56" spans="1:7" ht="15">
      <c r="A56" s="880"/>
      <c r="B56" s="881"/>
      <c r="C56" s="881"/>
      <c r="D56" s="879"/>
      <c r="E56" s="882"/>
    </row>
    <row r="57" spans="1:7" ht="15">
      <c r="A57" s="880"/>
      <c r="B57" s="881"/>
      <c r="C57" s="881"/>
      <c r="D57" s="879"/>
      <c r="E57" s="856"/>
      <c r="F57" s="856"/>
    </row>
    <row r="58" spans="1:7" ht="15">
      <c r="A58" s="880"/>
      <c r="B58" s="881"/>
      <c r="C58" s="881"/>
      <c r="D58" s="879"/>
    </row>
    <row r="59" spans="1:7" ht="15">
      <c r="A59" s="880"/>
      <c r="B59" s="881"/>
      <c r="C59" s="881"/>
      <c r="D59" s="879"/>
      <c r="E59" s="882"/>
    </row>
    <row r="60" spans="1:7" ht="15">
      <c r="A60" s="880"/>
      <c r="B60" s="881"/>
      <c r="C60" s="881"/>
      <c r="D60" s="879"/>
    </row>
    <row r="61" spans="1:7" ht="15">
      <c r="A61" s="880"/>
      <c r="B61" s="881"/>
      <c r="C61" s="881"/>
      <c r="D61" s="879"/>
    </row>
    <row r="62" spans="1:7">
      <c r="A62" s="883"/>
      <c r="B62" s="884"/>
      <c r="C62" s="884"/>
      <c r="D62" s="876"/>
      <c r="E62" s="877"/>
      <c r="F62" s="877"/>
      <c r="G62" s="877"/>
    </row>
    <row r="63" spans="1:7">
      <c r="A63" s="877"/>
      <c r="B63" s="877"/>
      <c r="C63" s="877"/>
      <c r="D63" s="877"/>
      <c r="E63" s="877"/>
      <c r="F63" s="877"/>
      <c r="G63" s="877"/>
    </row>
    <row r="64" spans="1:7">
      <c r="A64" s="877"/>
      <c r="B64" s="877"/>
      <c r="C64" s="877"/>
      <c r="D64" s="877"/>
      <c r="E64" s="877"/>
      <c r="F64" s="877"/>
      <c r="G64" s="877"/>
    </row>
    <row r="65" spans="1:7">
      <c r="A65" s="877"/>
      <c r="B65" s="877"/>
      <c r="C65" s="877"/>
      <c r="D65" s="877"/>
      <c r="E65" s="877"/>
      <c r="F65" s="877"/>
      <c r="G65" s="877"/>
    </row>
    <row r="66" spans="1:7">
      <c r="A66" s="877"/>
      <c r="B66" s="877"/>
      <c r="C66" s="877"/>
      <c r="D66" s="877"/>
      <c r="E66" s="877"/>
      <c r="F66" s="877"/>
      <c r="G66" s="877"/>
    </row>
    <row r="67" spans="1:7">
      <c r="A67" s="877"/>
      <c r="B67" s="877"/>
      <c r="C67" s="877"/>
      <c r="D67" s="877"/>
      <c r="E67" s="877"/>
      <c r="F67" s="877"/>
      <c r="G67" s="877"/>
    </row>
  </sheetData>
  <mergeCells count="2">
    <mergeCell ref="A1:J1"/>
    <mergeCell ref="A4:J4"/>
  </mergeCells>
  <hyperlinks>
    <hyperlink ref="A6"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dimension ref="A1:CB149"/>
  <sheetViews>
    <sheetView tabSelected="1" topLeftCell="B1" workbookViewId="0">
      <selection activeCell="E16" sqref="E16"/>
    </sheetView>
  </sheetViews>
  <sheetFormatPr defaultRowHeight="12.75"/>
  <cols>
    <col min="1" max="1" width="35" style="9" customWidth="1"/>
    <col min="2" max="2" width="29.28515625" style="9" customWidth="1"/>
    <col min="3" max="4" width="19.85546875" style="9" customWidth="1"/>
    <col min="5" max="5" width="10.7109375" style="9" customWidth="1"/>
    <col min="6" max="25" width="9.5703125" style="9" bestFit="1" customWidth="1"/>
    <col min="26" max="28" width="9.140625" style="9"/>
    <col min="29" max="29" width="21.7109375" style="9" customWidth="1"/>
    <col min="30" max="30" width="35.85546875" style="9" customWidth="1"/>
    <col min="31" max="31" width="35.28515625" style="9" customWidth="1"/>
    <col min="32" max="32" width="15" style="9" customWidth="1"/>
    <col min="33" max="33" width="17.7109375" style="9" customWidth="1"/>
    <col min="34" max="34" width="15.140625" style="9" customWidth="1"/>
    <col min="35" max="35" width="15.7109375" style="9" customWidth="1"/>
    <col min="36" max="36" width="21.28515625" style="9" customWidth="1"/>
    <col min="37" max="37" width="17.7109375" style="9" bestFit="1" customWidth="1"/>
    <col min="38" max="38" width="15.42578125" style="9" bestFit="1" customWidth="1"/>
    <col min="39" max="39" width="14.28515625" style="9" bestFit="1" customWidth="1"/>
    <col min="40" max="40" width="14.28515625" style="9" customWidth="1"/>
    <col min="41" max="41" width="12.5703125" style="9" customWidth="1"/>
    <col min="42" max="42" width="14" style="9" bestFit="1" customWidth="1"/>
    <col min="43" max="44" width="10.85546875" style="9" bestFit="1" customWidth="1"/>
    <col min="45" max="45" width="13.42578125" style="9" customWidth="1"/>
    <col min="46" max="46" width="11.85546875" style="9" bestFit="1" customWidth="1"/>
    <col min="47" max="47" width="11" style="9" bestFit="1" customWidth="1"/>
    <col min="48" max="48" width="14.28515625" style="9" bestFit="1" customWidth="1"/>
    <col min="49" max="49" width="10.7109375" style="9" customWidth="1"/>
    <col min="50" max="50" width="13.85546875" style="9" bestFit="1" customWidth="1"/>
    <col min="51" max="51" width="11.7109375" style="9" bestFit="1" customWidth="1"/>
    <col min="52" max="52" width="15.28515625" style="9" bestFit="1" customWidth="1"/>
    <col min="53" max="55" width="12.28515625" style="9" bestFit="1" customWidth="1"/>
    <col min="56" max="56" width="12.5703125" style="9" bestFit="1" customWidth="1"/>
    <col min="57" max="59" width="14.28515625" style="9" bestFit="1" customWidth="1"/>
    <col min="60" max="60" width="13.7109375" style="9" bestFit="1" customWidth="1"/>
    <col min="61" max="61" width="14" style="9" bestFit="1" customWidth="1"/>
    <col min="62" max="62" width="12.85546875" style="9" bestFit="1" customWidth="1"/>
    <col min="63" max="63" width="15.28515625" style="9" bestFit="1" customWidth="1"/>
    <col min="64" max="64" width="12.28515625" style="9" bestFit="1" customWidth="1"/>
    <col min="65" max="65" width="10.85546875" style="9" bestFit="1" customWidth="1"/>
    <col min="66" max="66" width="12.28515625" style="9" bestFit="1" customWidth="1"/>
    <col min="67" max="67" width="12.5703125" style="9" bestFit="1" customWidth="1"/>
    <col min="68" max="16384" width="9.140625" style="9"/>
  </cols>
  <sheetData>
    <row r="1" spans="1:69">
      <c r="A1" s="50" t="s">
        <v>59</v>
      </c>
      <c r="B1" s="887" t="s">
        <v>60</v>
      </c>
      <c r="C1" s="887"/>
      <c r="D1" s="887"/>
      <c r="E1" s="887"/>
      <c r="F1" s="887"/>
      <c r="G1" s="887"/>
      <c r="H1" s="887"/>
      <c r="I1" s="887"/>
      <c r="J1" s="887"/>
      <c r="K1" s="887"/>
      <c r="L1" s="887"/>
      <c r="M1" s="887"/>
      <c r="N1" s="887"/>
      <c r="O1" s="887"/>
      <c r="P1" s="887"/>
      <c r="Q1" s="887"/>
      <c r="R1" s="887"/>
      <c r="S1" s="887"/>
      <c r="T1" s="887"/>
    </row>
    <row r="2" spans="1:69">
      <c r="A2" s="51" t="s">
        <v>1211</v>
      </c>
      <c r="B2" s="887"/>
      <c r="C2" s="887"/>
      <c r="D2" s="887"/>
      <c r="E2" s="887"/>
      <c r="F2" s="887"/>
      <c r="G2" s="887"/>
      <c r="H2" s="887"/>
      <c r="I2" s="887"/>
      <c r="J2" s="887"/>
      <c r="K2" s="887"/>
      <c r="L2" s="887"/>
      <c r="M2" s="887"/>
      <c r="N2" s="887"/>
      <c r="O2" s="887"/>
      <c r="P2" s="887"/>
      <c r="Q2" s="887"/>
      <c r="R2" s="887"/>
      <c r="S2" s="887"/>
      <c r="T2" s="887"/>
    </row>
    <row r="3" spans="1:69">
      <c r="B3" s="887"/>
      <c r="C3" s="887"/>
      <c r="D3" s="887"/>
      <c r="E3" s="887"/>
      <c r="F3" s="887"/>
      <c r="G3" s="887"/>
      <c r="H3" s="887"/>
      <c r="I3" s="887"/>
      <c r="J3" s="887"/>
      <c r="K3" s="887"/>
      <c r="L3" s="887"/>
      <c r="M3" s="887"/>
      <c r="N3" s="887"/>
      <c r="O3" s="887"/>
      <c r="P3" s="887"/>
      <c r="Q3" s="887"/>
      <c r="R3" s="887"/>
      <c r="S3" s="887"/>
      <c r="T3" s="887"/>
    </row>
    <row r="4" spans="1:69">
      <c r="B4" s="887"/>
      <c r="C4" s="887"/>
      <c r="D4" s="887"/>
      <c r="E4" s="887"/>
      <c r="F4" s="887"/>
      <c r="G4" s="887"/>
      <c r="H4" s="887"/>
      <c r="I4" s="887"/>
      <c r="J4" s="887"/>
      <c r="K4" s="887"/>
      <c r="L4" s="887"/>
      <c r="M4" s="887"/>
      <c r="N4" s="887"/>
      <c r="O4" s="887"/>
      <c r="P4" s="887"/>
      <c r="Q4" s="887"/>
      <c r="R4" s="887"/>
      <c r="S4" s="887"/>
      <c r="T4" s="887"/>
    </row>
    <row r="5" spans="1:69">
      <c r="B5" s="887"/>
      <c r="C5" s="887"/>
      <c r="D5" s="887"/>
      <c r="E5" s="887"/>
      <c r="F5" s="887"/>
      <c r="G5" s="887"/>
      <c r="H5" s="887"/>
      <c r="I5" s="887"/>
      <c r="J5" s="887"/>
      <c r="K5" s="887"/>
      <c r="L5" s="887"/>
      <c r="M5" s="887"/>
      <c r="N5" s="887"/>
      <c r="O5" s="887"/>
      <c r="P5" s="887"/>
      <c r="Q5" s="887"/>
      <c r="R5" s="887"/>
      <c r="S5" s="887"/>
      <c r="T5" s="887"/>
    </row>
    <row r="6" spans="1:69">
      <c r="B6" s="887"/>
      <c r="C6" s="887"/>
      <c r="D6" s="887"/>
      <c r="E6" s="887"/>
      <c r="F6" s="887"/>
      <c r="G6" s="887"/>
      <c r="H6" s="887"/>
      <c r="I6" s="887"/>
      <c r="J6" s="887"/>
      <c r="K6" s="887"/>
      <c r="L6" s="887"/>
      <c r="M6" s="887"/>
      <c r="N6" s="887"/>
      <c r="O6" s="887"/>
      <c r="P6" s="887"/>
      <c r="Q6" s="887"/>
      <c r="R6" s="887"/>
      <c r="S6" s="887"/>
      <c r="T6" s="887"/>
    </row>
    <row r="7" spans="1:69">
      <c r="A7" s="551"/>
      <c r="B7" s="551" t="s">
        <v>53</v>
      </c>
      <c r="C7" s="521" t="s">
        <v>61</v>
      </c>
      <c r="D7" s="521" t="s">
        <v>61</v>
      </c>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row>
    <row r="8" spans="1:69">
      <c r="A8" s="551" t="s">
        <v>1223</v>
      </c>
      <c r="B8" s="551" t="s">
        <v>62</v>
      </c>
      <c r="C8" s="521" t="str">
        <f>[2]MLIST!$B$14</f>
        <v>Clothes Washer</v>
      </c>
      <c r="D8" s="521" t="str">
        <f>[1]!switch_ForecastState</f>
        <v>Region</v>
      </c>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row>
    <row r="9" spans="1:69">
      <c r="A9" s="551" t="str">
        <f>INDEX([2]ACHIEV!$A$19:$B$100,MATCH(CONCATENATE($C$8," - ",$C$7),[2]ACHIEV!$B$19:$B$100,0),1)</f>
        <v>Water Heating</v>
      </c>
      <c r="B9" s="552" t="s">
        <v>63</v>
      </c>
      <c r="C9" s="521">
        <f>[2]FILES!$H$4</f>
        <v>2035</v>
      </c>
      <c r="D9" s="521" t="str">
        <f>[1]!switch_ForecastScenario</f>
        <v>Base</v>
      </c>
      <c r="E9" s="54"/>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row>
    <row r="10" spans="1:69">
      <c r="A10" s="551"/>
      <c r="B10" s="551" t="s">
        <v>1653</v>
      </c>
      <c r="C10" s="886">
        <f ca="1">MIN(SUM(E57:X57),Y57)</f>
        <v>10.583985386405807</v>
      </c>
      <c r="D10" s="522"/>
      <c r="E10" s="54"/>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row>
    <row r="11" spans="1:69" ht="15">
      <c r="A11" s="62" t="str">
        <f>CONCATENATE("# HOMES AVAILABLE FOR MEASURE -",$C$8)</f>
        <v># HOMES AVAILABLE FOR MEASURE -Clothes Washer</v>
      </c>
      <c r="B11" s="62"/>
      <c r="C11" s="9" t="s">
        <v>64</v>
      </c>
      <c r="E11" s="68">
        <v>2016</v>
      </c>
      <c r="F11" s="68">
        <v>2017</v>
      </c>
      <c r="G11" s="68">
        <v>2018</v>
      </c>
      <c r="H11" s="68">
        <v>2019</v>
      </c>
      <c r="I11" s="68">
        <v>2020</v>
      </c>
      <c r="J11" s="68">
        <v>2021</v>
      </c>
      <c r="K11" s="68">
        <v>2022</v>
      </c>
      <c r="L11" s="68">
        <v>2023</v>
      </c>
      <c r="M11" s="68">
        <v>2024</v>
      </c>
      <c r="N11" s="68">
        <v>2025</v>
      </c>
      <c r="O11" s="68">
        <v>2026</v>
      </c>
      <c r="P11" s="68">
        <v>2027</v>
      </c>
      <c r="Q11" s="68">
        <v>2028</v>
      </c>
      <c r="R11" s="68">
        <v>2029</v>
      </c>
      <c r="S11" s="68">
        <v>2030</v>
      </c>
      <c r="T11" s="68">
        <v>2031</v>
      </c>
      <c r="U11" s="68">
        <v>2032</v>
      </c>
      <c r="V11" s="68">
        <v>2033</v>
      </c>
      <c r="W11" s="68">
        <v>2034</v>
      </c>
      <c r="X11" s="68">
        <v>2035</v>
      </c>
      <c r="Y11" s="69"/>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row>
    <row r="12" spans="1:69" ht="15">
      <c r="E12" s="70" t="str">
        <f>CONCATENATE("Homes_",E11)</f>
        <v>Homes_2016</v>
      </c>
      <c r="F12" s="70" t="str">
        <f t="shared" ref="F12:X12" si="0">CONCATENATE("Homes_",F11)</f>
        <v>Homes_2017</v>
      </c>
      <c r="G12" s="70" t="str">
        <f t="shared" si="0"/>
        <v>Homes_2018</v>
      </c>
      <c r="H12" s="70" t="str">
        <f t="shared" si="0"/>
        <v>Homes_2019</v>
      </c>
      <c r="I12" s="70" t="str">
        <f t="shared" si="0"/>
        <v>Homes_2020</v>
      </c>
      <c r="J12" s="70" t="str">
        <f t="shared" si="0"/>
        <v>Homes_2021</v>
      </c>
      <c r="K12" s="70" t="str">
        <f t="shared" si="0"/>
        <v>Homes_2022</v>
      </c>
      <c r="L12" s="70" t="str">
        <f t="shared" si="0"/>
        <v>Homes_2023</v>
      </c>
      <c r="M12" s="70" t="str">
        <f t="shared" si="0"/>
        <v>Homes_2024</v>
      </c>
      <c r="N12" s="70" t="str">
        <f t="shared" si="0"/>
        <v>Homes_2025</v>
      </c>
      <c r="O12" s="70" t="str">
        <f t="shared" si="0"/>
        <v>Homes_2026</v>
      </c>
      <c r="P12" s="70" t="str">
        <f t="shared" si="0"/>
        <v>Homes_2027</v>
      </c>
      <c r="Q12" s="70" t="str">
        <f t="shared" si="0"/>
        <v>Homes_2028</v>
      </c>
      <c r="R12" s="70" t="str">
        <f t="shared" si="0"/>
        <v>Homes_2029</v>
      </c>
      <c r="S12" s="70" t="str">
        <f t="shared" si="0"/>
        <v>Homes_2030</v>
      </c>
      <c r="T12" s="70" t="str">
        <f t="shared" si="0"/>
        <v>Homes_2031</v>
      </c>
      <c r="U12" s="70" t="str">
        <f t="shared" si="0"/>
        <v>Homes_2032</v>
      </c>
      <c r="V12" s="70" t="str">
        <f t="shared" si="0"/>
        <v>Homes_2033</v>
      </c>
      <c r="W12" s="70" t="str">
        <f t="shared" si="0"/>
        <v>Homes_2034</v>
      </c>
      <c r="X12" s="70" t="str">
        <f t="shared" si="0"/>
        <v>Homes_2035</v>
      </c>
      <c r="Y12" s="71"/>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row>
    <row r="13" spans="1:69">
      <c r="B13" s="9" t="s">
        <v>61</v>
      </c>
      <c r="C13" s="9" t="s">
        <v>54</v>
      </c>
      <c r="E13" s="42">
        <f ca="1">INDEX([1]!tbl_Forecast,MATCH($D$8&amp;$C13&amp;$D$7,[1]!rng_ForecastRowLookup,0),MATCH(E$11,[1]!rng_ForecastColumnLookup,0))</f>
        <v>62685.758999999998</v>
      </c>
      <c r="F13" s="42">
        <f ca="1">INDEX([1]!tbl_Forecast,MATCH($D$8&amp;$C13&amp;$D$7,[1]!rng_ForecastRowLookup,0),MATCH(F$11,[1]!rng_ForecastColumnLookup,0))</f>
        <v>59961.781000000003</v>
      </c>
      <c r="G13" s="42">
        <f ca="1">INDEX([1]!tbl_Forecast,MATCH($D$8&amp;$C13&amp;$D$7,[1]!rng_ForecastRowLookup,0),MATCH(G$11,[1]!rng_ForecastColumnLookup,0))</f>
        <v>56834.012000000002</v>
      </c>
      <c r="H13" s="42">
        <f ca="1">INDEX([1]!tbl_Forecast,MATCH($D$8&amp;$C13&amp;$D$7,[1]!rng_ForecastRowLookup,0),MATCH(H$11,[1]!rng_ForecastColumnLookup,0))</f>
        <v>54985.192999999999</v>
      </c>
      <c r="I13" s="42">
        <f ca="1">INDEX([1]!tbl_Forecast,MATCH($D$8&amp;$C13&amp;$D$7,[1]!rng_ForecastRowLookup,0),MATCH(I$11,[1]!rng_ForecastColumnLookup,0))</f>
        <v>53507.474000000002</v>
      </c>
      <c r="J13" s="42">
        <f ca="1">INDEX([1]!tbl_Forecast,MATCH($D$8&amp;$C13&amp;$D$7,[1]!rng_ForecastRowLookup,0),MATCH(J$11,[1]!rng_ForecastColumnLookup,0))</f>
        <v>50982.05</v>
      </c>
      <c r="K13" s="42">
        <f ca="1">INDEX([1]!tbl_Forecast,MATCH($D$8&amp;$C13&amp;$D$7,[1]!rng_ForecastRowLookup,0),MATCH(K$11,[1]!rng_ForecastColumnLookup,0))</f>
        <v>49561.669000000002</v>
      </c>
      <c r="L13" s="42">
        <f ca="1">INDEX([1]!tbl_Forecast,MATCH($D$8&amp;$C13&amp;$D$7,[1]!rng_ForecastRowLookup,0),MATCH(L$11,[1]!rng_ForecastColumnLookup,0))</f>
        <v>49324.517999999996</v>
      </c>
      <c r="M13" s="42">
        <f ca="1">INDEX([1]!tbl_Forecast,MATCH($D$8&amp;$C13&amp;$D$7,[1]!rng_ForecastRowLookup,0),MATCH(M$11,[1]!rng_ForecastColumnLookup,0))</f>
        <v>48815.77</v>
      </c>
      <c r="N13" s="42">
        <f ca="1">INDEX([1]!tbl_Forecast,MATCH($D$8&amp;$C13&amp;$D$7,[1]!rng_ForecastRowLookup,0),MATCH(N$11,[1]!rng_ForecastColumnLookup,0))</f>
        <v>49683.252</v>
      </c>
      <c r="O13" s="42">
        <f ca="1">INDEX([1]!tbl_Forecast,MATCH($D$8&amp;$C13&amp;$D$7,[1]!rng_ForecastRowLookup,0),MATCH(O$11,[1]!rng_ForecastColumnLookup,0))</f>
        <v>50030.137000000002</v>
      </c>
      <c r="P13" s="42">
        <f ca="1">INDEX([1]!tbl_Forecast,MATCH($D$8&amp;$C13&amp;$D$7,[1]!rng_ForecastRowLookup,0),MATCH(P$11,[1]!rng_ForecastColumnLookup,0))</f>
        <v>49387.762999999999</v>
      </c>
      <c r="Q13" s="42">
        <f ca="1">INDEX([1]!tbl_Forecast,MATCH($D$8&amp;$C13&amp;$D$7,[1]!rng_ForecastRowLookup,0),MATCH(Q$11,[1]!rng_ForecastColumnLookup,0))</f>
        <v>48079.345999999998</v>
      </c>
      <c r="R13" s="42">
        <f ca="1">INDEX([1]!tbl_Forecast,MATCH($D$8&amp;$C13&amp;$D$7,[1]!rng_ForecastRowLookup,0),MATCH(R$11,[1]!rng_ForecastColumnLookup,0))</f>
        <v>48129.050999999999</v>
      </c>
      <c r="S13" s="42">
        <f ca="1">INDEX([1]!tbl_Forecast,MATCH($D$8&amp;$C13&amp;$D$7,[1]!rng_ForecastRowLookup,0),MATCH(S$11,[1]!rng_ForecastColumnLookup,0))</f>
        <v>48690.569000000003</v>
      </c>
      <c r="T13" s="42">
        <f ca="1">INDEX([1]!tbl_Forecast,MATCH($D$8&amp;$C13&amp;$D$7,[1]!rng_ForecastRowLookup,0),MATCH(T$11,[1]!rng_ForecastColumnLookup,0))</f>
        <v>48482.864000000001</v>
      </c>
      <c r="U13" s="42">
        <f ca="1">INDEX([1]!tbl_Forecast,MATCH($D$8&amp;$C13&amp;$D$7,[1]!rng_ForecastRowLookup,0),MATCH(U$11,[1]!rng_ForecastColumnLookup,0))</f>
        <v>46879.000999999997</v>
      </c>
      <c r="V13" s="42">
        <f ca="1">INDEX([1]!tbl_Forecast,MATCH($D$8&amp;$C13&amp;$D$7,[1]!rng_ForecastRowLookup,0),MATCH(V$11,[1]!rng_ForecastColumnLookup,0))</f>
        <v>46798.777999999998</v>
      </c>
      <c r="W13" s="42">
        <f ca="1">INDEX([1]!tbl_Forecast,MATCH($D$8&amp;$C13&amp;$D$7,[1]!rng_ForecastRowLookup,0),MATCH(W$11,[1]!rng_ForecastColumnLookup,0))</f>
        <v>46917.627</v>
      </c>
      <c r="X13" s="42">
        <f ca="1">INDEX([1]!tbl_Forecast,MATCH($D$8&amp;$C13&amp;$D$7,[1]!rng_ForecastRowLookup,0),MATCH(X$11,[1]!rng_ForecastColumnLookup,0))</f>
        <v>47236.144999999997</v>
      </c>
      <c r="Y13" s="42"/>
      <c r="AA13" s="42">
        <f ca="1">SUM(E13:Y13)</f>
        <v>1016972.7590000002</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row>
    <row r="14" spans="1:69">
      <c r="B14" s="9" t="s">
        <v>61</v>
      </c>
      <c r="C14" s="9" t="s">
        <v>55</v>
      </c>
      <c r="E14" s="42">
        <f ca="1">INDEX([1]!tbl_Forecast,MATCH($D$8&amp;$C14&amp;$D$7,[1]!rng_ForecastRowLookup,0),MATCH(E$11,[1]!rng_ForecastColumnLookup,0))</f>
        <v>23280.347100904564</v>
      </c>
      <c r="F14" s="42">
        <f ca="1">INDEX([1]!tbl_Forecast,MATCH($D$8&amp;$C14&amp;$D$7,[1]!rng_ForecastRowLookup,0),MATCH(F$11,[1]!rng_ForecastColumnLookup,0))</f>
        <v>23017.418106038647</v>
      </c>
      <c r="G14" s="42">
        <f ca="1">INDEX([1]!tbl_Forecast,MATCH($D$8&amp;$C14&amp;$D$7,[1]!rng_ForecastRowLookup,0),MATCH(G$11,[1]!rng_ForecastColumnLookup,0))</f>
        <v>22811.60852767331</v>
      </c>
      <c r="H14" s="42">
        <f ca="1">INDEX([1]!tbl_Forecast,MATCH($D$8&amp;$C14&amp;$D$7,[1]!rng_ForecastRowLookup,0),MATCH(H$11,[1]!rng_ForecastColumnLookup,0))</f>
        <v>22085.916378202593</v>
      </c>
      <c r="I14" s="42">
        <f ca="1">INDEX([1]!tbl_Forecast,MATCH($D$8&amp;$C14&amp;$D$7,[1]!rng_ForecastRowLookup,0),MATCH(I$11,[1]!rng_ForecastColumnLookup,0))</f>
        <v>20817.853908138593</v>
      </c>
      <c r="J14" s="42">
        <f ca="1">INDEX([1]!tbl_Forecast,MATCH($D$8&amp;$C14&amp;$D$7,[1]!rng_ForecastRowLookup,0),MATCH(J$11,[1]!rng_ForecastColumnLookup,0))</f>
        <v>20070.279329962508</v>
      </c>
      <c r="K14" s="42">
        <f ca="1">INDEX([1]!tbl_Forecast,MATCH($D$8&amp;$C14&amp;$D$7,[1]!rng_ForecastRowLookup,0),MATCH(K$11,[1]!rng_ForecastColumnLookup,0))</f>
        <v>19887.831284331631</v>
      </c>
      <c r="L14" s="42">
        <f ca="1">INDEX([1]!tbl_Forecast,MATCH($D$8&amp;$C14&amp;$D$7,[1]!rng_ForecastRowLookup,0),MATCH(L$11,[1]!rng_ForecastColumnLookup,0))</f>
        <v>20257.583209811291</v>
      </c>
      <c r="M14" s="42">
        <f ca="1">INDEX([1]!tbl_Forecast,MATCH($D$8&amp;$C14&amp;$D$7,[1]!rng_ForecastRowLookup,0),MATCH(M$11,[1]!rng_ForecastColumnLookup,0))</f>
        <v>20750.368029493613</v>
      </c>
      <c r="N14" s="42">
        <f ca="1">INDEX([1]!tbl_Forecast,MATCH($D$8&amp;$C14&amp;$D$7,[1]!rng_ForecastRowLookup,0),MATCH(N$11,[1]!rng_ForecastColumnLookup,0))</f>
        <v>21314.334279744231</v>
      </c>
      <c r="O14" s="42">
        <f ca="1">INDEX([1]!tbl_Forecast,MATCH($D$8&amp;$C14&amp;$D$7,[1]!rng_ForecastRowLookup,0),MATCH(O$11,[1]!rng_ForecastColumnLookup,0))</f>
        <v>21403.286239774712</v>
      </c>
      <c r="P14" s="42">
        <f ca="1">INDEX([1]!tbl_Forecast,MATCH($D$8&amp;$C14&amp;$D$7,[1]!rng_ForecastRowLookup,0),MATCH(P$11,[1]!rng_ForecastColumnLookup,0))</f>
        <v>21409.137516518917</v>
      </c>
      <c r="Q14" s="42">
        <f ca="1">INDEX([1]!tbl_Forecast,MATCH($D$8&amp;$C14&amp;$D$7,[1]!rng_ForecastRowLookup,0),MATCH(Q$11,[1]!rng_ForecastColumnLookup,0))</f>
        <v>21443.358292282628</v>
      </c>
      <c r="R14" s="42">
        <f ca="1">INDEX([1]!tbl_Forecast,MATCH($D$8&amp;$C14&amp;$D$7,[1]!rng_ForecastRowLookup,0),MATCH(R$11,[1]!rng_ForecastColumnLookup,0))</f>
        <v>21209.865626522758</v>
      </c>
      <c r="S14" s="42">
        <f ca="1">INDEX([1]!tbl_Forecast,MATCH($D$8&amp;$C14&amp;$D$7,[1]!rng_ForecastRowLookup,0),MATCH(S$11,[1]!rng_ForecastColumnLookup,0))</f>
        <v>20954.17798283829</v>
      </c>
      <c r="T14" s="42">
        <f ca="1">INDEX([1]!tbl_Forecast,MATCH($D$8&amp;$C14&amp;$D$7,[1]!rng_ForecastRowLookup,0),MATCH(T$11,[1]!rng_ForecastColumnLookup,0))</f>
        <v>20525.44023202754</v>
      </c>
      <c r="U14" s="42">
        <f ca="1">INDEX([1]!tbl_Forecast,MATCH($D$8&amp;$C14&amp;$D$7,[1]!rng_ForecastRowLookup,0),MATCH(U$11,[1]!rng_ForecastColumnLookup,0))</f>
        <v>20175.505597554071</v>
      </c>
      <c r="V14" s="42">
        <f ca="1">INDEX([1]!tbl_Forecast,MATCH($D$8&amp;$C14&amp;$D$7,[1]!rng_ForecastRowLookup,0),MATCH(V$11,[1]!rng_ForecastColumnLookup,0))</f>
        <v>19919.723927484571</v>
      </c>
      <c r="W14" s="42">
        <f ca="1">INDEX([1]!tbl_Forecast,MATCH($D$8&amp;$C14&amp;$D$7,[1]!rng_ForecastRowLookup,0),MATCH(W$11,[1]!rng_ForecastColumnLookup,0))</f>
        <v>19536.194066416414</v>
      </c>
      <c r="X14" s="42">
        <f ca="1">INDEX([1]!tbl_Forecast,MATCH($D$8&amp;$C14&amp;$D$7,[1]!rng_ForecastRowLookup,0),MATCH(X$11,[1]!rng_ForecastColumnLookup,0))</f>
        <v>19462.287131015248</v>
      </c>
      <c r="Y14" s="42"/>
      <c r="AA14" s="42">
        <f t="shared" ref="AA14:AA16" ca="1" si="1">SUM(E14:Y14)</f>
        <v>420332.51676673623</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row>
    <row r="15" spans="1:69">
      <c r="B15" s="9" t="s">
        <v>61</v>
      </c>
      <c r="C15" s="9" t="s">
        <v>56</v>
      </c>
      <c r="E15" s="42">
        <f ca="1">INDEX([1]!tbl_Forecast,MATCH($D$8&amp;$C15&amp;$D$7,[1]!rng_ForecastRowLookup,0),MATCH(E$11,[1]!rng_ForecastColumnLookup,0))</f>
        <v>5226.2387411561367</v>
      </c>
      <c r="F15" s="42">
        <f ca="1">INDEX([1]!tbl_Forecast,MATCH($D$8&amp;$C15&amp;$D$7,[1]!rng_ForecastRowLookup,0),MATCH(F$11,[1]!rng_ForecastColumnLookup,0))</f>
        <v>5239.95312759432</v>
      </c>
      <c r="G15" s="42">
        <f ca="1">INDEX([1]!tbl_Forecast,MATCH($D$8&amp;$C15&amp;$D$7,[1]!rng_ForecastRowLookup,0),MATCH(G$11,[1]!rng_ForecastColumnLookup,0))</f>
        <v>5271.2612760989568</v>
      </c>
      <c r="H15" s="42">
        <f ca="1">INDEX([1]!tbl_Forecast,MATCH($D$8&amp;$C15&amp;$D$7,[1]!rng_ForecastRowLookup,0),MATCH(H$11,[1]!rng_ForecastColumnLookup,0))</f>
        <v>4985.883552972361</v>
      </c>
      <c r="I15" s="42">
        <f ca="1">INDEX([1]!tbl_Forecast,MATCH($D$8&amp;$C15&amp;$D$7,[1]!rng_ForecastRowLookup,0),MATCH(I$11,[1]!rng_ForecastColumnLookup,0))</f>
        <v>4608.5912035798974</v>
      </c>
      <c r="J15" s="42">
        <f ca="1">INDEX([1]!tbl_Forecast,MATCH($D$8&amp;$C15&amp;$D$7,[1]!rng_ForecastRowLookup,0),MATCH(J$11,[1]!rng_ForecastColumnLookup,0))</f>
        <v>4509.6375960361838</v>
      </c>
      <c r="K15" s="42">
        <f ca="1">INDEX([1]!tbl_Forecast,MATCH($D$8&amp;$C15&amp;$D$7,[1]!rng_ForecastRowLookup,0),MATCH(K$11,[1]!rng_ForecastColumnLookup,0))</f>
        <v>4481.760351096189</v>
      </c>
      <c r="L15" s="42">
        <f ca="1">INDEX([1]!tbl_Forecast,MATCH($D$8&amp;$C15&amp;$D$7,[1]!rng_ForecastRowLookup,0),MATCH(L$11,[1]!rng_ForecastColumnLookup,0))</f>
        <v>4621.8312800578688</v>
      </c>
      <c r="M15" s="42">
        <f ca="1">INDEX([1]!tbl_Forecast,MATCH($D$8&amp;$C15&amp;$D$7,[1]!rng_ForecastRowLookup,0),MATCH(M$11,[1]!rng_ForecastColumnLookup,0))</f>
        <v>4700.9782942419988</v>
      </c>
      <c r="N15" s="42">
        <f ca="1">INDEX([1]!tbl_Forecast,MATCH($D$8&amp;$C15&amp;$D$7,[1]!rng_ForecastRowLookup,0),MATCH(N$11,[1]!rng_ForecastColumnLookup,0))</f>
        <v>4828.2391631488581</v>
      </c>
      <c r="O15" s="42">
        <f ca="1">INDEX([1]!tbl_Forecast,MATCH($D$8&amp;$C15&amp;$D$7,[1]!rng_ForecastRowLookup,0),MATCH(O$11,[1]!rng_ForecastColumnLookup,0))</f>
        <v>4790.0249139778334</v>
      </c>
      <c r="P15" s="42">
        <f ca="1">INDEX([1]!tbl_Forecast,MATCH($D$8&amp;$C15&amp;$D$7,[1]!rng_ForecastRowLookup,0),MATCH(P$11,[1]!rng_ForecastColumnLookup,0))</f>
        <v>4782.0649962402858</v>
      </c>
      <c r="Q15" s="42">
        <f ca="1">INDEX([1]!tbl_Forecast,MATCH($D$8&amp;$C15&amp;$D$7,[1]!rng_ForecastRowLookup,0),MATCH(Q$11,[1]!rng_ForecastColumnLookup,0))</f>
        <v>4748.3908346265653</v>
      </c>
      <c r="R15" s="42">
        <f ca="1">INDEX([1]!tbl_Forecast,MATCH($D$8&amp;$C15&amp;$D$7,[1]!rng_ForecastRowLookup,0),MATCH(R$11,[1]!rng_ForecastColumnLookup,0))</f>
        <v>4733.4823682495089</v>
      </c>
      <c r="S15" s="42">
        <f ca="1">INDEX([1]!tbl_Forecast,MATCH($D$8&amp;$C15&amp;$D$7,[1]!rng_ForecastRowLookup,0),MATCH(S$11,[1]!rng_ForecastColumnLookup,0))</f>
        <v>4698.697177079107</v>
      </c>
      <c r="T15" s="42">
        <f ca="1">INDEX([1]!tbl_Forecast,MATCH($D$8&amp;$C15&amp;$D$7,[1]!rng_ForecastRowLookup,0),MATCH(T$11,[1]!rng_ForecastColumnLookup,0))</f>
        <v>4599.2987885998937</v>
      </c>
      <c r="U15" s="42">
        <f ca="1">INDEX([1]!tbl_Forecast,MATCH($D$8&amp;$C15&amp;$D$7,[1]!rng_ForecastRowLookup,0),MATCH(U$11,[1]!rng_ForecastColumnLookup,0))</f>
        <v>4526.3104216428001</v>
      </c>
      <c r="V15" s="42">
        <f ca="1">INDEX([1]!tbl_Forecast,MATCH($D$8&amp;$C15&amp;$D$7,[1]!rng_ForecastRowLookup,0),MATCH(V$11,[1]!rng_ForecastColumnLookup,0))</f>
        <v>4422.0600452822764</v>
      </c>
      <c r="W15" s="42">
        <f ca="1">INDEX([1]!tbl_Forecast,MATCH($D$8&amp;$C15&amp;$D$7,[1]!rng_ForecastRowLookup,0),MATCH(W$11,[1]!rng_ForecastColumnLookup,0))</f>
        <v>4405.182362066379</v>
      </c>
      <c r="X15" s="42">
        <f ca="1">INDEX([1]!tbl_Forecast,MATCH($D$8&amp;$C15&amp;$D$7,[1]!rng_ForecastRowLookup,0),MATCH(X$11,[1]!rng_ForecastColumnLookup,0))</f>
        <v>4385.1136986120664</v>
      </c>
      <c r="Y15" s="42"/>
      <c r="AA15" s="42">
        <f t="shared" ca="1" si="1"/>
        <v>94565.000192359483</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row>
    <row r="16" spans="1:69">
      <c r="B16" s="9" t="s">
        <v>61</v>
      </c>
      <c r="C16" s="9" t="s">
        <v>57</v>
      </c>
      <c r="E16" s="42">
        <f ca="1">INDEX([1]!tbl_Forecast,MATCH($D$8&amp;$C16&amp;$D$7,[1]!rng_ForecastRowLookup,0),MATCH(E$11,[1]!rng_ForecastColumnLookup,0))</f>
        <v>1869.5754050925925</v>
      </c>
      <c r="F16" s="42">
        <f ca="1">INDEX([1]!tbl_Forecast,MATCH($D$8&amp;$C16&amp;$D$7,[1]!rng_ForecastRowLookup,0),MATCH(F$11,[1]!rng_ForecastColumnLookup,0))</f>
        <v>1881.796305941358</v>
      </c>
      <c r="G16" s="42">
        <f ca="1">INDEX([1]!tbl_Forecast,MATCH($D$8&amp;$C16&amp;$D$7,[1]!rng_ForecastRowLookup,0),MATCH(G$11,[1]!rng_ForecastColumnLookup,0))</f>
        <v>1949.1340235982509</v>
      </c>
      <c r="H16" s="42">
        <f ca="1">INDEX([1]!tbl_Forecast,MATCH($D$8&amp;$C16&amp;$D$7,[1]!rng_ForecastRowLookup,0),MATCH(H$11,[1]!rng_ForecastColumnLookup,0))</f>
        <v>2021.1963608646258</v>
      </c>
      <c r="I16" s="42">
        <f ca="1">INDEX([1]!tbl_Forecast,MATCH($D$8&amp;$C16&amp;$D$7,[1]!rng_ForecastRowLookup,0),MATCH(I$11,[1]!rng_ForecastColumnLookup,0))</f>
        <v>1959.5061710087307</v>
      </c>
      <c r="J16" s="42">
        <f ca="1">INDEX([1]!tbl_Forecast,MATCH($D$8&amp;$C16&amp;$D$7,[1]!rng_ForecastRowLookup,0),MATCH(J$11,[1]!rng_ForecastColumnLookup,0))</f>
        <v>1928.5764356212967</v>
      </c>
      <c r="K16" s="42">
        <f ca="1">INDEX([1]!tbl_Forecast,MATCH($D$8&amp;$C16&amp;$D$7,[1]!rng_ForecastRowLookup,0),MATCH(K$11,[1]!rng_ForecastColumnLookup,0))</f>
        <v>1934.9641170211423</v>
      </c>
      <c r="L16" s="42">
        <f ca="1">INDEX([1]!tbl_Forecast,MATCH($D$8&amp;$C16&amp;$D$7,[1]!rng_ForecastRowLookup,0),MATCH(L$11,[1]!rng_ForecastColumnLookup,0))</f>
        <v>1945.862235675901</v>
      </c>
      <c r="M16" s="42">
        <f ca="1">INDEX([1]!tbl_Forecast,MATCH($D$8&amp;$C16&amp;$D$7,[1]!rng_ForecastRowLookup,0),MATCH(M$11,[1]!rng_ForecastColumnLookup,0))</f>
        <v>1956.539890631658</v>
      </c>
      <c r="N16" s="42">
        <f ca="1">INDEX([1]!tbl_Forecast,MATCH($D$8&amp;$C16&amp;$D$7,[1]!rng_ForecastRowLookup,0),MATCH(N$11,[1]!rng_ForecastColumnLookup,0))</f>
        <v>1957.7742018038925</v>
      </c>
      <c r="O16" s="42">
        <f ca="1">INDEX([1]!tbl_Forecast,MATCH($D$8&amp;$C16&amp;$D$7,[1]!rng_ForecastRowLookup,0),MATCH(O$11,[1]!rng_ForecastColumnLookup,0))</f>
        <v>1947.2038419604366</v>
      </c>
      <c r="P16" s="42">
        <f ca="1">INDEX([1]!tbl_Forecast,MATCH($D$8&amp;$C16&amp;$D$7,[1]!rng_ForecastRowLookup,0),MATCH(P$11,[1]!rng_ForecastColumnLookup,0))</f>
        <v>1945.153453785721</v>
      </c>
      <c r="Q16" s="42">
        <f ca="1">INDEX([1]!tbl_Forecast,MATCH($D$8&amp;$C16&amp;$D$7,[1]!rng_ForecastRowLookup,0),MATCH(Q$11,[1]!rng_ForecastColumnLookup,0))</f>
        <v>1947.9162901464586</v>
      </c>
      <c r="R16" s="42">
        <f ca="1">INDEX([1]!tbl_Forecast,MATCH($D$8&amp;$C16&amp;$D$7,[1]!rng_ForecastRowLookup,0),MATCH(R$11,[1]!rng_ForecastColumnLookup,0))</f>
        <v>1950.0749856673444</v>
      </c>
      <c r="S16" s="42">
        <f ca="1">INDEX([1]!tbl_Forecast,MATCH($D$8&amp;$C16&amp;$D$7,[1]!rng_ForecastRowLookup,0),MATCH(S$11,[1]!rng_ForecastColumnLookup,0))</f>
        <v>1950.7771106659191</v>
      </c>
      <c r="T16" s="42">
        <f ca="1">INDEX([1]!tbl_Forecast,MATCH($D$8&amp;$C16&amp;$D$7,[1]!rng_ForecastRowLookup,0),MATCH(T$11,[1]!rng_ForecastColumnLookup,0))</f>
        <v>1949.8166473382953</v>
      </c>
      <c r="U16" s="42">
        <f ca="1">INDEX([1]!tbl_Forecast,MATCH($D$8&amp;$C16&amp;$D$7,[1]!rng_ForecastRowLookup,0),MATCH(U$11,[1]!rng_ForecastColumnLookup,0))</f>
        <v>1948.4903882606959</v>
      </c>
      <c r="V16" s="42">
        <f ca="1">INDEX([1]!tbl_Forecast,MATCH($D$8&amp;$C16&amp;$D$7,[1]!rng_ForecastRowLookup,0),MATCH(V$11,[1]!rng_ForecastColumnLookup,0))</f>
        <v>1948.7048126440727</v>
      </c>
      <c r="W16" s="42">
        <f ca="1">INDEX([1]!tbl_Forecast,MATCH($D$8&amp;$C16&amp;$D$7,[1]!rng_ForecastRowLookup,0),MATCH(W$11,[1]!rng_ForecastColumnLookup,0))</f>
        <v>1949.296705787131</v>
      </c>
      <c r="X16" s="42">
        <f ca="1">INDEX([1]!tbl_Forecast,MATCH($D$8&amp;$C16&amp;$D$7,[1]!rng_ForecastRowLookup,0),MATCH(X$11,[1]!rng_ForecastColumnLookup,0))</f>
        <v>1949.5267750605763</v>
      </c>
      <c r="Y16" s="42"/>
      <c r="AA16" s="42">
        <f t="shared" ca="1" si="1"/>
        <v>38891.88615857609</v>
      </c>
    </row>
    <row r="17" spans="1:27">
      <c r="E17" s="42"/>
      <c r="F17" s="42"/>
      <c r="G17" s="42"/>
      <c r="H17" s="42"/>
      <c r="I17" s="42"/>
      <c r="J17" s="42"/>
      <c r="K17" s="42"/>
      <c r="L17" s="42"/>
      <c r="M17" s="42"/>
      <c r="N17" s="42"/>
      <c r="O17" s="42"/>
      <c r="P17" s="42"/>
      <c r="Q17" s="42"/>
      <c r="R17" s="42"/>
      <c r="S17" s="42"/>
      <c r="T17" s="42"/>
      <c r="U17" s="42"/>
      <c r="V17" s="42"/>
      <c r="W17" s="42"/>
      <c r="X17" s="42"/>
      <c r="Y17" s="42"/>
    </row>
    <row r="18" spans="1:27">
      <c r="B18" s="9" t="s">
        <v>65</v>
      </c>
      <c r="C18" s="9" t="s">
        <v>66</v>
      </c>
      <c r="E18" s="42">
        <f t="shared" ref="E18:X18" ca="1" si="2">SUM(E13:E16)</f>
        <v>93061.920247153292</v>
      </c>
      <c r="F18" s="42">
        <f t="shared" ca="1" si="2"/>
        <v>90100.948539574325</v>
      </c>
      <c r="G18" s="42">
        <f t="shared" ca="1" si="2"/>
        <v>86866.015827370516</v>
      </c>
      <c r="H18" s="42">
        <f t="shared" ca="1" si="2"/>
        <v>84078.189292039577</v>
      </c>
      <c r="I18" s="42">
        <f t="shared" ca="1" si="2"/>
        <v>80893.425282727228</v>
      </c>
      <c r="J18" s="42">
        <f t="shared" ca="1" si="2"/>
        <v>77490.543361619988</v>
      </c>
      <c r="K18" s="42">
        <f t="shared" ca="1" si="2"/>
        <v>75866.224752448965</v>
      </c>
      <c r="L18" s="42">
        <f t="shared" ca="1" si="2"/>
        <v>76149.794725545056</v>
      </c>
      <c r="M18" s="42">
        <f t="shared" ca="1" si="2"/>
        <v>76223.656214367264</v>
      </c>
      <c r="N18" s="42">
        <f t="shared" ca="1" si="2"/>
        <v>77783.59964469698</v>
      </c>
      <c r="O18" s="42">
        <f t="shared" ca="1" si="2"/>
        <v>78170.651995712979</v>
      </c>
      <c r="P18" s="42">
        <f t="shared" ca="1" si="2"/>
        <v>77524.11896654492</v>
      </c>
      <c r="Q18" s="42">
        <f t="shared" ca="1" si="2"/>
        <v>76219.011417055648</v>
      </c>
      <c r="R18" s="42">
        <f t="shared" ca="1" si="2"/>
        <v>76022.473980439609</v>
      </c>
      <c r="S18" s="42">
        <f t="shared" ca="1" si="2"/>
        <v>76294.221270583323</v>
      </c>
      <c r="T18" s="42">
        <f t="shared" ca="1" si="2"/>
        <v>75557.419667965733</v>
      </c>
      <c r="U18" s="42">
        <f t="shared" ca="1" si="2"/>
        <v>73529.307407457556</v>
      </c>
      <c r="V18" s="42">
        <f t="shared" ca="1" si="2"/>
        <v>73089.266785410931</v>
      </c>
      <c r="W18" s="42">
        <f t="shared" ca="1" si="2"/>
        <v>72808.300134269928</v>
      </c>
      <c r="X18" s="42">
        <f t="shared" ca="1" si="2"/>
        <v>73033.072604687884</v>
      </c>
      <c r="Y18" s="42"/>
      <c r="AA18" s="42">
        <f ca="1">SUM(E18:Y18)</f>
        <v>1570762.1621176719</v>
      </c>
    </row>
    <row r="19" spans="1:27">
      <c r="E19" s="42"/>
      <c r="F19" s="42"/>
      <c r="G19" s="42"/>
      <c r="H19" s="42"/>
      <c r="I19" s="42"/>
      <c r="J19" s="42"/>
      <c r="K19" s="42"/>
      <c r="L19" s="42"/>
      <c r="M19" s="42"/>
      <c r="N19" s="42"/>
      <c r="O19" s="42"/>
      <c r="P19" s="42"/>
      <c r="Q19" s="42"/>
      <c r="R19" s="42"/>
      <c r="S19" s="42"/>
      <c r="T19" s="42"/>
      <c r="U19" s="42"/>
      <c r="V19" s="42"/>
      <c r="W19" s="42"/>
      <c r="X19" s="42"/>
      <c r="Y19" s="42"/>
    </row>
    <row r="20" spans="1:27">
      <c r="E20" s="42"/>
      <c r="F20" s="42"/>
      <c r="G20" s="42"/>
      <c r="H20" s="42"/>
      <c r="I20" s="42"/>
      <c r="J20" s="42"/>
      <c r="K20" s="42"/>
      <c r="L20" s="42"/>
      <c r="M20" s="42"/>
      <c r="N20" s="42"/>
      <c r="O20" s="42"/>
      <c r="P20" s="42"/>
      <c r="Q20" s="42"/>
      <c r="R20" s="42"/>
      <c r="S20" s="42"/>
      <c r="T20" s="42"/>
      <c r="U20" s="42"/>
      <c r="V20" s="42"/>
      <c r="W20" s="42"/>
      <c r="X20" s="42"/>
      <c r="Y20" s="42"/>
    </row>
    <row r="21" spans="1:27" ht="15">
      <c r="A21" s="62" t="str">
        <f>CONCATENATE("# HOMES APPLICABLE BY YEAR FOR MEASURE - ",C22)</f>
        <v># HOMES APPLICABLE BY YEAR FOR MEASURE - Clothes Washer - New</v>
      </c>
      <c r="B21" s="62"/>
      <c r="E21" s="42"/>
      <c r="F21" s="42"/>
      <c r="G21" s="42"/>
      <c r="H21" s="42"/>
      <c r="I21" s="42"/>
      <c r="J21" s="42"/>
      <c r="K21" s="42"/>
      <c r="L21" s="42"/>
      <c r="M21" s="42"/>
      <c r="N21" s="42"/>
      <c r="O21" s="42"/>
      <c r="P21" s="42"/>
      <c r="Q21" s="42"/>
      <c r="R21" s="42"/>
      <c r="S21" s="42"/>
      <c r="T21" s="42"/>
      <c r="U21" s="42"/>
      <c r="V21" s="42"/>
      <c r="W21" s="42"/>
      <c r="X21" s="42"/>
      <c r="Y21" s="42"/>
    </row>
    <row r="22" spans="1:27" ht="15">
      <c r="A22" s="63" t="s">
        <v>67</v>
      </c>
      <c r="B22" s="63" t="s">
        <v>155</v>
      </c>
      <c r="C22" s="63" t="str">
        <f>CONCATENATE(C8," - ",C7)</f>
        <v>Clothes Washer - New</v>
      </c>
    </row>
    <row r="23" spans="1:27">
      <c r="A23" s="64">
        <f>INDEX([2]APPLIC!$B$9:$F$100,MATCH($C$22,[2]APPLIC!$B$9:B$100,0),MATCH($C23,[2]APPLIC!$B$8:$F$8,0))</f>
        <v>1</v>
      </c>
      <c r="B23" s="64">
        <f>VLOOKUP($C$8,[2]!NewSat,MATCH($C23,[2]SATS!$C$10:$F$10,0)+1,FALSE)</f>
        <v>0.98546930096285335</v>
      </c>
      <c r="C23" s="9" t="str">
        <f>C13</f>
        <v>Single Family</v>
      </c>
      <c r="E23" s="42">
        <f ca="1">E13*$A23*$B23</f>
        <v>61774.891102055888</v>
      </c>
      <c r="F23" s="42">
        <f t="shared" ref="F23:X26" ca="1" si="3">F13*$A23*$B23</f>
        <v>59090.494406557707</v>
      </c>
      <c r="G23" s="42">
        <f t="shared" ca="1" si="3"/>
        <v>56008.174076554424</v>
      </c>
      <c r="H23" s="42">
        <f t="shared" ca="1" si="3"/>
        <v>54186.219709017576</v>
      </c>
      <c r="I23" s="42">
        <f t="shared" ca="1" si="3"/>
        <v>52729.97299906805</v>
      </c>
      <c r="J23" s="42">
        <f t="shared" ca="1" si="3"/>
        <v>50241.245175153243</v>
      </c>
      <c r="K23" s="42">
        <f t="shared" ca="1" si="3"/>
        <v>48841.503303982317</v>
      </c>
      <c r="L23" s="42">
        <f t="shared" ca="1" si="3"/>
        <v>48607.798273789675</v>
      </c>
      <c r="M23" s="42">
        <f t="shared" ca="1" si="3"/>
        <v>48106.442737863421</v>
      </c>
      <c r="N23" s="42">
        <f t="shared" ca="1" si="3"/>
        <v>48961.319618001289</v>
      </c>
      <c r="O23" s="42">
        <f t="shared" ca="1" si="3"/>
        <v>49303.164136465784</v>
      </c>
      <c r="P23" s="42">
        <f t="shared" ca="1" si="3"/>
        <v>48670.124279729069</v>
      </c>
      <c r="Q23" s="42">
        <f t="shared" ca="1" si="3"/>
        <v>47380.719493371158</v>
      </c>
      <c r="R23" s="42">
        <f t="shared" ca="1" si="3"/>
        <v>47429.702244975517</v>
      </c>
      <c r="S23" s="42">
        <f t="shared" ca="1" si="3"/>
        <v>47983.060995913584</v>
      </c>
      <c r="T23" s="42">
        <f t="shared" ca="1" si="3"/>
        <v>47778.374094757091</v>
      </c>
      <c r="U23" s="42">
        <f t="shared" ca="1" si="3"/>
        <v>46197.816345306899</v>
      </c>
      <c r="V23" s="42">
        <f t="shared" ca="1" si="3"/>
        <v>46118.759041575759</v>
      </c>
      <c r="W23" s="42">
        <f t="shared" ca="1" si="3"/>
        <v>46235.881082525892</v>
      </c>
      <c r="X23" s="42">
        <f t="shared" ca="1" si="3"/>
        <v>46549.770793329975</v>
      </c>
      <c r="Y23" s="42"/>
      <c r="AA23" s="42">
        <f t="shared" ref="AA23:AA26" ca="1" si="4">SUM(E23:Y23)</f>
        <v>1002195.4339099943</v>
      </c>
    </row>
    <row r="24" spans="1:27">
      <c r="A24" s="64">
        <f>INDEX([2]APPLIC!$B$9:$F$100,MATCH($C$22,[2]APPLIC!$B$9:B$100,0),MATCH($C24,[2]APPLIC!$B$8:$F$8,0))</f>
        <v>0.75</v>
      </c>
      <c r="B24" s="64">
        <f>VLOOKUP($C$8,[2]!NewSat,MATCH($C24,[2]SATS!$C$10:$F$10,0)+1,FALSE)</f>
        <v>0.46477658924872384</v>
      </c>
      <c r="C24" s="9" t="str">
        <f>C14</f>
        <v>Multifamily - Low Rise</v>
      </c>
      <c r="E24" s="42">
        <f ca="1">E14*$A24*$B24+E14*$A24*'Common Units'!$B$5</f>
        <v>9182.1927299722429</v>
      </c>
      <c r="F24" s="42">
        <f ca="1">F14*$A24*$B24+F14*$A24*'Common Units'!$B$5</f>
        <v>9078.4887476092408</v>
      </c>
      <c r="G24" s="42">
        <f ca="1">G14*$A24*$B24+G14*$A24*'Common Units'!$B$5</f>
        <v>8997.3137030090093</v>
      </c>
      <c r="H24" s="42">
        <f ca="1">H14*$A24*$B24+H14*$A24*'Common Units'!$B$5</f>
        <v>8711.0875075753065</v>
      </c>
      <c r="I24" s="42">
        <f ca="1">I14*$A24*$B24+I14*$A24*'Common Units'!$B$5</f>
        <v>8210.9405835064663</v>
      </c>
      <c r="J24" s="42">
        <f ca="1">J14*$A24*$B24+J14*$A24*'Common Units'!$B$5</f>
        <v>7916.0835598079766</v>
      </c>
      <c r="K24" s="42">
        <f ca="1">K14*$A24*$B24+K14*$A24*'Common Units'!$B$5</f>
        <v>7844.1227290296238</v>
      </c>
      <c r="L24" s="42">
        <f ca="1">L14*$A24*$B24+L14*$A24*'Common Units'!$B$5</f>
        <v>7989.9596200053893</v>
      </c>
      <c r="M24" s="42">
        <f ca="1">M14*$A24*$B24+M14*$A24*'Common Units'!$B$5</f>
        <v>8184.3229243459791</v>
      </c>
      <c r="N24" s="42">
        <f ca="1">N14*$A24*$B24+N14*$A24*'Common Units'!$B$5</f>
        <v>8406.7614808054623</v>
      </c>
      <c r="O24" s="42">
        <f ca="1">O14*$A24*$B24+O14*$A24*'Common Units'!$B$5</f>
        <v>8441.8457532679186</v>
      </c>
      <c r="P24" s="42">
        <f ca="1">P14*$A24*$B24+P14*$A24*'Common Units'!$B$5</f>
        <v>8444.1536033420089</v>
      </c>
      <c r="Q24" s="42">
        <f ca="1">Q14*$A24*$B24+Q14*$A24*'Common Units'!$B$5</f>
        <v>8457.6509003139836</v>
      </c>
      <c r="R24" s="42">
        <f ca="1">R14*$A24*$B24+R14*$A24*'Common Units'!$B$5</f>
        <v>8365.5571420573124</v>
      </c>
      <c r="S24" s="42">
        <f ca="1">S14*$A24*$B24+S14*$A24*'Common Units'!$B$5</f>
        <v>8264.7092804336335</v>
      </c>
      <c r="T24" s="42">
        <f ca="1">T14*$A24*$B24+T14*$A24*'Common Units'!$B$5</f>
        <v>8095.6073060732006</v>
      </c>
      <c r="U24" s="42">
        <f ca="1">U14*$A24*$B24+U14*$A24*'Common Units'!$B$5</f>
        <v>7957.5867154565367</v>
      </c>
      <c r="V24" s="42">
        <f ca="1">V14*$A24*$B24+V14*$A24*'Common Units'!$B$5</f>
        <v>7856.7017681147909</v>
      </c>
      <c r="W24" s="42">
        <f ca="1">W14*$A24*$B24+W14*$A24*'Common Units'!$B$5</f>
        <v>7705.430608506932</v>
      </c>
      <c r="X24" s="42">
        <f ca="1">X14*$A24*$B24+X14*$A24*'Common Units'!$B$5</f>
        <v>7676.2803676624235</v>
      </c>
      <c r="Y24" s="42"/>
      <c r="AA24" s="42">
        <f t="shared" ca="1" si="4"/>
        <v>165786.79703089542</v>
      </c>
    </row>
    <row r="25" spans="1:27">
      <c r="A25" s="64">
        <f>INDEX([2]APPLIC!$B$9:$F$100,MATCH($C$22,[2]APPLIC!$B$9:B$100,0),MATCH($C25,[2]APPLIC!$B$8:$F$8,0))</f>
        <v>0.75</v>
      </c>
      <c r="B25" s="64">
        <f>VLOOKUP($C$8,[2]!NewSat,MATCH($C25,[2]SATS!$C$10:$F$10,0)+1,FALSE)</f>
        <v>0.46477658924872384</v>
      </c>
      <c r="C25" s="9" t="str">
        <f>C15</f>
        <v>Multifamily - High Rise</v>
      </c>
      <c r="E25" s="42">
        <f ca="1">E15*$A25*$B25+E15*$A$25*('Common Units'!$B$6+'Common Units'!$B$7)</f>
        <v>2095.6518785730641</v>
      </c>
      <c r="F25" s="42">
        <f ca="1">F15*$A25*$B25+F15*$A$25*('Common Units'!$B$6+'Common Units'!$B$7)</f>
        <v>2101.1511642211394</v>
      </c>
      <c r="G25" s="42">
        <f ca="1">G15*$A25*$B25+G15*$A$25*('Common Units'!$B$6+'Common Units'!$B$7)</f>
        <v>2113.7053132904703</v>
      </c>
      <c r="H25" s="42">
        <f ca="1">H15*$A25*$B25+H15*$A$25*('Common Units'!$B$6+'Common Units'!$B$7)</f>
        <v>1999.2726608240705</v>
      </c>
      <c r="I25" s="42">
        <f ca="1">I15*$A25*$B25+I15*$A$25*('Common Units'!$B$6+'Common Units'!$B$7)</f>
        <v>1847.9834718038519</v>
      </c>
      <c r="J25" s="42">
        <f ca="1">J15*$A25*$B25+J15*$A$25*('Common Units'!$B$6+'Common Units'!$B$7)</f>
        <v>1808.3043978443086</v>
      </c>
      <c r="K25" s="42">
        <f ca="1">K15*$A25*$B25+K15*$A$25*('Common Units'!$B$6+'Common Units'!$B$7)</f>
        <v>1797.1259952451539</v>
      </c>
      <c r="L25" s="42">
        <f ca="1">L15*$A25*$B25+L15*$A$25*('Common Units'!$B$6+'Common Units'!$B$7)</f>
        <v>1853.2925654977566</v>
      </c>
      <c r="M25" s="42">
        <f ca="1">M15*$A25*$B25+M15*$A$25*('Common Units'!$B$6+'Common Units'!$B$7)</f>
        <v>1885.0294602653555</v>
      </c>
      <c r="N25" s="42">
        <f ca="1">N15*$A25*$B25+N15*$A$25*('Common Units'!$B$6+'Common Units'!$B$7)</f>
        <v>1936.0593676619133</v>
      </c>
      <c r="O25" s="42">
        <f ca="1">O15*$A25*$B25+O15*$A$25*('Common Units'!$B$6+'Common Units'!$B$7)</f>
        <v>1920.7359645359011</v>
      </c>
      <c r="P25" s="42">
        <f ca="1">P15*$A25*$B25+P15*$A$25*('Common Units'!$B$6+'Common Units'!$B$7)</f>
        <v>1917.5441439195531</v>
      </c>
      <c r="Q25" s="42">
        <f ca="1">Q15*$A25*$B25+Q15*$A$25*('Common Units'!$B$6+'Common Units'!$B$7)</f>
        <v>1904.0412552188438</v>
      </c>
      <c r="R25" s="42">
        <f ca="1">R15*$A25*$B25+R15*$A$25*('Common Units'!$B$6+'Common Units'!$B$7)</f>
        <v>1898.0631594759752</v>
      </c>
      <c r="S25" s="42">
        <f ca="1">S15*$A25*$B25+S15*$A$25*('Common Units'!$B$6+'Common Units'!$B$7)</f>
        <v>1884.1147627736368</v>
      </c>
      <c r="T25" s="42">
        <f ca="1">T15*$A25*$B25+T15*$A$25*('Common Units'!$B$6+'Common Units'!$B$7)</f>
        <v>1844.2573376041316</v>
      </c>
      <c r="U25" s="42">
        <f ca="1">U15*$A25*$B25+U15*$A$25*('Common Units'!$B$6+'Common Units'!$B$7)</f>
        <v>1814.989978054886</v>
      </c>
      <c r="V25" s="42">
        <f ca="1">V15*$A25*$B25+V15*$A$25*('Common Units'!$B$6+'Common Units'!$B$7)</f>
        <v>1773.1869705991739</v>
      </c>
      <c r="W25" s="42">
        <f ca="1">W15*$A25*$B25+W15*$A$25*('Common Units'!$B$6+'Common Units'!$B$7)</f>
        <v>1766.4192452255086</v>
      </c>
      <c r="X25" s="42">
        <f ca="1">X15*$A25*$B25+X15*$A$25*('Common Units'!$B$6+'Common Units'!$B$7)</f>
        <v>1758.3719794285435</v>
      </c>
      <c r="Y25" s="42"/>
      <c r="AA25" s="42">
        <f t="shared" ca="1" si="4"/>
        <v>37919.301072063237</v>
      </c>
    </row>
    <row r="26" spans="1:27">
      <c r="A26" s="64">
        <f>INDEX([2]APPLIC!$B$9:$F$100,MATCH($C$22,[2]APPLIC!$B$9:B$100,0),MATCH($C26,[2]APPLIC!$B$8:$F$8,0))</f>
        <v>1</v>
      </c>
      <c r="B26" s="64">
        <f>VLOOKUP($C$8,[2]!NewSat,MATCH($C26,[2]SATS!$C$10:$F$10,0)+1,FALSE)</f>
        <v>0.95368270905809616</v>
      </c>
      <c r="C26" t="s">
        <v>57</v>
      </c>
      <c r="D26"/>
      <c r="E26" s="42">
        <f t="shared" ref="E26" ca="1" si="5">E16*$A26*$B26</f>
        <v>1782.9817371170911</v>
      </c>
      <c r="F26" s="42">
        <f t="shared" ca="1" si="3"/>
        <v>1794.6365989456722</v>
      </c>
      <c r="G26" s="42">
        <f t="shared" ca="1" si="3"/>
        <v>1858.8554159424871</v>
      </c>
      <c r="H26" s="42">
        <f t="shared" ca="1" si="3"/>
        <v>1927.5800209677416</v>
      </c>
      <c r="I26" s="42">
        <f t="shared" ca="1" si="3"/>
        <v>1868.7471535836632</v>
      </c>
      <c r="J26" s="42">
        <f t="shared" ca="1" si="3"/>
        <v>1839.2499997489251</v>
      </c>
      <c r="K26" s="42">
        <f t="shared" ca="1" si="3"/>
        <v>1845.3418210509301</v>
      </c>
      <c r="L26" s="42">
        <f t="shared" ca="1" si="3"/>
        <v>1855.7351683732368</v>
      </c>
      <c r="M26" s="42">
        <f t="shared" ca="1" si="3"/>
        <v>1865.9182632778306</v>
      </c>
      <c r="N26" s="42">
        <f t="shared" ca="1" si="3"/>
        <v>1867.095404500388</v>
      </c>
      <c r="O26" s="42">
        <f t="shared" ca="1" si="3"/>
        <v>1857.0146350891621</v>
      </c>
      <c r="P26" s="42">
        <f t="shared" ca="1" si="3"/>
        <v>1855.0592153400787</v>
      </c>
      <c r="Q26" s="42">
        <f t="shared" ca="1" si="3"/>
        <v>1857.694084605271</v>
      </c>
      <c r="R26" s="42">
        <f t="shared" ca="1" si="3"/>
        <v>1859.752795197661</v>
      </c>
      <c r="S26" s="42">
        <f t="shared" ca="1" si="3"/>
        <v>1860.4223996683991</v>
      </c>
      <c r="T26" s="42">
        <f t="shared" ca="1" si="3"/>
        <v>1859.5064224001599</v>
      </c>
      <c r="U26" s="42">
        <f t="shared" ca="1" si="3"/>
        <v>1858.2415920501221</v>
      </c>
      <c r="V26" s="42">
        <f t="shared" ca="1" si="3"/>
        <v>1858.446084876949</v>
      </c>
      <c r="W26" s="42">
        <f t="shared" ca="1" si="3"/>
        <v>1859.0105631330937</v>
      </c>
      <c r="X26" s="42">
        <f t="shared" ca="1" si="3"/>
        <v>1859.2299762210639</v>
      </c>
      <c r="Y26" s="42"/>
      <c r="AA26" s="42">
        <f t="shared" ca="1" si="4"/>
        <v>37090.519352089934</v>
      </c>
    </row>
    <row r="27" spans="1:27">
      <c r="E27" s="42"/>
      <c r="F27" s="42"/>
      <c r="G27" s="42"/>
      <c r="H27" s="42"/>
      <c r="I27" s="42"/>
      <c r="J27" s="42"/>
      <c r="K27" s="42"/>
      <c r="L27" s="42"/>
      <c r="M27" s="42"/>
      <c r="N27" s="42"/>
      <c r="O27" s="42"/>
      <c r="P27" s="42"/>
      <c r="Q27" s="42"/>
      <c r="R27" s="42"/>
      <c r="S27" s="42"/>
      <c r="T27" s="42"/>
      <c r="U27" s="42"/>
      <c r="V27" s="42"/>
      <c r="W27" s="42"/>
      <c r="X27" s="42"/>
      <c r="Y27" s="42"/>
    </row>
    <row r="28" spans="1:27">
      <c r="E28" s="42">
        <f t="shared" ref="E28:X28" ca="1" si="6">SUM(E23:E26)</f>
        <v>74835.717447718285</v>
      </c>
      <c r="F28" s="42">
        <f t="shared" ca="1" si="6"/>
        <v>72064.770917333764</v>
      </c>
      <c r="G28" s="42">
        <f t="shared" ca="1" si="6"/>
        <v>68978.04850879639</v>
      </c>
      <c r="H28" s="42">
        <f t="shared" ca="1" si="6"/>
        <v>66824.159898384692</v>
      </c>
      <c r="I28" s="42">
        <f t="shared" ca="1" si="6"/>
        <v>64657.644207962039</v>
      </c>
      <c r="J28" s="42">
        <f t="shared" ca="1" si="6"/>
        <v>61804.88313255446</v>
      </c>
      <c r="K28" s="42">
        <f t="shared" ca="1" si="6"/>
        <v>60328.093849308025</v>
      </c>
      <c r="L28" s="42">
        <f t="shared" ca="1" si="6"/>
        <v>60306.785627666053</v>
      </c>
      <c r="M28" s="42">
        <f t="shared" ca="1" si="6"/>
        <v>60041.713385752584</v>
      </c>
      <c r="N28" s="42">
        <f t="shared" ca="1" si="6"/>
        <v>61171.235870969052</v>
      </c>
      <c r="O28" s="42">
        <f t="shared" ca="1" si="6"/>
        <v>61522.760489358763</v>
      </c>
      <c r="P28" s="42">
        <f t="shared" ca="1" si="6"/>
        <v>60886.88124233071</v>
      </c>
      <c r="Q28" s="42">
        <f t="shared" ca="1" si="6"/>
        <v>59600.105733509248</v>
      </c>
      <c r="R28" s="42">
        <f t="shared" ca="1" si="6"/>
        <v>59553.075341706462</v>
      </c>
      <c r="S28" s="42">
        <f t="shared" ca="1" si="6"/>
        <v>59992.307438789256</v>
      </c>
      <c r="T28" s="42">
        <f t="shared" ca="1" si="6"/>
        <v>59577.745160834587</v>
      </c>
      <c r="U28" s="42">
        <f t="shared" ca="1" si="6"/>
        <v>57828.634630868444</v>
      </c>
      <c r="V28" s="42">
        <f t="shared" ca="1" si="6"/>
        <v>57607.09386516668</v>
      </c>
      <c r="W28" s="42">
        <f t="shared" ca="1" si="6"/>
        <v>57566.741499391428</v>
      </c>
      <c r="X28" s="42">
        <f t="shared" ca="1" si="6"/>
        <v>57843.653116642003</v>
      </c>
      <c r="Y28" s="42"/>
      <c r="AA28" s="42">
        <f ca="1">SUM(E28:Y28)</f>
        <v>1242992.0513650433</v>
      </c>
    </row>
    <row r="29" spans="1:27">
      <c r="E29" s="42"/>
      <c r="F29" s="42"/>
      <c r="G29" s="42"/>
      <c r="H29" s="42"/>
      <c r="I29" s="42"/>
      <c r="J29" s="42"/>
      <c r="K29" s="42"/>
      <c r="L29" s="42"/>
      <c r="M29" s="42"/>
      <c r="N29" s="42"/>
      <c r="O29" s="42"/>
      <c r="P29" s="42"/>
      <c r="Q29" s="42"/>
      <c r="R29" s="42"/>
      <c r="S29" s="42"/>
      <c r="T29" s="42"/>
      <c r="U29" s="42"/>
      <c r="V29" s="42"/>
      <c r="W29" s="42"/>
      <c r="X29" s="42"/>
      <c r="Y29" s="42"/>
    </row>
    <row r="31" spans="1:27" ht="15">
      <c r="A31" s="81" t="str">
        <f>CONCATENATE("# UNITS ACHIEVABLE BY YEAR FOR MEASURE - ",C32)</f>
        <v># UNITS ACHIEVABLE BY YEAR FOR MEASURE - Clothes Washer - New</v>
      </c>
      <c r="B31" s="81"/>
      <c r="D31" s="65" t="s">
        <v>68</v>
      </c>
      <c r="E31" s="9">
        <v>3</v>
      </c>
      <c r="F31" s="9">
        <v>4</v>
      </c>
      <c r="G31" s="9">
        <v>5</v>
      </c>
      <c r="H31" s="9">
        <v>6</v>
      </c>
      <c r="I31" s="9">
        <v>7</v>
      </c>
      <c r="J31" s="9">
        <v>8</v>
      </c>
      <c r="K31" s="9">
        <v>9</v>
      </c>
      <c r="L31" s="9">
        <v>10</v>
      </c>
      <c r="M31" s="9">
        <v>11</v>
      </c>
      <c r="N31" s="9">
        <v>12</v>
      </c>
      <c r="O31" s="9">
        <v>13</v>
      </c>
      <c r="P31" s="9">
        <v>14</v>
      </c>
      <c r="Q31" s="9">
        <v>15</v>
      </c>
      <c r="R31" s="9">
        <v>16</v>
      </c>
      <c r="S31" s="9">
        <v>17</v>
      </c>
      <c r="T31" s="9">
        <v>18</v>
      </c>
      <c r="U31" s="9">
        <v>19</v>
      </c>
      <c r="V31" s="9">
        <v>20</v>
      </c>
      <c r="W31" s="9">
        <v>21</v>
      </c>
      <c r="X31" s="9">
        <v>22</v>
      </c>
    </row>
    <row r="32" spans="1:27" ht="15">
      <c r="C32" s="63" t="str">
        <f>CONCATENATE(C8," - ",C7)</f>
        <v>Clothes Washer - New</v>
      </c>
      <c r="D32" s="63"/>
      <c r="E32" s="66">
        <f>VLOOKUP($C$32,[2]ACHIEV!$B$9:$X$79,MATCH(E$11,$E$11:$Y$11,0)+2,FALSE)</f>
        <v>0.10937459468255628</v>
      </c>
      <c r="F32" s="66">
        <f>VLOOKUP($C$32,[2]ACHIEV!$B$9:$X$79,MATCH(F$11,$E$11:$Y$11,0)+2,FALSE)</f>
        <v>0.21874918936511256</v>
      </c>
      <c r="G32" s="66">
        <f>VLOOKUP($C$32,[2]ACHIEV!$B$9:$X$79,MATCH(G$11,$E$11:$Y$11,0)+2,FALSE)</f>
        <v>0.32812378404766884</v>
      </c>
      <c r="H32" s="66">
        <f>VLOOKUP($C$32,[2]ACHIEV!$B$9:$X$79,MATCH(H$11,$E$11:$Y$11,0)+2,FALSE)</f>
        <v>0.43749837873022512</v>
      </c>
      <c r="I32" s="66">
        <f>VLOOKUP($C$32,[2]ACHIEV!$B$9:$X$79,MATCH(I$11,$E$11:$Y$11,0)+2,FALSE)</f>
        <v>0.5468729734127814</v>
      </c>
      <c r="J32" s="66">
        <f>VLOOKUP($C$32,[2]ACHIEV!$B$9:$X$79,MATCH(J$11,$E$11:$Y$11,0)+2,FALSE)</f>
        <v>0.64531010862708205</v>
      </c>
      <c r="K32" s="66">
        <f>VLOOKUP($C$32,[2]ACHIEV!$B$9:$X$79,MATCH(K$11,$E$11:$Y$11,0)+2,FALSE)</f>
        <v>0.7240598167985226</v>
      </c>
      <c r="L32" s="66">
        <f>VLOOKUP($C$32,[2]ACHIEV!$B$9:$X$79,MATCH(L$11,$E$11:$Y$11,0)+2,FALSE)</f>
        <v>0.78705958333567505</v>
      </c>
      <c r="M32" s="66">
        <f>VLOOKUP($C$32,[2]ACHIEV!$B$9:$X$79,MATCH(M$11,$E$11:$Y$11,0)+2,FALSE)</f>
        <v>0.83745939656539703</v>
      </c>
      <c r="N32" s="66">
        <f>VLOOKUP($C$32,[2]ACHIEV!$B$9:$X$79,MATCH(N$11,$E$11:$Y$11,0)+2,FALSE)</f>
        <v>0.87777924714917455</v>
      </c>
      <c r="O32" s="66">
        <f>VLOOKUP($C$32,[2]ACHIEV!$B$9:$X$79,MATCH(O$11,$E$11:$Y$11,0)+2,FALSE)</f>
        <v>0.91003512761619654</v>
      </c>
      <c r="P32" s="66">
        <f>VLOOKUP($C$32,[2]ACHIEV!$B$9:$X$79,MATCH(P$11,$E$11:$Y$11,0)+2,FALSE)</f>
        <v>0.93583983198981413</v>
      </c>
      <c r="Q32" s="66">
        <f>VLOOKUP($C$32,[2]ACHIEV!$B$9:$X$79,MATCH(Q$11,$E$11:$Y$11,0)+2,FALSE)</f>
        <v>0.9564835954887082</v>
      </c>
      <c r="R32" s="66">
        <f>VLOOKUP($C$32,[2]ACHIEV!$B$9:$X$79,MATCH(R$11,$E$11:$Y$11,0)+2,FALSE)</f>
        <v>0.97299860628782353</v>
      </c>
      <c r="S32" s="66">
        <f>VLOOKUP($C$32,[2]ACHIEV!$B$9:$X$79,MATCH(S$11,$E$11:$Y$11,0)+2,FALSE)</f>
        <v>0.9862106149271157</v>
      </c>
      <c r="T32" s="66">
        <f>VLOOKUP($C$32,[2]ACHIEV!$B$9:$X$79,MATCH(T$11,$E$11:$Y$11,0)+2,FALSE)</f>
        <v>0.99678022183854953</v>
      </c>
      <c r="U32" s="66">
        <f>VLOOKUP($C$32,[2]ACHIEV!$B$9:$X$79,MATCH(U$11,$E$11:$Y$11,0)+2,FALSE)</f>
        <v>0.99685231466234414</v>
      </c>
      <c r="V32" s="66">
        <f>VLOOKUP($C$32,[2]ACHIEV!$B$9:$X$79,MATCH(V$11,$E$11:$Y$11,0)+2,FALSE)</f>
        <v>0.99687806209941365</v>
      </c>
      <c r="W32" s="66">
        <f>VLOOKUP($C$32,[2]ACHIEV!$B$9:$X$79,MATCH(W$11,$E$11:$Y$11,0)+2,FALSE)</f>
        <v>0.99688683963477831</v>
      </c>
      <c r="X32" s="66">
        <f>VLOOKUP($C$32,[2]ACHIEV!$B$9:$X$79,MATCH(X$11,$E$11:$Y$11,0)+2,FALSE)</f>
        <v>0.99688970187457115</v>
      </c>
      <c r="Y32" s="66"/>
    </row>
    <row r="33" spans="1:80">
      <c r="C33" s="9" t="str">
        <f>C23</f>
        <v>Single Family</v>
      </c>
      <c r="E33" s="42">
        <f ca="1">E23*E$32</f>
        <v>6756.6036758464152</v>
      </c>
      <c r="F33" s="42">
        <f t="shared" ref="F33:X36" ca="1" si="7">F23*F$32</f>
        <v>12925.997750618217</v>
      </c>
      <c r="G33" s="42">
        <f t="shared" ca="1" si="7"/>
        <v>18377.614015599589</v>
      </c>
      <c r="H33" s="42">
        <f t="shared" ca="1" si="7"/>
        <v>23706.38327221496</v>
      </c>
      <c r="I33" s="42">
        <f t="shared" ca="1" si="7"/>
        <v>28836.597121976021</v>
      </c>
      <c r="J33" s="42">
        <f t="shared" ca="1" si="7"/>
        <v>32421.183381538001</v>
      </c>
      <c r="K33" s="42">
        <f t="shared" ca="1" si="7"/>
        <v>35364.169934445876</v>
      </c>
      <c r="L33" s="42">
        <f t="shared" ca="1" si="7"/>
        <v>38257.233456233444</v>
      </c>
      <c r="M33" s="42">
        <f t="shared" ca="1" si="7"/>
        <v>40287.192506158928</v>
      </c>
      <c r="N33" s="42">
        <f t="shared" ca="1" si="7"/>
        <v>42977.23027371928</v>
      </c>
      <c r="O33" s="42">
        <f t="shared" ca="1" si="7"/>
        <v>44867.611266810927</v>
      </c>
      <c r="P33" s="42">
        <f t="shared" ca="1" si="7"/>
        <v>45547.440928865028</v>
      </c>
      <c r="Q33" s="42">
        <f t="shared" ca="1" si="7"/>
        <v>45318.88093786157</v>
      </c>
      <c r="R33" s="42">
        <f t="shared" ca="1" si="7"/>
        <v>46149.034181007635</v>
      </c>
      <c r="S33" s="42">
        <f t="shared" ca="1" si="7"/>
        <v>47321.404090865239</v>
      </c>
      <c r="T33" s="42">
        <f t="shared" ca="1" si="7"/>
        <v>47624.538329257179</v>
      </c>
      <c r="U33" s="42">
        <f t="shared" ca="1" si="7"/>
        <v>46052.400156165058</v>
      </c>
      <c r="V33" s="42">
        <f t="shared" ca="1" si="7"/>
        <v>45974.779139795857</v>
      </c>
      <c r="W33" s="42">
        <f t="shared" ca="1" si="7"/>
        <v>46091.941370088665</v>
      </c>
      <c r="X33" s="42">
        <f t="shared" ca="1" si="7"/>
        <v>46404.987128492336</v>
      </c>
      <c r="Y33" s="42"/>
      <c r="AA33" s="42">
        <f t="shared" ref="AA33:AA36" ca="1" si="8">SUM(E33:Y33)</f>
        <v>741263.22291756014</v>
      </c>
    </row>
    <row r="34" spans="1:80">
      <c r="C34" s="9" t="str">
        <f>C24</f>
        <v>Multifamily - Low Rise</v>
      </c>
      <c r="E34" s="42">
        <f ca="1">E24*E$32</f>
        <v>1004.298608137829</v>
      </c>
      <c r="F34" s="42">
        <f t="shared" ca="1" si="7"/>
        <v>1985.9120541998175</v>
      </c>
      <c r="G34" s="42">
        <f t="shared" ca="1" si="7"/>
        <v>2952.2326184952599</v>
      </c>
      <c r="H34" s="42">
        <f t="shared" ca="1" si="7"/>
        <v>3811.0866615413142</v>
      </c>
      <c r="I34" s="42">
        <f t="shared" ca="1" si="7"/>
        <v>4490.3414914178593</v>
      </c>
      <c r="J34" s="42">
        <f t="shared" ca="1" si="7"/>
        <v>5108.328741880744</v>
      </c>
      <c r="K34" s="42">
        <f t="shared" ca="1" si="7"/>
        <v>5679.6140661263162</v>
      </c>
      <c r="L34" s="42">
        <f t="shared" ca="1" si="7"/>
        <v>6288.5742893903107</v>
      </c>
      <c r="M34" s="42">
        <f t="shared" ca="1" si="7"/>
        <v>6854.0381375191291</v>
      </c>
      <c r="N34" s="42">
        <f t="shared" ca="1" si="7"/>
        <v>7379.2807635840982</v>
      </c>
      <c r="O34" s="42">
        <f t="shared" ca="1" si="7"/>
        <v>7682.3761773914166</v>
      </c>
      <c r="P34" s="42">
        <f t="shared" ca="1" si="7"/>
        <v>7902.3752894477693</v>
      </c>
      <c r="Q34" s="42">
        <f t="shared" ca="1" si="7"/>
        <v>8089.604342520629</v>
      </c>
      <c r="R34" s="42">
        <f t="shared" ca="1" si="7"/>
        <v>8139.6754400429127</v>
      </c>
      <c r="S34" s="42">
        <f t="shared" ca="1" si="7"/>
        <v>8150.7440216502937</v>
      </c>
      <c r="T34" s="42">
        <f t="shared" ca="1" si="7"/>
        <v>8069.5412464654273</v>
      </c>
      <c r="U34" s="42">
        <f t="shared" ca="1" si="7"/>
        <v>7932.5387364291691</v>
      </c>
      <c r="V34" s="42">
        <f t="shared" ca="1" si="7"/>
        <v>7832.17363309131</v>
      </c>
      <c r="W34" s="42">
        <f t="shared" ca="1" si="7"/>
        <v>7681.4423673395622</v>
      </c>
      <c r="X34" s="42">
        <f t="shared" ca="1" si="7"/>
        <v>7652.4048472246168</v>
      </c>
      <c r="Y34" s="42"/>
      <c r="AA34" s="42">
        <f t="shared" ca="1" si="8"/>
        <v>124686.58353389577</v>
      </c>
    </row>
    <row r="35" spans="1:80">
      <c r="C35" s="9" t="s">
        <v>56</v>
      </c>
      <c r="E35" s="42">
        <f ca="1">E25*E$32</f>
        <v>229.21107481466655</v>
      </c>
      <c r="F35" s="42">
        <f t="shared" ca="1" si="7"/>
        <v>459.62511390693675</v>
      </c>
      <c r="G35" s="42">
        <f t="shared" ca="1" si="7"/>
        <v>693.55698575853251</v>
      </c>
      <c r="H35" s="42">
        <f t="shared" ca="1" si="7"/>
        <v>874.67854775019407</v>
      </c>
      <c r="I35" s="42">
        <f t="shared" ca="1" si="7"/>
        <v>1010.6122160430474</v>
      </c>
      <c r="J35" s="42">
        <f t="shared" ca="1" si="7"/>
        <v>1166.9171074037411</v>
      </c>
      <c r="K35" s="42">
        <f t="shared" ca="1" si="7"/>
        <v>1301.2267188810688</v>
      </c>
      <c r="L35" s="42">
        <f t="shared" ca="1" si="7"/>
        <v>1458.6516743997686</v>
      </c>
      <c r="M35" s="42">
        <f t="shared" ca="1" si="7"/>
        <v>1578.6356343018206</v>
      </c>
      <c r="N35" s="42">
        <f t="shared" ca="1" si="7"/>
        <v>1699.4327341823812</v>
      </c>
      <c r="O35" s="42">
        <f t="shared" ca="1" si="7"/>
        <v>1747.9371986034471</v>
      </c>
      <c r="P35" s="42">
        <f t="shared" ca="1" si="7"/>
        <v>1794.5141894787266</v>
      </c>
      <c r="Q35" s="42">
        <f t="shared" ca="1" si="7"/>
        <v>1821.184225750553</v>
      </c>
      <c r="R35" s="42">
        <f t="shared" ca="1" si="7"/>
        <v>1846.8128088163869</v>
      </c>
      <c r="S35" s="42">
        <f t="shared" ca="1" si="7"/>
        <v>1858.133978788245</v>
      </c>
      <c r="T35" s="42">
        <f t="shared" ca="1" si="7"/>
        <v>1838.3192381044191</v>
      </c>
      <c r="U35" s="42">
        <f t="shared" ca="1" si="7"/>
        <v>1809.2769607129703</v>
      </c>
      <c r="V35" s="42">
        <f t="shared" ca="1" si="7"/>
        <v>1767.6511909908345</v>
      </c>
      <c r="W35" s="42">
        <f t="shared" ca="1" si="7"/>
        <v>1760.9200988429077</v>
      </c>
      <c r="X35" s="42">
        <f t="shared" ca="1" si="7"/>
        <v>1752.9029183571201</v>
      </c>
      <c r="Y35" s="42"/>
      <c r="AA35" s="42">
        <f t="shared" ca="1" si="8"/>
        <v>28470.20061588777</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row>
    <row r="36" spans="1:80">
      <c r="C36" s="9" t="str">
        <f>C26</f>
        <v>Manufactured</v>
      </c>
      <c r="E36" s="42">
        <f ca="1">E26*E$32</f>
        <v>195.01290482358195</v>
      </c>
      <c r="F36" s="42">
        <f t="shared" ca="1" si="7"/>
        <v>392.57530122432843</v>
      </c>
      <c r="G36" s="42">
        <f t="shared" ca="1" si="7"/>
        <v>609.93467307655226</v>
      </c>
      <c r="H36" s="42">
        <f t="shared" ca="1" si="7"/>
        <v>843.31313404616026</v>
      </c>
      <c r="I36" s="42">
        <f t="shared" ca="1" si="7"/>
        <v>1021.9673124369696</v>
      </c>
      <c r="J36" s="42">
        <f t="shared" ca="1" si="7"/>
        <v>1186.8866171303396</v>
      </c>
      <c r="K36" s="42">
        <f t="shared" ca="1" si="7"/>
        <v>1336.1378608807886</v>
      </c>
      <c r="L36" s="42">
        <f t="shared" ca="1" si="7"/>
        <v>1460.5741484011985</v>
      </c>
      <c r="M36" s="42">
        <f t="shared" ca="1" si="7"/>
        <v>1562.6307828050058</v>
      </c>
      <c r="N36" s="42">
        <f t="shared" ca="1" si="7"/>
        <v>1638.8975985180341</v>
      </c>
      <c r="O36" s="42">
        <f t="shared" ca="1" si="7"/>
        <v>1689.9485504285103</v>
      </c>
      <c r="P36" s="42">
        <f t="shared" ca="1" si="7"/>
        <v>1736.0383044150158</v>
      </c>
      <c r="Q36" s="42">
        <f t="shared" ca="1" si="7"/>
        <v>1776.853917361354</v>
      </c>
      <c r="R36" s="42">
        <f t="shared" ca="1" si="7"/>
        <v>1809.5368777672084</v>
      </c>
      <c r="S36" s="42">
        <f t="shared" ca="1" si="7"/>
        <v>1834.768318801152</v>
      </c>
      <c r="T36" s="42">
        <f t="shared" ca="1" si="7"/>
        <v>1853.5192242302389</v>
      </c>
      <c r="U36" s="42">
        <f t="shared" ca="1" si="7"/>
        <v>1852.3924322370037</v>
      </c>
      <c r="V36" s="42">
        <f t="shared" ca="1" si="7"/>
        <v>1852.6441316083753</v>
      </c>
      <c r="W36" s="42">
        <f t="shared" ca="1" si="7"/>
        <v>1853.2231651294194</v>
      </c>
      <c r="X36" s="42">
        <f t="shared" ca="1" si="7"/>
        <v>1853.4472167112824</v>
      </c>
      <c r="Y36" s="42"/>
      <c r="AA36" s="42">
        <f t="shared" ca="1" si="8"/>
        <v>28360.302472032523</v>
      </c>
    </row>
    <row r="37" spans="1:80">
      <c r="E37" s="42"/>
      <c r="F37" s="42"/>
      <c r="G37" s="42"/>
      <c r="H37" s="42"/>
      <c r="I37" s="42"/>
      <c r="J37" s="42"/>
      <c r="K37" s="42"/>
      <c r="L37" s="42"/>
      <c r="M37" s="42"/>
      <c r="N37" s="42"/>
      <c r="O37" s="42"/>
      <c r="P37" s="42"/>
      <c r="Q37" s="42"/>
      <c r="R37" s="42"/>
      <c r="S37" s="42"/>
      <c r="T37" s="42"/>
      <c r="U37" s="42"/>
      <c r="V37" s="42"/>
      <c r="W37" s="42"/>
      <c r="X37" s="42"/>
      <c r="Y37" s="42"/>
    </row>
    <row r="38" spans="1:80">
      <c r="E38" s="42">
        <f t="shared" ref="E38:X38" ca="1" si="9">SUM(E33:E36)</f>
        <v>8185.1262636224928</v>
      </c>
      <c r="F38" s="42">
        <f t="shared" ca="1" si="9"/>
        <v>15764.1102199493</v>
      </c>
      <c r="G38" s="42">
        <f t="shared" ca="1" si="9"/>
        <v>22633.338292929937</v>
      </c>
      <c r="H38" s="42">
        <f t="shared" ca="1" si="9"/>
        <v>29235.461615552627</v>
      </c>
      <c r="I38" s="42">
        <f t="shared" ca="1" si="9"/>
        <v>35359.518141873901</v>
      </c>
      <c r="J38" s="42">
        <f t="shared" ca="1" si="9"/>
        <v>39883.315847952828</v>
      </c>
      <c r="K38" s="42">
        <f t="shared" ca="1" si="9"/>
        <v>43681.148580334047</v>
      </c>
      <c r="L38" s="42">
        <f t="shared" ca="1" si="9"/>
        <v>47465.033568424718</v>
      </c>
      <c r="M38" s="42">
        <f t="shared" ca="1" si="9"/>
        <v>50282.497060784881</v>
      </c>
      <c r="N38" s="42">
        <f t="shared" ca="1" si="9"/>
        <v>53694.8413700038</v>
      </c>
      <c r="O38" s="42">
        <f t="shared" ca="1" si="9"/>
        <v>55987.8731932343</v>
      </c>
      <c r="P38" s="42">
        <f t="shared" ca="1" si="9"/>
        <v>56980.368712206538</v>
      </c>
      <c r="Q38" s="42">
        <f t="shared" ca="1" si="9"/>
        <v>57006.523423494109</v>
      </c>
      <c r="R38" s="42">
        <f t="shared" ca="1" si="9"/>
        <v>57945.059307634147</v>
      </c>
      <c r="S38" s="42">
        <f t="shared" ca="1" si="9"/>
        <v>59165.05041010493</v>
      </c>
      <c r="T38" s="42">
        <f t="shared" ca="1" si="9"/>
        <v>59385.918038057265</v>
      </c>
      <c r="U38" s="42">
        <f t="shared" ca="1" si="9"/>
        <v>57646.608285544193</v>
      </c>
      <c r="V38" s="42">
        <f t="shared" ca="1" si="9"/>
        <v>57427.248095486379</v>
      </c>
      <c r="W38" s="42">
        <f t="shared" ca="1" si="9"/>
        <v>57387.527001400558</v>
      </c>
      <c r="X38" s="42">
        <f t="shared" ca="1" si="9"/>
        <v>57663.742110785352</v>
      </c>
      <c r="Y38" s="42"/>
      <c r="AA38" s="42">
        <f ca="1">SUM(E38:Y38)</f>
        <v>922780.30953937641</v>
      </c>
    </row>
    <row r="40" spans="1:80">
      <c r="AA40"/>
      <c r="AB40"/>
      <c r="AC40"/>
      <c r="AD40"/>
    </row>
    <row r="41" spans="1:80" ht="15">
      <c r="A41" s="62" t="s">
        <v>69</v>
      </c>
      <c r="C41" s="67" t="str">
        <f>C8</f>
        <v>Clothes Washer</v>
      </c>
      <c r="D41" s="67"/>
      <c r="E41" s="67" t="s">
        <v>1164</v>
      </c>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ht="15">
      <c r="A42" s="63" t="s">
        <v>70</v>
      </c>
      <c r="B42" s="63" t="str">
        <f>M_Input_Out!K3</f>
        <v>TRC Net Levelized Cost (Net of All Benefits) in mills/kWh</v>
      </c>
      <c r="C42" s="63">
        <v>1</v>
      </c>
      <c r="D42" s="63"/>
      <c r="E42" s="68">
        <f t="shared" ref="E42:X42" si="10">E11</f>
        <v>2016</v>
      </c>
      <c r="F42" s="68">
        <f t="shared" si="10"/>
        <v>2017</v>
      </c>
      <c r="G42" s="68">
        <f t="shared" si="10"/>
        <v>2018</v>
      </c>
      <c r="H42" s="68">
        <f t="shared" si="10"/>
        <v>2019</v>
      </c>
      <c r="I42" s="68">
        <f t="shared" si="10"/>
        <v>2020</v>
      </c>
      <c r="J42" s="68">
        <f t="shared" si="10"/>
        <v>2021</v>
      </c>
      <c r="K42" s="68">
        <f t="shared" si="10"/>
        <v>2022</v>
      </c>
      <c r="L42" s="68">
        <f t="shared" si="10"/>
        <v>2023</v>
      </c>
      <c r="M42" s="68">
        <f t="shared" si="10"/>
        <v>2024</v>
      </c>
      <c r="N42" s="68">
        <f t="shared" si="10"/>
        <v>2025</v>
      </c>
      <c r="O42" s="68">
        <f t="shared" si="10"/>
        <v>2026</v>
      </c>
      <c r="P42" s="68">
        <f t="shared" si="10"/>
        <v>2027</v>
      </c>
      <c r="Q42" s="68">
        <f t="shared" si="10"/>
        <v>2028</v>
      </c>
      <c r="R42" s="68">
        <f t="shared" si="10"/>
        <v>2029</v>
      </c>
      <c r="S42" s="68">
        <f t="shared" si="10"/>
        <v>2030</v>
      </c>
      <c r="T42" s="68">
        <f t="shared" si="10"/>
        <v>2031</v>
      </c>
      <c r="U42" s="68">
        <f t="shared" si="10"/>
        <v>2032</v>
      </c>
      <c r="V42" s="68">
        <f t="shared" si="10"/>
        <v>2033</v>
      </c>
      <c r="W42" s="68">
        <f t="shared" si="10"/>
        <v>2034</v>
      </c>
      <c r="X42" s="68">
        <f t="shared" si="10"/>
        <v>2035</v>
      </c>
      <c r="Y42" s="69" t="s">
        <v>153</v>
      </c>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ht="15">
      <c r="A43" s="63" t="str">
        <f>M_Input_Out!C3</f>
        <v>Busbar Savings</v>
      </c>
      <c r="B43" s="63" t="s">
        <v>71</v>
      </c>
      <c r="C43" s="63" t="s">
        <v>72</v>
      </c>
      <c r="D43" s="63" t="s">
        <v>73</v>
      </c>
      <c r="E43" s="70" t="str">
        <f>CONCATENATE("aMW_",E42)</f>
        <v>aMW_2016</v>
      </c>
      <c r="F43" s="70" t="str">
        <f t="shared" ref="F43:X43" si="11">CONCATENATE("aMW_",F42)</f>
        <v>aMW_2017</v>
      </c>
      <c r="G43" s="70" t="str">
        <f t="shared" si="11"/>
        <v>aMW_2018</v>
      </c>
      <c r="H43" s="70" t="str">
        <f t="shared" si="11"/>
        <v>aMW_2019</v>
      </c>
      <c r="I43" s="70" t="str">
        <f t="shared" si="11"/>
        <v>aMW_2020</v>
      </c>
      <c r="J43" s="70" t="str">
        <f t="shared" si="11"/>
        <v>aMW_2021</v>
      </c>
      <c r="K43" s="70" t="str">
        <f t="shared" si="11"/>
        <v>aMW_2022</v>
      </c>
      <c r="L43" s="70" t="str">
        <f t="shared" si="11"/>
        <v>aMW_2023</v>
      </c>
      <c r="M43" s="70" t="str">
        <f t="shared" si="11"/>
        <v>aMW_2024</v>
      </c>
      <c r="N43" s="70" t="str">
        <f t="shared" si="11"/>
        <v>aMW_2025</v>
      </c>
      <c r="O43" s="70" t="str">
        <f t="shared" si="11"/>
        <v>aMW_2026</v>
      </c>
      <c r="P43" s="70" t="str">
        <f t="shared" si="11"/>
        <v>aMW_2027</v>
      </c>
      <c r="Q43" s="70" t="str">
        <f t="shared" si="11"/>
        <v>aMW_2028</v>
      </c>
      <c r="R43" s="70" t="str">
        <f t="shared" si="11"/>
        <v>aMW_2029</v>
      </c>
      <c r="S43" s="70" t="str">
        <f t="shared" si="11"/>
        <v>aMW_2030</v>
      </c>
      <c r="T43" s="70" t="str">
        <f t="shared" si="11"/>
        <v>aMW_2031</v>
      </c>
      <c r="U43" s="70" t="str">
        <f t="shared" si="11"/>
        <v>aMW_2032</v>
      </c>
      <c r="V43" s="70" t="str">
        <f t="shared" si="11"/>
        <v>aMW_2033</v>
      </c>
      <c r="W43" s="70" t="str">
        <f t="shared" si="11"/>
        <v>aMW_2034</v>
      </c>
      <c r="X43" s="70" t="str">
        <f t="shared" si="11"/>
        <v>aMW_2035</v>
      </c>
      <c r="Y43" s="71" t="s">
        <v>153</v>
      </c>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c r="A44" s="72">
        <f t="shared" ref="A44:A55" si="12">VLOOKUP($D44,MeasureOutput,3,FALSE)</f>
        <v>14.998309672390386</v>
      </c>
      <c r="B44" s="72">
        <f t="shared" ref="B44:B55" si="13">VLOOKUP($D44,MeasureOutput,11,FALSE)</f>
        <v>-62.378126923104922</v>
      </c>
      <c r="C44" s="9" t="str">
        <f>LEFT(D44,FIND("CEE",D44)-2)</f>
        <v>Single Family</v>
      </c>
      <c r="D44" s="9" t="s">
        <v>1638</v>
      </c>
      <c r="E44" s="36">
        <f ca="1">VLOOKUP($C44,$C$33:$Y$36,E$31,FALSE)*$C$42*$A44/8760/1000</f>
        <v>1.1568223089492664E-2</v>
      </c>
      <c r="F44" s="36">
        <f t="shared" ref="F44:U55" ca="1" si="14">VLOOKUP($C44,$C$33:$Y$36,F$31,FALSE)*$C$42*$A44/8760/1000</f>
        <v>2.2131063594565476E-2</v>
      </c>
      <c r="G44" s="36">
        <f t="shared" ca="1" si="14"/>
        <v>3.1464971009774481E-2</v>
      </c>
      <c r="H44" s="36">
        <f t="shared" ca="1" si="14"/>
        <v>4.0588547663134161E-2</v>
      </c>
      <c r="I44" s="36">
        <f t="shared" ca="1" si="14"/>
        <v>4.9372170494675537E-2</v>
      </c>
      <c r="J44" s="36">
        <f t="shared" ca="1" si="14"/>
        <v>5.5509468984208207E-2</v>
      </c>
      <c r="K44" s="36">
        <f t="shared" ca="1" si="14"/>
        <v>6.0548261641992791E-2</v>
      </c>
      <c r="L44" s="36">
        <f t="shared" ca="1" si="14"/>
        <v>6.5501579290584824E-2</v>
      </c>
      <c r="M44" s="36">
        <f t="shared" ca="1" si="14"/>
        <v>6.8977144867417448E-2</v>
      </c>
      <c r="N44" s="36">
        <f t="shared" ca="1" si="14"/>
        <v>7.3582854852382751E-2</v>
      </c>
      <c r="O44" s="36">
        <f t="shared" ca="1" si="14"/>
        <v>7.6819443840189752E-2</v>
      </c>
      <c r="P44" s="36">
        <f t="shared" ca="1" si="14"/>
        <v>7.7983404547491558E-2</v>
      </c>
      <c r="Q44" s="36">
        <f t="shared" ca="1" si="14"/>
        <v>7.7592078802766834E-2</v>
      </c>
      <c r="R44" s="36">
        <f t="shared" ca="1" si="14"/>
        <v>7.9013413895945364E-2</v>
      </c>
      <c r="S44" s="36">
        <f t="shared" ca="1" si="14"/>
        <v>8.1020670398072842E-2</v>
      </c>
      <c r="T44" s="36">
        <f t="shared" ca="1" si="14"/>
        <v>8.1539677382057599E-2</v>
      </c>
      <c r="U44" s="36">
        <f t="shared" ca="1" si="14"/>
        <v>7.8847963321803993E-2</v>
      </c>
      <c r="V44" s="36">
        <f t="shared" ref="V44:X55" ca="1" si="15">VLOOKUP($C44,$C$33:$Y$36,V$31,FALSE)*$C$42*$A44/8760/1000</f>
        <v>7.8715065600275344E-2</v>
      </c>
      <c r="W44" s="36">
        <f t="shared" ca="1" si="15"/>
        <v>7.8915663250028703E-2</v>
      </c>
      <c r="X44" s="36">
        <f t="shared" ca="1" si="15"/>
        <v>7.9451640102330814E-2</v>
      </c>
      <c r="Y44" s="36">
        <f ca="1">SUM(E44:X44)</f>
        <v>1.2691433066291913</v>
      </c>
      <c r="AA44" s="36">
        <f ca="1">SUM(E44:X44)</f>
        <v>1.2691433066291913</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c r="A45" s="72">
        <f t="shared" si="12"/>
        <v>16.359662309730922</v>
      </c>
      <c r="B45" s="72">
        <f t="shared" si="13"/>
        <v>-77.253113419871809</v>
      </c>
      <c r="C45" s="9" t="str">
        <f t="shared" ref="C45:C55" si="16">LEFT(D45,FIND("CEE",D45)-2)</f>
        <v>Multifamily - Low Rise</v>
      </c>
      <c r="D45" s="9" t="s">
        <v>1639</v>
      </c>
      <c r="E45" s="36">
        <f t="shared" ref="E45:E55" ca="1" si="17">VLOOKUP($C45,$C$33:$Y$36,E$31,FALSE)*$C$42*$A45/8760/1000</f>
        <v>1.8755691880442539E-3</v>
      </c>
      <c r="F45" s="36">
        <f t="shared" ca="1" si="14"/>
        <v>3.7087728976635923E-3</v>
      </c>
      <c r="G45" s="36">
        <f t="shared" ca="1" si="14"/>
        <v>5.5134165180770701E-3</v>
      </c>
      <c r="H45" s="36">
        <f t="shared" ca="1" si="14"/>
        <v>7.1173619652894612E-3</v>
      </c>
      <c r="I45" s="36">
        <f t="shared" ca="1" si="14"/>
        <v>8.3858984537636648E-3</v>
      </c>
      <c r="J45" s="36">
        <f t="shared" ca="1" si="14"/>
        <v>9.5400152036828299E-3</v>
      </c>
      <c r="K45" s="36">
        <f t="shared" ca="1" si="14"/>
        <v>1.0606914174820124E-2</v>
      </c>
      <c r="L45" s="36">
        <f t="shared" ca="1" si="14"/>
        <v>1.1744172578091504E-2</v>
      </c>
      <c r="M45" s="36">
        <f t="shared" ca="1" si="14"/>
        <v>1.2800199701807079E-2</v>
      </c>
      <c r="N45" s="36">
        <f t="shared" ca="1" si="14"/>
        <v>1.3781112029786439E-2</v>
      </c>
      <c r="O45" s="36">
        <f t="shared" ca="1" si="14"/>
        <v>1.4347155250964048E-2</v>
      </c>
      <c r="P45" s="36">
        <f t="shared" ca="1" si="14"/>
        <v>1.4758012691795394E-2</v>
      </c>
      <c r="Q45" s="36">
        <f t="shared" ca="1" si="14"/>
        <v>1.51076706921199E-2</v>
      </c>
      <c r="R45" s="36">
        <f t="shared" ca="1" si="14"/>
        <v>1.5201180537661242E-2</v>
      </c>
      <c r="S45" s="36">
        <f t="shared" ca="1" si="14"/>
        <v>1.5221851571604673E-2</v>
      </c>
      <c r="T45" s="36">
        <f t="shared" ca="1" si="14"/>
        <v>1.507020203043602E-2</v>
      </c>
      <c r="U45" s="36">
        <f t="shared" ca="1" si="14"/>
        <v>1.4814344176580004E-2</v>
      </c>
      <c r="V45" s="36">
        <f t="shared" ca="1" si="15"/>
        <v>1.4626908195040207E-2</v>
      </c>
      <c r="W45" s="36">
        <f t="shared" ca="1" si="15"/>
        <v>1.4345411322070239E-2</v>
      </c>
      <c r="X45" s="36">
        <f t="shared" ca="1" si="15"/>
        <v>1.4291182552276575E-2</v>
      </c>
      <c r="Y45" s="36">
        <f t="shared" ref="Y45:Y55" ca="1" si="18">SUM(E45:X45)</f>
        <v>0.23285735173157429</v>
      </c>
      <c r="AA45" s="36">
        <f t="shared" ref="AA45:AA55" ca="1" si="19">SUM(E45:X45)</f>
        <v>0.23285735173157429</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row>
    <row r="46" spans="1:80">
      <c r="A46" s="72">
        <f t="shared" si="12"/>
        <v>16.365081135408719</v>
      </c>
      <c r="B46" s="72">
        <f t="shared" si="13"/>
        <v>-77.407564903665772</v>
      </c>
      <c r="C46" s="9" t="str">
        <f t="shared" si="16"/>
        <v>Manufactured</v>
      </c>
      <c r="D46" s="9" t="s">
        <v>1640</v>
      </c>
      <c r="E46" s="36">
        <f t="shared" ca="1" si="17"/>
        <v>3.6431529793260918E-4</v>
      </c>
      <c r="F46" s="36">
        <f t="shared" ca="1" si="14"/>
        <v>7.3339345391480054E-4</v>
      </c>
      <c r="G46" s="36">
        <f t="shared" ca="1" si="14"/>
        <v>1.1394555265064805E-3</v>
      </c>
      <c r="H46" s="36">
        <f t="shared" ca="1" si="14"/>
        <v>1.575443819774112E-3</v>
      </c>
      <c r="I46" s="36">
        <f t="shared" ca="1" si="14"/>
        <v>1.9091984002016665E-3</v>
      </c>
      <c r="J46" s="36">
        <f t="shared" ca="1" si="14"/>
        <v>2.217294039711049E-3</v>
      </c>
      <c r="K46" s="36">
        <f t="shared" ca="1" si="14"/>
        <v>2.4961192353202687E-3</v>
      </c>
      <c r="L46" s="36">
        <f t="shared" ca="1" si="14"/>
        <v>2.7285861236148526E-3</v>
      </c>
      <c r="M46" s="36">
        <f t="shared" ca="1" si="14"/>
        <v>2.9192442403300411E-3</v>
      </c>
      <c r="N46" s="36">
        <f t="shared" ca="1" si="14"/>
        <v>3.0617228507276409E-3</v>
      </c>
      <c r="O46" s="36">
        <f t="shared" ca="1" si="14"/>
        <v>3.1570941943412012E-3</v>
      </c>
      <c r="P46" s="36">
        <f t="shared" ca="1" si="14"/>
        <v>3.2431972267042367E-3</v>
      </c>
      <c r="Q46" s="36">
        <f t="shared" ca="1" si="14"/>
        <v>3.3194473200213901E-3</v>
      </c>
      <c r="R46" s="36">
        <f t="shared" ca="1" si="14"/>
        <v>3.380504317599833E-3</v>
      </c>
      <c r="S46" s="36">
        <f t="shared" ca="1" si="14"/>
        <v>3.4276406851436419E-3</v>
      </c>
      <c r="T46" s="36">
        <f t="shared" ca="1" si="14"/>
        <v>3.4626703756355805E-3</v>
      </c>
      <c r="U46" s="36">
        <f t="shared" ca="1" si="14"/>
        <v>3.4605653479652583E-3</v>
      </c>
      <c r="V46" s="36">
        <f t="shared" ca="1" si="15"/>
        <v>3.4610355626495315E-3</v>
      </c>
      <c r="W46" s="36">
        <f t="shared" ca="1" si="15"/>
        <v>3.4621172898814953E-3</v>
      </c>
      <c r="X46" s="36">
        <f t="shared" ca="1" si="15"/>
        <v>3.4625358540727857E-3</v>
      </c>
      <c r="Y46" s="36">
        <f t="shared" ca="1" si="18"/>
        <v>5.2981581162048472E-2</v>
      </c>
      <c r="AA46" s="36">
        <f t="shared" ca="1" si="19"/>
        <v>5.2981581162048472E-2</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c r="A47" s="72">
        <f t="shared" si="12"/>
        <v>16.359662309730922</v>
      </c>
      <c r="B47" s="72">
        <f t="shared" si="13"/>
        <v>-77.253113419871809</v>
      </c>
      <c r="C47" s="9" t="str">
        <f t="shared" si="16"/>
        <v>Multifamily - High Rise</v>
      </c>
      <c r="D47" s="9" t="s">
        <v>1641</v>
      </c>
      <c r="E47" s="36">
        <f t="shared" ca="1" si="17"/>
        <v>4.2806116228520717E-4</v>
      </c>
      <c r="F47" s="36">
        <f t="shared" ca="1" si="14"/>
        <v>8.5836891011291036E-4</v>
      </c>
      <c r="G47" s="36">
        <f t="shared" ca="1" si="14"/>
        <v>1.2952463561146633E-3</v>
      </c>
      <c r="H47" s="36">
        <f t="shared" ca="1" si="14"/>
        <v>1.6334983642418983E-3</v>
      </c>
      <c r="I47" s="36">
        <f t="shared" ca="1" si="14"/>
        <v>1.8873601119352838E-3</v>
      </c>
      <c r="J47" s="36">
        <f t="shared" ca="1" si="14"/>
        <v>2.1792659612526501E-3</v>
      </c>
      <c r="K47" s="36">
        <f t="shared" ca="1" si="14"/>
        <v>2.4300947156727687E-3</v>
      </c>
      <c r="L47" s="36">
        <f t="shared" ca="1" si="14"/>
        <v>2.7240923311305705E-3</v>
      </c>
      <c r="M47" s="36">
        <f t="shared" ca="1" si="14"/>
        <v>2.9481673387312399E-3</v>
      </c>
      <c r="N47" s="36">
        <f t="shared" ca="1" si="14"/>
        <v>3.1737609188728848E-3</v>
      </c>
      <c r="O47" s="36">
        <f t="shared" ca="1" si="14"/>
        <v>3.2643450123024508E-3</v>
      </c>
      <c r="P47" s="36">
        <f t="shared" ca="1" si="14"/>
        <v>3.3513294691658057E-3</v>
      </c>
      <c r="Q47" s="36">
        <f t="shared" ca="1" si="14"/>
        <v>3.4011368649643622E-3</v>
      </c>
      <c r="R47" s="36">
        <f t="shared" ca="1" si="14"/>
        <v>3.4489993038266829E-3</v>
      </c>
      <c r="S47" s="36">
        <f t="shared" ca="1" si="14"/>
        <v>3.4701420569877182E-3</v>
      </c>
      <c r="T47" s="36">
        <f t="shared" ca="1" si="14"/>
        <v>3.4331372092317501E-3</v>
      </c>
      <c r="U47" s="36">
        <f t="shared" ca="1" si="14"/>
        <v>3.378899555027454E-3</v>
      </c>
      <c r="V47" s="36">
        <f t="shared" ca="1" si="15"/>
        <v>3.3011617084479144E-3</v>
      </c>
      <c r="W47" s="36">
        <f t="shared" ca="1" si="15"/>
        <v>3.2885911154666627E-3</v>
      </c>
      <c r="X47" s="36">
        <f t="shared" ca="1" si="15"/>
        <v>3.2736186993224106E-3</v>
      </c>
      <c r="Y47" s="36">
        <f t="shared" ca="1" si="18"/>
        <v>5.3169277165093294E-2</v>
      </c>
      <c r="AA47" s="36">
        <f t="shared" ca="1" si="19"/>
        <v>5.3169277165093294E-2</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c r="A48" s="72">
        <f t="shared" si="12"/>
        <v>31.749218306330086</v>
      </c>
      <c r="B48" s="72">
        <f t="shared" si="13"/>
        <v>-94.474849641527626</v>
      </c>
      <c r="C48" s="9" t="str">
        <f t="shared" si="16"/>
        <v>Single Family</v>
      </c>
      <c r="D48" s="9" t="s">
        <v>1642</v>
      </c>
      <c r="E48" s="36">
        <f t="shared" ca="1" si="17"/>
        <v>2.4488228894269423E-2</v>
      </c>
      <c r="F48" s="36">
        <f t="shared" ca="1" si="14"/>
        <v>4.6848210549259063E-2</v>
      </c>
      <c r="G48" s="36">
        <f t="shared" ca="1" si="14"/>
        <v>6.6606721384788001E-2</v>
      </c>
      <c r="H48" s="36">
        <f t="shared" ca="1" si="14"/>
        <v>8.5919992895329284E-2</v>
      </c>
      <c r="I48" s="36">
        <f t="shared" ca="1" si="14"/>
        <v>0.10451363210471537</v>
      </c>
      <c r="J48" s="36">
        <f t="shared" ca="1" si="14"/>
        <v>0.11750539143036656</v>
      </c>
      <c r="K48" s="36">
        <f t="shared" ca="1" si="14"/>
        <v>0.12817177528206361</v>
      </c>
      <c r="L48" s="36">
        <f t="shared" ca="1" si="14"/>
        <v>0.13865722109568387</v>
      </c>
      <c r="M48" s="36">
        <f t="shared" ca="1" si="14"/>
        <v>0.14601448285698462</v>
      </c>
      <c r="N48" s="36">
        <f t="shared" ca="1" si="14"/>
        <v>0.15576409431069996</v>
      </c>
      <c r="O48" s="36">
        <f t="shared" ca="1" si="14"/>
        <v>0.16261547773898807</v>
      </c>
      <c r="P48" s="36">
        <f t="shared" ca="1" si="14"/>
        <v>0.16507941156908784</v>
      </c>
      <c r="Q48" s="36">
        <f t="shared" ca="1" si="14"/>
        <v>0.1642510324537384</v>
      </c>
      <c r="R48" s="36">
        <f t="shared" ca="1" si="14"/>
        <v>0.16725979005012562</v>
      </c>
      <c r="S48" s="36">
        <f t="shared" ca="1" si="14"/>
        <v>0.17150885719668288</v>
      </c>
      <c r="T48" s="36">
        <f t="shared" ca="1" si="14"/>
        <v>0.17260751873901495</v>
      </c>
      <c r="U48" s="36">
        <f t="shared" ca="1" si="14"/>
        <v>0.16690955548956096</v>
      </c>
      <c r="V48" s="36">
        <f t="shared" ca="1" si="15"/>
        <v>0.16662823053592343</v>
      </c>
      <c r="W48" s="36">
        <f t="shared" ca="1" si="15"/>
        <v>0.16705286629241006</v>
      </c>
      <c r="X48" s="36">
        <f t="shared" ca="1" si="15"/>
        <v>0.16818745055307546</v>
      </c>
      <c r="Y48" s="36">
        <f t="shared" ca="1" si="18"/>
        <v>2.6865899414227679</v>
      </c>
      <c r="AA48" s="36">
        <f t="shared" ca="1" si="19"/>
        <v>2.6865899414227679</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c r="A49" s="72">
        <f t="shared" si="12"/>
        <v>31.45855370122467</v>
      </c>
      <c r="B49" s="72">
        <f t="shared" si="13"/>
        <v>-87.148332348686608</v>
      </c>
      <c r="C49" s="9" t="str">
        <f t="shared" si="16"/>
        <v>Manufactured</v>
      </c>
      <c r="D49" s="9" t="s">
        <v>1643</v>
      </c>
      <c r="E49" s="36">
        <f t="shared" ca="1" si="17"/>
        <v>7.0032236744571553E-4</v>
      </c>
      <c r="F49" s="36">
        <f t="shared" ca="1" si="14"/>
        <v>1.4098003647648387E-3</v>
      </c>
      <c r="G49" s="36">
        <f t="shared" ca="1" si="14"/>
        <v>2.1903724505956197E-3</v>
      </c>
      <c r="H49" s="36">
        <f t="shared" ca="1" si="14"/>
        <v>3.0284716340569875E-3</v>
      </c>
      <c r="I49" s="36">
        <f t="shared" ca="1" si="14"/>
        <v>3.6700472122368332E-3</v>
      </c>
      <c r="J49" s="36">
        <f t="shared" ca="1" si="14"/>
        <v>4.2622986737739354E-3</v>
      </c>
      <c r="K49" s="36">
        <f t="shared" ca="1" si="14"/>
        <v>4.7982836357029395E-3</v>
      </c>
      <c r="L49" s="36">
        <f t="shared" ca="1" si="14"/>
        <v>5.245154141792191E-3</v>
      </c>
      <c r="M49" s="36">
        <f t="shared" ca="1" si="14"/>
        <v>5.6116557529746593E-3</v>
      </c>
      <c r="N49" s="36">
        <f t="shared" ca="1" si="14"/>
        <v>5.8855420221218865E-3</v>
      </c>
      <c r="O49" s="36">
        <f t="shared" ca="1" si="14"/>
        <v>6.0688741125527485E-3</v>
      </c>
      <c r="P49" s="36">
        <f t="shared" ca="1" si="14"/>
        <v>6.2343897519204095E-3</v>
      </c>
      <c r="Q49" s="36">
        <f t="shared" ca="1" si="14"/>
        <v>6.3809651117058882E-3</v>
      </c>
      <c r="R49" s="36">
        <f t="shared" ca="1" si="14"/>
        <v>6.4983348223271861E-3</v>
      </c>
      <c r="S49" s="36">
        <f t="shared" ca="1" si="14"/>
        <v>6.5889449413597881E-3</v>
      </c>
      <c r="T49" s="36">
        <f t="shared" ca="1" si="14"/>
        <v>6.6562824259930658E-3</v>
      </c>
      <c r="U49" s="36">
        <f t="shared" ca="1" si="14"/>
        <v>6.652235936674653E-3</v>
      </c>
      <c r="V49" s="36">
        <f t="shared" ca="1" si="15"/>
        <v>6.6531398291621944E-3</v>
      </c>
      <c r="W49" s="36">
        <f t="shared" ca="1" si="15"/>
        <v>6.6552192306595197E-3</v>
      </c>
      <c r="X49" s="36">
        <f t="shared" ca="1" si="15"/>
        <v>6.6560238355362188E-3</v>
      </c>
      <c r="Y49" s="36">
        <f t="shared" ca="1" si="18"/>
        <v>0.10184635825335728</v>
      </c>
      <c r="AA49" s="36">
        <f t="shared" ca="1" si="19"/>
        <v>0.10184635825335728</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c r="A50" s="72">
        <f t="shared" si="12"/>
        <v>31.430585206391111</v>
      </c>
      <c r="B50" s="72">
        <f t="shared" si="13"/>
        <v>-86.219141575020686</v>
      </c>
      <c r="C50" s="9" t="str">
        <f t="shared" si="16"/>
        <v>Multifamily - Low Rise</v>
      </c>
      <c r="D50" s="9" t="s">
        <v>1644</v>
      </c>
      <c r="E50" s="36">
        <f t="shared" ca="1" si="17"/>
        <v>3.6033896091022866E-3</v>
      </c>
      <c r="F50" s="36">
        <f t="shared" ca="1" si="14"/>
        <v>7.1253856200829413E-3</v>
      </c>
      <c r="G50" s="36">
        <f t="shared" ca="1" si="14"/>
        <v>1.0592511285924932E-2</v>
      </c>
      <c r="H50" s="36">
        <f t="shared" ca="1" si="14"/>
        <v>1.3674050690013118E-2</v>
      </c>
      <c r="I50" s="36">
        <f t="shared" ca="1" si="14"/>
        <v>1.6111194161164653E-2</v>
      </c>
      <c r="J50" s="36">
        <f t="shared" ca="1" si="14"/>
        <v>1.8328511619171171E-2</v>
      </c>
      <c r="K50" s="36">
        <f t="shared" ca="1" si="14"/>
        <v>2.0378264137534324E-2</v>
      </c>
      <c r="L50" s="36">
        <f t="shared" ca="1" si="14"/>
        <v>2.2563192925730887E-2</v>
      </c>
      <c r="M50" s="36">
        <f t="shared" ca="1" si="14"/>
        <v>2.4592058183692835E-2</v>
      </c>
      <c r="N50" s="36">
        <f t="shared" ca="1" si="14"/>
        <v>2.6476611050423843E-2</v>
      </c>
      <c r="O50" s="36">
        <f t="shared" ca="1" si="14"/>
        <v>2.7564107195325361E-2</v>
      </c>
      <c r="P50" s="36">
        <f t="shared" ca="1" si="14"/>
        <v>2.8353456605920976E-2</v>
      </c>
      <c r="Q50" s="36">
        <f t="shared" ca="1" si="14"/>
        <v>2.9025228147669654E-2</v>
      </c>
      <c r="R50" s="36">
        <f t="shared" ca="1" si="14"/>
        <v>2.9204881560575095E-2</v>
      </c>
      <c r="S50" s="36">
        <f t="shared" ca="1" si="14"/>
        <v>2.9244595258899827E-2</v>
      </c>
      <c r="T50" s="36">
        <f t="shared" ca="1" si="14"/>
        <v>2.8953242434191683E-2</v>
      </c>
      <c r="U50" s="36">
        <f t="shared" ca="1" si="14"/>
        <v>2.8461682038622725E-2</v>
      </c>
      <c r="V50" s="36">
        <f t="shared" ca="1" si="15"/>
        <v>2.8101575425356878E-2</v>
      </c>
      <c r="W50" s="36">
        <f t="shared" ca="1" si="15"/>
        <v>2.7560756716284104E-2</v>
      </c>
      <c r="X50" s="36">
        <f t="shared" ca="1" si="15"/>
        <v>2.7456571071289231E-2</v>
      </c>
      <c r="Y50" s="36">
        <f t="shared" ca="1" si="18"/>
        <v>0.44737126573697655</v>
      </c>
      <c r="AA50" s="36">
        <f t="shared" ca="1" si="19"/>
        <v>0.44737126573697655</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c r="A51" s="72">
        <f t="shared" si="12"/>
        <v>31.430585206391111</v>
      </c>
      <c r="B51" s="72">
        <f t="shared" si="13"/>
        <v>-86.219141575020686</v>
      </c>
      <c r="C51" s="9" t="str">
        <f t="shared" si="16"/>
        <v>Multifamily - High Rise</v>
      </c>
      <c r="D51" s="9" t="s">
        <v>1645</v>
      </c>
      <c r="E51" s="36">
        <f t="shared" ca="1" si="17"/>
        <v>8.2240162296927681E-4</v>
      </c>
      <c r="F51" s="36">
        <f t="shared" ca="1" si="14"/>
        <v>1.6491194412841547E-3</v>
      </c>
      <c r="G51" s="36">
        <f t="shared" ca="1" si="14"/>
        <v>2.4884591251565459E-3</v>
      </c>
      <c r="H51" s="36">
        <f t="shared" ca="1" si="14"/>
        <v>3.1383171944366337E-3</v>
      </c>
      <c r="I51" s="36">
        <f t="shared" ca="1" si="14"/>
        <v>3.6260426217991715E-3</v>
      </c>
      <c r="J51" s="36">
        <f t="shared" ca="1" si="14"/>
        <v>4.1868593119918649E-3</v>
      </c>
      <c r="K51" s="36">
        <f t="shared" ca="1" si="14"/>
        <v>4.6687576781534431E-3</v>
      </c>
      <c r="L51" s="36">
        <f t="shared" ca="1" si="14"/>
        <v>5.2335931208523966E-3</v>
      </c>
      <c r="M51" s="36">
        <f t="shared" ca="1" si="14"/>
        <v>5.6640915312521295E-3</v>
      </c>
      <c r="N51" s="36">
        <f t="shared" ca="1" si="14"/>
        <v>6.09750746053077E-3</v>
      </c>
      <c r="O51" s="36">
        <f t="shared" ca="1" si="14"/>
        <v>6.2715398465897519E-3</v>
      </c>
      <c r="P51" s="36">
        <f t="shared" ca="1" si="14"/>
        <v>6.438656522430251E-3</v>
      </c>
      <c r="Q51" s="36">
        <f t="shared" ca="1" si="14"/>
        <v>6.5343477150671438E-3</v>
      </c>
      <c r="R51" s="36">
        <f t="shared" ca="1" si="14"/>
        <v>6.626302208648167E-3</v>
      </c>
      <c r="S51" s="36">
        <f t="shared" ca="1" si="14"/>
        <v>6.6669221855244825E-3</v>
      </c>
      <c r="T51" s="36">
        <f t="shared" ca="1" si="14"/>
        <v>6.5958275627612936E-3</v>
      </c>
      <c r="U51" s="36">
        <f t="shared" ca="1" si="14"/>
        <v>6.4916248488184197E-3</v>
      </c>
      <c r="V51" s="36">
        <f t="shared" ca="1" si="15"/>
        <v>6.3422729878557255E-3</v>
      </c>
      <c r="W51" s="36">
        <f t="shared" ca="1" si="15"/>
        <v>6.3181220557452823E-3</v>
      </c>
      <c r="X51" s="36">
        <f t="shared" ca="1" si="15"/>
        <v>6.2893566819583451E-3</v>
      </c>
      <c r="Y51" s="36">
        <f t="shared" ca="1" si="18"/>
        <v>0.10215012172382523</v>
      </c>
      <c r="AA51" s="36">
        <f t="shared" ca="1" si="19"/>
        <v>0.10215012172382523</v>
      </c>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c r="A52" s="72">
        <f t="shared" si="12"/>
        <v>53.638909577706116</v>
      </c>
      <c r="B52" s="72">
        <f t="shared" si="13"/>
        <v>-65.743456849320339</v>
      </c>
      <c r="C52" s="9" t="str">
        <f t="shared" si="16"/>
        <v>Single Family</v>
      </c>
      <c r="D52" s="9" t="s">
        <v>1646</v>
      </c>
      <c r="E52" s="36">
        <f t="shared" ca="1" si="17"/>
        <v>4.137178694305052E-2</v>
      </c>
      <c r="F52" s="36">
        <f t="shared" ca="1" si="14"/>
        <v>7.9147993669753794E-2</v>
      </c>
      <c r="G52" s="36">
        <f t="shared" ca="1" si="14"/>
        <v>0.11252912973022042</v>
      </c>
      <c r="H52" s="36">
        <f t="shared" ca="1" si="14"/>
        <v>0.14515805351059169</v>
      </c>
      <c r="I52" s="36">
        <f t="shared" ca="1" si="14"/>
        <v>0.17657119013178221</v>
      </c>
      <c r="J52" s="36">
        <f t="shared" ca="1" si="14"/>
        <v>0.19852019678134075</v>
      </c>
      <c r="K52" s="36">
        <f t="shared" ca="1" si="14"/>
        <v>0.21654058372196069</v>
      </c>
      <c r="L52" s="36">
        <f t="shared" ca="1" si="14"/>
        <v>0.23425528379590171</v>
      </c>
      <c r="M52" s="36">
        <f t="shared" ca="1" si="14"/>
        <v>0.24668505433533083</v>
      </c>
      <c r="N52" s="36">
        <f t="shared" ca="1" si="14"/>
        <v>0.26315659458359386</v>
      </c>
      <c r="O52" s="36">
        <f t="shared" ca="1" si="14"/>
        <v>0.27473170590275559</v>
      </c>
      <c r="P52" s="36">
        <f t="shared" ca="1" si="14"/>
        <v>0.27889441386750019</v>
      </c>
      <c r="Q52" s="36">
        <f t="shared" ca="1" si="14"/>
        <v>0.27749490374301211</v>
      </c>
      <c r="R52" s="36">
        <f t="shared" ca="1" si="14"/>
        <v>0.28257806752665948</v>
      </c>
      <c r="S52" s="36">
        <f t="shared" ca="1" si="14"/>
        <v>0.28975667980822062</v>
      </c>
      <c r="T52" s="36">
        <f t="shared" ca="1" si="14"/>
        <v>0.29161282021952345</v>
      </c>
      <c r="U52" s="36">
        <f t="shared" ca="1" si="14"/>
        <v>0.28198636162247454</v>
      </c>
      <c r="V52" s="36">
        <f t="shared" ca="1" si="15"/>
        <v>0.28151107547197712</v>
      </c>
      <c r="W52" s="36">
        <f t="shared" ca="1" si="15"/>
        <v>0.28222847892820979</v>
      </c>
      <c r="X52" s="36">
        <f t="shared" ca="1" si="15"/>
        <v>0.28414530919404302</v>
      </c>
      <c r="Y52" s="36">
        <f t="shared" ca="1" si="18"/>
        <v>4.5388756834879027</v>
      </c>
      <c r="AA52" s="36">
        <f t="shared" ca="1" si="19"/>
        <v>4.5388756834879027</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c r="A53" s="72">
        <f t="shared" si="12"/>
        <v>53.082689723506611</v>
      </c>
      <c r="B53" s="72">
        <f t="shared" si="13"/>
        <v>-55.418353719020054</v>
      </c>
      <c r="C53" s="9" t="str">
        <f t="shared" si="16"/>
        <v>Manufactured</v>
      </c>
      <c r="D53" s="9" t="s">
        <v>1647</v>
      </c>
      <c r="E53" s="36">
        <f t="shared" ca="1" si="17"/>
        <v>1.1817134153915441E-3</v>
      </c>
      <c r="F53" s="36">
        <f t="shared" ca="1" si="14"/>
        <v>2.3788759027400879E-3</v>
      </c>
      <c r="G53" s="36">
        <f t="shared" ca="1" si="14"/>
        <v>3.6960014843071989E-3</v>
      </c>
      <c r="H53" s="36">
        <f t="shared" ca="1" si="14"/>
        <v>5.1101974240103038E-3</v>
      </c>
      <c r="I53" s="36">
        <f t="shared" ca="1" si="14"/>
        <v>6.1927823919700449E-3</v>
      </c>
      <c r="J53" s="36">
        <f t="shared" ca="1" si="14"/>
        <v>7.1921385883689732E-3</v>
      </c>
      <c r="K53" s="36">
        <f t="shared" ca="1" si="14"/>
        <v>8.0965515407493988E-3</v>
      </c>
      <c r="L53" s="36">
        <f t="shared" ca="1" si="14"/>
        <v>8.8505941024835284E-3</v>
      </c>
      <c r="M53" s="36">
        <f t="shared" ca="1" si="14"/>
        <v>9.4690234013742446E-3</v>
      </c>
      <c r="N53" s="36">
        <f t="shared" ca="1" si="14"/>
        <v>9.9311749669786439E-3</v>
      </c>
      <c r="O53" s="36">
        <f t="shared" ca="1" si="14"/>
        <v>1.0240526775238172E-2</v>
      </c>
      <c r="P53" s="36">
        <f t="shared" ca="1" si="14"/>
        <v>1.0519815372304201E-2</v>
      </c>
      <c r="Q53" s="36">
        <f t="shared" ca="1" si="14"/>
        <v>1.0767144426859592E-2</v>
      </c>
      <c r="R53" s="36">
        <f t="shared" ca="1" si="14"/>
        <v>1.0965192308876669E-2</v>
      </c>
      <c r="S53" s="36">
        <f t="shared" ca="1" si="14"/>
        <v>1.1118086459068656E-2</v>
      </c>
      <c r="T53" s="36">
        <f t="shared" ca="1" si="14"/>
        <v>1.1231710716480416E-2</v>
      </c>
      <c r="U53" s="36">
        <f t="shared" ca="1" si="14"/>
        <v>1.1224882731348015E-2</v>
      </c>
      <c r="V53" s="36">
        <f t="shared" ca="1" si="15"/>
        <v>1.1226407945918121E-2</v>
      </c>
      <c r="W53" s="36">
        <f t="shared" ca="1" si="15"/>
        <v>1.1229916696687197E-2</v>
      </c>
      <c r="X53" s="36">
        <f t="shared" ca="1" si="15"/>
        <v>1.1231274374838118E-2</v>
      </c>
      <c r="Y53" s="36">
        <f t="shared" ca="1" si="18"/>
        <v>0.1718540110259931</v>
      </c>
      <c r="AA53" s="36">
        <f t="shared" ca="1" si="19"/>
        <v>0.1718540110259931</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row>
    <row r="54" spans="1:80">
      <c r="A54" s="72">
        <f t="shared" si="12"/>
        <v>53.029340362257024</v>
      </c>
      <c r="B54" s="72">
        <f t="shared" si="13"/>
        <v>-54.200294301150457</v>
      </c>
      <c r="C54" s="9" t="str">
        <f t="shared" si="16"/>
        <v>Multifamily - Low Rise</v>
      </c>
      <c r="D54" s="9" t="s">
        <v>1648</v>
      </c>
      <c r="E54" s="36">
        <f t="shared" ca="1" si="17"/>
        <v>6.0795996251463381E-3</v>
      </c>
      <c r="F54" s="36">
        <f t="shared" ca="1" si="14"/>
        <v>1.2021872859779809E-2</v>
      </c>
      <c r="G54" s="36">
        <f t="shared" ca="1" si="14"/>
        <v>1.7871569446888405E-2</v>
      </c>
      <c r="H54" s="36">
        <f t="shared" ca="1" si="14"/>
        <v>2.307070910101966E-2</v>
      </c>
      <c r="I54" s="36">
        <f t="shared" ca="1" si="14"/>
        <v>2.7182630969310787E-2</v>
      </c>
      <c r="J54" s="36">
        <f t="shared" ca="1" si="14"/>
        <v>3.0923664787156874E-2</v>
      </c>
      <c r="K54" s="36">
        <f t="shared" ca="1" si="14"/>
        <v>3.4381984867451476E-2</v>
      </c>
      <c r="L54" s="36">
        <f t="shared" ca="1" si="14"/>
        <v>3.8068372875047642E-2</v>
      </c>
      <c r="M54" s="36">
        <f t="shared" ca="1" si="14"/>
        <v>4.1491452197533349E-2</v>
      </c>
      <c r="N54" s="36">
        <f t="shared" ca="1" si="14"/>
        <v>4.4671049228396924E-2</v>
      </c>
      <c r="O54" s="36">
        <f t="shared" ca="1" si="14"/>
        <v>4.6505860856368098E-2</v>
      </c>
      <c r="P54" s="36">
        <f t="shared" ca="1" si="14"/>
        <v>4.7837642567855602E-2</v>
      </c>
      <c r="Q54" s="36">
        <f t="shared" ca="1" si="14"/>
        <v>4.8971048182136864E-2</v>
      </c>
      <c r="R54" s="36">
        <f t="shared" ca="1" si="14"/>
        <v>4.9274157459856145E-2</v>
      </c>
      <c r="S54" s="36">
        <f t="shared" ca="1" si="14"/>
        <v>4.9341161978279119E-2</v>
      </c>
      <c r="T54" s="36">
        <f t="shared" ca="1" si="14"/>
        <v>4.8849594671927732E-2</v>
      </c>
      <c r="U54" s="36">
        <f t="shared" ca="1" si="14"/>
        <v>4.8020239336859664E-2</v>
      </c>
      <c r="V54" s="36">
        <f t="shared" ca="1" si="15"/>
        <v>4.7412671388755052E-2</v>
      </c>
      <c r="W54" s="36">
        <f t="shared" ca="1" si="15"/>
        <v>4.6500207964693036E-2</v>
      </c>
      <c r="X54" s="36">
        <f t="shared" ca="1" si="15"/>
        <v>4.6324427081422336E-2</v>
      </c>
      <c r="Y54" s="36">
        <f t="shared" ca="1" si="18"/>
        <v>0.75479991744588482</v>
      </c>
      <c r="AA54" s="36">
        <f t="shared" ca="1" si="19"/>
        <v>0.75479991744588482</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row>
    <row r="55" spans="1:80">
      <c r="A55" s="72">
        <f t="shared" si="12"/>
        <v>53.029340362257024</v>
      </c>
      <c r="B55" s="72">
        <f t="shared" si="13"/>
        <v>-54.200294301150457</v>
      </c>
      <c r="C55" s="9" t="str">
        <f t="shared" si="16"/>
        <v>Multifamily - High Rise</v>
      </c>
      <c r="D55" s="9" t="s">
        <v>1649</v>
      </c>
      <c r="E55" s="36">
        <f t="shared" ca="1" si="17"/>
        <v>1.3875470435097846E-3</v>
      </c>
      <c r="F55" s="36">
        <f t="shared" ca="1" si="14"/>
        <v>2.7823763247045775E-3</v>
      </c>
      <c r="G55" s="36">
        <f t="shared" ca="1" si="14"/>
        <v>4.1985010797272E-3</v>
      </c>
      <c r="H55" s="36">
        <f t="shared" ca="1" si="14"/>
        <v>5.2949345223983705E-3</v>
      </c>
      <c r="I55" s="36">
        <f t="shared" ca="1" si="14"/>
        <v>6.1178195409590857E-3</v>
      </c>
      <c r="J55" s="36">
        <f t="shared" ca="1" si="14"/>
        <v>7.0640233405312126E-3</v>
      </c>
      <c r="K55" s="36">
        <f t="shared" ca="1" si="14"/>
        <v>7.8770770050236461E-3</v>
      </c>
      <c r="L55" s="36">
        <f t="shared" ca="1" si="14"/>
        <v>8.8300611999682001E-3</v>
      </c>
      <c r="M55" s="36">
        <f t="shared" ca="1" si="14"/>
        <v>9.5563934200204054E-3</v>
      </c>
      <c r="N55" s="36">
        <f t="shared" ca="1" si="14"/>
        <v>1.0287648046086593E-2</v>
      </c>
      <c r="O55" s="36">
        <f t="shared" ca="1" si="14"/>
        <v>1.0581273588652082E-2</v>
      </c>
      <c r="P55" s="36">
        <f t="shared" ca="1" si="14"/>
        <v>1.0863231020407213E-2</v>
      </c>
      <c r="Q55" s="36">
        <f t="shared" ca="1" si="14"/>
        <v>1.1024680156358404E-2</v>
      </c>
      <c r="R55" s="36">
        <f t="shared" ca="1" si="14"/>
        <v>1.117982477444065E-2</v>
      </c>
      <c r="S55" s="36">
        <f t="shared" ca="1" si="14"/>
        <v>1.1248358356145743E-2</v>
      </c>
      <c r="T55" s="36">
        <f t="shared" ca="1" si="14"/>
        <v>1.1128408284466238E-2</v>
      </c>
      <c r="U55" s="36">
        <f t="shared" ca="1" si="14"/>
        <v>1.0952598602652745E-2</v>
      </c>
      <c r="V55" s="36">
        <f t="shared" ca="1" si="15"/>
        <v>1.0700613772694288E-2</v>
      </c>
      <c r="W55" s="36">
        <f t="shared" ca="1" si="15"/>
        <v>1.0659866583593589E-2</v>
      </c>
      <c r="X55" s="36">
        <f t="shared" ca="1" si="15"/>
        <v>1.0611333958853122E-2</v>
      </c>
      <c r="Y55" s="36">
        <f t="shared" ca="1" si="18"/>
        <v>0.17234657062119318</v>
      </c>
      <c r="AA55" s="36">
        <f t="shared" ca="1" si="19"/>
        <v>0.17234657062119318</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row>
    <row r="56" spans="1:80">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ht="15">
      <c r="B57" s="63">
        <f ca="1">SUMPRODUCT(B44:B55,AA44:AA55)/SUM(AA44:AA55)</f>
        <v>-73.092641068479466</v>
      </c>
      <c r="E57" s="36">
        <f ca="1">SUM(E44:E55)</f>
        <v>9.387115825863962E-2</v>
      </c>
      <c r="F57" s="36">
        <f ca="1">SUM(F44:F55)</f>
        <v>0.18079523358862604</v>
      </c>
      <c r="G57" s="36">
        <f t="shared" ref="G57:Y57" ca="1" si="20">SUM(G44:G55)</f>
        <v>0.259586355398081</v>
      </c>
      <c r="H57" s="36">
        <f t="shared" ca="1" si="20"/>
        <v>0.33530957878429568</v>
      </c>
      <c r="I57" s="36">
        <f t="shared" ca="1" si="20"/>
        <v>0.40553996659451425</v>
      </c>
      <c r="J57" s="36">
        <f t="shared" ca="1" si="20"/>
        <v>0.45742912872155606</v>
      </c>
      <c r="K57" s="36">
        <f t="shared" ca="1" si="20"/>
        <v>0.50099466763644551</v>
      </c>
      <c r="L57" s="36">
        <f t="shared" ca="1" si="20"/>
        <v>0.54440190358088214</v>
      </c>
      <c r="M57" s="36">
        <f t="shared" ca="1" si="20"/>
        <v>0.57672896782744887</v>
      </c>
      <c r="N57" s="36">
        <f t="shared" ca="1" si="20"/>
        <v>0.61586967232060208</v>
      </c>
      <c r="O57" s="36">
        <f t="shared" ca="1" si="20"/>
        <v>0.64216740431426722</v>
      </c>
      <c r="P57" s="36">
        <f t="shared" ca="1" si="20"/>
        <v>0.65355696121258366</v>
      </c>
      <c r="Q57" s="36">
        <f t="shared" ca="1" si="20"/>
        <v>0.65386968361642051</v>
      </c>
      <c r="R57" s="36">
        <f t="shared" ca="1" si="20"/>
        <v>0.66463064876654232</v>
      </c>
      <c r="S57" s="36">
        <f t="shared" ca="1" si="20"/>
        <v>0.67861391089598999</v>
      </c>
      <c r="T57" s="36">
        <f t="shared" ca="1" si="20"/>
        <v>0.6811410920517198</v>
      </c>
      <c r="U57" s="36">
        <f t="shared" ca="1" si="20"/>
        <v>0.66120095300838844</v>
      </c>
      <c r="V57" s="36">
        <f t="shared" ca="1" si="20"/>
        <v>0.6586801584240557</v>
      </c>
      <c r="W57" s="36">
        <f t="shared" ca="1" si="20"/>
        <v>0.6582172174457297</v>
      </c>
      <c r="X57" s="36">
        <f t="shared" ca="1" si="20"/>
        <v>0.66138072395901848</v>
      </c>
      <c r="Y57" s="36">
        <f t="shared" ca="1" si="20"/>
        <v>10.583985386405809</v>
      </c>
      <c r="AA57" s="48">
        <f ca="1">SUM(E57:X57)</f>
        <v>10.583985386405807</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row>
    <row r="58" spans="1:80" customFormat="1">
      <c r="A58" s="9"/>
      <c r="B58" s="9"/>
      <c r="C58" s="9"/>
      <c r="D58" s="9"/>
    </row>
    <row r="59" spans="1:80" customFormat="1">
      <c r="A59" s="9"/>
      <c r="B59" s="9"/>
      <c r="C59" s="52"/>
      <c r="D59" s="52"/>
    </row>
    <row r="60" spans="1:80" ht="15">
      <c r="A60" s="81" t="s">
        <v>74</v>
      </c>
      <c r="B60" s="81"/>
      <c r="C60" s="53"/>
      <c r="D60" s="53"/>
      <c r="E60" s="36"/>
      <c r="F60" s="36"/>
      <c r="G60" s="36"/>
      <c r="H60" s="36"/>
      <c r="I60" s="36"/>
      <c r="J60" s="36"/>
      <c r="K60" s="36"/>
      <c r="L60" s="36"/>
      <c r="M60" s="36"/>
      <c r="N60" s="36"/>
      <c r="O60" s="36"/>
      <c r="P60" s="36"/>
      <c r="Q60" s="36"/>
      <c r="R60" s="36"/>
      <c r="S60" s="36"/>
      <c r="T60" s="36"/>
      <c r="U60" s="36"/>
      <c r="V60" s="36"/>
      <c r="W60" s="36"/>
      <c r="X60" s="36"/>
      <c r="Y60" s="36"/>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row>
    <row r="61" spans="1:80" ht="15">
      <c r="C61" s="53"/>
      <c r="D61" s="53"/>
      <c r="E61" s="68">
        <f>E42</f>
        <v>2016</v>
      </c>
      <c r="F61" s="68">
        <f t="shared" ref="F61:X61" si="21">F42</f>
        <v>2017</v>
      </c>
      <c r="G61" s="68">
        <f t="shared" si="21"/>
        <v>2018</v>
      </c>
      <c r="H61" s="68">
        <f t="shared" si="21"/>
        <v>2019</v>
      </c>
      <c r="I61" s="68">
        <f t="shared" si="21"/>
        <v>2020</v>
      </c>
      <c r="J61" s="68">
        <f t="shared" si="21"/>
        <v>2021</v>
      </c>
      <c r="K61" s="68">
        <f t="shared" si="21"/>
        <v>2022</v>
      </c>
      <c r="L61" s="68">
        <f t="shared" si="21"/>
        <v>2023</v>
      </c>
      <c r="M61" s="68">
        <f t="shared" si="21"/>
        <v>2024</v>
      </c>
      <c r="N61" s="68">
        <f t="shared" si="21"/>
        <v>2025</v>
      </c>
      <c r="O61" s="68">
        <f t="shared" si="21"/>
        <v>2026</v>
      </c>
      <c r="P61" s="68">
        <f t="shared" si="21"/>
        <v>2027</v>
      </c>
      <c r="Q61" s="68">
        <f t="shared" si="21"/>
        <v>2028</v>
      </c>
      <c r="R61" s="68">
        <f t="shared" si="21"/>
        <v>2029</v>
      </c>
      <c r="S61" s="68">
        <f t="shared" si="21"/>
        <v>2030</v>
      </c>
      <c r="T61" s="68">
        <f t="shared" si="21"/>
        <v>2031</v>
      </c>
      <c r="U61" s="68">
        <f t="shared" si="21"/>
        <v>2032</v>
      </c>
      <c r="V61" s="68">
        <f t="shared" si="21"/>
        <v>2033</v>
      </c>
      <c r="W61" s="68">
        <f t="shared" si="21"/>
        <v>2034</v>
      </c>
      <c r="X61" s="68">
        <f t="shared" si="21"/>
        <v>2035</v>
      </c>
      <c r="Y61" s="69" t="s">
        <v>153</v>
      </c>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ht="15">
      <c r="C62" s="53" t="s">
        <v>71</v>
      </c>
      <c r="D62" s="53" t="s">
        <v>71</v>
      </c>
      <c r="E62" s="70" t="str">
        <f>CONCATENATE("aMW_",E61)</f>
        <v>aMW_2016</v>
      </c>
      <c r="F62" s="70" t="str">
        <f t="shared" ref="F62:X62" si="22">F43</f>
        <v>aMW_2017</v>
      </c>
      <c r="G62" s="70" t="str">
        <f t="shared" si="22"/>
        <v>aMW_2018</v>
      </c>
      <c r="H62" s="70" t="str">
        <f t="shared" si="22"/>
        <v>aMW_2019</v>
      </c>
      <c r="I62" s="70" t="str">
        <f t="shared" si="22"/>
        <v>aMW_2020</v>
      </c>
      <c r="J62" s="70" t="str">
        <f t="shared" si="22"/>
        <v>aMW_2021</v>
      </c>
      <c r="K62" s="70" t="str">
        <f t="shared" si="22"/>
        <v>aMW_2022</v>
      </c>
      <c r="L62" s="70" t="str">
        <f t="shared" si="22"/>
        <v>aMW_2023</v>
      </c>
      <c r="M62" s="70" t="str">
        <f t="shared" si="22"/>
        <v>aMW_2024</v>
      </c>
      <c r="N62" s="70" t="str">
        <f t="shared" si="22"/>
        <v>aMW_2025</v>
      </c>
      <c r="O62" s="70" t="str">
        <f t="shared" si="22"/>
        <v>aMW_2026</v>
      </c>
      <c r="P62" s="70" t="str">
        <f t="shared" si="22"/>
        <v>aMW_2027</v>
      </c>
      <c r="Q62" s="70" t="str">
        <f t="shared" si="22"/>
        <v>aMW_2028</v>
      </c>
      <c r="R62" s="70" t="str">
        <f t="shared" si="22"/>
        <v>aMW_2029</v>
      </c>
      <c r="S62" s="70" t="str">
        <f t="shared" si="22"/>
        <v>aMW_2030</v>
      </c>
      <c r="T62" s="70" t="str">
        <f t="shared" si="22"/>
        <v>aMW_2031</v>
      </c>
      <c r="U62" s="70" t="str">
        <f t="shared" si="22"/>
        <v>aMW_2032</v>
      </c>
      <c r="V62" s="70" t="str">
        <f t="shared" si="22"/>
        <v>aMW_2033</v>
      </c>
      <c r="W62" s="70" t="str">
        <f t="shared" si="22"/>
        <v>aMW_2034</v>
      </c>
      <c r="X62" s="70" t="str">
        <f t="shared" si="22"/>
        <v>aMW_2035</v>
      </c>
      <c r="Y62" s="71" t="s">
        <v>153</v>
      </c>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row>
    <row r="63" spans="1:80">
      <c r="B63" s="9" t="s">
        <v>75</v>
      </c>
      <c r="C63" s="53" t="s">
        <v>76</v>
      </c>
      <c r="D63" s="53" t="s">
        <v>77</v>
      </c>
      <c r="E63" s="36">
        <f ca="1">DSUM($B$43:$X$55,E$43,$C$62:$D63)</f>
        <v>9.387115825863962E-2</v>
      </c>
      <c r="F63" s="36">
        <f ca="1">DSUM($B$43:$X$55,F$43,$C$62:$D63)</f>
        <v>0.18079523358862604</v>
      </c>
      <c r="G63" s="36">
        <f ca="1">DSUM($B$43:$X$55,G$43,$C$62:$D63)</f>
        <v>0.259586355398081</v>
      </c>
      <c r="H63" s="36">
        <f ca="1">DSUM($B$43:$X$55,H$43,$C$62:$D63)</f>
        <v>0.33530957878429568</v>
      </c>
      <c r="I63" s="36">
        <f ca="1">DSUM($B$43:$X$55,I$43,$C$62:$D63)</f>
        <v>0.40553996659451425</v>
      </c>
      <c r="J63" s="36">
        <f ca="1">DSUM($B$43:$X$55,J$43,$C$62:$D63)</f>
        <v>0.45742912872155606</v>
      </c>
      <c r="K63" s="36">
        <f ca="1">DSUM($B$43:$X$55,K$43,$C$62:$D63)</f>
        <v>0.50099466763644551</v>
      </c>
      <c r="L63" s="36">
        <f ca="1">DSUM($B$43:$X$55,L$43,$C$62:$D63)</f>
        <v>0.54440190358088214</v>
      </c>
      <c r="M63" s="36">
        <f ca="1">DSUM($B$43:$X$55,M$43,$C$62:$D63)</f>
        <v>0.57672896782744887</v>
      </c>
      <c r="N63" s="36">
        <f ca="1">DSUM($B$43:$X$55,N$43,$C$62:$D63)</f>
        <v>0.61586967232060208</v>
      </c>
      <c r="O63" s="36">
        <f ca="1">DSUM($B$43:$X$55,O$43,$C$62:$D63)</f>
        <v>0.64216740431426722</v>
      </c>
      <c r="P63" s="36">
        <f ca="1">DSUM($B$43:$X$55,P$43,$C$62:$D63)</f>
        <v>0.65355696121258366</v>
      </c>
      <c r="Q63" s="36">
        <f ca="1">DSUM($B$43:$X$55,Q$43,$C$62:$D63)</f>
        <v>0.65386968361642051</v>
      </c>
      <c r="R63" s="36">
        <f ca="1">DSUM($B$43:$X$55,R$43,$C$62:$D63)</f>
        <v>0.66463064876654232</v>
      </c>
      <c r="S63" s="36">
        <f ca="1">DSUM($B$43:$X$55,S$43,$C$62:$D63)</f>
        <v>0.67861391089598999</v>
      </c>
      <c r="T63" s="36">
        <f ca="1">DSUM($B$43:$X$55,T$43,$C$62:$D63)</f>
        <v>0.6811410920517198</v>
      </c>
      <c r="U63" s="36">
        <f ca="1">DSUM($B$43:$X$55,U$43,$C$62:$D63)</f>
        <v>0.66120095300838844</v>
      </c>
      <c r="V63" s="36">
        <f ca="1">DSUM($B$43:$X$55,V$43,$C$62:$D63)</f>
        <v>0.6586801584240557</v>
      </c>
      <c r="W63" s="36">
        <f ca="1">DSUM($B$43:$X$55,W$43,$C$62:$D63)</f>
        <v>0.6582172174457297</v>
      </c>
      <c r="X63" s="36">
        <f ca="1">DSUM($B$43:$X$55,X$43,$C$62:$D63)</f>
        <v>0.66138072395901848</v>
      </c>
      <c r="Y63" s="36">
        <f ca="1">DSUM($B$43:$Y$55,Y$43,$C$62:$D63)</f>
        <v>10.583985386405809</v>
      </c>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row>
    <row r="64" spans="1:80">
      <c r="B64" s="9" t="s">
        <v>1199</v>
      </c>
      <c r="C64" s="53" t="s">
        <v>78</v>
      </c>
      <c r="D64" s="53" t="s">
        <v>79</v>
      </c>
      <c r="E64" s="36">
        <f ca="1">DSUM($B$43:$X$55,E$43,$C$62:$D64)</f>
        <v>9.387115825863962E-2</v>
      </c>
      <c r="F64" s="36">
        <f ca="1">DSUM($B$43:$X$55,F$43,$C$62:$D64)</f>
        <v>0.18079523358862604</v>
      </c>
      <c r="G64" s="36">
        <f ca="1">DSUM($B$43:$X$55,G$43,$C$62:$D64)</f>
        <v>0.259586355398081</v>
      </c>
      <c r="H64" s="36">
        <f ca="1">DSUM($B$43:$X$55,H$43,$C$62:$D64)</f>
        <v>0.33530957878429568</v>
      </c>
      <c r="I64" s="36">
        <f ca="1">DSUM($B$43:$X$55,I$43,$C$62:$D64)</f>
        <v>0.40553996659451425</v>
      </c>
      <c r="J64" s="36">
        <f ca="1">DSUM($B$43:$X$55,J$43,$C$62:$D64)</f>
        <v>0.45742912872155606</v>
      </c>
      <c r="K64" s="36">
        <f ca="1">DSUM($B$43:$X$55,K$43,$C$62:$D64)</f>
        <v>0.50099466763644551</v>
      </c>
      <c r="L64" s="36">
        <f ca="1">DSUM($B$43:$X$55,L$43,$C$62:$D64)</f>
        <v>0.54440190358088214</v>
      </c>
      <c r="M64" s="36">
        <f ca="1">DSUM($B$43:$X$55,M$43,$C$62:$D64)</f>
        <v>0.57672896782744887</v>
      </c>
      <c r="N64" s="36">
        <f ca="1">DSUM($B$43:$X$55,N$43,$C$62:$D64)</f>
        <v>0.61586967232060208</v>
      </c>
      <c r="O64" s="36">
        <f ca="1">DSUM($B$43:$X$55,O$43,$C$62:$D64)</f>
        <v>0.64216740431426722</v>
      </c>
      <c r="P64" s="36">
        <f ca="1">DSUM($B$43:$X$55,P$43,$C$62:$D64)</f>
        <v>0.65355696121258366</v>
      </c>
      <c r="Q64" s="36">
        <f ca="1">DSUM($B$43:$X$55,Q$43,$C$62:$D64)</f>
        <v>0.65386968361642051</v>
      </c>
      <c r="R64" s="36">
        <f ca="1">DSUM($B$43:$X$55,R$43,$C$62:$D64)</f>
        <v>0.66463064876654232</v>
      </c>
      <c r="S64" s="36">
        <f ca="1">DSUM($B$43:$X$55,S$43,$C$62:$D64)</f>
        <v>0.67861391089598999</v>
      </c>
      <c r="T64" s="36">
        <f ca="1">DSUM($B$43:$X$55,T$43,$C$62:$D64)</f>
        <v>0.6811410920517198</v>
      </c>
      <c r="U64" s="36">
        <f ca="1">DSUM($B$43:$X$55,U$43,$C$62:$D64)</f>
        <v>0.66120095300838844</v>
      </c>
      <c r="V64" s="36">
        <f ca="1">DSUM($B$43:$X$55,V$43,$C$62:$D64)</f>
        <v>0.6586801584240557</v>
      </c>
      <c r="W64" s="36">
        <f ca="1">DSUM($B$43:$X$55,W$43,$C$62:$D64)</f>
        <v>0.6582172174457297</v>
      </c>
      <c r="X64" s="36">
        <f ca="1">DSUM($B$43:$X$55,X$43,$C$62:$D64)</f>
        <v>0.66138072395901848</v>
      </c>
      <c r="Y64" s="36">
        <f ca="1">DSUM($B$43:$Y$55,Y$43,$C$62:$D64)</f>
        <v>10.583985386405809</v>
      </c>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row>
    <row r="65" spans="2:80">
      <c r="B65" s="9" t="s">
        <v>80</v>
      </c>
      <c r="C65" s="53" t="s">
        <v>81</v>
      </c>
      <c r="D65" s="53" t="s">
        <v>82</v>
      </c>
      <c r="E65" s="36">
        <f ca="1">DSUM($B$43:$X$55,E$43,$C$62:$D65)</f>
        <v>9.387115825863962E-2</v>
      </c>
      <c r="F65" s="36">
        <f ca="1">DSUM($B$43:$X$55,F$43,$C$62:$D65)</f>
        <v>0.18079523358862604</v>
      </c>
      <c r="G65" s="36">
        <f ca="1">DSUM($B$43:$X$55,G$43,$C$62:$D65)</f>
        <v>0.259586355398081</v>
      </c>
      <c r="H65" s="36">
        <f ca="1">DSUM($B$43:$X$55,H$43,$C$62:$D65)</f>
        <v>0.33530957878429568</v>
      </c>
      <c r="I65" s="36">
        <f ca="1">DSUM($B$43:$X$55,I$43,$C$62:$D65)</f>
        <v>0.40553996659451425</v>
      </c>
      <c r="J65" s="36">
        <f ca="1">DSUM($B$43:$X$55,J$43,$C$62:$D65)</f>
        <v>0.45742912872155606</v>
      </c>
      <c r="K65" s="36">
        <f ca="1">DSUM($B$43:$X$55,K$43,$C$62:$D65)</f>
        <v>0.50099466763644551</v>
      </c>
      <c r="L65" s="36">
        <f ca="1">DSUM($B$43:$X$55,L$43,$C$62:$D65)</f>
        <v>0.54440190358088214</v>
      </c>
      <c r="M65" s="36">
        <f ca="1">DSUM($B$43:$X$55,M$43,$C$62:$D65)</f>
        <v>0.57672896782744887</v>
      </c>
      <c r="N65" s="36">
        <f ca="1">DSUM($B$43:$X$55,N$43,$C$62:$D65)</f>
        <v>0.61586967232060208</v>
      </c>
      <c r="O65" s="36">
        <f ca="1">DSUM($B$43:$X$55,O$43,$C$62:$D65)</f>
        <v>0.64216740431426722</v>
      </c>
      <c r="P65" s="36">
        <f ca="1">DSUM($B$43:$X$55,P$43,$C$62:$D65)</f>
        <v>0.65355696121258366</v>
      </c>
      <c r="Q65" s="36">
        <f ca="1">DSUM($B$43:$X$55,Q$43,$C$62:$D65)</f>
        <v>0.65386968361642051</v>
      </c>
      <c r="R65" s="36">
        <f ca="1">DSUM($B$43:$X$55,R$43,$C$62:$D65)</f>
        <v>0.66463064876654232</v>
      </c>
      <c r="S65" s="36">
        <f ca="1">DSUM($B$43:$X$55,S$43,$C$62:$D65)</f>
        <v>0.67861391089598999</v>
      </c>
      <c r="T65" s="36">
        <f ca="1">DSUM($B$43:$X$55,T$43,$C$62:$D65)</f>
        <v>0.6811410920517198</v>
      </c>
      <c r="U65" s="36">
        <f ca="1">DSUM($B$43:$X$55,U$43,$C$62:$D65)</f>
        <v>0.66120095300838844</v>
      </c>
      <c r="V65" s="36">
        <f ca="1">DSUM($B$43:$X$55,V$43,$C$62:$D65)</f>
        <v>0.6586801584240557</v>
      </c>
      <c r="W65" s="36">
        <f ca="1">DSUM($B$43:$X$55,W$43,$C$62:$D65)</f>
        <v>0.6582172174457297</v>
      </c>
      <c r="X65" s="36">
        <f ca="1">DSUM($B$43:$X$55,X$43,$C$62:$D65)</f>
        <v>0.66138072395901848</v>
      </c>
      <c r="Y65" s="36">
        <f ca="1">DSUM($B$43:$Y$55,Y$43,$C$62:$D65)</f>
        <v>10.583985386405809</v>
      </c>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2:80">
      <c r="B66" s="9" t="s">
        <v>83</v>
      </c>
      <c r="C66" s="53" t="s">
        <v>84</v>
      </c>
      <c r="D66" s="53" t="s">
        <v>85</v>
      </c>
      <c r="E66" s="36">
        <f ca="1">DSUM($B$43:$X$55,E$43,$C$62:$D66)</f>
        <v>9.387115825863962E-2</v>
      </c>
      <c r="F66" s="36">
        <f ca="1">DSUM($B$43:$X$55,F$43,$C$62:$D66)</f>
        <v>0.18079523358862604</v>
      </c>
      <c r="G66" s="36">
        <f ca="1">DSUM($B$43:$X$55,G$43,$C$62:$D66)</f>
        <v>0.259586355398081</v>
      </c>
      <c r="H66" s="36">
        <f ca="1">DSUM($B$43:$X$55,H$43,$C$62:$D66)</f>
        <v>0.33530957878429568</v>
      </c>
      <c r="I66" s="36">
        <f ca="1">DSUM($B$43:$X$55,I$43,$C$62:$D66)</f>
        <v>0.40553996659451425</v>
      </c>
      <c r="J66" s="36">
        <f ca="1">DSUM($B$43:$X$55,J$43,$C$62:$D66)</f>
        <v>0.45742912872155606</v>
      </c>
      <c r="K66" s="36">
        <f ca="1">DSUM($B$43:$X$55,K$43,$C$62:$D66)</f>
        <v>0.50099466763644551</v>
      </c>
      <c r="L66" s="36">
        <f ca="1">DSUM($B$43:$X$55,L$43,$C$62:$D66)</f>
        <v>0.54440190358088214</v>
      </c>
      <c r="M66" s="36">
        <f ca="1">DSUM($B$43:$X$55,M$43,$C$62:$D66)</f>
        <v>0.57672896782744887</v>
      </c>
      <c r="N66" s="36">
        <f ca="1">DSUM($B$43:$X$55,N$43,$C$62:$D66)</f>
        <v>0.61586967232060208</v>
      </c>
      <c r="O66" s="36">
        <f ca="1">DSUM($B$43:$X$55,O$43,$C$62:$D66)</f>
        <v>0.64216740431426722</v>
      </c>
      <c r="P66" s="36">
        <f ca="1">DSUM($B$43:$X$55,P$43,$C$62:$D66)</f>
        <v>0.65355696121258366</v>
      </c>
      <c r="Q66" s="36">
        <f ca="1">DSUM($B$43:$X$55,Q$43,$C$62:$D66)</f>
        <v>0.65386968361642051</v>
      </c>
      <c r="R66" s="36">
        <f ca="1">DSUM($B$43:$X$55,R$43,$C$62:$D66)</f>
        <v>0.66463064876654232</v>
      </c>
      <c r="S66" s="36">
        <f ca="1">DSUM($B$43:$X$55,S$43,$C$62:$D66)</f>
        <v>0.67861391089598999</v>
      </c>
      <c r="T66" s="36">
        <f ca="1">DSUM($B$43:$X$55,T$43,$C$62:$D66)</f>
        <v>0.6811410920517198</v>
      </c>
      <c r="U66" s="36">
        <f ca="1">DSUM($B$43:$X$55,U$43,$C$62:$D66)</f>
        <v>0.66120095300838844</v>
      </c>
      <c r="V66" s="36">
        <f ca="1">DSUM($B$43:$X$55,V$43,$C$62:$D66)</f>
        <v>0.6586801584240557</v>
      </c>
      <c r="W66" s="36">
        <f ca="1">DSUM($B$43:$X$55,W$43,$C$62:$D66)</f>
        <v>0.6582172174457297</v>
      </c>
      <c r="X66" s="36">
        <f ca="1">DSUM($B$43:$X$55,X$43,$C$62:$D66)</f>
        <v>0.66138072395901848</v>
      </c>
      <c r="Y66" s="36">
        <f ca="1">DSUM($B$43:$Y$55,Y$43,$C$62:$D66)</f>
        <v>10.583985386405809</v>
      </c>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row>
    <row r="67" spans="2:80">
      <c r="B67" s="9" t="s">
        <v>86</v>
      </c>
      <c r="C67" s="53" t="s">
        <v>87</v>
      </c>
      <c r="D67" s="53" t="s">
        <v>88</v>
      </c>
      <c r="E67" s="36">
        <f ca="1">DSUM($B$43:$X$55,E$43,$C$62:$D67)</f>
        <v>9.387115825863962E-2</v>
      </c>
      <c r="F67" s="36">
        <f ca="1">DSUM($B$43:$X$55,F$43,$C$62:$D67)</f>
        <v>0.18079523358862604</v>
      </c>
      <c r="G67" s="36">
        <f ca="1">DSUM($B$43:$X$55,G$43,$C$62:$D67)</f>
        <v>0.259586355398081</v>
      </c>
      <c r="H67" s="36">
        <f ca="1">DSUM($B$43:$X$55,H$43,$C$62:$D67)</f>
        <v>0.33530957878429568</v>
      </c>
      <c r="I67" s="36">
        <f ca="1">DSUM($B$43:$X$55,I$43,$C$62:$D67)</f>
        <v>0.40553996659451425</v>
      </c>
      <c r="J67" s="36">
        <f ca="1">DSUM($B$43:$X$55,J$43,$C$62:$D67)</f>
        <v>0.45742912872155606</v>
      </c>
      <c r="K67" s="36">
        <f ca="1">DSUM($B$43:$X$55,K$43,$C$62:$D67)</f>
        <v>0.50099466763644551</v>
      </c>
      <c r="L67" s="36">
        <f ca="1">DSUM($B$43:$X$55,L$43,$C$62:$D67)</f>
        <v>0.54440190358088214</v>
      </c>
      <c r="M67" s="36">
        <f ca="1">DSUM($B$43:$X$55,M$43,$C$62:$D67)</f>
        <v>0.57672896782744887</v>
      </c>
      <c r="N67" s="36">
        <f ca="1">DSUM($B$43:$X$55,N$43,$C$62:$D67)</f>
        <v>0.61586967232060208</v>
      </c>
      <c r="O67" s="36">
        <f ca="1">DSUM($B$43:$X$55,O$43,$C$62:$D67)</f>
        <v>0.64216740431426722</v>
      </c>
      <c r="P67" s="36">
        <f ca="1">DSUM($B$43:$X$55,P$43,$C$62:$D67)</f>
        <v>0.65355696121258366</v>
      </c>
      <c r="Q67" s="36">
        <f ca="1">DSUM($B$43:$X$55,Q$43,$C$62:$D67)</f>
        <v>0.65386968361642051</v>
      </c>
      <c r="R67" s="36">
        <f ca="1">DSUM($B$43:$X$55,R$43,$C$62:$D67)</f>
        <v>0.66463064876654232</v>
      </c>
      <c r="S67" s="36">
        <f ca="1">DSUM($B$43:$X$55,S$43,$C$62:$D67)</f>
        <v>0.67861391089598999</v>
      </c>
      <c r="T67" s="36">
        <f ca="1">DSUM($B$43:$X$55,T$43,$C$62:$D67)</f>
        <v>0.6811410920517198</v>
      </c>
      <c r="U67" s="36">
        <f ca="1">DSUM($B$43:$X$55,U$43,$C$62:$D67)</f>
        <v>0.66120095300838844</v>
      </c>
      <c r="V67" s="36">
        <f ca="1">DSUM($B$43:$X$55,V$43,$C$62:$D67)</f>
        <v>0.6586801584240557</v>
      </c>
      <c r="W67" s="36">
        <f ca="1">DSUM($B$43:$X$55,W$43,$C$62:$D67)</f>
        <v>0.6582172174457297</v>
      </c>
      <c r="X67" s="36">
        <f ca="1">DSUM($B$43:$X$55,X$43,$C$62:$D67)</f>
        <v>0.66138072395901848</v>
      </c>
      <c r="Y67" s="36">
        <f ca="1">DSUM($B$43:$Y$55,Y$43,$C$62:$D67)</f>
        <v>10.583985386405809</v>
      </c>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row>
    <row r="68" spans="2:80">
      <c r="B68" s="9" t="s">
        <v>89</v>
      </c>
      <c r="C68" s="53" t="s">
        <v>90</v>
      </c>
      <c r="D68" s="53" t="s">
        <v>91</v>
      </c>
      <c r="E68" s="36">
        <f ca="1">DSUM($B$43:$X$55,E$43,$C$62:$D68)</f>
        <v>9.387115825863962E-2</v>
      </c>
      <c r="F68" s="36">
        <f ca="1">DSUM($B$43:$X$55,F$43,$C$62:$D68)</f>
        <v>0.18079523358862604</v>
      </c>
      <c r="G68" s="36">
        <f ca="1">DSUM($B$43:$X$55,G$43,$C$62:$D68)</f>
        <v>0.259586355398081</v>
      </c>
      <c r="H68" s="36">
        <f ca="1">DSUM($B$43:$X$55,H$43,$C$62:$D68)</f>
        <v>0.33530957878429568</v>
      </c>
      <c r="I68" s="36">
        <f ca="1">DSUM($B$43:$X$55,I$43,$C$62:$D68)</f>
        <v>0.40553996659451425</v>
      </c>
      <c r="J68" s="36">
        <f ca="1">DSUM($B$43:$X$55,J$43,$C$62:$D68)</f>
        <v>0.45742912872155606</v>
      </c>
      <c r="K68" s="36">
        <f ca="1">DSUM($B$43:$X$55,K$43,$C$62:$D68)</f>
        <v>0.50099466763644551</v>
      </c>
      <c r="L68" s="36">
        <f ca="1">DSUM($B$43:$X$55,L$43,$C$62:$D68)</f>
        <v>0.54440190358088214</v>
      </c>
      <c r="M68" s="36">
        <f ca="1">DSUM($B$43:$X$55,M$43,$C$62:$D68)</f>
        <v>0.57672896782744887</v>
      </c>
      <c r="N68" s="36">
        <f ca="1">DSUM($B$43:$X$55,N$43,$C$62:$D68)</f>
        <v>0.61586967232060208</v>
      </c>
      <c r="O68" s="36">
        <f ca="1">DSUM($B$43:$X$55,O$43,$C$62:$D68)</f>
        <v>0.64216740431426722</v>
      </c>
      <c r="P68" s="36">
        <f ca="1">DSUM($B$43:$X$55,P$43,$C$62:$D68)</f>
        <v>0.65355696121258366</v>
      </c>
      <c r="Q68" s="36">
        <f ca="1">DSUM($B$43:$X$55,Q$43,$C$62:$D68)</f>
        <v>0.65386968361642051</v>
      </c>
      <c r="R68" s="36">
        <f ca="1">DSUM($B$43:$X$55,R$43,$C$62:$D68)</f>
        <v>0.66463064876654232</v>
      </c>
      <c r="S68" s="36">
        <f ca="1">DSUM($B$43:$X$55,S$43,$C$62:$D68)</f>
        <v>0.67861391089598999</v>
      </c>
      <c r="T68" s="36">
        <f ca="1">DSUM($B$43:$X$55,T$43,$C$62:$D68)</f>
        <v>0.6811410920517198</v>
      </c>
      <c r="U68" s="36">
        <f ca="1">DSUM($B$43:$X$55,U$43,$C$62:$D68)</f>
        <v>0.66120095300838844</v>
      </c>
      <c r="V68" s="36">
        <f ca="1">DSUM($B$43:$X$55,V$43,$C$62:$D68)</f>
        <v>0.6586801584240557</v>
      </c>
      <c r="W68" s="36">
        <f ca="1">DSUM($B$43:$X$55,W$43,$C$62:$D68)</f>
        <v>0.6582172174457297</v>
      </c>
      <c r="X68" s="36">
        <f ca="1">DSUM($B$43:$X$55,X$43,$C$62:$D68)</f>
        <v>0.66138072395901848</v>
      </c>
      <c r="Y68" s="36">
        <f ca="1">DSUM($B$43:$Y$55,Y$43,$C$62:$D68)</f>
        <v>10.583985386405809</v>
      </c>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2:80">
      <c r="B69" s="9" t="s">
        <v>92</v>
      </c>
      <c r="C69" s="53" t="s">
        <v>93</v>
      </c>
      <c r="D69" s="53" t="s">
        <v>94</v>
      </c>
      <c r="E69" s="36">
        <f ca="1">DSUM($B$43:$X$55,E$43,$C$62:$D69)</f>
        <v>9.387115825863962E-2</v>
      </c>
      <c r="F69" s="36">
        <f ca="1">DSUM($B$43:$X$55,F$43,$C$62:$D69)</f>
        <v>0.18079523358862604</v>
      </c>
      <c r="G69" s="36">
        <f ca="1">DSUM($B$43:$X$55,G$43,$C$62:$D69)</f>
        <v>0.259586355398081</v>
      </c>
      <c r="H69" s="36">
        <f ca="1">DSUM($B$43:$X$55,H$43,$C$62:$D69)</f>
        <v>0.33530957878429568</v>
      </c>
      <c r="I69" s="36">
        <f ca="1">DSUM($B$43:$X$55,I$43,$C$62:$D69)</f>
        <v>0.40553996659451425</v>
      </c>
      <c r="J69" s="36">
        <f ca="1">DSUM($B$43:$X$55,J$43,$C$62:$D69)</f>
        <v>0.45742912872155606</v>
      </c>
      <c r="K69" s="36">
        <f ca="1">DSUM($B$43:$X$55,K$43,$C$62:$D69)</f>
        <v>0.50099466763644551</v>
      </c>
      <c r="L69" s="36">
        <f ca="1">DSUM($B$43:$X$55,L$43,$C$62:$D69)</f>
        <v>0.54440190358088214</v>
      </c>
      <c r="M69" s="36">
        <f ca="1">DSUM($B$43:$X$55,M$43,$C$62:$D69)</f>
        <v>0.57672896782744887</v>
      </c>
      <c r="N69" s="36">
        <f ca="1">DSUM($B$43:$X$55,N$43,$C$62:$D69)</f>
        <v>0.61586967232060208</v>
      </c>
      <c r="O69" s="36">
        <f ca="1">DSUM($B$43:$X$55,O$43,$C$62:$D69)</f>
        <v>0.64216740431426722</v>
      </c>
      <c r="P69" s="36">
        <f ca="1">DSUM($B$43:$X$55,P$43,$C$62:$D69)</f>
        <v>0.65355696121258366</v>
      </c>
      <c r="Q69" s="36">
        <f ca="1">DSUM($B$43:$X$55,Q$43,$C$62:$D69)</f>
        <v>0.65386968361642051</v>
      </c>
      <c r="R69" s="36">
        <f ca="1">DSUM($B$43:$X$55,R$43,$C$62:$D69)</f>
        <v>0.66463064876654232</v>
      </c>
      <c r="S69" s="36">
        <f ca="1">DSUM($B$43:$X$55,S$43,$C$62:$D69)</f>
        <v>0.67861391089598999</v>
      </c>
      <c r="T69" s="36">
        <f ca="1">DSUM($B$43:$X$55,T$43,$C$62:$D69)</f>
        <v>0.6811410920517198</v>
      </c>
      <c r="U69" s="36">
        <f ca="1">DSUM($B$43:$X$55,U$43,$C$62:$D69)</f>
        <v>0.66120095300838844</v>
      </c>
      <c r="V69" s="36">
        <f ca="1">DSUM($B$43:$X$55,V$43,$C$62:$D69)</f>
        <v>0.6586801584240557</v>
      </c>
      <c r="W69" s="36">
        <f ca="1">DSUM($B$43:$X$55,W$43,$C$62:$D69)</f>
        <v>0.6582172174457297</v>
      </c>
      <c r="X69" s="36">
        <f ca="1">DSUM($B$43:$X$55,X$43,$C$62:$D69)</f>
        <v>0.66138072395901848</v>
      </c>
      <c r="Y69" s="36">
        <f ca="1">DSUM($B$43:$Y$55,Y$43,$C$62:$D69)</f>
        <v>10.583985386405809</v>
      </c>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row>
    <row r="70" spans="2:80">
      <c r="B70" s="9" t="s">
        <v>95</v>
      </c>
      <c r="C70" s="53" t="s">
        <v>96</v>
      </c>
      <c r="D70" s="53" t="s">
        <v>97</v>
      </c>
      <c r="E70" s="36">
        <f ca="1">DSUM($B$43:$X$55,E$43,$C$62:$D70)</f>
        <v>9.387115825863962E-2</v>
      </c>
      <c r="F70" s="36">
        <f ca="1">DSUM($B$43:$X$55,F$43,$C$62:$D70)</f>
        <v>0.18079523358862604</v>
      </c>
      <c r="G70" s="36">
        <f ca="1">DSUM($B$43:$X$55,G$43,$C$62:$D70)</f>
        <v>0.259586355398081</v>
      </c>
      <c r="H70" s="36">
        <f ca="1">DSUM($B$43:$X$55,H$43,$C$62:$D70)</f>
        <v>0.33530957878429568</v>
      </c>
      <c r="I70" s="36">
        <f ca="1">DSUM($B$43:$X$55,I$43,$C$62:$D70)</f>
        <v>0.40553996659451425</v>
      </c>
      <c r="J70" s="36">
        <f ca="1">DSUM($B$43:$X$55,J$43,$C$62:$D70)</f>
        <v>0.45742912872155606</v>
      </c>
      <c r="K70" s="36">
        <f ca="1">DSUM($B$43:$X$55,K$43,$C$62:$D70)</f>
        <v>0.50099466763644551</v>
      </c>
      <c r="L70" s="36">
        <f ca="1">DSUM($B$43:$X$55,L$43,$C$62:$D70)</f>
        <v>0.54440190358088214</v>
      </c>
      <c r="M70" s="36">
        <f ca="1">DSUM($B$43:$X$55,M$43,$C$62:$D70)</f>
        <v>0.57672896782744887</v>
      </c>
      <c r="N70" s="36">
        <f ca="1">DSUM($B$43:$X$55,N$43,$C$62:$D70)</f>
        <v>0.61586967232060208</v>
      </c>
      <c r="O70" s="36">
        <f ca="1">DSUM($B$43:$X$55,O$43,$C$62:$D70)</f>
        <v>0.64216740431426722</v>
      </c>
      <c r="P70" s="36">
        <f ca="1">DSUM($B$43:$X$55,P$43,$C$62:$D70)</f>
        <v>0.65355696121258366</v>
      </c>
      <c r="Q70" s="36">
        <f ca="1">DSUM($B$43:$X$55,Q$43,$C$62:$D70)</f>
        <v>0.65386968361642051</v>
      </c>
      <c r="R70" s="36">
        <f ca="1">DSUM($B$43:$X$55,R$43,$C$62:$D70)</f>
        <v>0.66463064876654232</v>
      </c>
      <c r="S70" s="36">
        <f ca="1">DSUM($B$43:$X$55,S$43,$C$62:$D70)</f>
        <v>0.67861391089598999</v>
      </c>
      <c r="T70" s="36">
        <f ca="1">DSUM($B$43:$X$55,T$43,$C$62:$D70)</f>
        <v>0.6811410920517198</v>
      </c>
      <c r="U70" s="36">
        <f ca="1">DSUM($B$43:$X$55,U$43,$C$62:$D70)</f>
        <v>0.66120095300838844</v>
      </c>
      <c r="V70" s="36">
        <f ca="1">DSUM($B$43:$X$55,V$43,$C$62:$D70)</f>
        <v>0.6586801584240557</v>
      </c>
      <c r="W70" s="36">
        <f ca="1">DSUM($B$43:$X$55,W$43,$C$62:$D70)</f>
        <v>0.6582172174457297</v>
      </c>
      <c r="X70" s="36">
        <f ca="1">DSUM($B$43:$X$55,X$43,$C$62:$D70)</f>
        <v>0.66138072395901848</v>
      </c>
      <c r="Y70" s="36">
        <f ca="1">DSUM($B$43:$Y$55,Y$43,$C$62:$D70)</f>
        <v>10.583985386405809</v>
      </c>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row>
    <row r="71" spans="2:80">
      <c r="B71" s="9" t="s">
        <v>98</v>
      </c>
      <c r="C71" s="53" t="s">
        <v>99</v>
      </c>
      <c r="D71" s="53" t="s">
        <v>100</v>
      </c>
      <c r="E71" s="36">
        <f ca="1">DSUM($B$43:$X$55,E$43,$C$62:$D71)</f>
        <v>9.387115825863962E-2</v>
      </c>
      <c r="F71" s="36">
        <f ca="1">DSUM($B$43:$X$55,F$43,$C$62:$D71)</f>
        <v>0.18079523358862604</v>
      </c>
      <c r="G71" s="36">
        <f ca="1">DSUM($B$43:$X$55,G$43,$C$62:$D71)</f>
        <v>0.259586355398081</v>
      </c>
      <c r="H71" s="36">
        <f ca="1">DSUM($B$43:$X$55,H$43,$C$62:$D71)</f>
        <v>0.33530957878429568</v>
      </c>
      <c r="I71" s="36">
        <f ca="1">DSUM($B$43:$X$55,I$43,$C$62:$D71)</f>
        <v>0.40553996659451425</v>
      </c>
      <c r="J71" s="36">
        <f ca="1">DSUM($B$43:$X$55,J$43,$C$62:$D71)</f>
        <v>0.45742912872155606</v>
      </c>
      <c r="K71" s="36">
        <f ca="1">DSUM($B$43:$X$55,K$43,$C$62:$D71)</f>
        <v>0.50099466763644551</v>
      </c>
      <c r="L71" s="36">
        <f ca="1">DSUM($B$43:$X$55,L$43,$C$62:$D71)</f>
        <v>0.54440190358088214</v>
      </c>
      <c r="M71" s="36">
        <f ca="1">DSUM($B$43:$X$55,M$43,$C$62:$D71)</f>
        <v>0.57672896782744887</v>
      </c>
      <c r="N71" s="36">
        <f ca="1">DSUM($B$43:$X$55,N$43,$C$62:$D71)</f>
        <v>0.61586967232060208</v>
      </c>
      <c r="O71" s="36">
        <f ca="1">DSUM($B$43:$X$55,O$43,$C$62:$D71)</f>
        <v>0.64216740431426722</v>
      </c>
      <c r="P71" s="36">
        <f ca="1">DSUM($B$43:$X$55,P$43,$C$62:$D71)</f>
        <v>0.65355696121258366</v>
      </c>
      <c r="Q71" s="36">
        <f ca="1">DSUM($B$43:$X$55,Q$43,$C$62:$D71)</f>
        <v>0.65386968361642051</v>
      </c>
      <c r="R71" s="36">
        <f ca="1">DSUM($B$43:$X$55,R$43,$C$62:$D71)</f>
        <v>0.66463064876654232</v>
      </c>
      <c r="S71" s="36">
        <f ca="1">DSUM($B$43:$X$55,S$43,$C$62:$D71)</f>
        <v>0.67861391089598999</v>
      </c>
      <c r="T71" s="36">
        <f ca="1">DSUM($B$43:$X$55,T$43,$C$62:$D71)</f>
        <v>0.6811410920517198</v>
      </c>
      <c r="U71" s="36">
        <f ca="1">DSUM($B$43:$X$55,U$43,$C$62:$D71)</f>
        <v>0.66120095300838844</v>
      </c>
      <c r="V71" s="36">
        <f ca="1">DSUM($B$43:$X$55,V$43,$C$62:$D71)</f>
        <v>0.6586801584240557</v>
      </c>
      <c r="W71" s="36">
        <f ca="1">DSUM($B$43:$X$55,W$43,$C$62:$D71)</f>
        <v>0.6582172174457297</v>
      </c>
      <c r="X71" s="36">
        <f ca="1">DSUM($B$43:$X$55,X$43,$C$62:$D71)</f>
        <v>0.66138072395901848</v>
      </c>
      <c r="Y71" s="36">
        <f ca="1">DSUM($B$43:$Y$55,Y$43,$C$62:$D71)</f>
        <v>10.583985386405809</v>
      </c>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2:80">
      <c r="B72" s="9" t="s">
        <v>101</v>
      </c>
      <c r="C72" s="53" t="s">
        <v>102</v>
      </c>
      <c r="D72" s="53" t="s">
        <v>103</v>
      </c>
      <c r="E72" s="36">
        <f ca="1">DSUM($B$43:$X$55,E$43,$C$62:$D72)</f>
        <v>9.387115825863962E-2</v>
      </c>
      <c r="F72" s="36">
        <f ca="1">DSUM($B$43:$X$55,F$43,$C$62:$D72)</f>
        <v>0.18079523358862604</v>
      </c>
      <c r="G72" s="36">
        <f ca="1">DSUM($B$43:$X$55,G$43,$C$62:$D72)</f>
        <v>0.259586355398081</v>
      </c>
      <c r="H72" s="36">
        <f ca="1">DSUM($B$43:$X$55,H$43,$C$62:$D72)</f>
        <v>0.33530957878429568</v>
      </c>
      <c r="I72" s="36">
        <f ca="1">DSUM($B$43:$X$55,I$43,$C$62:$D72)</f>
        <v>0.40553996659451425</v>
      </c>
      <c r="J72" s="36">
        <f ca="1">DSUM($B$43:$X$55,J$43,$C$62:$D72)</f>
        <v>0.45742912872155606</v>
      </c>
      <c r="K72" s="36">
        <f ca="1">DSUM($B$43:$X$55,K$43,$C$62:$D72)</f>
        <v>0.50099466763644551</v>
      </c>
      <c r="L72" s="36">
        <f ca="1">DSUM($B$43:$X$55,L$43,$C$62:$D72)</f>
        <v>0.54440190358088214</v>
      </c>
      <c r="M72" s="36">
        <f ca="1">DSUM($B$43:$X$55,M$43,$C$62:$D72)</f>
        <v>0.57672896782744887</v>
      </c>
      <c r="N72" s="36">
        <f ca="1">DSUM($B$43:$X$55,N$43,$C$62:$D72)</f>
        <v>0.61586967232060208</v>
      </c>
      <c r="O72" s="36">
        <f ca="1">DSUM($B$43:$X$55,O$43,$C$62:$D72)</f>
        <v>0.64216740431426722</v>
      </c>
      <c r="P72" s="36">
        <f ca="1">DSUM($B$43:$X$55,P$43,$C$62:$D72)</f>
        <v>0.65355696121258366</v>
      </c>
      <c r="Q72" s="36">
        <f ca="1">DSUM($B$43:$X$55,Q$43,$C$62:$D72)</f>
        <v>0.65386968361642051</v>
      </c>
      <c r="R72" s="36">
        <f ca="1">DSUM($B$43:$X$55,R$43,$C$62:$D72)</f>
        <v>0.66463064876654232</v>
      </c>
      <c r="S72" s="36">
        <f ca="1">DSUM($B$43:$X$55,S$43,$C$62:$D72)</f>
        <v>0.67861391089598999</v>
      </c>
      <c r="T72" s="36">
        <f ca="1">DSUM($B$43:$X$55,T$43,$C$62:$D72)</f>
        <v>0.6811410920517198</v>
      </c>
      <c r="U72" s="36">
        <f ca="1">DSUM($B$43:$X$55,U$43,$C$62:$D72)</f>
        <v>0.66120095300838844</v>
      </c>
      <c r="V72" s="36">
        <f ca="1">DSUM($B$43:$X$55,V$43,$C$62:$D72)</f>
        <v>0.6586801584240557</v>
      </c>
      <c r="W72" s="36">
        <f ca="1">DSUM($B$43:$X$55,W$43,$C$62:$D72)</f>
        <v>0.6582172174457297</v>
      </c>
      <c r="X72" s="36">
        <f ca="1">DSUM($B$43:$X$55,X$43,$C$62:$D72)</f>
        <v>0.66138072395901848</v>
      </c>
      <c r="Y72" s="36">
        <f ca="1">DSUM($B$43:$Y$55,Y$43,$C$62:$D72)</f>
        <v>10.583985386405809</v>
      </c>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2:80">
      <c r="B73" s="9" t="s">
        <v>104</v>
      </c>
      <c r="C73" s="53" t="s">
        <v>105</v>
      </c>
      <c r="D73" s="53" t="s">
        <v>106</v>
      </c>
      <c r="E73" s="36">
        <f ca="1">DSUM($B$43:$X$55,E$43,$C$62:$D73)</f>
        <v>9.387115825863962E-2</v>
      </c>
      <c r="F73" s="36">
        <f ca="1">DSUM($B$43:$X$55,F$43,$C$62:$D73)</f>
        <v>0.18079523358862604</v>
      </c>
      <c r="G73" s="36">
        <f ca="1">DSUM($B$43:$X$55,G$43,$C$62:$D73)</f>
        <v>0.259586355398081</v>
      </c>
      <c r="H73" s="36">
        <f ca="1">DSUM($B$43:$X$55,H$43,$C$62:$D73)</f>
        <v>0.33530957878429568</v>
      </c>
      <c r="I73" s="36">
        <f ca="1">DSUM($B$43:$X$55,I$43,$C$62:$D73)</f>
        <v>0.40553996659451425</v>
      </c>
      <c r="J73" s="36">
        <f ca="1">DSUM($B$43:$X$55,J$43,$C$62:$D73)</f>
        <v>0.45742912872155606</v>
      </c>
      <c r="K73" s="36">
        <f ca="1">DSUM($B$43:$X$55,K$43,$C$62:$D73)</f>
        <v>0.50099466763644551</v>
      </c>
      <c r="L73" s="36">
        <f ca="1">DSUM($B$43:$X$55,L$43,$C$62:$D73)</f>
        <v>0.54440190358088214</v>
      </c>
      <c r="M73" s="36">
        <f ca="1">DSUM($B$43:$X$55,M$43,$C$62:$D73)</f>
        <v>0.57672896782744887</v>
      </c>
      <c r="N73" s="36">
        <f ca="1">DSUM($B$43:$X$55,N$43,$C$62:$D73)</f>
        <v>0.61586967232060208</v>
      </c>
      <c r="O73" s="36">
        <f ca="1">DSUM($B$43:$X$55,O$43,$C$62:$D73)</f>
        <v>0.64216740431426722</v>
      </c>
      <c r="P73" s="36">
        <f ca="1">DSUM($B$43:$X$55,P$43,$C$62:$D73)</f>
        <v>0.65355696121258366</v>
      </c>
      <c r="Q73" s="36">
        <f ca="1">DSUM($B$43:$X$55,Q$43,$C$62:$D73)</f>
        <v>0.65386968361642051</v>
      </c>
      <c r="R73" s="36">
        <f ca="1">DSUM($B$43:$X$55,R$43,$C$62:$D73)</f>
        <v>0.66463064876654232</v>
      </c>
      <c r="S73" s="36">
        <f ca="1">DSUM($B$43:$X$55,S$43,$C$62:$D73)</f>
        <v>0.67861391089598999</v>
      </c>
      <c r="T73" s="36">
        <f ca="1">DSUM($B$43:$X$55,T$43,$C$62:$D73)</f>
        <v>0.6811410920517198</v>
      </c>
      <c r="U73" s="36">
        <f ca="1">DSUM($B$43:$X$55,U$43,$C$62:$D73)</f>
        <v>0.66120095300838844</v>
      </c>
      <c r="V73" s="36">
        <f ca="1">DSUM($B$43:$X$55,V$43,$C$62:$D73)</f>
        <v>0.6586801584240557</v>
      </c>
      <c r="W73" s="36">
        <f ca="1">DSUM($B$43:$X$55,W$43,$C$62:$D73)</f>
        <v>0.6582172174457297</v>
      </c>
      <c r="X73" s="36">
        <f ca="1">DSUM($B$43:$X$55,X$43,$C$62:$D73)</f>
        <v>0.66138072395901848</v>
      </c>
      <c r="Y73" s="36">
        <f ca="1">DSUM($B$43:$Y$55,Y$43,$C$62:$D73)</f>
        <v>10.583985386405809</v>
      </c>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2:80">
      <c r="B74" s="9" t="s">
        <v>107</v>
      </c>
      <c r="C74" s="53" t="s">
        <v>108</v>
      </c>
      <c r="D74" s="53" t="s">
        <v>109</v>
      </c>
      <c r="E74" s="36">
        <f ca="1">DSUM($B$43:$X$55,E$43,$C$62:$D74)</f>
        <v>9.387115825863962E-2</v>
      </c>
      <c r="F74" s="36">
        <f ca="1">DSUM($B$43:$X$55,F$43,$C$62:$D74)</f>
        <v>0.18079523358862604</v>
      </c>
      <c r="G74" s="36">
        <f ca="1">DSUM($B$43:$X$55,G$43,$C$62:$D74)</f>
        <v>0.259586355398081</v>
      </c>
      <c r="H74" s="36">
        <f ca="1">DSUM($B$43:$X$55,H$43,$C$62:$D74)</f>
        <v>0.33530957878429568</v>
      </c>
      <c r="I74" s="36">
        <f ca="1">DSUM($B$43:$X$55,I$43,$C$62:$D74)</f>
        <v>0.40553996659451425</v>
      </c>
      <c r="J74" s="36">
        <f ca="1">DSUM($B$43:$X$55,J$43,$C$62:$D74)</f>
        <v>0.45742912872155606</v>
      </c>
      <c r="K74" s="36">
        <f ca="1">DSUM($B$43:$X$55,K$43,$C$62:$D74)</f>
        <v>0.50099466763644551</v>
      </c>
      <c r="L74" s="36">
        <f ca="1">DSUM($B$43:$X$55,L$43,$C$62:$D74)</f>
        <v>0.54440190358088214</v>
      </c>
      <c r="M74" s="36">
        <f ca="1">DSUM($B$43:$X$55,M$43,$C$62:$D74)</f>
        <v>0.57672896782744887</v>
      </c>
      <c r="N74" s="36">
        <f ca="1">DSUM($B$43:$X$55,N$43,$C$62:$D74)</f>
        <v>0.61586967232060208</v>
      </c>
      <c r="O74" s="36">
        <f ca="1">DSUM($B$43:$X$55,O$43,$C$62:$D74)</f>
        <v>0.64216740431426722</v>
      </c>
      <c r="P74" s="36">
        <f ca="1">DSUM($B$43:$X$55,P$43,$C$62:$D74)</f>
        <v>0.65355696121258366</v>
      </c>
      <c r="Q74" s="36">
        <f ca="1">DSUM($B$43:$X$55,Q$43,$C$62:$D74)</f>
        <v>0.65386968361642051</v>
      </c>
      <c r="R74" s="36">
        <f ca="1">DSUM($B$43:$X$55,R$43,$C$62:$D74)</f>
        <v>0.66463064876654232</v>
      </c>
      <c r="S74" s="36">
        <f ca="1">DSUM($B$43:$X$55,S$43,$C$62:$D74)</f>
        <v>0.67861391089598999</v>
      </c>
      <c r="T74" s="36">
        <f ca="1">DSUM($B$43:$X$55,T$43,$C$62:$D74)</f>
        <v>0.6811410920517198</v>
      </c>
      <c r="U74" s="36">
        <f ca="1">DSUM($B$43:$X$55,U$43,$C$62:$D74)</f>
        <v>0.66120095300838844</v>
      </c>
      <c r="V74" s="36">
        <f ca="1">DSUM($B$43:$X$55,V$43,$C$62:$D74)</f>
        <v>0.6586801584240557</v>
      </c>
      <c r="W74" s="36">
        <f ca="1">DSUM($B$43:$X$55,W$43,$C$62:$D74)</f>
        <v>0.6582172174457297</v>
      </c>
      <c r="X74" s="36">
        <f ca="1">DSUM($B$43:$X$55,X$43,$C$62:$D74)</f>
        <v>0.66138072395901848</v>
      </c>
      <c r="Y74" s="36">
        <f ca="1">DSUM($B$43:$Y$55,Y$43,$C$62:$D74)</f>
        <v>10.583985386405809</v>
      </c>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2:80">
      <c r="B75" s="9" t="s">
        <v>110</v>
      </c>
      <c r="C75" s="53" t="s">
        <v>111</v>
      </c>
      <c r="D75" s="53" t="s">
        <v>112</v>
      </c>
      <c r="E75" s="36">
        <f ca="1">DSUM($B$43:$X$55,E$43,$C$62:$D75)</f>
        <v>9.387115825863962E-2</v>
      </c>
      <c r="F75" s="36">
        <f ca="1">DSUM($B$43:$X$55,F$43,$C$62:$D75)</f>
        <v>0.18079523358862604</v>
      </c>
      <c r="G75" s="36">
        <f ca="1">DSUM($B$43:$X$55,G$43,$C$62:$D75)</f>
        <v>0.259586355398081</v>
      </c>
      <c r="H75" s="36">
        <f ca="1">DSUM($B$43:$X$55,H$43,$C$62:$D75)</f>
        <v>0.33530957878429568</v>
      </c>
      <c r="I75" s="36">
        <f ca="1">DSUM($B$43:$X$55,I$43,$C$62:$D75)</f>
        <v>0.40553996659451425</v>
      </c>
      <c r="J75" s="36">
        <f ca="1">DSUM($B$43:$X$55,J$43,$C$62:$D75)</f>
        <v>0.45742912872155606</v>
      </c>
      <c r="K75" s="36">
        <f ca="1">DSUM($B$43:$X$55,K$43,$C$62:$D75)</f>
        <v>0.50099466763644551</v>
      </c>
      <c r="L75" s="36">
        <f ca="1">DSUM($B$43:$X$55,L$43,$C$62:$D75)</f>
        <v>0.54440190358088214</v>
      </c>
      <c r="M75" s="36">
        <f ca="1">DSUM($B$43:$X$55,M$43,$C$62:$D75)</f>
        <v>0.57672896782744887</v>
      </c>
      <c r="N75" s="36">
        <f ca="1">DSUM($B$43:$X$55,N$43,$C$62:$D75)</f>
        <v>0.61586967232060208</v>
      </c>
      <c r="O75" s="36">
        <f ca="1">DSUM($B$43:$X$55,O$43,$C$62:$D75)</f>
        <v>0.64216740431426722</v>
      </c>
      <c r="P75" s="36">
        <f ca="1">DSUM($B$43:$X$55,P$43,$C$62:$D75)</f>
        <v>0.65355696121258366</v>
      </c>
      <c r="Q75" s="36">
        <f ca="1">DSUM($B$43:$X$55,Q$43,$C$62:$D75)</f>
        <v>0.65386968361642051</v>
      </c>
      <c r="R75" s="36">
        <f ca="1">DSUM($B$43:$X$55,R$43,$C$62:$D75)</f>
        <v>0.66463064876654232</v>
      </c>
      <c r="S75" s="36">
        <f ca="1">DSUM($B$43:$X$55,S$43,$C$62:$D75)</f>
        <v>0.67861391089598999</v>
      </c>
      <c r="T75" s="36">
        <f ca="1">DSUM($B$43:$X$55,T$43,$C$62:$D75)</f>
        <v>0.6811410920517198</v>
      </c>
      <c r="U75" s="36">
        <f ca="1">DSUM($B$43:$X$55,U$43,$C$62:$D75)</f>
        <v>0.66120095300838844</v>
      </c>
      <c r="V75" s="36">
        <f ca="1">DSUM($B$43:$X$55,V$43,$C$62:$D75)</f>
        <v>0.6586801584240557</v>
      </c>
      <c r="W75" s="36">
        <f ca="1">DSUM($B$43:$X$55,W$43,$C$62:$D75)</f>
        <v>0.6582172174457297</v>
      </c>
      <c r="X75" s="36">
        <f ca="1">DSUM($B$43:$X$55,X$43,$C$62:$D75)</f>
        <v>0.66138072395901848</v>
      </c>
      <c r="Y75" s="36">
        <f ca="1">DSUM($B$43:$Y$55,Y$43,$C$62:$D75)</f>
        <v>10.583985386405809</v>
      </c>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2:80">
      <c r="B76" s="9" t="s">
        <v>113</v>
      </c>
      <c r="C76" s="53" t="s">
        <v>114</v>
      </c>
      <c r="D76" s="53" t="s">
        <v>115</v>
      </c>
      <c r="E76" s="36">
        <f ca="1">DSUM($B$43:$X$55,E$43,$C$62:$D76)</f>
        <v>9.387115825863962E-2</v>
      </c>
      <c r="F76" s="36">
        <f ca="1">DSUM($B$43:$X$55,F$43,$C$62:$D76)</f>
        <v>0.18079523358862604</v>
      </c>
      <c r="G76" s="36">
        <f ca="1">DSUM($B$43:$X$55,G$43,$C$62:$D76)</f>
        <v>0.259586355398081</v>
      </c>
      <c r="H76" s="36">
        <f ca="1">DSUM($B$43:$X$55,H$43,$C$62:$D76)</f>
        <v>0.33530957878429568</v>
      </c>
      <c r="I76" s="36">
        <f ca="1">DSUM($B$43:$X$55,I$43,$C$62:$D76)</f>
        <v>0.40553996659451425</v>
      </c>
      <c r="J76" s="36">
        <f ca="1">DSUM($B$43:$X$55,J$43,$C$62:$D76)</f>
        <v>0.45742912872155606</v>
      </c>
      <c r="K76" s="36">
        <f ca="1">DSUM($B$43:$X$55,K$43,$C$62:$D76)</f>
        <v>0.50099466763644551</v>
      </c>
      <c r="L76" s="36">
        <f ca="1">DSUM($B$43:$X$55,L$43,$C$62:$D76)</f>
        <v>0.54440190358088214</v>
      </c>
      <c r="M76" s="36">
        <f ca="1">DSUM($B$43:$X$55,M$43,$C$62:$D76)</f>
        <v>0.57672896782744887</v>
      </c>
      <c r="N76" s="36">
        <f ca="1">DSUM($B$43:$X$55,N$43,$C$62:$D76)</f>
        <v>0.61586967232060208</v>
      </c>
      <c r="O76" s="36">
        <f ca="1">DSUM($B$43:$X$55,O$43,$C$62:$D76)</f>
        <v>0.64216740431426722</v>
      </c>
      <c r="P76" s="36">
        <f ca="1">DSUM($B$43:$X$55,P$43,$C$62:$D76)</f>
        <v>0.65355696121258366</v>
      </c>
      <c r="Q76" s="36">
        <f ca="1">DSUM($B$43:$X$55,Q$43,$C$62:$D76)</f>
        <v>0.65386968361642051</v>
      </c>
      <c r="R76" s="36">
        <f ca="1">DSUM($B$43:$X$55,R$43,$C$62:$D76)</f>
        <v>0.66463064876654232</v>
      </c>
      <c r="S76" s="36">
        <f ca="1">DSUM($B$43:$X$55,S$43,$C$62:$D76)</f>
        <v>0.67861391089598999</v>
      </c>
      <c r="T76" s="36">
        <f ca="1">DSUM($B$43:$X$55,T$43,$C$62:$D76)</f>
        <v>0.6811410920517198</v>
      </c>
      <c r="U76" s="36">
        <f ca="1">DSUM($B$43:$X$55,U$43,$C$62:$D76)</f>
        <v>0.66120095300838844</v>
      </c>
      <c r="V76" s="36">
        <f ca="1">DSUM($B$43:$X$55,V$43,$C$62:$D76)</f>
        <v>0.6586801584240557</v>
      </c>
      <c r="W76" s="36">
        <f ca="1">DSUM($B$43:$X$55,W$43,$C$62:$D76)</f>
        <v>0.6582172174457297</v>
      </c>
      <c r="X76" s="36">
        <f ca="1">DSUM($B$43:$X$55,X$43,$C$62:$D76)</f>
        <v>0.66138072395901848</v>
      </c>
      <c r="Y76" s="36">
        <f ca="1">DSUM($B$43:$Y$55,Y$43,$C$62:$D76)</f>
        <v>10.583985386405809</v>
      </c>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2:80">
      <c r="B77" s="9" t="s">
        <v>116</v>
      </c>
      <c r="C77" s="53" t="s">
        <v>117</v>
      </c>
      <c r="D77" s="53" t="s">
        <v>118</v>
      </c>
      <c r="E77" s="36">
        <f ca="1">DSUM($B$43:$X$55,E$43,$C$62:$D77)</f>
        <v>9.387115825863962E-2</v>
      </c>
      <c r="F77" s="36">
        <f ca="1">DSUM($B$43:$X$55,F$43,$C$62:$D77)</f>
        <v>0.18079523358862604</v>
      </c>
      <c r="G77" s="36">
        <f ca="1">DSUM($B$43:$X$55,G$43,$C$62:$D77)</f>
        <v>0.259586355398081</v>
      </c>
      <c r="H77" s="36">
        <f ca="1">DSUM($B$43:$X$55,H$43,$C$62:$D77)</f>
        <v>0.33530957878429568</v>
      </c>
      <c r="I77" s="36">
        <f ca="1">DSUM($B$43:$X$55,I$43,$C$62:$D77)</f>
        <v>0.40553996659451425</v>
      </c>
      <c r="J77" s="36">
        <f ca="1">DSUM($B$43:$X$55,J$43,$C$62:$D77)</f>
        <v>0.45742912872155606</v>
      </c>
      <c r="K77" s="36">
        <f ca="1">DSUM($B$43:$X$55,K$43,$C$62:$D77)</f>
        <v>0.50099466763644551</v>
      </c>
      <c r="L77" s="36">
        <f ca="1">DSUM($B$43:$X$55,L$43,$C$62:$D77)</f>
        <v>0.54440190358088214</v>
      </c>
      <c r="M77" s="36">
        <f ca="1">DSUM($B$43:$X$55,M$43,$C$62:$D77)</f>
        <v>0.57672896782744887</v>
      </c>
      <c r="N77" s="36">
        <f ca="1">DSUM($B$43:$X$55,N$43,$C$62:$D77)</f>
        <v>0.61586967232060208</v>
      </c>
      <c r="O77" s="36">
        <f ca="1">DSUM($B$43:$X$55,O$43,$C$62:$D77)</f>
        <v>0.64216740431426722</v>
      </c>
      <c r="P77" s="36">
        <f ca="1">DSUM($B$43:$X$55,P$43,$C$62:$D77)</f>
        <v>0.65355696121258366</v>
      </c>
      <c r="Q77" s="36">
        <f ca="1">DSUM($B$43:$X$55,Q$43,$C$62:$D77)</f>
        <v>0.65386968361642051</v>
      </c>
      <c r="R77" s="36">
        <f ca="1">DSUM($B$43:$X$55,R$43,$C$62:$D77)</f>
        <v>0.66463064876654232</v>
      </c>
      <c r="S77" s="36">
        <f ca="1">DSUM($B$43:$X$55,S$43,$C$62:$D77)</f>
        <v>0.67861391089598999</v>
      </c>
      <c r="T77" s="36">
        <f ca="1">DSUM($B$43:$X$55,T$43,$C$62:$D77)</f>
        <v>0.6811410920517198</v>
      </c>
      <c r="U77" s="36">
        <f ca="1">DSUM($B$43:$X$55,U$43,$C$62:$D77)</f>
        <v>0.66120095300838844</v>
      </c>
      <c r="V77" s="36">
        <f ca="1">DSUM($B$43:$X$55,V$43,$C$62:$D77)</f>
        <v>0.6586801584240557</v>
      </c>
      <c r="W77" s="36">
        <f ca="1">DSUM($B$43:$X$55,W$43,$C$62:$D77)</f>
        <v>0.6582172174457297</v>
      </c>
      <c r="X77" s="36">
        <f ca="1">DSUM($B$43:$X$55,X$43,$C$62:$D77)</f>
        <v>0.66138072395901848</v>
      </c>
      <c r="Y77" s="36">
        <f ca="1">DSUM($B$43:$Y$55,Y$43,$C$62:$D77)</f>
        <v>10.583985386405809</v>
      </c>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row>
    <row r="78" spans="2:80">
      <c r="B78" s="9" t="s">
        <v>119</v>
      </c>
      <c r="C78" s="53" t="s">
        <v>120</v>
      </c>
      <c r="D78" s="53" t="s">
        <v>121</v>
      </c>
      <c r="E78" s="36">
        <f ca="1">DSUM($B$43:$X$55,E$43,$C$62:$D78)</f>
        <v>9.387115825863962E-2</v>
      </c>
      <c r="F78" s="36">
        <f ca="1">DSUM($B$43:$X$55,F$43,$C$62:$D78)</f>
        <v>0.18079523358862604</v>
      </c>
      <c r="G78" s="36">
        <f ca="1">DSUM($B$43:$X$55,G$43,$C$62:$D78)</f>
        <v>0.259586355398081</v>
      </c>
      <c r="H78" s="36">
        <f ca="1">DSUM($B$43:$X$55,H$43,$C$62:$D78)</f>
        <v>0.33530957878429568</v>
      </c>
      <c r="I78" s="36">
        <f ca="1">DSUM($B$43:$X$55,I$43,$C$62:$D78)</f>
        <v>0.40553996659451425</v>
      </c>
      <c r="J78" s="36">
        <f ca="1">DSUM($B$43:$X$55,J$43,$C$62:$D78)</f>
        <v>0.45742912872155606</v>
      </c>
      <c r="K78" s="36">
        <f ca="1">DSUM($B$43:$X$55,K$43,$C$62:$D78)</f>
        <v>0.50099466763644551</v>
      </c>
      <c r="L78" s="36">
        <f ca="1">DSUM($B$43:$X$55,L$43,$C$62:$D78)</f>
        <v>0.54440190358088214</v>
      </c>
      <c r="M78" s="36">
        <f ca="1">DSUM($B$43:$X$55,M$43,$C$62:$D78)</f>
        <v>0.57672896782744887</v>
      </c>
      <c r="N78" s="36">
        <f ca="1">DSUM($B$43:$X$55,N$43,$C$62:$D78)</f>
        <v>0.61586967232060208</v>
      </c>
      <c r="O78" s="36">
        <f ca="1">DSUM($B$43:$X$55,O$43,$C$62:$D78)</f>
        <v>0.64216740431426722</v>
      </c>
      <c r="P78" s="36">
        <f ca="1">DSUM($B$43:$X$55,P$43,$C$62:$D78)</f>
        <v>0.65355696121258366</v>
      </c>
      <c r="Q78" s="36">
        <f ca="1">DSUM($B$43:$X$55,Q$43,$C$62:$D78)</f>
        <v>0.65386968361642051</v>
      </c>
      <c r="R78" s="36">
        <f ca="1">DSUM($B$43:$X$55,R$43,$C$62:$D78)</f>
        <v>0.66463064876654232</v>
      </c>
      <c r="S78" s="36">
        <f ca="1">DSUM($B$43:$X$55,S$43,$C$62:$D78)</f>
        <v>0.67861391089598999</v>
      </c>
      <c r="T78" s="36">
        <f ca="1">DSUM($B$43:$X$55,T$43,$C$62:$D78)</f>
        <v>0.6811410920517198</v>
      </c>
      <c r="U78" s="36">
        <f ca="1">DSUM($B$43:$X$55,U$43,$C$62:$D78)</f>
        <v>0.66120095300838844</v>
      </c>
      <c r="V78" s="36">
        <f ca="1">DSUM($B$43:$X$55,V$43,$C$62:$D78)</f>
        <v>0.6586801584240557</v>
      </c>
      <c r="W78" s="36">
        <f ca="1">DSUM($B$43:$X$55,W$43,$C$62:$D78)</f>
        <v>0.6582172174457297</v>
      </c>
      <c r="X78" s="36">
        <f ca="1">DSUM($B$43:$X$55,X$43,$C$62:$D78)</f>
        <v>0.66138072395901848</v>
      </c>
      <c r="Y78" s="36">
        <f ca="1">DSUM($B$43:$Y$55,Y$43,$C$62:$D78)</f>
        <v>10.583985386405809</v>
      </c>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row>
    <row r="79" spans="2:80">
      <c r="B79" s="9" t="s">
        <v>122</v>
      </c>
      <c r="C79" s="53" t="s">
        <v>123</v>
      </c>
      <c r="D79" s="53" t="s">
        <v>124</v>
      </c>
      <c r="E79" s="36">
        <f ca="1">DSUM($B$43:$X$55,E$43,$C$62:$D79)</f>
        <v>9.387115825863962E-2</v>
      </c>
      <c r="F79" s="36">
        <f ca="1">DSUM($B$43:$X$55,F$43,$C$62:$D79)</f>
        <v>0.18079523358862604</v>
      </c>
      <c r="G79" s="36">
        <f ca="1">DSUM($B$43:$X$55,G$43,$C$62:$D79)</f>
        <v>0.259586355398081</v>
      </c>
      <c r="H79" s="36">
        <f ca="1">DSUM($B$43:$X$55,H$43,$C$62:$D79)</f>
        <v>0.33530957878429568</v>
      </c>
      <c r="I79" s="36">
        <f ca="1">DSUM($B$43:$X$55,I$43,$C$62:$D79)</f>
        <v>0.40553996659451425</v>
      </c>
      <c r="J79" s="36">
        <f ca="1">DSUM($B$43:$X$55,J$43,$C$62:$D79)</f>
        <v>0.45742912872155606</v>
      </c>
      <c r="K79" s="36">
        <f ca="1">DSUM($B$43:$X$55,K$43,$C$62:$D79)</f>
        <v>0.50099466763644551</v>
      </c>
      <c r="L79" s="36">
        <f ca="1">DSUM($B$43:$X$55,L$43,$C$62:$D79)</f>
        <v>0.54440190358088214</v>
      </c>
      <c r="M79" s="36">
        <f ca="1">DSUM($B$43:$X$55,M$43,$C$62:$D79)</f>
        <v>0.57672896782744887</v>
      </c>
      <c r="N79" s="36">
        <f ca="1">DSUM($B$43:$X$55,N$43,$C$62:$D79)</f>
        <v>0.61586967232060208</v>
      </c>
      <c r="O79" s="36">
        <f ca="1">DSUM($B$43:$X$55,O$43,$C$62:$D79)</f>
        <v>0.64216740431426722</v>
      </c>
      <c r="P79" s="36">
        <f ca="1">DSUM($B$43:$X$55,P$43,$C$62:$D79)</f>
        <v>0.65355696121258366</v>
      </c>
      <c r="Q79" s="36">
        <f ca="1">DSUM($B$43:$X$55,Q$43,$C$62:$D79)</f>
        <v>0.65386968361642051</v>
      </c>
      <c r="R79" s="36">
        <f ca="1">DSUM($B$43:$X$55,R$43,$C$62:$D79)</f>
        <v>0.66463064876654232</v>
      </c>
      <c r="S79" s="36">
        <f ca="1">DSUM($B$43:$X$55,S$43,$C$62:$D79)</f>
        <v>0.67861391089598999</v>
      </c>
      <c r="T79" s="36">
        <f ca="1">DSUM($B$43:$X$55,T$43,$C$62:$D79)</f>
        <v>0.6811410920517198</v>
      </c>
      <c r="U79" s="36">
        <f ca="1">DSUM($B$43:$X$55,U$43,$C$62:$D79)</f>
        <v>0.66120095300838844</v>
      </c>
      <c r="V79" s="36">
        <f ca="1">DSUM($B$43:$X$55,V$43,$C$62:$D79)</f>
        <v>0.6586801584240557</v>
      </c>
      <c r="W79" s="36">
        <f ca="1">DSUM($B$43:$X$55,W$43,$C$62:$D79)</f>
        <v>0.6582172174457297</v>
      </c>
      <c r="X79" s="36">
        <f ca="1">DSUM($B$43:$X$55,X$43,$C$62:$D79)</f>
        <v>0.66138072395901848</v>
      </c>
      <c r="Y79" s="36">
        <f ca="1">DSUM($B$43:$Y$55,Y$43,$C$62:$D79)</f>
        <v>10.583985386405809</v>
      </c>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2:80">
      <c r="B80" s="9" t="s">
        <v>125</v>
      </c>
      <c r="C80" s="53" t="s">
        <v>126</v>
      </c>
      <c r="D80" s="53" t="s">
        <v>127</v>
      </c>
      <c r="E80" s="36">
        <f ca="1">DSUM($B$43:$X$55,E$43,$C$62:$D80)</f>
        <v>9.387115825863962E-2</v>
      </c>
      <c r="F80" s="36">
        <f ca="1">DSUM($B$43:$X$55,F$43,$C$62:$D80)</f>
        <v>0.18079523358862604</v>
      </c>
      <c r="G80" s="36">
        <f ca="1">DSUM($B$43:$X$55,G$43,$C$62:$D80)</f>
        <v>0.259586355398081</v>
      </c>
      <c r="H80" s="36">
        <f ca="1">DSUM($B$43:$X$55,H$43,$C$62:$D80)</f>
        <v>0.33530957878429568</v>
      </c>
      <c r="I80" s="36">
        <f ca="1">DSUM($B$43:$X$55,I$43,$C$62:$D80)</f>
        <v>0.40553996659451425</v>
      </c>
      <c r="J80" s="36">
        <f ca="1">DSUM($B$43:$X$55,J$43,$C$62:$D80)</f>
        <v>0.45742912872155606</v>
      </c>
      <c r="K80" s="36">
        <f ca="1">DSUM($B$43:$X$55,K$43,$C$62:$D80)</f>
        <v>0.50099466763644551</v>
      </c>
      <c r="L80" s="36">
        <f ca="1">DSUM($B$43:$X$55,L$43,$C$62:$D80)</f>
        <v>0.54440190358088214</v>
      </c>
      <c r="M80" s="36">
        <f ca="1">DSUM($B$43:$X$55,M$43,$C$62:$D80)</f>
        <v>0.57672896782744887</v>
      </c>
      <c r="N80" s="36">
        <f ca="1">DSUM($B$43:$X$55,N$43,$C$62:$D80)</f>
        <v>0.61586967232060208</v>
      </c>
      <c r="O80" s="36">
        <f ca="1">DSUM($B$43:$X$55,O$43,$C$62:$D80)</f>
        <v>0.64216740431426722</v>
      </c>
      <c r="P80" s="36">
        <f ca="1">DSUM($B$43:$X$55,P$43,$C$62:$D80)</f>
        <v>0.65355696121258366</v>
      </c>
      <c r="Q80" s="36">
        <f ca="1">DSUM($B$43:$X$55,Q$43,$C$62:$D80)</f>
        <v>0.65386968361642051</v>
      </c>
      <c r="R80" s="36">
        <f ca="1">DSUM($B$43:$X$55,R$43,$C$62:$D80)</f>
        <v>0.66463064876654232</v>
      </c>
      <c r="S80" s="36">
        <f ca="1">DSUM($B$43:$X$55,S$43,$C$62:$D80)</f>
        <v>0.67861391089598999</v>
      </c>
      <c r="T80" s="36">
        <f ca="1">DSUM($B$43:$X$55,T$43,$C$62:$D80)</f>
        <v>0.6811410920517198</v>
      </c>
      <c r="U80" s="36">
        <f ca="1">DSUM($B$43:$X$55,U$43,$C$62:$D80)</f>
        <v>0.66120095300838844</v>
      </c>
      <c r="V80" s="36">
        <f ca="1">DSUM($B$43:$X$55,V$43,$C$62:$D80)</f>
        <v>0.6586801584240557</v>
      </c>
      <c r="W80" s="36">
        <f ca="1">DSUM($B$43:$X$55,W$43,$C$62:$D80)</f>
        <v>0.6582172174457297</v>
      </c>
      <c r="X80" s="36">
        <f ca="1">DSUM($B$43:$X$55,X$43,$C$62:$D80)</f>
        <v>0.66138072395901848</v>
      </c>
      <c r="Y80" s="36">
        <f ca="1">DSUM($B$43:$Y$55,Y$43,$C$62:$D80)</f>
        <v>10.583985386405809</v>
      </c>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row>
    <row r="81" spans="1:80">
      <c r="B81" s="9" t="s">
        <v>128</v>
      </c>
      <c r="C81" s="53" t="s">
        <v>129</v>
      </c>
      <c r="D81" s="53" t="s">
        <v>130</v>
      </c>
      <c r="E81" s="36">
        <f ca="1">DSUM($B$43:$X$55,E$43,$C$62:$D81)</f>
        <v>9.387115825863962E-2</v>
      </c>
      <c r="F81" s="36">
        <f ca="1">DSUM($B$43:$X$55,F$43,$C$62:$D81)</f>
        <v>0.18079523358862604</v>
      </c>
      <c r="G81" s="36">
        <f ca="1">DSUM($B$43:$X$55,G$43,$C$62:$D81)</f>
        <v>0.259586355398081</v>
      </c>
      <c r="H81" s="36">
        <f ca="1">DSUM($B$43:$X$55,H$43,$C$62:$D81)</f>
        <v>0.33530957878429568</v>
      </c>
      <c r="I81" s="36">
        <f ca="1">DSUM($B$43:$X$55,I$43,$C$62:$D81)</f>
        <v>0.40553996659451425</v>
      </c>
      <c r="J81" s="36">
        <f ca="1">DSUM($B$43:$X$55,J$43,$C$62:$D81)</f>
        <v>0.45742912872155606</v>
      </c>
      <c r="K81" s="36">
        <f ca="1">DSUM($B$43:$X$55,K$43,$C$62:$D81)</f>
        <v>0.50099466763644551</v>
      </c>
      <c r="L81" s="36">
        <f ca="1">DSUM($B$43:$X$55,L$43,$C$62:$D81)</f>
        <v>0.54440190358088214</v>
      </c>
      <c r="M81" s="36">
        <f ca="1">DSUM($B$43:$X$55,M$43,$C$62:$D81)</f>
        <v>0.57672896782744887</v>
      </c>
      <c r="N81" s="36">
        <f ca="1">DSUM($B$43:$X$55,N$43,$C$62:$D81)</f>
        <v>0.61586967232060208</v>
      </c>
      <c r="O81" s="36">
        <f ca="1">DSUM($B$43:$X$55,O$43,$C$62:$D81)</f>
        <v>0.64216740431426722</v>
      </c>
      <c r="P81" s="36">
        <f ca="1">DSUM($B$43:$X$55,P$43,$C$62:$D81)</f>
        <v>0.65355696121258366</v>
      </c>
      <c r="Q81" s="36">
        <f ca="1">DSUM($B$43:$X$55,Q$43,$C$62:$D81)</f>
        <v>0.65386968361642051</v>
      </c>
      <c r="R81" s="36">
        <f ca="1">DSUM($B$43:$X$55,R$43,$C$62:$D81)</f>
        <v>0.66463064876654232</v>
      </c>
      <c r="S81" s="36">
        <f ca="1">DSUM($B$43:$X$55,S$43,$C$62:$D81)</f>
        <v>0.67861391089598999</v>
      </c>
      <c r="T81" s="36">
        <f ca="1">DSUM($B$43:$X$55,T$43,$C$62:$D81)</f>
        <v>0.6811410920517198</v>
      </c>
      <c r="U81" s="36">
        <f ca="1">DSUM($B$43:$X$55,U$43,$C$62:$D81)</f>
        <v>0.66120095300838844</v>
      </c>
      <c r="V81" s="36">
        <f ca="1">DSUM($B$43:$X$55,V$43,$C$62:$D81)</f>
        <v>0.6586801584240557</v>
      </c>
      <c r="W81" s="36">
        <f ca="1">DSUM($B$43:$X$55,W$43,$C$62:$D81)</f>
        <v>0.6582172174457297</v>
      </c>
      <c r="X81" s="36">
        <f ca="1">DSUM($B$43:$X$55,X$43,$C$62:$D81)</f>
        <v>0.66138072395901848</v>
      </c>
      <c r="Y81" s="36">
        <f ca="1">DSUM($B$43:$Y$55,Y$43,$C$62:$D81)</f>
        <v>10.583985386405809</v>
      </c>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row>
    <row r="82" spans="1:80">
      <c r="B82" s="9" t="s">
        <v>131</v>
      </c>
      <c r="C82" s="53" t="s">
        <v>132</v>
      </c>
      <c r="D82" s="53" t="s">
        <v>133</v>
      </c>
      <c r="E82" s="36">
        <f ca="1">DSUM($B$43:$X$55,E$43,$C$62:$D82)</f>
        <v>9.387115825863962E-2</v>
      </c>
      <c r="F82" s="36">
        <f ca="1">DSUM($B$43:$X$55,F$43,$C$62:$D82)</f>
        <v>0.18079523358862604</v>
      </c>
      <c r="G82" s="36">
        <f ca="1">DSUM($B$43:$X$55,G$43,$C$62:$D82)</f>
        <v>0.259586355398081</v>
      </c>
      <c r="H82" s="36">
        <f ca="1">DSUM($B$43:$X$55,H$43,$C$62:$D82)</f>
        <v>0.33530957878429568</v>
      </c>
      <c r="I82" s="36">
        <f ca="1">DSUM($B$43:$X$55,I$43,$C$62:$D82)</f>
        <v>0.40553996659451425</v>
      </c>
      <c r="J82" s="36">
        <f ca="1">DSUM($B$43:$X$55,J$43,$C$62:$D82)</f>
        <v>0.45742912872155606</v>
      </c>
      <c r="K82" s="36">
        <f ca="1">DSUM($B$43:$X$55,K$43,$C$62:$D82)</f>
        <v>0.50099466763644551</v>
      </c>
      <c r="L82" s="36">
        <f ca="1">DSUM($B$43:$X$55,L$43,$C$62:$D82)</f>
        <v>0.54440190358088214</v>
      </c>
      <c r="M82" s="36">
        <f ca="1">DSUM($B$43:$X$55,M$43,$C$62:$D82)</f>
        <v>0.57672896782744887</v>
      </c>
      <c r="N82" s="36">
        <f ca="1">DSUM($B$43:$X$55,N$43,$C$62:$D82)</f>
        <v>0.61586967232060208</v>
      </c>
      <c r="O82" s="36">
        <f ca="1">DSUM($B$43:$X$55,O$43,$C$62:$D82)</f>
        <v>0.64216740431426722</v>
      </c>
      <c r="P82" s="36">
        <f ca="1">DSUM($B$43:$X$55,P$43,$C$62:$D82)</f>
        <v>0.65355696121258366</v>
      </c>
      <c r="Q82" s="36">
        <f ca="1">DSUM($B$43:$X$55,Q$43,$C$62:$D82)</f>
        <v>0.65386968361642051</v>
      </c>
      <c r="R82" s="36">
        <f ca="1">DSUM($B$43:$X$55,R$43,$C$62:$D82)</f>
        <v>0.66463064876654232</v>
      </c>
      <c r="S82" s="36">
        <f ca="1">DSUM($B$43:$X$55,S$43,$C$62:$D82)</f>
        <v>0.67861391089598999</v>
      </c>
      <c r="T82" s="36">
        <f ca="1">DSUM($B$43:$X$55,T$43,$C$62:$D82)</f>
        <v>0.6811410920517198</v>
      </c>
      <c r="U82" s="36">
        <f ca="1">DSUM($B$43:$X$55,U$43,$C$62:$D82)</f>
        <v>0.66120095300838844</v>
      </c>
      <c r="V82" s="36">
        <f ca="1">DSUM($B$43:$X$55,V$43,$C$62:$D82)</f>
        <v>0.6586801584240557</v>
      </c>
      <c r="W82" s="36">
        <f ca="1">DSUM($B$43:$X$55,W$43,$C$62:$D82)</f>
        <v>0.6582172174457297</v>
      </c>
      <c r="X82" s="36">
        <f ca="1">DSUM($B$43:$X$55,X$43,$C$62:$D82)</f>
        <v>0.66138072395901848</v>
      </c>
      <c r="Y82" s="36">
        <f ca="1">DSUM($B$43:$Y$55,Y$43,$C$62:$D82)</f>
        <v>10.583985386405809</v>
      </c>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row>
    <row r="83" spans="1:80">
      <c r="B83" s="9" t="s">
        <v>134</v>
      </c>
      <c r="C83" s="53" t="s">
        <v>135</v>
      </c>
      <c r="D83" s="53" t="s">
        <v>136</v>
      </c>
      <c r="E83" s="36">
        <f ca="1">DSUM($B$43:$X$55,E$43,$C$62:$D83)</f>
        <v>9.387115825863962E-2</v>
      </c>
      <c r="F83" s="36">
        <f ca="1">DSUM($B$43:$X$55,F$43,$C$62:$D83)</f>
        <v>0.18079523358862604</v>
      </c>
      <c r="G83" s="36">
        <f ca="1">DSUM($B$43:$X$55,G$43,$C$62:$D83)</f>
        <v>0.259586355398081</v>
      </c>
      <c r="H83" s="36">
        <f ca="1">DSUM($B$43:$X$55,H$43,$C$62:$D83)</f>
        <v>0.33530957878429568</v>
      </c>
      <c r="I83" s="36">
        <f ca="1">DSUM($B$43:$X$55,I$43,$C$62:$D83)</f>
        <v>0.40553996659451425</v>
      </c>
      <c r="J83" s="36">
        <f ca="1">DSUM($B$43:$X$55,J$43,$C$62:$D83)</f>
        <v>0.45742912872155606</v>
      </c>
      <c r="K83" s="36">
        <f ca="1">DSUM($B$43:$X$55,K$43,$C$62:$D83)</f>
        <v>0.50099466763644551</v>
      </c>
      <c r="L83" s="36">
        <f ca="1">DSUM($B$43:$X$55,L$43,$C$62:$D83)</f>
        <v>0.54440190358088214</v>
      </c>
      <c r="M83" s="36">
        <f ca="1">DSUM($B$43:$X$55,M$43,$C$62:$D83)</f>
        <v>0.57672896782744887</v>
      </c>
      <c r="N83" s="36">
        <f ca="1">DSUM($B$43:$X$55,N$43,$C$62:$D83)</f>
        <v>0.61586967232060208</v>
      </c>
      <c r="O83" s="36">
        <f ca="1">DSUM($B$43:$X$55,O$43,$C$62:$D83)</f>
        <v>0.64216740431426722</v>
      </c>
      <c r="P83" s="36">
        <f ca="1">DSUM($B$43:$X$55,P$43,$C$62:$D83)</f>
        <v>0.65355696121258366</v>
      </c>
      <c r="Q83" s="36">
        <f ca="1">DSUM($B$43:$X$55,Q$43,$C$62:$D83)</f>
        <v>0.65386968361642051</v>
      </c>
      <c r="R83" s="36">
        <f ca="1">DSUM($B$43:$X$55,R$43,$C$62:$D83)</f>
        <v>0.66463064876654232</v>
      </c>
      <c r="S83" s="36">
        <f ca="1">DSUM($B$43:$X$55,S$43,$C$62:$D83)</f>
        <v>0.67861391089598999</v>
      </c>
      <c r="T83" s="36">
        <f ca="1">DSUM($B$43:$X$55,T$43,$C$62:$D83)</f>
        <v>0.6811410920517198</v>
      </c>
      <c r="U83" s="36">
        <f ca="1">DSUM($B$43:$X$55,U$43,$C$62:$D83)</f>
        <v>0.66120095300838844</v>
      </c>
      <c r="V83" s="36">
        <f ca="1">DSUM($B$43:$X$55,V$43,$C$62:$D83)</f>
        <v>0.6586801584240557</v>
      </c>
      <c r="W83" s="36">
        <f ca="1">DSUM($B$43:$X$55,W$43,$C$62:$D83)</f>
        <v>0.6582172174457297</v>
      </c>
      <c r="X83" s="36">
        <f ca="1">DSUM($B$43:$X$55,X$43,$C$62:$D83)</f>
        <v>0.66138072395901848</v>
      </c>
      <c r="Y83" s="36">
        <f ca="1">DSUM($B$43:$Y$55,Y$43,$C$62:$D83)</f>
        <v>10.583985386405809</v>
      </c>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row>
    <row r="84" spans="1:80">
      <c r="B84" s="9" t="s">
        <v>1167</v>
      </c>
      <c r="C84" s="53" t="s">
        <v>137</v>
      </c>
      <c r="D84" s="53" t="s">
        <v>1178</v>
      </c>
      <c r="E84" s="36">
        <f ca="1">DSUM($B$43:$X$55,E$43,$C$62:$D84)</f>
        <v>9.387115825863962E-2</v>
      </c>
      <c r="F84" s="36">
        <f ca="1">DSUM($B$43:$X$55,F$43,$C$62:$D84)</f>
        <v>0.18079523358862604</v>
      </c>
      <c r="G84" s="36">
        <f ca="1">DSUM($B$43:$X$55,G$43,$C$62:$D84)</f>
        <v>0.259586355398081</v>
      </c>
      <c r="H84" s="36">
        <f ca="1">DSUM($B$43:$X$55,H$43,$C$62:$D84)</f>
        <v>0.33530957878429568</v>
      </c>
      <c r="I84" s="36">
        <f ca="1">DSUM($B$43:$X$55,I$43,$C$62:$D84)</f>
        <v>0.40553996659451425</v>
      </c>
      <c r="J84" s="36">
        <f ca="1">DSUM($B$43:$X$55,J$43,$C$62:$D84)</f>
        <v>0.45742912872155606</v>
      </c>
      <c r="K84" s="36">
        <f ca="1">DSUM($B$43:$X$55,K$43,$C$62:$D84)</f>
        <v>0.50099466763644551</v>
      </c>
      <c r="L84" s="36">
        <f ca="1">DSUM($B$43:$X$55,L$43,$C$62:$D84)</f>
        <v>0.54440190358088214</v>
      </c>
      <c r="M84" s="36">
        <f ca="1">DSUM($B$43:$X$55,M$43,$C$62:$D84)</f>
        <v>0.57672896782744887</v>
      </c>
      <c r="N84" s="36">
        <f ca="1">DSUM($B$43:$X$55,N$43,$C$62:$D84)</f>
        <v>0.61586967232060208</v>
      </c>
      <c r="O84" s="36">
        <f ca="1">DSUM($B$43:$X$55,O$43,$C$62:$D84)</f>
        <v>0.64216740431426722</v>
      </c>
      <c r="P84" s="36">
        <f ca="1">DSUM($B$43:$X$55,P$43,$C$62:$D84)</f>
        <v>0.65355696121258366</v>
      </c>
      <c r="Q84" s="36">
        <f ca="1">DSUM($B$43:$X$55,Q$43,$C$62:$D84)</f>
        <v>0.65386968361642051</v>
      </c>
      <c r="R84" s="36">
        <f ca="1">DSUM($B$43:$X$55,R$43,$C$62:$D84)</f>
        <v>0.66463064876654232</v>
      </c>
      <c r="S84" s="36">
        <f ca="1">DSUM($B$43:$X$55,S$43,$C$62:$D84)</f>
        <v>0.67861391089598999</v>
      </c>
      <c r="T84" s="36">
        <f ca="1">DSUM($B$43:$X$55,T$43,$C$62:$D84)</f>
        <v>0.6811410920517198</v>
      </c>
      <c r="U84" s="36">
        <f ca="1">DSUM($B$43:$X$55,U$43,$C$62:$D84)</f>
        <v>0.66120095300838844</v>
      </c>
      <c r="V84" s="36">
        <f ca="1">DSUM($B$43:$X$55,V$43,$C$62:$D84)</f>
        <v>0.6586801584240557</v>
      </c>
      <c r="W84" s="36">
        <f ca="1">DSUM($B$43:$X$55,W$43,$C$62:$D84)</f>
        <v>0.6582172174457297</v>
      </c>
      <c r="X84" s="36">
        <f ca="1">DSUM($B$43:$X$55,X$43,$C$62:$D84)</f>
        <v>0.66138072395901848</v>
      </c>
      <c r="Y84" s="36">
        <f ca="1">DSUM($B$43:$Y$55,Y$43,$C$62:$D84)</f>
        <v>10.583985386405809</v>
      </c>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c r="B85" s="9" t="s">
        <v>1168</v>
      </c>
      <c r="C85" s="53" t="s">
        <v>1179</v>
      </c>
      <c r="D85" s="53" t="s">
        <v>1180</v>
      </c>
      <c r="E85" s="36">
        <f ca="1">DSUM($B$43:$X$55,E$43,$C$62:$D85)</f>
        <v>9.387115825863962E-2</v>
      </c>
      <c r="F85" s="36">
        <f ca="1">DSUM($B$43:$X$55,F$43,$C$62:$D85)</f>
        <v>0.18079523358862604</v>
      </c>
      <c r="G85" s="36">
        <f ca="1">DSUM($B$43:$X$55,G$43,$C$62:$D85)</f>
        <v>0.259586355398081</v>
      </c>
      <c r="H85" s="36">
        <f ca="1">DSUM($B$43:$X$55,H$43,$C$62:$D85)</f>
        <v>0.33530957878429568</v>
      </c>
      <c r="I85" s="36">
        <f ca="1">DSUM($B$43:$X$55,I$43,$C$62:$D85)</f>
        <v>0.40553996659451425</v>
      </c>
      <c r="J85" s="36">
        <f ca="1">DSUM($B$43:$X$55,J$43,$C$62:$D85)</f>
        <v>0.45742912872155606</v>
      </c>
      <c r="K85" s="36">
        <f ca="1">DSUM($B$43:$X$55,K$43,$C$62:$D85)</f>
        <v>0.50099466763644551</v>
      </c>
      <c r="L85" s="36">
        <f ca="1">DSUM($B$43:$X$55,L$43,$C$62:$D85)</f>
        <v>0.54440190358088214</v>
      </c>
      <c r="M85" s="36">
        <f ca="1">DSUM($B$43:$X$55,M$43,$C$62:$D85)</f>
        <v>0.57672896782744887</v>
      </c>
      <c r="N85" s="36">
        <f ca="1">DSUM($B$43:$X$55,N$43,$C$62:$D85)</f>
        <v>0.61586967232060208</v>
      </c>
      <c r="O85" s="36">
        <f ca="1">DSUM($B$43:$X$55,O$43,$C$62:$D85)</f>
        <v>0.64216740431426722</v>
      </c>
      <c r="P85" s="36">
        <f ca="1">DSUM($B$43:$X$55,P$43,$C$62:$D85)</f>
        <v>0.65355696121258366</v>
      </c>
      <c r="Q85" s="36">
        <f ca="1">DSUM($B$43:$X$55,Q$43,$C$62:$D85)</f>
        <v>0.65386968361642051</v>
      </c>
      <c r="R85" s="36">
        <f ca="1">DSUM($B$43:$X$55,R$43,$C$62:$D85)</f>
        <v>0.66463064876654232</v>
      </c>
      <c r="S85" s="36">
        <f ca="1">DSUM($B$43:$X$55,S$43,$C$62:$D85)</f>
        <v>0.67861391089598999</v>
      </c>
      <c r="T85" s="36">
        <f ca="1">DSUM($B$43:$X$55,T$43,$C$62:$D85)</f>
        <v>0.6811410920517198</v>
      </c>
      <c r="U85" s="36">
        <f ca="1">DSUM($B$43:$X$55,U$43,$C$62:$D85)</f>
        <v>0.66120095300838844</v>
      </c>
      <c r="V85" s="36">
        <f ca="1">DSUM($B$43:$X$55,V$43,$C$62:$D85)</f>
        <v>0.6586801584240557</v>
      </c>
      <c r="W85" s="36">
        <f ca="1">DSUM($B$43:$X$55,W$43,$C$62:$D85)</f>
        <v>0.6582172174457297</v>
      </c>
      <c r="X85" s="36">
        <f ca="1">DSUM($B$43:$X$55,X$43,$C$62:$D85)</f>
        <v>0.66138072395901848</v>
      </c>
      <c r="Y85" s="36">
        <f ca="1">DSUM($B$43:$Y$55,Y$43,$C$62:$D85)</f>
        <v>10.583985386405809</v>
      </c>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row>
    <row r="86" spans="1:80">
      <c r="B86" s="9" t="s">
        <v>1169</v>
      </c>
      <c r="C86" s="53" t="s">
        <v>1181</v>
      </c>
      <c r="D86" s="53" t="s">
        <v>1182</v>
      </c>
      <c r="E86" s="36">
        <f ca="1">DSUM($B$43:$X$55,E$43,$C$62:$D86)</f>
        <v>9.387115825863962E-2</v>
      </c>
      <c r="F86" s="36">
        <f ca="1">DSUM($B$43:$X$55,F$43,$C$62:$D86)</f>
        <v>0.18079523358862604</v>
      </c>
      <c r="G86" s="36">
        <f ca="1">DSUM($B$43:$X$55,G$43,$C$62:$D86)</f>
        <v>0.259586355398081</v>
      </c>
      <c r="H86" s="36">
        <f ca="1">DSUM($B$43:$X$55,H$43,$C$62:$D86)</f>
        <v>0.33530957878429568</v>
      </c>
      <c r="I86" s="36">
        <f ca="1">DSUM($B$43:$X$55,I$43,$C$62:$D86)</f>
        <v>0.40553996659451425</v>
      </c>
      <c r="J86" s="36">
        <f ca="1">DSUM($B$43:$X$55,J$43,$C$62:$D86)</f>
        <v>0.45742912872155606</v>
      </c>
      <c r="K86" s="36">
        <f ca="1">DSUM($B$43:$X$55,K$43,$C$62:$D86)</f>
        <v>0.50099466763644551</v>
      </c>
      <c r="L86" s="36">
        <f ca="1">DSUM($B$43:$X$55,L$43,$C$62:$D86)</f>
        <v>0.54440190358088214</v>
      </c>
      <c r="M86" s="36">
        <f ca="1">DSUM($B$43:$X$55,M$43,$C$62:$D86)</f>
        <v>0.57672896782744887</v>
      </c>
      <c r="N86" s="36">
        <f ca="1">DSUM($B$43:$X$55,N$43,$C$62:$D86)</f>
        <v>0.61586967232060208</v>
      </c>
      <c r="O86" s="36">
        <f ca="1">DSUM($B$43:$X$55,O$43,$C$62:$D86)</f>
        <v>0.64216740431426722</v>
      </c>
      <c r="P86" s="36">
        <f ca="1">DSUM($B$43:$X$55,P$43,$C$62:$D86)</f>
        <v>0.65355696121258366</v>
      </c>
      <c r="Q86" s="36">
        <f ca="1">DSUM($B$43:$X$55,Q$43,$C$62:$D86)</f>
        <v>0.65386968361642051</v>
      </c>
      <c r="R86" s="36">
        <f ca="1">DSUM($B$43:$X$55,R$43,$C$62:$D86)</f>
        <v>0.66463064876654232</v>
      </c>
      <c r="S86" s="36">
        <f ca="1">DSUM($B$43:$X$55,S$43,$C$62:$D86)</f>
        <v>0.67861391089598999</v>
      </c>
      <c r="T86" s="36">
        <f ca="1">DSUM($B$43:$X$55,T$43,$C$62:$D86)</f>
        <v>0.6811410920517198</v>
      </c>
      <c r="U86" s="36">
        <f ca="1">DSUM($B$43:$X$55,U$43,$C$62:$D86)</f>
        <v>0.66120095300838844</v>
      </c>
      <c r="V86" s="36">
        <f ca="1">DSUM($B$43:$X$55,V$43,$C$62:$D86)</f>
        <v>0.6586801584240557</v>
      </c>
      <c r="W86" s="36">
        <f ca="1">DSUM($B$43:$X$55,W$43,$C$62:$D86)</f>
        <v>0.6582172174457297</v>
      </c>
      <c r="X86" s="36">
        <f ca="1">DSUM($B$43:$X$55,X$43,$C$62:$D86)</f>
        <v>0.66138072395901848</v>
      </c>
      <c r="Y86" s="36">
        <f ca="1">DSUM($B$43:$Y$55,Y$43,$C$62:$D86)</f>
        <v>10.583985386405809</v>
      </c>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row>
    <row r="87" spans="1:80">
      <c r="B87" s="9" t="s">
        <v>1170</v>
      </c>
      <c r="C87" s="53" t="s">
        <v>1183</v>
      </c>
      <c r="D87" s="53" t="s">
        <v>1184</v>
      </c>
      <c r="E87" s="36">
        <f ca="1">DSUM($B$43:$X$55,E$43,$C$62:$D87)</f>
        <v>9.387115825863962E-2</v>
      </c>
      <c r="F87" s="36">
        <f ca="1">DSUM($B$43:$X$55,F$43,$C$62:$D87)</f>
        <v>0.18079523358862604</v>
      </c>
      <c r="G87" s="36">
        <f ca="1">DSUM($B$43:$X$55,G$43,$C$62:$D87)</f>
        <v>0.259586355398081</v>
      </c>
      <c r="H87" s="36">
        <f ca="1">DSUM($B$43:$X$55,H$43,$C$62:$D87)</f>
        <v>0.33530957878429568</v>
      </c>
      <c r="I87" s="36">
        <f ca="1">DSUM($B$43:$X$55,I$43,$C$62:$D87)</f>
        <v>0.40553996659451425</v>
      </c>
      <c r="J87" s="36">
        <f ca="1">DSUM($B$43:$X$55,J$43,$C$62:$D87)</f>
        <v>0.45742912872155606</v>
      </c>
      <c r="K87" s="36">
        <f ca="1">DSUM($B$43:$X$55,K$43,$C$62:$D87)</f>
        <v>0.50099466763644551</v>
      </c>
      <c r="L87" s="36">
        <f ca="1">DSUM($B$43:$X$55,L$43,$C$62:$D87)</f>
        <v>0.54440190358088214</v>
      </c>
      <c r="M87" s="36">
        <f ca="1">DSUM($B$43:$X$55,M$43,$C$62:$D87)</f>
        <v>0.57672896782744887</v>
      </c>
      <c r="N87" s="36">
        <f ca="1">DSUM($B$43:$X$55,N$43,$C$62:$D87)</f>
        <v>0.61586967232060208</v>
      </c>
      <c r="O87" s="36">
        <f ca="1">DSUM($B$43:$X$55,O$43,$C$62:$D87)</f>
        <v>0.64216740431426722</v>
      </c>
      <c r="P87" s="36">
        <f ca="1">DSUM($B$43:$X$55,P$43,$C$62:$D87)</f>
        <v>0.65355696121258366</v>
      </c>
      <c r="Q87" s="36">
        <f ca="1">DSUM($B$43:$X$55,Q$43,$C$62:$D87)</f>
        <v>0.65386968361642051</v>
      </c>
      <c r="R87" s="36">
        <f ca="1">DSUM($B$43:$X$55,R$43,$C$62:$D87)</f>
        <v>0.66463064876654232</v>
      </c>
      <c r="S87" s="36">
        <f ca="1">DSUM($B$43:$X$55,S$43,$C$62:$D87)</f>
        <v>0.67861391089598999</v>
      </c>
      <c r="T87" s="36">
        <f ca="1">DSUM($B$43:$X$55,T$43,$C$62:$D87)</f>
        <v>0.6811410920517198</v>
      </c>
      <c r="U87" s="36">
        <f ca="1">DSUM($B$43:$X$55,U$43,$C$62:$D87)</f>
        <v>0.66120095300838844</v>
      </c>
      <c r="V87" s="36">
        <f ca="1">DSUM($B$43:$X$55,V$43,$C$62:$D87)</f>
        <v>0.6586801584240557</v>
      </c>
      <c r="W87" s="36">
        <f ca="1">DSUM($B$43:$X$55,W$43,$C$62:$D87)</f>
        <v>0.6582172174457297</v>
      </c>
      <c r="X87" s="36">
        <f ca="1">DSUM($B$43:$X$55,X$43,$C$62:$D87)</f>
        <v>0.66138072395901848</v>
      </c>
      <c r="Y87" s="36">
        <f ca="1">DSUM($B$43:$Y$55,Y$43,$C$62:$D87)</f>
        <v>10.583985386405809</v>
      </c>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row>
    <row r="88" spans="1:80">
      <c r="B88" s="9" t="s">
        <v>1171</v>
      </c>
      <c r="C88" s="53" t="s">
        <v>1185</v>
      </c>
      <c r="D88" s="53" t="s">
        <v>1186</v>
      </c>
      <c r="E88" s="36">
        <f ca="1">DSUM($B$43:$X$55,E$43,$C$62:$D88)</f>
        <v>9.387115825863962E-2</v>
      </c>
      <c r="F88" s="36">
        <f ca="1">DSUM($B$43:$X$55,F$43,$C$62:$D88)</f>
        <v>0.18079523358862604</v>
      </c>
      <c r="G88" s="36">
        <f ca="1">DSUM($B$43:$X$55,G$43,$C$62:$D88)</f>
        <v>0.259586355398081</v>
      </c>
      <c r="H88" s="36">
        <f ca="1">DSUM($B$43:$X$55,H$43,$C$62:$D88)</f>
        <v>0.33530957878429568</v>
      </c>
      <c r="I88" s="36">
        <f ca="1">DSUM($B$43:$X$55,I$43,$C$62:$D88)</f>
        <v>0.40553996659451425</v>
      </c>
      <c r="J88" s="36">
        <f ca="1">DSUM($B$43:$X$55,J$43,$C$62:$D88)</f>
        <v>0.45742912872155606</v>
      </c>
      <c r="K88" s="36">
        <f ca="1">DSUM($B$43:$X$55,K$43,$C$62:$D88)</f>
        <v>0.50099466763644551</v>
      </c>
      <c r="L88" s="36">
        <f ca="1">DSUM($B$43:$X$55,L$43,$C$62:$D88)</f>
        <v>0.54440190358088214</v>
      </c>
      <c r="M88" s="36">
        <f ca="1">DSUM($B$43:$X$55,M$43,$C$62:$D88)</f>
        <v>0.57672896782744887</v>
      </c>
      <c r="N88" s="36">
        <f ca="1">DSUM($B$43:$X$55,N$43,$C$62:$D88)</f>
        <v>0.61586967232060208</v>
      </c>
      <c r="O88" s="36">
        <f ca="1">DSUM($B$43:$X$55,O$43,$C$62:$D88)</f>
        <v>0.64216740431426722</v>
      </c>
      <c r="P88" s="36">
        <f ca="1">DSUM($B$43:$X$55,P$43,$C$62:$D88)</f>
        <v>0.65355696121258366</v>
      </c>
      <c r="Q88" s="36">
        <f ca="1">DSUM($B$43:$X$55,Q$43,$C$62:$D88)</f>
        <v>0.65386968361642051</v>
      </c>
      <c r="R88" s="36">
        <f ca="1">DSUM($B$43:$X$55,R$43,$C$62:$D88)</f>
        <v>0.66463064876654232</v>
      </c>
      <c r="S88" s="36">
        <f ca="1">DSUM($B$43:$X$55,S$43,$C$62:$D88)</f>
        <v>0.67861391089598999</v>
      </c>
      <c r="T88" s="36">
        <f ca="1">DSUM($B$43:$X$55,T$43,$C$62:$D88)</f>
        <v>0.6811410920517198</v>
      </c>
      <c r="U88" s="36">
        <f ca="1">DSUM($B$43:$X$55,U$43,$C$62:$D88)</f>
        <v>0.66120095300838844</v>
      </c>
      <c r="V88" s="36">
        <f ca="1">DSUM($B$43:$X$55,V$43,$C$62:$D88)</f>
        <v>0.6586801584240557</v>
      </c>
      <c r="W88" s="36">
        <f ca="1">DSUM($B$43:$X$55,W$43,$C$62:$D88)</f>
        <v>0.6582172174457297</v>
      </c>
      <c r="X88" s="36">
        <f ca="1">DSUM($B$43:$X$55,X$43,$C$62:$D88)</f>
        <v>0.66138072395901848</v>
      </c>
      <c r="Y88" s="36">
        <f ca="1">DSUM($B$43:$Y$55,Y$43,$C$62:$D88)</f>
        <v>10.583985386405809</v>
      </c>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row>
    <row r="89" spans="1:80">
      <c r="B89" s="9" t="s">
        <v>1172</v>
      </c>
      <c r="C89" s="53" t="s">
        <v>1187</v>
      </c>
      <c r="D89" s="53" t="s">
        <v>1188</v>
      </c>
      <c r="E89" s="36">
        <f ca="1">DSUM($B$43:$X$55,E$43,$C$62:$D89)</f>
        <v>9.387115825863962E-2</v>
      </c>
      <c r="F89" s="36">
        <f ca="1">DSUM($B$43:$X$55,F$43,$C$62:$D89)</f>
        <v>0.18079523358862604</v>
      </c>
      <c r="G89" s="36">
        <f ca="1">DSUM($B$43:$X$55,G$43,$C$62:$D89)</f>
        <v>0.259586355398081</v>
      </c>
      <c r="H89" s="36">
        <f ca="1">DSUM($B$43:$X$55,H$43,$C$62:$D89)</f>
        <v>0.33530957878429568</v>
      </c>
      <c r="I89" s="36">
        <f ca="1">DSUM($B$43:$X$55,I$43,$C$62:$D89)</f>
        <v>0.40553996659451425</v>
      </c>
      <c r="J89" s="36">
        <f ca="1">DSUM($B$43:$X$55,J$43,$C$62:$D89)</f>
        <v>0.45742912872155606</v>
      </c>
      <c r="K89" s="36">
        <f ca="1">DSUM($B$43:$X$55,K$43,$C$62:$D89)</f>
        <v>0.50099466763644551</v>
      </c>
      <c r="L89" s="36">
        <f ca="1">DSUM($B$43:$X$55,L$43,$C$62:$D89)</f>
        <v>0.54440190358088214</v>
      </c>
      <c r="M89" s="36">
        <f ca="1">DSUM($B$43:$X$55,M$43,$C$62:$D89)</f>
        <v>0.57672896782744887</v>
      </c>
      <c r="N89" s="36">
        <f ca="1">DSUM($B$43:$X$55,N$43,$C$62:$D89)</f>
        <v>0.61586967232060208</v>
      </c>
      <c r="O89" s="36">
        <f ca="1">DSUM($B$43:$X$55,O$43,$C$62:$D89)</f>
        <v>0.64216740431426722</v>
      </c>
      <c r="P89" s="36">
        <f ca="1">DSUM($B$43:$X$55,P$43,$C$62:$D89)</f>
        <v>0.65355696121258366</v>
      </c>
      <c r="Q89" s="36">
        <f ca="1">DSUM($B$43:$X$55,Q$43,$C$62:$D89)</f>
        <v>0.65386968361642051</v>
      </c>
      <c r="R89" s="36">
        <f ca="1">DSUM($B$43:$X$55,R$43,$C$62:$D89)</f>
        <v>0.66463064876654232</v>
      </c>
      <c r="S89" s="36">
        <f ca="1">DSUM($B$43:$X$55,S$43,$C$62:$D89)</f>
        <v>0.67861391089598999</v>
      </c>
      <c r="T89" s="36">
        <f ca="1">DSUM($B$43:$X$55,T$43,$C$62:$D89)</f>
        <v>0.6811410920517198</v>
      </c>
      <c r="U89" s="36">
        <f ca="1">DSUM($B$43:$X$55,U$43,$C$62:$D89)</f>
        <v>0.66120095300838844</v>
      </c>
      <c r="V89" s="36">
        <f ca="1">DSUM($B$43:$X$55,V$43,$C$62:$D89)</f>
        <v>0.6586801584240557</v>
      </c>
      <c r="W89" s="36">
        <f ca="1">DSUM($B$43:$X$55,W$43,$C$62:$D89)</f>
        <v>0.6582172174457297</v>
      </c>
      <c r="X89" s="36">
        <f ca="1">DSUM($B$43:$X$55,X$43,$C$62:$D89)</f>
        <v>0.66138072395901848</v>
      </c>
      <c r="Y89" s="36">
        <f ca="1">DSUM($B$43:$Y$55,Y$43,$C$62:$D89)</f>
        <v>10.583985386405809</v>
      </c>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row>
    <row r="90" spans="1:80">
      <c r="B90" s="9" t="s">
        <v>1173</v>
      </c>
      <c r="C90" s="53" t="s">
        <v>1189</v>
      </c>
      <c r="D90" s="53" t="s">
        <v>1190</v>
      </c>
      <c r="E90" s="36">
        <f ca="1">DSUM($B$43:$X$55,E$43,$C$62:$D90)</f>
        <v>9.387115825863962E-2</v>
      </c>
      <c r="F90" s="36">
        <f ca="1">DSUM($B$43:$X$55,F$43,$C$62:$D90)</f>
        <v>0.18079523358862604</v>
      </c>
      <c r="G90" s="36">
        <f ca="1">DSUM($B$43:$X$55,G$43,$C$62:$D90)</f>
        <v>0.259586355398081</v>
      </c>
      <c r="H90" s="36">
        <f ca="1">DSUM($B$43:$X$55,H$43,$C$62:$D90)</f>
        <v>0.33530957878429568</v>
      </c>
      <c r="I90" s="36">
        <f ca="1">DSUM($B$43:$X$55,I$43,$C$62:$D90)</f>
        <v>0.40553996659451425</v>
      </c>
      <c r="J90" s="36">
        <f ca="1">DSUM($B$43:$X$55,J$43,$C$62:$D90)</f>
        <v>0.45742912872155606</v>
      </c>
      <c r="K90" s="36">
        <f ca="1">DSUM($B$43:$X$55,K$43,$C$62:$D90)</f>
        <v>0.50099466763644551</v>
      </c>
      <c r="L90" s="36">
        <f ca="1">DSUM($B$43:$X$55,L$43,$C$62:$D90)</f>
        <v>0.54440190358088214</v>
      </c>
      <c r="M90" s="36">
        <f ca="1">DSUM($B$43:$X$55,M$43,$C$62:$D90)</f>
        <v>0.57672896782744887</v>
      </c>
      <c r="N90" s="36">
        <f ca="1">DSUM($B$43:$X$55,N$43,$C$62:$D90)</f>
        <v>0.61586967232060208</v>
      </c>
      <c r="O90" s="36">
        <f ca="1">DSUM($B$43:$X$55,O$43,$C$62:$D90)</f>
        <v>0.64216740431426722</v>
      </c>
      <c r="P90" s="36">
        <f ca="1">DSUM($B$43:$X$55,P$43,$C$62:$D90)</f>
        <v>0.65355696121258366</v>
      </c>
      <c r="Q90" s="36">
        <f ca="1">DSUM($B$43:$X$55,Q$43,$C$62:$D90)</f>
        <v>0.65386968361642051</v>
      </c>
      <c r="R90" s="36">
        <f ca="1">DSUM($B$43:$X$55,R$43,$C$62:$D90)</f>
        <v>0.66463064876654232</v>
      </c>
      <c r="S90" s="36">
        <f ca="1">DSUM($B$43:$X$55,S$43,$C$62:$D90)</f>
        <v>0.67861391089598999</v>
      </c>
      <c r="T90" s="36">
        <f ca="1">DSUM($B$43:$X$55,T$43,$C$62:$D90)</f>
        <v>0.6811410920517198</v>
      </c>
      <c r="U90" s="36">
        <f ca="1">DSUM($B$43:$X$55,U$43,$C$62:$D90)</f>
        <v>0.66120095300838844</v>
      </c>
      <c r="V90" s="36">
        <f ca="1">DSUM($B$43:$X$55,V$43,$C$62:$D90)</f>
        <v>0.6586801584240557</v>
      </c>
      <c r="W90" s="36">
        <f ca="1">DSUM($B$43:$X$55,W$43,$C$62:$D90)</f>
        <v>0.6582172174457297</v>
      </c>
      <c r="X90" s="36">
        <f ca="1">DSUM($B$43:$X$55,X$43,$C$62:$D90)</f>
        <v>0.66138072395901848</v>
      </c>
      <c r="Y90" s="36">
        <f ca="1">DSUM($B$43:$Y$55,Y$43,$C$62:$D90)</f>
        <v>10.583985386405809</v>
      </c>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row>
    <row r="91" spans="1:80">
      <c r="B91" s="9" t="s">
        <v>1174</v>
      </c>
      <c r="C91" s="53" t="s">
        <v>1191</v>
      </c>
      <c r="D91" s="53" t="s">
        <v>1192</v>
      </c>
      <c r="E91" s="36">
        <f ca="1">DSUM($B$43:$X$55,E$43,$C$62:$D91)</f>
        <v>9.387115825863962E-2</v>
      </c>
      <c r="F91" s="36">
        <f ca="1">DSUM($B$43:$X$55,F$43,$C$62:$D91)</f>
        <v>0.18079523358862604</v>
      </c>
      <c r="G91" s="36">
        <f ca="1">DSUM($B$43:$X$55,G$43,$C$62:$D91)</f>
        <v>0.259586355398081</v>
      </c>
      <c r="H91" s="36">
        <f ca="1">DSUM($B$43:$X$55,H$43,$C$62:$D91)</f>
        <v>0.33530957878429568</v>
      </c>
      <c r="I91" s="36">
        <f ca="1">DSUM($B$43:$X$55,I$43,$C$62:$D91)</f>
        <v>0.40553996659451425</v>
      </c>
      <c r="J91" s="36">
        <f ca="1">DSUM($B$43:$X$55,J$43,$C$62:$D91)</f>
        <v>0.45742912872155606</v>
      </c>
      <c r="K91" s="36">
        <f ca="1">DSUM($B$43:$X$55,K$43,$C$62:$D91)</f>
        <v>0.50099466763644551</v>
      </c>
      <c r="L91" s="36">
        <f ca="1">DSUM($B$43:$X$55,L$43,$C$62:$D91)</f>
        <v>0.54440190358088214</v>
      </c>
      <c r="M91" s="36">
        <f ca="1">DSUM($B$43:$X$55,M$43,$C$62:$D91)</f>
        <v>0.57672896782744887</v>
      </c>
      <c r="N91" s="36">
        <f ca="1">DSUM($B$43:$X$55,N$43,$C$62:$D91)</f>
        <v>0.61586967232060208</v>
      </c>
      <c r="O91" s="36">
        <f ca="1">DSUM($B$43:$X$55,O$43,$C$62:$D91)</f>
        <v>0.64216740431426722</v>
      </c>
      <c r="P91" s="36">
        <f ca="1">DSUM($B$43:$X$55,P$43,$C$62:$D91)</f>
        <v>0.65355696121258366</v>
      </c>
      <c r="Q91" s="36">
        <f ca="1">DSUM($B$43:$X$55,Q$43,$C$62:$D91)</f>
        <v>0.65386968361642051</v>
      </c>
      <c r="R91" s="36">
        <f ca="1">DSUM($B$43:$X$55,R$43,$C$62:$D91)</f>
        <v>0.66463064876654232</v>
      </c>
      <c r="S91" s="36">
        <f ca="1">DSUM($B$43:$X$55,S$43,$C$62:$D91)</f>
        <v>0.67861391089598999</v>
      </c>
      <c r="T91" s="36">
        <f ca="1">DSUM($B$43:$X$55,T$43,$C$62:$D91)</f>
        <v>0.6811410920517198</v>
      </c>
      <c r="U91" s="36">
        <f ca="1">DSUM($B$43:$X$55,U$43,$C$62:$D91)</f>
        <v>0.66120095300838844</v>
      </c>
      <c r="V91" s="36">
        <f ca="1">DSUM($B$43:$X$55,V$43,$C$62:$D91)</f>
        <v>0.6586801584240557</v>
      </c>
      <c r="W91" s="36">
        <f ca="1">DSUM($B$43:$X$55,W$43,$C$62:$D91)</f>
        <v>0.6582172174457297</v>
      </c>
      <c r="X91" s="36">
        <f ca="1">DSUM($B$43:$X$55,X$43,$C$62:$D91)</f>
        <v>0.66138072395901848</v>
      </c>
      <c r="Y91" s="36">
        <f ca="1">DSUM($B$43:$Y$55,Y$43,$C$62:$D91)</f>
        <v>10.583985386405809</v>
      </c>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row>
    <row r="92" spans="1:80">
      <c r="B92" s="9" t="s">
        <v>1175</v>
      </c>
      <c r="C92" s="53" t="s">
        <v>1193</v>
      </c>
      <c r="D92" s="53" t="s">
        <v>1194</v>
      </c>
      <c r="E92" s="36">
        <f ca="1">DSUM($B$43:$X$55,E$43,$C$62:$D92)</f>
        <v>9.387115825863962E-2</v>
      </c>
      <c r="F92" s="36">
        <f ca="1">DSUM($B$43:$X$55,F$43,$C$62:$D92)</f>
        <v>0.18079523358862604</v>
      </c>
      <c r="G92" s="36">
        <f ca="1">DSUM($B$43:$X$55,G$43,$C$62:$D92)</f>
        <v>0.259586355398081</v>
      </c>
      <c r="H92" s="36">
        <f ca="1">DSUM($B$43:$X$55,H$43,$C$62:$D92)</f>
        <v>0.33530957878429568</v>
      </c>
      <c r="I92" s="36">
        <f ca="1">DSUM($B$43:$X$55,I$43,$C$62:$D92)</f>
        <v>0.40553996659451425</v>
      </c>
      <c r="J92" s="36">
        <f ca="1">DSUM($B$43:$X$55,J$43,$C$62:$D92)</f>
        <v>0.45742912872155606</v>
      </c>
      <c r="K92" s="36">
        <f ca="1">DSUM($B$43:$X$55,K$43,$C$62:$D92)</f>
        <v>0.50099466763644551</v>
      </c>
      <c r="L92" s="36">
        <f ca="1">DSUM($B$43:$X$55,L$43,$C$62:$D92)</f>
        <v>0.54440190358088214</v>
      </c>
      <c r="M92" s="36">
        <f ca="1">DSUM($B$43:$X$55,M$43,$C$62:$D92)</f>
        <v>0.57672896782744887</v>
      </c>
      <c r="N92" s="36">
        <f ca="1">DSUM($B$43:$X$55,N$43,$C$62:$D92)</f>
        <v>0.61586967232060208</v>
      </c>
      <c r="O92" s="36">
        <f ca="1">DSUM($B$43:$X$55,O$43,$C$62:$D92)</f>
        <v>0.64216740431426722</v>
      </c>
      <c r="P92" s="36">
        <f ca="1">DSUM($B$43:$X$55,P$43,$C$62:$D92)</f>
        <v>0.65355696121258366</v>
      </c>
      <c r="Q92" s="36">
        <f ca="1">DSUM($B$43:$X$55,Q$43,$C$62:$D92)</f>
        <v>0.65386968361642051</v>
      </c>
      <c r="R92" s="36">
        <f ca="1">DSUM($B$43:$X$55,R$43,$C$62:$D92)</f>
        <v>0.66463064876654232</v>
      </c>
      <c r="S92" s="36">
        <f ca="1">DSUM($B$43:$X$55,S$43,$C$62:$D92)</f>
        <v>0.67861391089598999</v>
      </c>
      <c r="T92" s="36">
        <f ca="1">DSUM($B$43:$X$55,T$43,$C$62:$D92)</f>
        <v>0.6811410920517198</v>
      </c>
      <c r="U92" s="36">
        <f ca="1">DSUM($B$43:$X$55,U$43,$C$62:$D92)</f>
        <v>0.66120095300838844</v>
      </c>
      <c r="V92" s="36">
        <f ca="1">DSUM($B$43:$X$55,V$43,$C$62:$D92)</f>
        <v>0.6586801584240557</v>
      </c>
      <c r="W92" s="36">
        <f ca="1">DSUM($B$43:$X$55,W$43,$C$62:$D92)</f>
        <v>0.6582172174457297</v>
      </c>
      <c r="X92" s="36">
        <f ca="1">DSUM($B$43:$X$55,X$43,$C$62:$D92)</f>
        <v>0.66138072395901848</v>
      </c>
      <c r="Y92" s="36">
        <f ca="1">DSUM($B$43:$Y$55,Y$43,$C$62:$D92)</f>
        <v>10.583985386405809</v>
      </c>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row>
    <row r="93" spans="1:80">
      <c r="B93" s="9" t="s">
        <v>1176</v>
      </c>
      <c r="C93" s="53" t="s">
        <v>1195</v>
      </c>
      <c r="D93" s="53" t="s">
        <v>1196</v>
      </c>
      <c r="E93" s="36">
        <f ca="1">DSUM($B$43:$X$55,E$43,$C$62:$D93)</f>
        <v>9.387115825863962E-2</v>
      </c>
      <c r="F93" s="36">
        <f ca="1">DSUM($B$43:$X$55,F$43,$C$62:$D93)</f>
        <v>0.18079523358862604</v>
      </c>
      <c r="G93" s="36">
        <f ca="1">DSUM($B$43:$X$55,G$43,$C$62:$D93)</f>
        <v>0.259586355398081</v>
      </c>
      <c r="H93" s="36">
        <f ca="1">DSUM($B$43:$X$55,H$43,$C$62:$D93)</f>
        <v>0.33530957878429568</v>
      </c>
      <c r="I93" s="36">
        <f ca="1">DSUM($B$43:$X$55,I$43,$C$62:$D93)</f>
        <v>0.40553996659451425</v>
      </c>
      <c r="J93" s="36">
        <f ca="1">DSUM($B$43:$X$55,J$43,$C$62:$D93)</f>
        <v>0.45742912872155606</v>
      </c>
      <c r="K93" s="36">
        <f ca="1">DSUM($B$43:$X$55,K$43,$C$62:$D93)</f>
        <v>0.50099466763644551</v>
      </c>
      <c r="L93" s="36">
        <f ca="1">DSUM($B$43:$X$55,L$43,$C$62:$D93)</f>
        <v>0.54440190358088214</v>
      </c>
      <c r="M93" s="36">
        <f ca="1">DSUM($B$43:$X$55,M$43,$C$62:$D93)</f>
        <v>0.57672896782744887</v>
      </c>
      <c r="N93" s="36">
        <f ca="1">DSUM($B$43:$X$55,N$43,$C$62:$D93)</f>
        <v>0.61586967232060208</v>
      </c>
      <c r="O93" s="36">
        <f ca="1">DSUM($B$43:$X$55,O$43,$C$62:$D93)</f>
        <v>0.64216740431426722</v>
      </c>
      <c r="P93" s="36">
        <f ca="1">DSUM($B$43:$X$55,P$43,$C$62:$D93)</f>
        <v>0.65355696121258366</v>
      </c>
      <c r="Q93" s="36">
        <f ca="1">DSUM($B$43:$X$55,Q$43,$C$62:$D93)</f>
        <v>0.65386968361642051</v>
      </c>
      <c r="R93" s="36">
        <f ca="1">DSUM($B$43:$X$55,R$43,$C$62:$D93)</f>
        <v>0.66463064876654232</v>
      </c>
      <c r="S93" s="36">
        <f ca="1">DSUM($B$43:$X$55,S$43,$C$62:$D93)</f>
        <v>0.67861391089598999</v>
      </c>
      <c r="T93" s="36">
        <f ca="1">DSUM($B$43:$X$55,T$43,$C$62:$D93)</f>
        <v>0.6811410920517198</v>
      </c>
      <c r="U93" s="36">
        <f ca="1">DSUM($B$43:$X$55,U$43,$C$62:$D93)</f>
        <v>0.66120095300838844</v>
      </c>
      <c r="V93" s="36">
        <f ca="1">DSUM($B$43:$X$55,V$43,$C$62:$D93)</f>
        <v>0.6586801584240557</v>
      </c>
      <c r="W93" s="36">
        <f ca="1">DSUM($B$43:$X$55,W$43,$C$62:$D93)</f>
        <v>0.6582172174457297</v>
      </c>
      <c r="X93" s="36">
        <f ca="1">DSUM($B$43:$X$55,X$43,$C$62:$D93)</f>
        <v>0.66138072395901848</v>
      </c>
      <c r="Y93" s="36">
        <f ca="1">DSUM($B$43:$Y$55,Y$43,$C$62:$D93)</f>
        <v>10.583985386405809</v>
      </c>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row>
    <row r="94" spans="1:80">
      <c r="B94" s="9" t="s">
        <v>1177</v>
      </c>
      <c r="C94" s="53" t="s">
        <v>1197</v>
      </c>
      <c r="D94" s="53" t="s">
        <v>138</v>
      </c>
      <c r="E94" s="36">
        <f ca="1">DSUM($B$43:$X$55,E$43,$C$62:$D94)</f>
        <v>9.387115825863962E-2</v>
      </c>
      <c r="F94" s="36">
        <f ca="1">DSUM($B$43:$X$55,F$43,$C$62:$D94)</f>
        <v>0.18079523358862604</v>
      </c>
      <c r="G94" s="36">
        <f ca="1">DSUM($B$43:$X$55,G$43,$C$62:$D94)</f>
        <v>0.259586355398081</v>
      </c>
      <c r="H94" s="36">
        <f ca="1">DSUM($B$43:$X$55,H$43,$C$62:$D94)</f>
        <v>0.33530957878429568</v>
      </c>
      <c r="I94" s="36">
        <f ca="1">DSUM($B$43:$X$55,I$43,$C$62:$D94)</f>
        <v>0.40553996659451425</v>
      </c>
      <c r="J94" s="36">
        <f ca="1">DSUM($B$43:$X$55,J$43,$C$62:$D94)</f>
        <v>0.45742912872155606</v>
      </c>
      <c r="K94" s="36">
        <f ca="1">DSUM($B$43:$X$55,K$43,$C$62:$D94)</f>
        <v>0.50099466763644551</v>
      </c>
      <c r="L94" s="36">
        <f ca="1">DSUM($B$43:$X$55,L$43,$C$62:$D94)</f>
        <v>0.54440190358088214</v>
      </c>
      <c r="M94" s="36">
        <f ca="1">DSUM($B$43:$X$55,M$43,$C$62:$D94)</f>
        <v>0.57672896782744887</v>
      </c>
      <c r="N94" s="36">
        <f ca="1">DSUM($B$43:$X$55,N$43,$C$62:$D94)</f>
        <v>0.61586967232060208</v>
      </c>
      <c r="O94" s="36">
        <f ca="1">DSUM($B$43:$X$55,O$43,$C$62:$D94)</f>
        <v>0.64216740431426722</v>
      </c>
      <c r="P94" s="36">
        <f ca="1">DSUM($B$43:$X$55,P$43,$C$62:$D94)</f>
        <v>0.65355696121258366</v>
      </c>
      <c r="Q94" s="36">
        <f ca="1">DSUM($B$43:$X$55,Q$43,$C$62:$D94)</f>
        <v>0.65386968361642051</v>
      </c>
      <c r="R94" s="36">
        <f ca="1">DSUM($B$43:$X$55,R$43,$C$62:$D94)</f>
        <v>0.66463064876654232</v>
      </c>
      <c r="S94" s="36">
        <f ca="1">DSUM($B$43:$X$55,S$43,$C$62:$D94)</f>
        <v>0.67861391089598999</v>
      </c>
      <c r="T94" s="36">
        <f ca="1">DSUM($B$43:$X$55,T$43,$C$62:$D94)</f>
        <v>0.6811410920517198</v>
      </c>
      <c r="U94" s="36">
        <f ca="1">DSUM($B$43:$X$55,U$43,$C$62:$D94)</f>
        <v>0.66120095300838844</v>
      </c>
      <c r="V94" s="36">
        <f ca="1">DSUM($B$43:$X$55,V$43,$C$62:$D94)</f>
        <v>0.6586801584240557</v>
      </c>
      <c r="W94" s="36">
        <f ca="1">DSUM($B$43:$X$55,W$43,$C$62:$D94)</f>
        <v>0.6582172174457297</v>
      </c>
      <c r="X94" s="36">
        <f ca="1">DSUM($B$43:$X$55,X$43,$C$62:$D94)</f>
        <v>0.66138072395901848</v>
      </c>
      <c r="Y94" s="36">
        <f ca="1">DSUM($B$43:$Y$55,Y$43,$C$62:$D94)</f>
        <v>10.583985386405809</v>
      </c>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row>
    <row r="95" spans="1:80" customFormat="1">
      <c r="A95" s="9"/>
      <c r="B95" s="9"/>
    </row>
    <row r="96" spans="1:80" customFormat="1">
      <c r="A96" s="9"/>
      <c r="B96" s="9"/>
    </row>
    <row r="97" spans="1:80" ht="15">
      <c r="A97" s="81" t="s">
        <v>139</v>
      </c>
      <c r="B97" s="81"/>
      <c r="E97" s="36"/>
      <c r="F97" s="36"/>
      <c r="G97" s="36"/>
      <c r="H97" s="36"/>
      <c r="I97" s="36"/>
      <c r="J97" s="36"/>
      <c r="K97" s="36"/>
      <c r="L97" s="36"/>
      <c r="M97" s="36"/>
      <c r="N97" s="36"/>
      <c r="O97" s="36"/>
      <c r="P97" s="36"/>
      <c r="Q97" s="36"/>
      <c r="R97" s="36"/>
      <c r="S97" s="36"/>
      <c r="T97" s="36"/>
      <c r="U97" s="36"/>
      <c r="V97" s="36"/>
      <c r="W97" s="36"/>
      <c r="X97" s="36"/>
      <c r="Y97" s="36"/>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row>
    <row r="98" spans="1:80" ht="15">
      <c r="C98" s="63" t="s">
        <v>140</v>
      </c>
      <c r="E98" s="74">
        <f t="shared" ref="E98:X98" si="23">E11</f>
        <v>2016</v>
      </c>
      <c r="F98" s="68">
        <f t="shared" si="23"/>
        <v>2017</v>
      </c>
      <c r="G98" s="68">
        <f t="shared" si="23"/>
        <v>2018</v>
      </c>
      <c r="H98" s="68">
        <f t="shared" si="23"/>
        <v>2019</v>
      </c>
      <c r="I98" s="68">
        <f t="shared" si="23"/>
        <v>2020</v>
      </c>
      <c r="J98" s="68">
        <f t="shared" si="23"/>
        <v>2021</v>
      </c>
      <c r="K98" s="68">
        <f t="shared" si="23"/>
        <v>2022</v>
      </c>
      <c r="L98" s="68">
        <f t="shared" si="23"/>
        <v>2023</v>
      </c>
      <c r="M98" s="68">
        <f t="shared" si="23"/>
        <v>2024</v>
      </c>
      <c r="N98" s="68">
        <f t="shared" si="23"/>
        <v>2025</v>
      </c>
      <c r="O98" s="68">
        <f t="shared" si="23"/>
        <v>2026</v>
      </c>
      <c r="P98" s="68">
        <f t="shared" si="23"/>
        <v>2027</v>
      </c>
      <c r="Q98" s="68">
        <f t="shared" si="23"/>
        <v>2028</v>
      </c>
      <c r="R98" s="68">
        <f t="shared" si="23"/>
        <v>2029</v>
      </c>
      <c r="S98" s="68">
        <f t="shared" si="23"/>
        <v>2030</v>
      </c>
      <c r="T98" s="68">
        <f t="shared" si="23"/>
        <v>2031</v>
      </c>
      <c r="U98" s="68">
        <f t="shared" si="23"/>
        <v>2032</v>
      </c>
      <c r="V98" s="68">
        <f t="shared" si="23"/>
        <v>2033</v>
      </c>
      <c r="W98" s="68">
        <f t="shared" si="23"/>
        <v>2034</v>
      </c>
      <c r="X98" s="68">
        <f t="shared" si="23"/>
        <v>2035</v>
      </c>
      <c r="Y98" s="69" t="s">
        <v>153</v>
      </c>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row>
    <row r="99" spans="1:80" ht="15">
      <c r="C99" s="63" t="str">
        <f>C8</f>
        <v>Clothes Washer</v>
      </c>
      <c r="E99" s="75" t="str">
        <f>CONCATENATE("aMW_",E98)</f>
        <v>aMW_2016</v>
      </c>
      <c r="F99" s="70" t="str">
        <f t="shared" ref="F99:X99" si="24">CONCATENATE("aMW_",F98)</f>
        <v>aMW_2017</v>
      </c>
      <c r="G99" s="70" t="str">
        <f t="shared" si="24"/>
        <v>aMW_2018</v>
      </c>
      <c r="H99" s="70" t="str">
        <f t="shared" si="24"/>
        <v>aMW_2019</v>
      </c>
      <c r="I99" s="70" t="str">
        <f t="shared" si="24"/>
        <v>aMW_2020</v>
      </c>
      <c r="J99" s="70" t="str">
        <f t="shared" si="24"/>
        <v>aMW_2021</v>
      </c>
      <c r="K99" s="70" t="str">
        <f t="shared" si="24"/>
        <v>aMW_2022</v>
      </c>
      <c r="L99" s="70" t="str">
        <f t="shared" si="24"/>
        <v>aMW_2023</v>
      </c>
      <c r="M99" s="70" t="str">
        <f t="shared" si="24"/>
        <v>aMW_2024</v>
      </c>
      <c r="N99" s="70" t="str">
        <f t="shared" si="24"/>
        <v>aMW_2025</v>
      </c>
      <c r="O99" s="70" t="str">
        <f t="shared" si="24"/>
        <v>aMW_2026</v>
      </c>
      <c r="P99" s="70" t="str">
        <f t="shared" si="24"/>
        <v>aMW_2027</v>
      </c>
      <c r="Q99" s="70" t="str">
        <f t="shared" si="24"/>
        <v>aMW_2028</v>
      </c>
      <c r="R99" s="70" t="str">
        <f t="shared" si="24"/>
        <v>aMW_2029</v>
      </c>
      <c r="S99" s="70" t="str">
        <f t="shared" si="24"/>
        <v>aMW_2030</v>
      </c>
      <c r="T99" s="70" t="str">
        <f t="shared" si="24"/>
        <v>aMW_2031</v>
      </c>
      <c r="U99" s="70" t="str">
        <f t="shared" si="24"/>
        <v>aMW_2032</v>
      </c>
      <c r="V99" s="70" t="str">
        <f t="shared" si="24"/>
        <v>aMW_2033</v>
      </c>
      <c r="W99" s="70" t="str">
        <f t="shared" si="24"/>
        <v>aMW_2034</v>
      </c>
      <c r="X99" s="70" t="str">
        <f t="shared" si="24"/>
        <v>aMW_2035</v>
      </c>
      <c r="Y99" s="71" t="s">
        <v>153</v>
      </c>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row>
    <row r="100" spans="1:80">
      <c r="C100" s="9" t="s">
        <v>75</v>
      </c>
      <c r="E100" s="36">
        <f t="shared" ref="E100:Y100" ca="1" si="25">E63</f>
        <v>9.387115825863962E-2</v>
      </c>
      <c r="F100" s="36">
        <f t="shared" ca="1" si="25"/>
        <v>0.18079523358862604</v>
      </c>
      <c r="G100" s="36">
        <f t="shared" ca="1" si="25"/>
        <v>0.259586355398081</v>
      </c>
      <c r="H100" s="36">
        <f t="shared" ca="1" si="25"/>
        <v>0.33530957878429568</v>
      </c>
      <c r="I100" s="36">
        <f t="shared" ca="1" si="25"/>
        <v>0.40553996659451425</v>
      </c>
      <c r="J100" s="36">
        <f t="shared" ca="1" si="25"/>
        <v>0.45742912872155606</v>
      </c>
      <c r="K100" s="36">
        <f t="shared" ca="1" si="25"/>
        <v>0.50099466763644551</v>
      </c>
      <c r="L100" s="36">
        <f t="shared" ca="1" si="25"/>
        <v>0.54440190358088214</v>
      </c>
      <c r="M100" s="36">
        <f t="shared" ca="1" si="25"/>
        <v>0.57672896782744887</v>
      </c>
      <c r="N100" s="36">
        <f t="shared" ca="1" si="25"/>
        <v>0.61586967232060208</v>
      </c>
      <c r="O100" s="36">
        <f t="shared" ca="1" si="25"/>
        <v>0.64216740431426722</v>
      </c>
      <c r="P100" s="36">
        <f t="shared" ca="1" si="25"/>
        <v>0.65355696121258366</v>
      </c>
      <c r="Q100" s="36">
        <f t="shared" ca="1" si="25"/>
        <v>0.65386968361642051</v>
      </c>
      <c r="R100" s="36">
        <f t="shared" ca="1" si="25"/>
        <v>0.66463064876654232</v>
      </c>
      <c r="S100" s="36">
        <f t="shared" ca="1" si="25"/>
        <v>0.67861391089598999</v>
      </c>
      <c r="T100" s="36">
        <f t="shared" ca="1" si="25"/>
        <v>0.6811410920517198</v>
      </c>
      <c r="U100" s="36">
        <f t="shared" ca="1" si="25"/>
        <v>0.66120095300838844</v>
      </c>
      <c r="V100" s="36">
        <f t="shared" ca="1" si="25"/>
        <v>0.6586801584240557</v>
      </c>
      <c r="W100" s="36">
        <f t="shared" ca="1" si="25"/>
        <v>0.6582172174457297</v>
      </c>
      <c r="X100" s="36">
        <f t="shared" ca="1" si="25"/>
        <v>0.66138072395901848</v>
      </c>
      <c r="Y100" s="36">
        <f t="shared" ca="1" si="25"/>
        <v>10.583985386405809</v>
      </c>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row>
    <row r="101" spans="1:80">
      <c r="C101" s="9" t="s">
        <v>1199</v>
      </c>
      <c r="E101" s="42">
        <f t="shared" ref="E101:X113" ca="1" si="26">E64-E63</f>
        <v>0</v>
      </c>
      <c r="F101" s="42">
        <f t="shared" ca="1" si="26"/>
        <v>0</v>
      </c>
      <c r="G101" s="42">
        <f t="shared" ca="1" si="26"/>
        <v>0</v>
      </c>
      <c r="H101" s="42">
        <f t="shared" ca="1" si="26"/>
        <v>0</v>
      </c>
      <c r="I101" s="42">
        <f t="shared" ca="1" si="26"/>
        <v>0</v>
      </c>
      <c r="J101" s="42">
        <f t="shared" ca="1" si="26"/>
        <v>0</v>
      </c>
      <c r="K101" s="42">
        <f t="shared" ca="1" si="26"/>
        <v>0</v>
      </c>
      <c r="L101" s="42">
        <f t="shared" ca="1" si="26"/>
        <v>0</v>
      </c>
      <c r="M101" s="42">
        <f t="shared" ca="1" si="26"/>
        <v>0</v>
      </c>
      <c r="N101" s="42">
        <f t="shared" ca="1" si="26"/>
        <v>0</v>
      </c>
      <c r="O101" s="42">
        <f t="shared" ca="1" si="26"/>
        <v>0</v>
      </c>
      <c r="P101" s="42">
        <f t="shared" ca="1" si="26"/>
        <v>0</v>
      </c>
      <c r="Q101" s="42">
        <f t="shared" ca="1" si="26"/>
        <v>0</v>
      </c>
      <c r="R101" s="42">
        <f t="shared" ca="1" si="26"/>
        <v>0</v>
      </c>
      <c r="S101" s="42">
        <f t="shared" ca="1" si="26"/>
        <v>0</v>
      </c>
      <c r="T101" s="42">
        <f t="shared" ca="1" si="26"/>
        <v>0</v>
      </c>
      <c r="U101" s="42">
        <f t="shared" ca="1" si="26"/>
        <v>0</v>
      </c>
      <c r="V101" s="42">
        <f t="shared" ca="1" si="26"/>
        <v>0</v>
      </c>
      <c r="W101" s="42">
        <f t="shared" ca="1" si="26"/>
        <v>0</v>
      </c>
      <c r="X101" s="42">
        <f t="shared" ca="1" si="26"/>
        <v>0</v>
      </c>
      <c r="Y101" s="42">
        <f ca="1">Y64-Y63</f>
        <v>0</v>
      </c>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c r="C102" s="9" t="s">
        <v>80</v>
      </c>
      <c r="E102" s="42">
        <f t="shared" ca="1" si="26"/>
        <v>0</v>
      </c>
      <c r="F102" s="42">
        <f t="shared" ca="1" si="26"/>
        <v>0</v>
      </c>
      <c r="G102" s="42">
        <f t="shared" ca="1" si="26"/>
        <v>0</v>
      </c>
      <c r="H102" s="42">
        <f t="shared" ca="1" si="26"/>
        <v>0</v>
      </c>
      <c r="I102" s="42">
        <f t="shared" ca="1" si="26"/>
        <v>0</v>
      </c>
      <c r="J102" s="42">
        <f t="shared" ca="1" si="26"/>
        <v>0</v>
      </c>
      <c r="K102" s="42">
        <f t="shared" ca="1" si="26"/>
        <v>0</v>
      </c>
      <c r="L102" s="42">
        <f t="shared" ca="1" si="26"/>
        <v>0</v>
      </c>
      <c r="M102" s="42">
        <f t="shared" ca="1" si="26"/>
        <v>0</v>
      </c>
      <c r="N102" s="42">
        <f t="shared" ca="1" si="26"/>
        <v>0</v>
      </c>
      <c r="O102" s="42">
        <f t="shared" ca="1" si="26"/>
        <v>0</v>
      </c>
      <c r="P102" s="42">
        <f t="shared" ca="1" si="26"/>
        <v>0</v>
      </c>
      <c r="Q102" s="42">
        <f t="shared" ca="1" si="26"/>
        <v>0</v>
      </c>
      <c r="R102" s="42">
        <f t="shared" ca="1" si="26"/>
        <v>0</v>
      </c>
      <c r="S102" s="42">
        <f t="shared" ca="1" si="26"/>
        <v>0</v>
      </c>
      <c r="T102" s="42">
        <f t="shared" ca="1" si="26"/>
        <v>0</v>
      </c>
      <c r="U102" s="42">
        <f t="shared" ca="1" si="26"/>
        <v>0</v>
      </c>
      <c r="V102" s="42">
        <f t="shared" ca="1" si="26"/>
        <v>0</v>
      </c>
      <c r="W102" s="42">
        <f t="shared" ca="1" si="26"/>
        <v>0</v>
      </c>
      <c r="X102" s="42">
        <f t="shared" ca="1" si="26"/>
        <v>0</v>
      </c>
      <c r="Y102" s="42">
        <f t="shared" ref="Y102:Y131" ca="1" si="27">Y65-Y64</f>
        <v>0</v>
      </c>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row>
    <row r="103" spans="1:80">
      <c r="C103" s="9" t="s">
        <v>83</v>
      </c>
      <c r="E103" s="42">
        <f t="shared" ca="1" si="26"/>
        <v>0</v>
      </c>
      <c r="F103" s="42">
        <f t="shared" ca="1" si="26"/>
        <v>0</v>
      </c>
      <c r="G103" s="42">
        <f t="shared" ca="1" si="26"/>
        <v>0</v>
      </c>
      <c r="H103" s="42">
        <f t="shared" ca="1" si="26"/>
        <v>0</v>
      </c>
      <c r="I103" s="42">
        <f t="shared" ca="1" si="26"/>
        <v>0</v>
      </c>
      <c r="J103" s="42">
        <f t="shared" ca="1" si="26"/>
        <v>0</v>
      </c>
      <c r="K103" s="42">
        <f t="shared" ca="1" si="26"/>
        <v>0</v>
      </c>
      <c r="L103" s="42">
        <f t="shared" ca="1" si="26"/>
        <v>0</v>
      </c>
      <c r="M103" s="42">
        <f t="shared" ca="1" si="26"/>
        <v>0</v>
      </c>
      <c r="N103" s="42">
        <f t="shared" ca="1" si="26"/>
        <v>0</v>
      </c>
      <c r="O103" s="42">
        <f t="shared" ca="1" si="26"/>
        <v>0</v>
      </c>
      <c r="P103" s="42">
        <f t="shared" ca="1" si="26"/>
        <v>0</v>
      </c>
      <c r="Q103" s="42">
        <f t="shared" ca="1" si="26"/>
        <v>0</v>
      </c>
      <c r="R103" s="42">
        <f t="shared" ca="1" si="26"/>
        <v>0</v>
      </c>
      <c r="S103" s="42">
        <f t="shared" ca="1" si="26"/>
        <v>0</v>
      </c>
      <c r="T103" s="42">
        <f t="shared" ca="1" si="26"/>
        <v>0</v>
      </c>
      <c r="U103" s="42">
        <f t="shared" ca="1" si="26"/>
        <v>0</v>
      </c>
      <c r="V103" s="42">
        <f t="shared" ca="1" si="26"/>
        <v>0</v>
      </c>
      <c r="W103" s="42">
        <f t="shared" ca="1" si="26"/>
        <v>0</v>
      </c>
      <c r="X103" s="42">
        <f t="shared" ca="1" si="26"/>
        <v>0</v>
      </c>
      <c r="Y103" s="42">
        <f ca="1">Y66-Y65</f>
        <v>0</v>
      </c>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row>
    <row r="104" spans="1:80">
      <c r="C104" s="9" t="s">
        <v>86</v>
      </c>
      <c r="E104" s="42">
        <f t="shared" ca="1" si="26"/>
        <v>0</v>
      </c>
      <c r="F104" s="42">
        <f t="shared" ca="1" si="26"/>
        <v>0</v>
      </c>
      <c r="G104" s="42">
        <f t="shared" ca="1" si="26"/>
        <v>0</v>
      </c>
      <c r="H104" s="42">
        <f t="shared" ca="1" si="26"/>
        <v>0</v>
      </c>
      <c r="I104" s="42">
        <f t="shared" ca="1" si="26"/>
        <v>0</v>
      </c>
      <c r="J104" s="42">
        <f t="shared" ca="1" si="26"/>
        <v>0</v>
      </c>
      <c r="K104" s="42">
        <f t="shared" ca="1" si="26"/>
        <v>0</v>
      </c>
      <c r="L104" s="42">
        <f t="shared" ca="1" si="26"/>
        <v>0</v>
      </c>
      <c r="M104" s="42">
        <f t="shared" ca="1" si="26"/>
        <v>0</v>
      </c>
      <c r="N104" s="42">
        <f t="shared" ca="1" si="26"/>
        <v>0</v>
      </c>
      <c r="O104" s="42">
        <f t="shared" ca="1" si="26"/>
        <v>0</v>
      </c>
      <c r="P104" s="42">
        <f t="shared" ca="1" si="26"/>
        <v>0</v>
      </c>
      <c r="Q104" s="42">
        <f t="shared" ca="1" si="26"/>
        <v>0</v>
      </c>
      <c r="R104" s="42">
        <f t="shared" ca="1" si="26"/>
        <v>0</v>
      </c>
      <c r="S104" s="42">
        <f t="shared" ca="1" si="26"/>
        <v>0</v>
      </c>
      <c r="T104" s="42">
        <f t="shared" ca="1" si="26"/>
        <v>0</v>
      </c>
      <c r="U104" s="42">
        <f t="shared" ca="1" si="26"/>
        <v>0</v>
      </c>
      <c r="V104" s="42">
        <f t="shared" ca="1" si="26"/>
        <v>0</v>
      </c>
      <c r="W104" s="42">
        <f t="shared" ca="1" si="26"/>
        <v>0</v>
      </c>
      <c r="X104" s="42">
        <f t="shared" ca="1" si="26"/>
        <v>0</v>
      </c>
      <c r="Y104" s="42">
        <f ca="1">Y67-Y66</f>
        <v>0</v>
      </c>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c r="C105" s="9" t="s">
        <v>89</v>
      </c>
      <c r="E105" s="42">
        <f t="shared" ca="1" si="26"/>
        <v>0</v>
      </c>
      <c r="F105" s="42">
        <f t="shared" ca="1" si="26"/>
        <v>0</v>
      </c>
      <c r="G105" s="42">
        <f t="shared" ca="1" si="26"/>
        <v>0</v>
      </c>
      <c r="H105" s="42">
        <f t="shared" ca="1" si="26"/>
        <v>0</v>
      </c>
      <c r="I105" s="42">
        <f t="shared" ca="1" si="26"/>
        <v>0</v>
      </c>
      <c r="J105" s="42">
        <f t="shared" ca="1" si="26"/>
        <v>0</v>
      </c>
      <c r="K105" s="42">
        <f t="shared" ca="1" si="26"/>
        <v>0</v>
      </c>
      <c r="L105" s="42">
        <f t="shared" ca="1" si="26"/>
        <v>0</v>
      </c>
      <c r="M105" s="42">
        <f t="shared" ca="1" si="26"/>
        <v>0</v>
      </c>
      <c r="N105" s="42">
        <f t="shared" ca="1" si="26"/>
        <v>0</v>
      </c>
      <c r="O105" s="42">
        <f t="shared" ca="1" si="26"/>
        <v>0</v>
      </c>
      <c r="P105" s="42">
        <f t="shared" ca="1" si="26"/>
        <v>0</v>
      </c>
      <c r="Q105" s="42">
        <f t="shared" ca="1" si="26"/>
        <v>0</v>
      </c>
      <c r="R105" s="42">
        <f t="shared" ca="1" si="26"/>
        <v>0</v>
      </c>
      <c r="S105" s="42">
        <f t="shared" ca="1" si="26"/>
        <v>0</v>
      </c>
      <c r="T105" s="42">
        <f t="shared" ca="1" si="26"/>
        <v>0</v>
      </c>
      <c r="U105" s="42">
        <f t="shared" ca="1" si="26"/>
        <v>0</v>
      </c>
      <c r="V105" s="42">
        <f t="shared" ca="1" si="26"/>
        <v>0</v>
      </c>
      <c r="W105" s="42">
        <f t="shared" ca="1" si="26"/>
        <v>0</v>
      </c>
      <c r="X105" s="42">
        <f t="shared" ca="1" si="26"/>
        <v>0</v>
      </c>
      <c r="Y105" s="42">
        <f t="shared" ca="1" si="27"/>
        <v>0</v>
      </c>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row>
    <row r="106" spans="1:80">
      <c r="C106" s="9" t="s">
        <v>92</v>
      </c>
      <c r="E106" s="42">
        <f t="shared" ca="1" si="26"/>
        <v>0</v>
      </c>
      <c r="F106" s="42">
        <f t="shared" ca="1" si="26"/>
        <v>0</v>
      </c>
      <c r="G106" s="42">
        <f t="shared" ca="1" si="26"/>
        <v>0</v>
      </c>
      <c r="H106" s="42">
        <f t="shared" ca="1" si="26"/>
        <v>0</v>
      </c>
      <c r="I106" s="42">
        <f t="shared" ca="1" si="26"/>
        <v>0</v>
      </c>
      <c r="J106" s="42">
        <f t="shared" ca="1" si="26"/>
        <v>0</v>
      </c>
      <c r="K106" s="42">
        <f t="shared" ca="1" si="26"/>
        <v>0</v>
      </c>
      <c r="L106" s="42">
        <f t="shared" ca="1" si="26"/>
        <v>0</v>
      </c>
      <c r="M106" s="42">
        <f t="shared" ca="1" si="26"/>
        <v>0</v>
      </c>
      <c r="N106" s="42">
        <f t="shared" ca="1" si="26"/>
        <v>0</v>
      </c>
      <c r="O106" s="42">
        <f t="shared" ca="1" si="26"/>
        <v>0</v>
      </c>
      <c r="P106" s="42">
        <f t="shared" ca="1" si="26"/>
        <v>0</v>
      </c>
      <c r="Q106" s="42">
        <f t="shared" ca="1" si="26"/>
        <v>0</v>
      </c>
      <c r="R106" s="42">
        <f t="shared" ca="1" si="26"/>
        <v>0</v>
      </c>
      <c r="S106" s="42">
        <f t="shared" ca="1" si="26"/>
        <v>0</v>
      </c>
      <c r="T106" s="42">
        <f t="shared" ca="1" si="26"/>
        <v>0</v>
      </c>
      <c r="U106" s="42">
        <f t="shared" ca="1" si="26"/>
        <v>0</v>
      </c>
      <c r="V106" s="42">
        <f t="shared" ca="1" si="26"/>
        <v>0</v>
      </c>
      <c r="W106" s="42">
        <f t="shared" ca="1" si="26"/>
        <v>0</v>
      </c>
      <c r="X106" s="42">
        <f t="shared" ca="1" si="26"/>
        <v>0</v>
      </c>
      <c r="Y106" s="42">
        <f t="shared" ca="1" si="27"/>
        <v>0</v>
      </c>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row>
    <row r="107" spans="1:80">
      <c r="C107" s="9" t="s">
        <v>95</v>
      </c>
      <c r="E107" s="42">
        <f t="shared" ca="1" si="26"/>
        <v>0</v>
      </c>
      <c r="F107" s="42">
        <f t="shared" ca="1" si="26"/>
        <v>0</v>
      </c>
      <c r="G107" s="42">
        <f t="shared" ca="1" si="26"/>
        <v>0</v>
      </c>
      <c r="H107" s="42">
        <f t="shared" ca="1" si="26"/>
        <v>0</v>
      </c>
      <c r="I107" s="42">
        <f t="shared" ca="1" si="26"/>
        <v>0</v>
      </c>
      <c r="J107" s="42">
        <f t="shared" ca="1" si="26"/>
        <v>0</v>
      </c>
      <c r="K107" s="42">
        <f t="shared" ca="1" si="26"/>
        <v>0</v>
      </c>
      <c r="L107" s="42">
        <f t="shared" ca="1" si="26"/>
        <v>0</v>
      </c>
      <c r="M107" s="42">
        <f t="shared" ca="1" si="26"/>
        <v>0</v>
      </c>
      <c r="N107" s="42">
        <f t="shared" ca="1" si="26"/>
        <v>0</v>
      </c>
      <c r="O107" s="42">
        <f t="shared" ca="1" si="26"/>
        <v>0</v>
      </c>
      <c r="P107" s="42">
        <f t="shared" ca="1" si="26"/>
        <v>0</v>
      </c>
      <c r="Q107" s="42">
        <f t="shared" ca="1" si="26"/>
        <v>0</v>
      </c>
      <c r="R107" s="42">
        <f t="shared" ca="1" si="26"/>
        <v>0</v>
      </c>
      <c r="S107" s="42">
        <f t="shared" ca="1" si="26"/>
        <v>0</v>
      </c>
      <c r="T107" s="42">
        <f t="shared" ca="1" si="26"/>
        <v>0</v>
      </c>
      <c r="U107" s="42">
        <f t="shared" ca="1" si="26"/>
        <v>0</v>
      </c>
      <c r="V107" s="42">
        <f t="shared" ca="1" si="26"/>
        <v>0</v>
      </c>
      <c r="W107" s="42">
        <f t="shared" ca="1" si="26"/>
        <v>0</v>
      </c>
      <c r="X107" s="42">
        <f t="shared" ca="1" si="26"/>
        <v>0</v>
      </c>
      <c r="Y107" s="42">
        <f t="shared" ca="1" si="27"/>
        <v>0</v>
      </c>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row>
    <row r="108" spans="1:80">
      <c r="C108" s="9" t="s">
        <v>98</v>
      </c>
      <c r="E108" s="42">
        <f t="shared" ca="1" si="26"/>
        <v>0</v>
      </c>
      <c r="F108" s="42">
        <f t="shared" ca="1" si="26"/>
        <v>0</v>
      </c>
      <c r="G108" s="42">
        <f t="shared" ca="1" si="26"/>
        <v>0</v>
      </c>
      <c r="H108" s="42">
        <f t="shared" ca="1" si="26"/>
        <v>0</v>
      </c>
      <c r="I108" s="42">
        <f t="shared" ca="1" si="26"/>
        <v>0</v>
      </c>
      <c r="J108" s="42">
        <f t="shared" ca="1" si="26"/>
        <v>0</v>
      </c>
      <c r="K108" s="42">
        <f t="shared" ca="1" si="26"/>
        <v>0</v>
      </c>
      <c r="L108" s="42">
        <f t="shared" ca="1" si="26"/>
        <v>0</v>
      </c>
      <c r="M108" s="42">
        <f t="shared" ca="1" si="26"/>
        <v>0</v>
      </c>
      <c r="N108" s="42">
        <f t="shared" ca="1" si="26"/>
        <v>0</v>
      </c>
      <c r="O108" s="42">
        <f t="shared" ca="1" si="26"/>
        <v>0</v>
      </c>
      <c r="P108" s="42">
        <f t="shared" ca="1" si="26"/>
        <v>0</v>
      </c>
      <c r="Q108" s="42">
        <f t="shared" ca="1" si="26"/>
        <v>0</v>
      </c>
      <c r="R108" s="42">
        <f t="shared" ca="1" si="26"/>
        <v>0</v>
      </c>
      <c r="S108" s="42">
        <f t="shared" ca="1" si="26"/>
        <v>0</v>
      </c>
      <c r="T108" s="42">
        <f t="shared" ca="1" si="26"/>
        <v>0</v>
      </c>
      <c r="U108" s="42">
        <f t="shared" ca="1" si="26"/>
        <v>0</v>
      </c>
      <c r="V108" s="42">
        <f t="shared" ca="1" si="26"/>
        <v>0</v>
      </c>
      <c r="W108" s="42">
        <f t="shared" ca="1" si="26"/>
        <v>0</v>
      </c>
      <c r="X108" s="42">
        <f t="shared" ca="1" si="26"/>
        <v>0</v>
      </c>
      <c r="Y108" s="42">
        <f t="shared" ca="1" si="27"/>
        <v>0</v>
      </c>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row>
    <row r="109" spans="1:80">
      <c r="C109" s="9" t="s">
        <v>101</v>
      </c>
      <c r="E109" s="42">
        <f t="shared" ca="1" si="26"/>
        <v>0</v>
      </c>
      <c r="F109" s="42">
        <f t="shared" ca="1" si="26"/>
        <v>0</v>
      </c>
      <c r="G109" s="42">
        <f t="shared" ca="1" si="26"/>
        <v>0</v>
      </c>
      <c r="H109" s="42">
        <f t="shared" ca="1" si="26"/>
        <v>0</v>
      </c>
      <c r="I109" s="42">
        <f t="shared" ca="1" si="26"/>
        <v>0</v>
      </c>
      <c r="J109" s="42">
        <f t="shared" ca="1" si="26"/>
        <v>0</v>
      </c>
      <c r="K109" s="42">
        <f t="shared" ca="1" si="26"/>
        <v>0</v>
      </c>
      <c r="L109" s="42">
        <f t="shared" ca="1" si="26"/>
        <v>0</v>
      </c>
      <c r="M109" s="42">
        <f t="shared" ca="1" si="26"/>
        <v>0</v>
      </c>
      <c r="N109" s="42">
        <f t="shared" ca="1" si="26"/>
        <v>0</v>
      </c>
      <c r="O109" s="42">
        <f t="shared" ca="1" si="26"/>
        <v>0</v>
      </c>
      <c r="P109" s="42">
        <f t="shared" ca="1" si="26"/>
        <v>0</v>
      </c>
      <c r="Q109" s="42">
        <f t="shared" ca="1" si="26"/>
        <v>0</v>
      </c>
      <c r="R109" s="42">
        <f t="shared" ca="1" si="26"/>
        <v>0</v>
      </c>
      <c r="S109" s="42">
        <f t="shared" ca="1" si="26"/>
        <v>0</v>
      </c>
      <c r="T109" s="42">
        <f t="shared" ca="1" si="26"/>
        <v>0</v>
      </c>
      <c r="U109" s="42">
        <f t="shared" ca="1" si="26"/>
        <v>0</v>
      </c>
      <c r="V109" s="42">
        <f t="shared" ca="1" si="26"/>
        <v>0</v>
      </c>
      <c r="W109" s="42">
        <f t="shared" ca="1" si="26"/>
        <v>0</v>
      </c>
      <c r="X109" s="42">
        <f t="shared" ca="1" si="26"/>
        <v>0</v>
      </c>
      <c r="Y109" s="42">
        <f t="shared" ca="1" si="27"/>
        <v>0</v>
      </c>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c r="C110" s="9" t="s">
        <v>104</v>
      </c>
      <c r="E110" s="42">
        <f t="shared" ca="1" si="26"/>
        <v>0</v>
      </c>
      <c r="F110" s="42">
        <f t="shared" ca="1" si="26"/>
        <v>0</v>
      </c>
      <c r="G110" s="42">
        <f t="shared" ca="1" si="26"/>
        <v>0</v>
      </c>
      <c r="H110" s="42">
        <f t="shared" ca="1" si="26"/>
        <v>0</v>
      </c>
      <c r="I110" s="42">
        <f t="shared" ca="1" si="26"/>
        <v>0</v>
      </c>
      <c r="J110" s="42">
        <f t="shared" ca="1" si="26"/>
        <v>0</v>
      </c>
      <c r="K110" s="42">
        <f t="shared" ca="1" si="26"/>
        <v>0</v>
      </c>
      <c r="L110" s="42">
        <f t="shared" ca="1" si="26"/>
        <v>0</v>
      </c>
      <c r="M110" s="42">
        <f t="shared" ca="1" si="26"/>
        <v>0</v>
      </c>
      <c r="N110" s="42">
        <f t="shared" ca="1" si="26"/>
        <v>0</v>
      </c>
      <c r="O110" s="42">
        <f t="shared" ca="1" si="26"/>
        <v>0</v>
      </c>
      <c r="P110" s="42">
        <f t="shared" ca="1" si="26"/>
        <v>0</v>
      </c>
      <c r="Q110" s="42">
        <f t="shared" ca="1" si="26"/>
        <v>0</v>
      </c>
      <c r="R110" s="42">
        <f t="shared" ca="1" si="26"/>
        <v>0</v>
      </c>
      <c r="S110" s="42">
        <f t="shared" ca="1" si="26"/>
        <v>0</v>
      </c>
      <c r="T110" s="42">
        <f t="shared" ca="1" si="26"/>
        <v>0</v>
      </c>
      <c r="U110" s="42">
        <f t="shared" ca="1" si="26"/>
        <v>0</v>
      </c>
      <c r="V110" s="42">
        <f t="shared" ca="1" si="26"/>
        <v>0</v>
      </c>
      <c r="W110" s="42">
        <f t="shared" ca="1" si="26"/>
        <v>0</v>
      </c>
      <c r="X110" s="42">
        <f t="shared" ca="1" si="26"/>
        <v>0</v>
      </c>
      <c r="Y110" s="42">
        <f t="shared" ca="1" si="27"/>
        <v>0</v>
      </c>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row>
    <row r="111" spans="1:80">
      <c r="C111" s="9" t="s">
        <v>107</v>
      </c>
      <c r="E111" s="42">
        <f t="shared" ca="1" si="26"/>
        <v>0</v>
      </c>
      <c r="F111" s="42">
        <f t="shared" ca="1" si="26"/>
        <v>0</v>
      </c>
      <c r="G111" s="42">
        <f t="shared" ca="1" si="26"/>
        <v>0</v>
      </c>
      <c r="H111" s="42">
        <f t="shared" ca="1" si="26"/>
        <v>0</v>
      </c>
      <c r="I111" s="42">
        <f t="shared" ca="1" si="26"/>
        <v>0</v>
      </c>
      <c r="J111" s="42">
        <f t="shared" ca="1" si="26"/>
        <v>0</v>
      </c>
      <c r="K111" s="42">
        <f t="shared" ca="1" si="26"/>
        <v>0</v>
      </c>
      <c r="L111" s="42">
        <f t="shared" ca="1" si="26"/>
        <v>0</v>
      </c>
      <c r="M111" s="42">
        <f t="shared" ca="1" si="26"/>
        <v>0</v>
      </c>
      <c r="N111" s="42">
        <f t="shared" ca="1" si="26"/>
        <v>0</v>
      </c>
      <c r="O111" s="42">
        <f t="shared" ca="1" si="26"/>
        <v>0</v>
      </c>
      <c r="P111" s="42">
        <f t="shared" ca="1" si="26"/>
        <v>0</v>
      </c>
      <c r="Q111" s="42">
        <f t="shared" ca="1" si="26"/>
        <v>0</v>
      </c>
      <c r="R111" s="42">
        <f t="shared" ca="1" si="26"/>
        <v>0</v>
      </c>
      <c r="S111" s="42">
        <f t="shared" ca="1" si="26"/>
        <v>0</v>
      </c>
      <c r="T111" s="42">
        <f t="shared" ca="1" si="26"/>
        <v>0</v>
      </c>
      <c r="U111" s="42">
        <f t="shared" ca="1" si="26"/>
        <v>0</v>
      </c>
      <c r="V111" s="42">
        <f t="shared" ca="1" si="26"/>
        <v>0</v>
      </c>
      <c r="W111" s="42">
        <f t="shared" ca="1" si="26"/>
        <v>0</v>
      </c>
      <c r="X111" s="42">
        <f t="shared" ca="1" si="26"/>
        <v>0</v>
      </c>
      <c r="Y111" s="42">
        <f t="shared" ca="1" si="27"/>
        <v>0</v>
      </c>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row>
    <row r="112" spans="1:80">
      <c r="C112" s="9" t="s">
        <v>110</v>
      </c>
      <c r="E112" s="42">
        <f t="shared" ca="1" si="26"/>
        <v>0</v>
      </c>
      <c r="F112" s="42">
        <f t="shared" ca="1" si="26"/>
        <v>0</v>
      </c>
      <c r="G112" s="42">
        <f t="shared" ca="1" si="26"/>
        <v>0</v>
      </c>
      <c r="H112" s="42">
        <f t="shared" ca="1" si="26"/>
        <v>0</v>
      </c>
      <c r="I112" s="42">
        <f t="shared" ca="1" si="26"/>
        <v>0</v>
      </c>
      <c r="J112" s="42">
        <f t="shared" ca="1" si="26"/>
        <v>0</v>
      </c>
      <c r="K112" s="42">
        <f t="shared" ca="1" si="26"/>
        <v>0</v>
      </c>
      <c r="L112" s="42">
        <f t="shared" ca="1" si="26"/>
        <v>0</v>
      </c>
      <c r="M112" s="42">
        <f t="shared" ca="1" si="26"/>
        <v>0</v>
      </c>
      <c r="N112" s="42">
        <f t="shared" ca="1" si="26"/>
        <v>0</v>
      </c>
      <c r="O112" s="42">
        <f t="shared" ca="1" si="26"/>
        <v>0</v>
      </c>
      <c r="P112" s="42">
        <f t="shared" ca="1" si="26"/>
        <v>0</v>
      </c>
      <c r="Q112" s="42">
        <f t="shared" ca="1" si="26"/>
        <v>0</v>
      </c>
      <c r="R112" s="42">
        <f t="shared" ca="1" si="26"/>
        <v>0</v>
      </c>
      <c r="S112" s="42">
        <f t="shared" ca="1" si="26"/>
        <v>0</v>
      </c>
      <c r="T112" s="42">
        <f t="shared" ca="1" si="26"/>
        <v>0</v>
      </c>
      <c r="U112" s="42">
        <f t="shared" ca="1" si="26"/>
        <v>0</v>
      </c>
      <c r="V112" s="42">
        <f t="shared" ca="1" si="26"/>
        <v>0</v>
      </c>
      <c r="W112" s="42">
        <f t="shared" ca="1" si="26"/>
        <v>0</v>
      </c>
      <c r="X112" s="42">
        <f t="shared" ca="1" si="26"/>
        <v>0</v>
      </c>
      <c r="Y112" s="42">
        <f t="shared" ca="1" si="27"/>
        <v>0</v>
      </c>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3:80">
      <c r="C113" s="9" t="s">
        <v>113</v>
      </c>
      <c r="E113" s="42">
        <f t="shared" ca="1" si="26"/>
        <v>0</v>
      </c>
      <c r="F113" s="42">
        <f t="shared" ca="1" si="26"/>
        <v>0</v>
      </c>
      <c r="G113" s="42">
        <f t="shared" ca="1" si="26"/>
        <v>0</v>
      </c>
      <c r="H113" s="42">
        <f t="shared" ref="H113:X113" ca="1" si="28">H76-H75</f>
        <v>0</v>
      </c>
      <c r="I113" s="42">
        <f t="shared" ca="1" si="28"/>
        <v>0</v>
      </c>
      <c r="J113" s="42">
        <f t="shared" ca="1" si="28"/>
        <v>0</v>
      </c>
      <c r="K113" s="42">
        <f t="shared" ca="1" si="28"/>
        <v>0</v>
      </c>
      <c r="L113" s="42">
        <f t="shared" ca="1" si="28"/>
        <v>0</v>
      </c>
      <c r="M113" s="42">
        <f t="shared" ca="1" si="28"/>
        <v>0</v>
      </c>
      <c r="N113" s="42">
        <f t="shared" ca="1" si="28"/>
        <v>0</v>
      </c>
      <c r="O113" s="42">
        <f t="shared" ca="1" si="28"/>
        <v>0</v>
      </c>
      <c r="P113" s="42">
        <f t="shared" ca="1" si="28"/>
        <v>0</v>
      </c>
      <c r="Q113" s="42">
        <f t="shared" ca="1" si="28"/>
        <v>0</v>
      </c>
      <c r="R113" s="42">
        <f t="shared" ca="1" si="28"/>
        <v>0</v>
      </c>
      <c r="S113" s="42">
        <f t="shared" ca="1" si="28"/>
        <v>0</v>
      </c>
      <c r="T113" s="42">
        <f t="shared" ca="1" si="28"/>
        <v>0</v>
      </c>
      <c r="U113" s="42">
        <f t="shared" ca="1" si="28"/>
        <v>0</v>
      </c>
      <c r="V113" s="42">
        <f t="shared" ca="1" si="28"/>
        <v>0</v>
      </c>
      <c r="W113" s="42">
        <f t="shared" ca="1" si="28"/>
        <v>0</v>
      </c>
      <c r="X113" s="42">
        <f t="shared" ca="1" si="28"/>
        <v>0</v>
      </c>
      <c r="Y113" s="42">
        <f t="shared" ca="1" si="27"/>
        <v>0</v>
      </c>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row>
    <row r="114" spans="3:80">
      <c r="C114" s="9" t="s">
        <v>116</v>
      </c>
      <c r="E114" s="42">
        <f t="shared" ref="E114:X114" ca="1" si="29">E77-E76</f>
        <v>0</v>
      </c>
      <c r="F114" s="42">
        <f t="shared" ca="1" si="29"/>
        <v>0</v>
      </c>
      <c r="G114" s="42">
        <f t="shared" ca="1" si="29"/>
        <v>0</v>
      </c>
      <c r="H114" s="42">
        <f t="shared" ca="1" si="29"/>
        <v>0</v>
      </c>
      <c r="I114" s="42">
        <f t="shared" ca="1" si="29"/>
        <v>0</v>
      </c>
      <c r="J114" s="42">
        <f t="shared" ca="1" si="29"/>
        <v>0</v>
      </c>
      <c r="K114" s="42">
        <f t="shared" ca="1" si="29"/>
        <v>0</v>
      </c>
      <c r="L114" s="42">
        <f t="shared" ca="1" si="29"/>
        <v>0</v>
      </c>
      <c r="M114" s="42">
        <f t="shared" ca="1" si="29"/>
        <v>0</v>
      </c>
      <c r="N114" s="42">
        <f t="shared" ca="1" si="29"/>
        <v>0</v>
      </c>
      <c r="O114" s="42">
        <f t="shared" ca="1" si="29"/>
        <v>0</v>
      </c>
      <c r="P114" s="42">
        <f t="shared" ca="1" si="29"/>
        <v>0</v>
      </c>
      <c r="Q114" s="42">
        <f t="shared" ca="1" si="29"/>
        <v>0</v>
      </c>
      <c r="R114" s="42">
        <f t="shared" ca="1" si="29"/>
        <v>0</v>
      </c>
      <c r="S114" s="42">
        <f t="shared" ca="1" si="29"/>
        <v>0</v>
      </c>
      <c r="T114" s="42">
        <f t="shared" ca="1" si="29"/>
        <v>0</v>
      </c>
      <c r="U114" s="42">
        <f t="shared" ca="1" si="29"/>
        <v>0</v>
      </c>
      <c r="V114" s="42">
        <f t="shared" ca="1" si="29"/>
        <v>0</v>
      </c>
      <c r="W114" s="42">
        <f t="shared" ca="1" si="29"/>
        <v>0</v>
      </c>
      <c r="X114" s="42">
        <f t="shared" ca="1" si="29"/>
        <v>0</v>
      </c>
      <c r="Y114" s="42">
        <f t="shared" ca="1" si="27"/>
        <v>0</v>
      </c>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3:80">
      <c r="C115" s="9" t="s">
        <v>119</v>
      </c>
      <c r="E115" s="42">
        <f t="shared" ref="E115:X115" ca="1" si="30">E78-E77</f>
        <v>0</v>
      </c>
      <c r="F115" s="42">
        <f t="shared" ca="1" si="30"/>
        <v>0</v>
      </c>
      <c r="G115" s="42">
        <f t="shared" ca="1" si="30"/>
        <v>0</v>
      </c>
      <c r="H115" s="42">
        <f t="shared" ca="1" si="30"/>
        <v>0</v>
      </c>
      <c r="I115" s="42">
        <f t="shared" ca="1" si="30"/>
        <v>0</v>
      </c>
      <c r="J115" s="42">
        <f t="shared" ca="1" si="30"/>
        <v>0</v>
      </c>
      <c r="K115" s="42">
        <f t="shared" ca="1" si="30"/>
        <v>0</v>
      </c>
      <c r="L115" s="42">
        <f t="shared" ca="1" si="30"/>
        <v>0</v>
      </c>
      <c r="M115" s="42">
        <f t="shared" ca="1" si="30"/>
        <v>0</v>
      </c>
      <c r="N115" s="42">
        <f t="shared" ca="1" si="30"/>
        <v>0</v>
      </c>
      <c r="O115" s="42">
        <f t="shared" ca="1" si="30"/>
        <v>0</v>
      </c>
      <c r="P115" s="42">
        <f t="shared" ca="1" si="30"/>
        <v>0</v>
      </c>
      <c r="Q115" s="42">
        <f t="shared" ca="1" si="30"/>
        <v>0</v>
      </c>
      <c r="R115" s="42">
        <f t="shared" ca="1" si="30"/>
        <v>0</v>
      </c>
      <c r="S115" s="42">
        <f t="shared" ca="1" si="30"/>
        <v>0</v>
      </c>
      <c r="T115" s="42">
        <f t="shared" ca="1" si="30"/>
        <v>0</v>
      </c>
      <c r="U115" s="42">
        <f t="shared" ca="1" si="30"/>
        <v>0</v>
      </c>
      <c r="V115" s="42">
        <f t="shared" ca="1" si="30"/>
        <v>0</v>
      </c>
      <c r="W115" s="42">
        <f t="shared" ca="1" si="30"/>
        <v>0</v>
      </c>
      <c r="X115" s="42">
        <f t="shared" ca="1" si="30"/>
        <v>0</v>
      </c>
      <c r="Y115" s="42">
        <f t="shared" ca="1" si="27"/>
        <v>0</v>
      </c>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3:80">
      <c r="C116" s="9" t="s">
        <v>122</v>
      </c>
      <c r="E116" s="42">
        <f t="shared" ref="E116:X116" ca="1" si="31">E79-E78</f>
        <v>0</v>
      </c>
      <c r="F116" s="42">
        <f t="shared" ca="1" si="31"/>
        <v>0</v>
      </c>
      <c r="G116" s="42">
        <f t="shared" ca="1" si="31"/>
        <v>0</v>
      </c>
      <c r="H116" s="42">
        <f t="shared" ca="1" si="31"/>
        <v>0</v>
      </c>
      <c r="I116" s="42">
        <f t="shared" ca="1" si="31"/>
        <v>0</v>
      </c>
      <c r="J116" s="42">
        <f t="shared" ca="1" si="31"/>
        <v>0</v>
      </c>
      <c r="K116" s="42">
        <f t="shared" ca="1" si="31"/>
        <v>0</v>
      </c>
      <c r="L116" s="42">
        <f t="shared" ca="1" si="31"/>
        <v>0</v>
      </c>
      <c r="M116" s="42">
        <f t="shared" ca="1" si="31"/>
        <v>0</v>
      </c>
      <c r="N116" s="42">
        <f t="shared" ca="1" si="31"/>
        <v>0</v>
      </c>
      <c r="O116" s="42">
        <f t="shared" ca="1" si="31"/>
        <v>0</v>
      </c>
      <c r="P116" s="42">
        <f t="shared" ca="1" si="31"/>
        <v>0</v>
      </c>
      <c r="Q116" s="42">
        <f t="shared" ca="1" si="31"/>
        <v>0</v>
      </c>
      <c r="R116" s="42">
        <f t="shared" ca="1" si="31"/>
        <v>0</v>
      </c>
      <c r="S116" s="42">
        <f t="shared" ca="1" si="31"/>
        <v>0</v>
      </c>
      <c r="T116" s="42">
        <f t="shared" ca="1" si="31"/>
        <v>0</v>
      </c>
      <c r="U116" s="42">
        <f t="shared" ca="1" si="31"/>
        <v>0</v>
      </c>
      <c r="V116" s="42">
        <f t="shared" ca="1" si="31"/>
        <v>0</v>
      </c>
      <c r="W116" s="42">
        <f t="shared" ca="1" si="31"/>
        <v>0</v>
      </c>
      <c r="X116" s="42">
        <f t="shared" ca="1" si="31"/>
        <v>0</v>
      </c>
      <c r="Y116" s="42">
        <f t="shared" ca="1" si="27"/>
        <v>0</v>
      </c>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row>
    <row r="117" spans="3:80">
      <c r="C117" s="9" t="s">
        <v>125</v>
      </c>
      <c r="E117" s="42">
        <f t="shared" ref="E117:X117" ca="1" si="32">E80-E79</f>
        <v>0</v>
      </c>
      <c r="F117" s="42">
        <f t="shared" ca="1" si="32"/>
        <v>0</v>
      </c>
      <c r="G117" s="42">
        <f t="shared" ca="1" si="32"/>
        <v>0</v>
      </c>
      <c r="H117" s="42">
        <f t="shared" ca="1" si="32"/>
        <v>0</v>
      </c>
      <c r="I117" s="42">
        <f t="shared" ca="1" si="32"/>
        <v>0</v>
      </c>
      <c r="J117" s="42">
        <f t="shared" ca="1" si="32"/>
        <v>0</v>
      </c>
      <c r="K117" s="42">
        <f t="shared" ca="1" si="32"/>
        <v>0</v>
      </c>
      <c r="L117" s="42">
        <f t="shared" ca="1" si="32"/>
        <v>0</v>
      </c>
      <c r="M117" s="42">
        <f t="shared" ca="1" si="32"/>
        <v>0</v>
      </c>
      <c r="N117" s="42">
        <f t="shared" ca="1" si="32"/>
        <v>0</v>
      </c>
      <c r="O117" s="42">
        <f t="shared" ca="1" si="32"/>
        <v>0</v>
      </c>
      <c r="P117" s="42">
        <f t="shared" ca="1" si="32"/>
        <v>0</v>
      </c>
      <c r="Q117" s="42">
        <f t="shared" ca="1" si="32"/>
        <v>0</v>
      </c>
      <c r="R117" s="42">
        <f t="shared" ca="1" si="32"/>
        <v>0</v>
      </c>
      <c r="S117" s="42">
        <f t="shared" ca="1" si="32"/>
        <v>0</v>
      </c>
      <c r="T117" s="42">
        <f t="shared" ca="1" si="32"/>
        <v>0</v>
      </c>
      <c r="U117" s="42">
        <f t="shared" ca="1" si="32"/>
        <v>0</v>
      </c>
      <c r="V117" s="42">
        <f t="shared" ca="1" si="32"/>
        <v>0</v>
      </c>
      <c r="W117" s="42">
        <f t="shared" ca="1" si="32"/>
        <v>0</v>
      </c>
      <c r="X117" s="42">
        <f t="shared" ca="1" si="32"/>
        <v>0</v>
      </c>
      <c r="Y117" s="42">
        <f t="shared" ca="1" si="27"/>
        <v>0</v>
      </c>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row>
    <row r="118" spans="3:80">
      <c r="C118" s="9" t="s">
        <v>128</v>
      </c>
      <c r="E118" s="42">
        <f t="shared" ref="E118:X118" ca="1" si="33">E81-E80</f>
        <v>0</v>
      </c>
      <c r="F118" s="42">
        <f t="shared" ca="1" si="33"/>
        <v>0</v>
      </c>
      <c r="G118" s="42">
        <f t="shared" ca="1" si="33"/>
        <v>0</v>
      </c>
      <c r="H118" s="42">
        <f t="shared" ca="1" si="33"/>
        <v>0</v>
      </c>
      <c r="I118" s="42">
        <f t="shared" ca="1" si="33"/>
        <v>0</v>
      </c>
      <c r="J118" s="42">
        <f t="shared" ca="1" si="33"/>
        <v>0</v>
      </c>
      <c r="K118" s="42">
        <f t="shared" ca="1" si="33"/>
        <v>0</v>
      </c>
      <c r="L118" s="42">
        <f t="shared" ca="1" si="33"/>
        <v>0</v>
      </c>
      <c r="M118" s="42">
        <f t="shared" ca="1" si="33"/>
        <v>0</v>
      </c>
      <c r="N118" s="42">
        <f t="shared" ca="1" si="33"/>
        <v>0</v>
      </c>
      <c r="O118" s="42">
        <f t="shared" ca="1" si="33"/>
        <v>0</v>
      </c>
      <c r="P118" s="42">
        <f t="shared" ca="1" si="33"/>
        <v>0</v>
      </c>
      <c r="Q118" s="42">
        <f t="shared" ca="1" si="33"/>
        <v>0</v>
      </c>
      <c r="R118" s="42">
        <f t="shared" ca="1" si="33"/>
        <v>0</v>
      </c>
      <c r="S118" s="42">
        <f t="shared" ca="1" si="33"/>
        <v>0</v>
      </c>
      <c r="T118" s="42">
        <f t="shared" ca="1" si="33"/>
        <v>0</v>
      </c>
      <c r="U118" s="42">
        <f t="shared" ca="1" si="33"/>
        <v>0</v>
      </c>
      <c r="V118" s="42">
        <f t="shared" ca="1" si="33"/>
        <v>0</v>
      </c>
      <c r="W118" s="42">
        <f t="shared" ca="1" si="33"/>
        <v>0</v>
      </c>
      <c r="X118" s="42">
        <f t="shared" ca="1" si="33"/>
        <v>0</v>
      </c>
      <c r="Y118" s="42">
        <f t="shared" ca="1" si="27"/>
        <v>0</v>
      </c>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3:80">
      <c r="C119" s="9" t="s">
        <v>131</v>
      </c>
      <c r="E119" s="42">
        <f t="shared" ref="E119:X119" ca="1" si="34">E82-E81</f>
        <v>0</v>
      </c>
      <c r="F119" s="42">
        <f t="shared" ca="1" si="34"/>
        <v>0</v>
      </c>
      <c r="G119" s="42">
        <f t="shared" ca="1" si="34"/>
        <v>0</v>
      </c>
      <c r="H119" s="42">
        <f t="shared" ca="1" si="34"/>
        <v>0</v>
      </c>
      <c r="I119" s="42">
        <f t="shared" ca="1" si="34"/>
        <v>0</v>
      </c>
      <c r="J119" s="42">
        <f t="shared" ca="1" si="34"/>
        <v>0</v>
      </c>
      <c r="K119" s="42">
        <f t="shared" ca="1" si="34"/>
        <v>0</v>
      </c>
      <c r="L119" s="42">
        <f t="shared" ca="1" si="34"/>
        <v>0</v>
      </c>
      <c r="M119" s="42">
        <f t="shared" ca="1" si="34"/>
        <v>0</v>
      </c>
      <c r="N119" s="42">
        <f t="shared" ca="1" si="34"/>
        <v>0</v>
      </c>
      <c r="O119" s="42">
        <f t="shared" ca="1" si="34"/>
        <v>0</v>
      </c>
      <c r="P119" s="42">
        <f t="shared" ca="1" si="34"/>
        <v>0</v>
      </c>
      <c r="Q119" s="42">
        <f t="shared" ca="1" si="34"/>
        <v>0</v>
      </c>
      <c r="R119" s="42">
        <f t="shared" ca="1" si="34"/>
        <v>0</v>
      </c>
      <c r="S119" s="42">
        <f t="shared" ca="1" si="34"/>
        <v>0</v>
      </c>
      <c r="T119" s="42">
        <f t="shared" ca="1" si="34"/>
        <v>0</v>
      </c>
      <c r="U119" s="42">
        <f t="shared" ca="1" si="34"/>
        <v>0</v>
      </c>
      <c r="V119" s="42">
        <f t="shared" ca="1" si="34"/>
        <v>0</v>
      </c>
      <c r="W119" s="42">
        <f t="shared" ca="1" si="34"/>
        <v>0</v>
      </c>
      <c r="X119" s="42">
        <f t="shared" ca="1" si="34"/>
        <v>0</v>
      </c>
      <c r="Y119" s="42">
        <f t="shared" ca="1" si="27"/>
        <v>0</v>
      </c>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row>
    <row r="120" spans="3:80">
      <c r="C120" s="9" t="s">
        <v>134</v>
      </c>
      <c r="E120" s="42">
        <f t="shared" ref="E120:X120" ca="1" si="35">E83-E82</f>
        <v>0</v>
      </c>
      <c r="F120" s="42">
        <f t="shared" ca="1" si="35"/>
        <v>0</v>
      </c>
      <c r="G120" s="42">
        <f t="shared" ca="1" si="35"/>
        <v>0</v>
      </c>
      <c r="H120" s="42">
        <f t="shared" ca="1" si="35"/>
        <v>0</v>
      </c>
      <c r="I120" s="42">
        <f t="shared" ca="1" si="35"/>
        <v>0</v>
      </c>
      <c r="J120" s="42">
        <f t="shared" ca="1" si="35"/>
        <v>0</v>
      </c>
      <c r="K120" s="42">
        <f t="shared" ca="1" si="35"/>
        <v>0</v>
      </c>
      <c r="L120" s="42">
        <f t="shared" ca="1" si="35"/>
        <v>0</v>
      </c>
      <c r="M120" s="42">
        <f t="shared" ca="1" si="35"/>
        <v>0</v>
      </c>
      <c r="N120" s="42">
        <f t="shared" ca="1" si="35"/>
        <v>0</v>
      </c>
      <c r="O120" s="42">
        <f t="shared" ca="1" si="35"/>
        <v>0</v>
      </c>
      <c r="P120" s="42">
        <f t="shared" ca="1" si="35"/>
        <v>0</v>
      </c>
      <c r="Q120" s="42">
        <f t="shared" ca="1" si="35"/>
        <v>0</v>
      </c>
      <c r="R120" s="42">
        <f t="shared" ca="1" si="35"/>
        <v>0</v>
      </c>
      <c r="S120" s="42">
        <f t="shared" ca="1" si="35"/>
        <v>0</v>
      </c>
      <c r="T120" s="42">
        <f t="shared" ca="1" si="35"/>
        <v>0</v>
      </c>
      <c r="U120" s="42">
        <f t="shared" ca="1" si="35"/>
        <v>0</v>
      </c>
      <c r="V120" s="42">
        <f t="shared" ca="1" si="35"/>
        <v>0</v>
      </c>
      <c r="W120" s="42">
        <f t="shared" ca="1" si="35"/>
        <v>0</v>
      </c>
      <c r="X120" s="42">
        <f t="shared" ca="1" si="35"/>
        <v>0</v>
      </c>
      <c r="Y120" s="42">
        <f t="shared" ca="1" si="27"/>
        <v>0</v>
      </c>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row>
    <row r="121" spans="3:80">
      <c r="C121" s="9" t="s">
        <v>1167</v>
      </c>
      <c r="E121" s="42">
        <f t="shared" ref="E121:X121" ca="1" si="36">E84-E83</f>
        <v>0</v>
      </c>
      <c r="F121" s="42">
        <f t="shared" ca="1" si="36"/>
        <v>0</v>
      </c>
      <c r="G121" s="42">
        <f t="shared" ca="1" si="36"/>
        <v>0</v>
      </c>
      <c r="H121" s="42">
        <f t="shared" ca="1" si="36"/>
        <v>0</v>
      </c>
      <c r="I121" s="42">
        <f t="shared" ca="1" si="36"/>
        <v>0</v>
      </c>
      <c r="J121" s="42">
        <f t="shared" ca="1" si="36"/>
        <v>0</v>
      </c>
      <c r="K121" s="42">
        <f t="shared" ca="1" si="36"/>
        <v>0</v>
      </c>
      <c r="L121" s="42">
        <f t="shared" ca="1" si="36"/>
        <v>0</v>
      </c>
      <c r="M121" s="42">
        <f t="shared" ca="1" si="36"/>
        <v>0</v>
      </c>
      <c r="N121" s="42">
        <f t="shared" ca="1" si="36"/>
        <v>0</v>
      </c>
      <c r="O121" s="42">
        <f t="shared" ca="1" si="36"/>
        <v>0</v>
      </c>
      <c r="P121" s="42">
        <f t="shared" ca="1" si="36"/>
        <v>0</v>
      </c>
      <c r="Q121" s="42">
        <f t="shared" ca="1" si="36"/>
        <v>0</v>
      </c>
      <c r="R121" s="42">
        <f t="shared" ca="1" si="36"/>
        <v>0</v>
      </c>
      <c r="S121" s="42">
        <f t="shared" ca="1" si="36"/>
        <v>0</v>
      </c>
      <c r="T121" s="42">
        <f t="shared" ca="1" si="36"/>
        <v>0</v>
      </c>
      <c r="U121" s="42">
        <f t="shared" ca="1" si="36"/>
        <v>0</v>
      </c>
      <c r="V121" s="42">
        <f t="shared" ca="1" si="36"/>
        <v>0</v>
      </c>
      <c r="W121" s="42">
        <f t="shared" ca="1" si="36"/>
        <v>0</v>
      </c>
      <c r="X121" s="42">
        <f t="shared" ca="1" si="36"/>
        <v>0</v>
      </c>
      <c r="Y121" s="42">
        <f t="shared" ca="1" si="27"/>
        <v>0</v>
      </c>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row>
    <row r="122" spans="3:80">
      <c r="C122" s="9" t="s">
        <v>1168</v>
      </c>
      <c r="E122" s="42">
        <f t="shared" ref="E122:X122" ca="1" si="37">E85-E84</f>
        <v>0</v>
      </c>
      <c r="F122" s="42">
        <f t="shared" ca="1" si="37"/>
        <v>0</v>
      </c>
      <c r="G122" s="42">
        <f t="shared" ca="1" si="37"/>
        <v>0</v>
      </c>
      <c r="H122" s="42">
        <f t="shared" ca="1" si="37"/>
        <v>0</v>
      </c>
      <c r="I122" s="42">
        <f t="shared" ca="1" si="37"/>
        <v>0</v>
      </c>
      <c r="J122" s="42">
        <f t="shared" ca="1" si="37"/>
        <v>0</v>
      </c>
      <c r="K122" s="42">
        <f t="shared" ca="1" si="37"/>
        <v>0</v>
      </c>
      <c r="L122" s="42">
        <f t="shared" ca="1" si="37"/>
        <v>0</v>
      </c>
      <c r="M122" s="42">
        <f t="shared" ca="1" si="37"/>
        <v>0</v>
      </c>
      <c r="N122" s="42">
        <f t="shared" ca="1" si="37"/>
        <v>0</v>
      </c>
      <c r="O122" s="42">
        <f t="shared" ca="1" si="37"/>
        <v>0</v>
      </c>
      <c r="P122" s="42">
        <f t="shared" ca="1" si="37"/>
        <v>0</v>
      </c>
      <c r="Q122" s="42">
        <f t="shared" ca="1" si="37"/>
        <v>0</v>
      </c>
      <c r="R122" s="42">
        <f t="shared" ca="1" si="37"/>
        <v>0</v>
      </c>
      <c r="S122" s="42">
        <f t="shared" ca="1" si="37"/>
        <v>0</v>
      </c>
      <c r="T122" s="42">
        <f t="shared" ca="1" si="37"/>
        <v>0</v>
      </c>
      <c r="U122" s="42">
        <f t="shared" ca="1" si="37"/>
        <v>0</v>
      </c>
      <c r="V122" s="42">
        <f t="shared" ca="1" si="37"/>
        <v>0</v>
      </c>
      <c r="W122" s="42">
        <f t="shared" ca="1" si="37"/>
        <v>0</v>
      </c>
      <c r="X122" s="42">
        <f t="shared" ca="1" si="37"/>
        <v>0</v>
      </c>
      <c r="Y122" s="42">
        <f t="shared" ca="1" si="27"/>
        <v>0</v>
      </c>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row>
    <row r="123" spans="3:80">
      <c r="C123" s="9" t="s">
        <v>1169</v>
      </c>
      <c r="E123" s="42">
        <f t="shared" ref="E123:X123" ca="1" si="38">E86-E85</f>
        <v>0</v>
      </c>
      <c r="F123" s="42">
        <f t="shared" ca="1" si="38"/>
        <v>0</v>
      </c>
      <c r="G123" s="42">
        <f t="shared" ca="1" si="38"/>
        <v>0</v>
      </c>
      <c r="H123" s="42">
        <f t="shared" ca="1" si="38"/>
        <v>0</v>
      </c>
      <c r="I123" s="42">
        <f t="shared" ca="1" si="38"/>
        <v>0</v>
      </c>
      <c r="J123" s="42">
        <f t="shared" ca="1" si="38"/>
        <v>0</v>
      </c>
      <c r="K123" s="42">
        <f t="shared" ca="1" si="38"/>
        <v>0</v>
      </c>
      <c r="L123" s="42">
        <f t="shared" ca="1" si="38"/>
        <v>0</v>
      </c>
      <c r="M123" s="42">
        <f t="shared" ca="1" si="38"/>
        <v>0</v>
      </c>
      <c r="N123" s="42">
        <f t="shared" ca="1" si="38"/>
        <v>0</v>
      </c>
      <c r="O123" s="42">
        <f t="shared" ca="1" si="38"/>
        <v>0</v>
      </c>
      <c r="P123" s="42">
        <f t="shared" ca="1" si="38"/>
        <v>0</v>
      </c>
      <c r="Q123" s="42">
        <f t="shared" ca="1" si="38"/>
        <v>0</v>
      </c>
      <c r="R123" s="42">
        <f t="shared" ca="1" si="38"/>
        <v>0</v>
      </c>
      <c r="S123" s="42">
        <f t="shared" ca="1" si="38"/>
        <v>0</v>
      </c>
      <c r="T123" s="42">
        <f t="shared" ca="1" si="38"/>
        <v>0</v>
      </c>
      <c r="U123" s="42">
        <f t="shared" ca="1" si="38"/>
        <v>0</v>
      </c>
      <c r="V123" s="42">
        <f t="shared" ca="1" si="38"/>
        <v>0</v>
      </c>
      <c r="W123" s="42">
        <f t="shared" ca="1" si="38"/>
        <v>0</v>
      </c>
      <c r="X123" s="42">
        <f t="shared" ca="1" si="38"/>
        <v>0</v>
      </c>
      <c r="Y123" s="42">
        <f t="shared" ca="1" si="27"/>
        <v>0</v>
      </c>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row>
    <row r="124" spans="3:80">
      <c r="C124" s="9" t="s">
        <v>1170</v>
      </c>
      <c r="E124" s="42">
        <f t="shared" ref="E124:X124" ca="1" si="39">E87-E86</f>
        <v>0</v>
      </c>
      <c r="F124" s="42">
        <f t="shared" ca="1" si="39"/>
        <v>0</v>
      </c>
      <c r="G124" s="42">
        <f t="shared" ca="1" si="39"/>
        <v>0</v>
      </c>
      <c r="H124" s="42">
        <f t="shared" ca="1" si="39"/>
        <v>0</v>
      </c>
      <c r="I124" s="42">
        <f t="shared" ca="1" si="39"/>
        <v>0</v>
      </c>
      <c r="J124" s="42">
        <f t="shared" ca="1" si="39"/>
        <v>0</v>
      </c>
      <c r="K124" s="42">
        <f t="shared" ca="1" si="39"/>
        <v>0</v>
      </c>
      <c r="L124" s="42">
        <f t="shared" ca="1" si="39"/>
        <v>0</v>
      </c>
      <c r="M124" s="42">
        <f t="shared" ca="1" si="39"/>
        <v>0</v>
      </c>
      <c r="N124" s="42">
        <f t="shared" ca="1" si="39"/>
        <v>0</v>
      </c>
      <c r="O124" s="42">
        <f t="shared" ca="1" si="39"/>
        <v>0</v>
      </c>
      <c r="P124" s="42">
        <f t="shared" ca="1" si="39"/>
        <v>0</v>
      </c>
      <c r="Q124" s="42">
        <f t="shared" ca="1" si="39"/>
        <v>0</v>
      </c>
      <c r="R124" s="42">
        <f t="shared" ca="1" si="39"/>
        <v>0</v>
      </c>
      <c r="S124" s="42">
        <f t="shared" ca="1" si="39"/>
        <v>0</v>
      </c>
      <c r="T124" s="42">
        <f t="shared" ca="1" si="39"/>
        <v>0</v>
      </c>
      <c r="U124" s="42">
        <f t="shared" ca="1" si="39"/>
        <v>0</v>
      </c>
      <c r="V124" s="42">
        <f t="shared" ca="1" si="39"/>
        <v>0</v>
      </c>
      <c r="W124" s="42">
        <f t="shared" ca="1" si="39"/>
        <v>0</v>
      </c>
      <c r="X124" s="42">
        <f t="shared" ca="1" si="39"/>
        <v>0</v>
      </c>
      <c r="Y124" s="42">
        <f t="shared" ca="1" si="27"/>
        <v>0</v>
      </c>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row>
    <row r="125" spans="3:80">
      <c r="C125" s="9" t="s">
        <v>1171</v>
      </c>
      <c r="E125" s="42">
        <f t="shared" ref="E125:X125" ca="1" si="40">E88-E87</f>
        <v>0</v>
      </c>
      <c r="F125" s="42">
        <f t="shared" ca="1" si="40"/>
        <v>0</v>
      </c>
      <c r="G125" s="42">
        <f t="shared" ca="1" si="40"/>
        <v>0</v>
      </c>
      <c r="H125" s="42">
        <f t="shared" ca="1" si="40"/>
        <v>0</v>
      </c>
      <c r="I125" s="42">
        <f t="shared" ca="1" si="40"/>
        <v>0</v>
      </c>
      <c r="J125" s="42">
        <f t="shared" ca="1" si="40"/>
        <v>0</v>
      </c>
      <c r="K125" s="42">
        <f t="shared" ca="1" si="40"/>
        <v>0</v>
      </c>
      <c r="L125" s="42">
        <f t="shared" ca="1" si="40"/>
        <v>0</v>
      </c>
      <c r="M125" s="42">
        <f t="shared" ca="1" si="40"/>
        <v>0</v>
      </c>
      <c r="N125" s="42">
        <f t="shared" ca="1" si="40"/>
        <v>0</v>
      </c>
      <c r="O125" s="42">
        <f t="shared" ca="1" si="40"/>
        <v>0</v>
      </c>
      <c r="P125" s="42">
        <f t="shared" ca="1" si="40"/>
        <v>0</v>
      </c>
      <c r="Q125" s="42">
        <f t="shared" ca="1" si="40"/>
        <v>0</v>
      </c>
      <c r="R125" s="42">
        <f t="shared" ca="1" si="40"/>
        <v>0</v>
      </c>
      <c r="S125" s="42">
        <f t="shared" ca="1" si="40"/>
        <v>0</v>
      </c>
      <c r="T125" s="42">
        <f t="shared" ca="1" si="40"/>
        <v>0</v>
      </c>
      <c r="U125" s="42">
        <f t="shared" ca="1" si="40"/>
        <v>0</v>
      </c>
      <c r="V125" s="42">
        <f t="shared" ca="1" si="40"/>
        <v>0</v>
      </c>
      <c r="W125" s="42">
        <f t="shared" ca="1" si="40"/>
        <v>0</v>
      </c>
      <c r="X125" s="42">
        <f t="shared" ca="1" si="40"/>
        <v>0</v>
      </c>
      <c r="Y125" s="42">
        <f t="shared" ca="1" si="27"/>
        <v>0</v>
      </c>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row>
    <row r="126" spans="3:80">
      <c r="C126" s="9" t="s">
        <v>1172</v>
      </c>
      <c r="E126" s="42">
        <f t="shared" ref="E126:X126" ca="1" si="41">E89-E88</f>
        <v>0</v>
      </c>
      <c r="F126" s="42">
        <f t="shared" ca="1" si="41"/>
        <v>0</v>
      </c>
      <c r="G126" s="42">
        <f t="shared" ca="1" si="41"/>
        <v>0</v>
      </c>
      <c r="H126" s="42">
        <f t="shared" ca="1" si="41"/>
        <v>0</v>
      </c>
      <c r="I126" s="42">
        <f t="shared" ca="1" si="41"/>
        <v>0</v>
      </c>
      <c r="J126" s="42">
        <f t="shared" ca="1" si="41"/>
        <v>0</v>
      </c>
      <c r="K126" s="42">
        <f t="shared" ca="1" si="41"/>
        <v>0</v>
      </c>
      <c r="L126" s="42">
        <f t="shared" ca="1" si="41"/>
        <v>0</v>
      </c>
      <c r="M126" s="42">
        <f t="shared" ca="1" si="41"/>
        <v>0</v>
      </c>
      <c r="N126" s="42">
        <f t="shared" ca="1" si="41"/>
        <v>0</v>
      </c>
      <c r="O126" s="42">
        <f t="shared" ca="1" si="41"/>
        <v>0</v>
      </c>
      <c r="P126" s="42">
        <f t="shared" ca="1" si="41"/>
        <v>0</v>
      </c>
      <c r="Q126" s="42">
        <f t="shared" ca="1" si="41"/>
        <v>0</v>
      </c>
      <c r="R126" s="42">
        <f t="shared" ca="1" si="41"/>
        <v>0</v>
      </c>
      <c r="S126" s="42">
        <f t="shared" ca="1" si="41"/>
        <v>0</v>
      </c>
      <c r="T126" s="42">
        <f t="shared" ca="1" si="41"/>
        <v>0</v>
      </c>
      <c r="U126" s="42">
        <f t="shared" ca="1" si="41"/>
        <v>0</v>
      </c>
      <c r="V126" s="42">
        <f t="shared" ca="1" si="41"/>
        <v>0</v>
      </c>
      <c r="W126" s="42">
        <f t="shared" ca="1" si="41"/>
        <v>0</v>
      </c>
      <c r="X126" s="42">
        <f t="shared" ca="1" si="41"/>
        <v>0</v>
      </c>
      <c r="Y126" s="42">
        <f t="shared" ca="1" si="27"/>
        <v>0</v>
      </c>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row>
    <row r="127" spans="3:80">
      <c r="C127" s="9" t="s">
        <v>1173</v>
      </c>
      <c r="E127" s="42">
        <f t="shared" ref="E127:X127" ca="1" si="42">E90-E89</f>
        <v>0</v>
      </c>
      <c r="F127" s="42">
        <f t="shared" ca="1" si="42"/>
        <v>0</v>
      </c>
      <c r="G127" s="42">
        <f t="shared" ca="1" si="42"/>
        <v>0</v>
      </c>
      <c r="H127" s="42">
        <f t="shared" ca="1" si="42"/>
        <v>0</v>
      </c>
      <c r="I127" s="42">
        <f t="shared" ca="1" si="42"/>
        <v>0</v>
      </c>
      <c r="J127" s="42">
        <f t="shared" ca="1" si="42"/>
        <v>0</v>
      </c>
      <c r="K127" s="42">
        <f t="shared" ca="1" si="42"/>
        <v>0</v>
      </c>
      <c r="L127" s="42">
        <f t="shared" ca="1" si="42"/>
        <v>0</v>
      </c>
      <c r="M127" s="42">
        <f t="shared" ca="1" si="42"/>
        <v>0</v>
      </c>
      <c r="N127" s="42">
        <f t="shared" ca="1" si="42"/>
        <v>0</v>
      </c>
      <c r="O127" s="42">
        <f t="shared" ca="1" si="42"/>
        <v>0</v>
      </c>
      <c r="P127" s="42">
        <f t="shared" ca="1" si="42"/>
        <v>0</v>
      </c>
      <c r="Q127" s="42">
        <f t="shared" ca="1" si="42"/>
        <v>0</v>
      </c>
      <c r="R127" s="42">
        <f t="shared" ca="1" si="42"/>
        <v>0</v>
      </c>
      <c r="S127" s="42">
        <f t="shared" ca="1" si="42"/>
        <v>0</v>
      </c>
      <c r="T127" s="42">
        <f t="shared" ca="1" si="42"/>
        <v>0</v>
      </c>
      <c r="U127" s="42">
        <f t="shared" ca="1" si="42"/>
        <v>0</v>
      </c>
      <c r="V127" s="42">
        <f t="shared" ca="1" si="42"/>
        <v>0</v>
      </c>
      <c r="W127" s="42">
        <f t="shared" ca="1" si="42"/>
        <v>0</v>
      </c>
      <c r="X127" s="42">
        <f t="shared" ca="1" si="42"/>
        <v>0</v>
      </c>
      <c r="Y127" s="42">
        <f t="shared" ca="1" si="27"/>
        <v>0</v>
      </c>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row>
    <row r="128" spans="3:80">
      <c r="C128" s="9" t="s">
        <v>1174</v>
      </c>
      <c r="E128" s="42">
        <f t="shared" ref="E128:X128" ca="1" si="43">E91-E90</f>
        <v>0</v>
      </c>
      <c r="F128" s="42">
        <f t="shared" ca="1" si="43"/>
        <v>0</v>
      </c>
      <c r="G128" s="42">
        <f t="shared" ca="1" si="43"/>
        <v>0</v>
      </c>
      <c r="H128" s="42">
        <f t="shared" ca="1" si="43"/>
        <v>0</v>
      </c>
      <c r="I128" s="42">
        <f t="shared" ca="1" si="43"/>
        <v>0</v>
      </c>
      <c r="J128" s="42">
        <f t="shared" ca="1" si="43"/>
        <v>0</v>
      </c>
      <c r="K128" s="42">
        <f t="shared" ca="1" si="43"/>
        <v>0</v>
      </c>
      <c r="L128" s="42">
        <f t="shared" ca="1" si="43"/>
        <v>0</v>
      </c>
      <c r="M128" s="42">
        <f t="shared" ca="1" si="43"/>
        <v>0</v>
      </c>
      <c r="N128" s="42">
        <f t="shared" ca="1" si="43"/>
        <v>0</v>
      </c>
      <c r="O128" s="42">
        <f t="shared" ca="1" si="43"/>
        <v>0</v>
      </c>
      <c r="P128" s="42">
        <f t="shared" ca="1" si="43"/>
        <v>0</v>
      </c>
      <c r="Q128" s="42">
        <f t="shared" ca="1" si="43"/>
        <v>0</v>
      </c>
      <c r="R128" s="42">
        <f t="shared" ca="1" si="43"/>
        <v>0</v>
      </c>
      <c r="S128" s="42">
        <f t="shared" ca="1" si="43"/>
        <v>0</v>
      </c>
      <c r="T128" s="42">
        <f t="shared" ca="1" si="43"/>
        <v>0</v>
      </c>
      <c r="U128" s="42">
        <f t="shared" ca="1" si="43"/>
        <v>0</v>
      </c>
      <c r="V128" s="42">
        <f t="shared" ca="1" si="43"/>
        <v>0</v>
      </c>
      <c r="W128" s="42">
        <f t="shared" ca="1" si="43"/>
        <v>0</v>
      </c>
      <c r="X128" s="42">
        <f t="shared" ca="1" si="43"/>
        <v>0</v>
      </c>
      <c r="Y128" s="42">
        <f t="shared" ca="1" si="27"/>
        <v>0</v>
      </c>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row>
    <row r="129" spans="1:80">
      <c r="C129" s="9" t="s">
        <v>1175</v>
      </c>
      <c r="E129" s="42">
        <f t="shared" ref="E129:X129" ca="1" si="44">E92-E91</f>
        <v>0</v>
      </c>
      <c r="F129" s="42">
        <f t="shared" ca="1" si="44"/>
        <v>0</v>
      </c>
      <c r="G129" s="42">
        <f t="shared" ca="1" si="44"/>
        <v>0</v>
      </c>
      <c r="H129" s="42">
        <f t="shared" ca="1" si="44"/>
        <v>0</v>
      </c>
      <c r="I129" s="42">
        <f t="shared" ca="1" si="44"/>
        <v>0</v>
      </c>
      <c r="J129" s="42">
        <f t="shared" ca="1" si="44"/>
        <v>0</v>
      </c>
      <c r="K129" s="42">
        <f t="shared" ca="1" si="44"/>
        <v>0</v>
      </c>
      <c r="L129" s="42">
        <f t="shared" ca="1" si="44"/>
        <v>0</v>
      </c>
      <c r="M129" s="42">
        <f t="shared" ca="1" si="44"/>
        <v>0</v>
      </c>
      <c r="N129" s="42">
        <f t="shared" ca="1" si="44"/>
        <v>0</v>
      </c>
      <c r="O129" s="42">
        <f t="shared" ca="1" si="44"/>
        <v>0</v>
      </c>
      <c r="P129" s="42">
        <f t="shared" ca="1" si="44"/>
        <v>0</v>
      </c>
      <c r="Q129" s="42">
        <f t="shared" ca="1" si="44"/>
        <v>0</v>
      </c>
      <c r="R129" s="42">
        <f t="shared" ca="1" si="44"/>
        <v>0</v>
      </c>
      <c r="S129" s="42">
        <f t="shared" ca="1" si="44"/>
        <v>0</v>
      </c>
      <c r="T129" s="42">
        <f t="shared" ca="1" si="44"/>
        <v>0</v>
      </c>
      <c r="U129" s="42">
        <f t="shared" ca="1" si="44"/>
        <v>0</v>
      </c>
      <c r="V129" s="42">
        <f t="shared" ca="1" si="44"/>
        <v>0</v>
      </c>
      <c r="W129" s="42">
        <f t="shared" ca="1" si="44"/>
        <v>0</v>
      </c>
      <c r="X129" s="42">
        <f t="shared" ca="1" si="44"/>
        <v>0</v>
      </c>
      <c r="Y129" s="42">
        <f t="shared" ca="1" si="27"/>
        <v>0</v>
      </c>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c r="C130" s="9" t="s">
        <v>1176</v>
      </c>
      <c r="E130" s="42">
        <f t="shared" ref="E130:X130" ca="1" si="45">E93-E92</f>
        <v>0</v>
      </c>
      <c r="F130" s="42">
        <f t="shared" ca="1" si="45"/>
        <v>0</v>
      </c>
      <c r="G130" s="42">
        <f t="shared" ca="1" si="45"/>
        <v>0</v>
      </c>
      <c r="H130" s="42">
        <f t="shared" ca="1" si="45"/>
        <v>0</v>
      </c>
      <c r="I130" s="42">
        <f t="shared" ca="1" si="45"/>
        <v>0</v>
      </c>
      <c r="J130" s="42">
        <f t="shared" ca="1" si="45"/>
        <v>0</v>
      </c>
      <c r="K130" s="42">
        <f t="shared" ca="1" si="45"/>
        <v>0</v>
      </c>
      <c r="L130" s="42">
        <f t="shared" ca="1" si="45"/>
        <v>0</v>
      </c>
      <c r="M130" s="42">
        <f t="shared" ca="1" si="45"/>
        <v>0</v>
      </c>
      <c r="N130" s="42">
        <f t="shared" ca="1" si="45"/>
        <v>0</v>
      </c>
      <c r="O130" s="42">
        <f t="shared" ca="1" si="45"/>
        <v>0</v>
      </c>
      <c r="P130" s="42">
        <f t="shared" ca="1" si="45"/>
        <v>0</v>
      </c>
      <c r="Q130" s="42">
        <f t="shared" ca="1" si="45"/>
        <v>0</v>
      </c>
      <c r="R130" s="42">
        <f t="shared" ca="1" si="45"/>
        <v>0</v>
      </c>
      <c r="S130" s="42">
        <f t="shared" ca="1" si="45"/>
        <v>0</v>
      </c>
      <c r="T130" s="42">
        <f t="shared" ca="1" si="45"/>
        <v>0</v>
      </c>
      <c r="U130" s="42">
        <f t="shared" ca="1" si="45"/>
        <v>0</v>
      </c>
      <c r="V130" s="42">
        <f t="shared" ca="1" si="45"/>
        <v>0</v>
      </c>
      <c r="W130" s="42">
        <f t="shared" ca="1" si="45"/>
        <v>0</v>
      </c>
      <c r="X130" s="42">
        <f t="shared" ca="1" si="45"/>
        <v>0</v>
      </c>
      <c r="Y130" s="42">
        <f t="shared" ca="1" si="27"/>
        <v>0</v>
      </c>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c r="C131" s="9" t="s">
        <v>1177</v>
      </c>
      <c r="E131" s="42">
        <f t="shared" ref="E131:X131" ca="1" si="46">E94-E93</f>
        <v>0</v>
      </c>
      <c r="F131" s="42">
        <f t="shared" ca="1" si="46"/>
        <v>0</v>
      </c>
      <c r="G131" s="42">
        <f t="shared" ca="1" si="46"/>
        <v>0</v>
      </c>
      <c r="H131" s="42">
        <f t="shared" ca="1" si="46"/>
        <v>0</v>
      </c>
      <c r="I131" s="42">
        <f t="shared" ca="1" si="46"/>
        <v>0</v>
      </c>
      <c r="J131" s="42">
        <f t="shared" ca="1" si="46"/>
        <v>0</v>
      </c>
      <c r="K131" s="42">
        <f t="shared" ca="1" si="46"/>
        <v>0</v>
      </c>
      <c r="L131" s="42">
        <f t="shared" ca="1" si="46"/>
        <v>0</v>
      </c>
      <c r="M131" s="42">
        <f t="shared" ca="1" si="46"/>
        <v>0</v>
      </c>
      <c r="N131" s="42">
        <f t="shared" ca="1" si="46"/>
        <v>0</v>
      </c>
      <c r="O131" s="42">
        <f t="shared" ca="1" si="46"/>
        <v>0</v>
      </c>
      <c r="P131" s="42">
        <f t="shared" ca="1" si="46"/>
        <v>0</v>
      </c>
      <c r="Q131" s="42">
        <f t="shared" ca="1" si="46"/>
        <v>0</v>
      </c>
      <c r="R131" s="42">
        <f t="shared" ca="1" si="46"/>
        <v>0</v>
      </c>
      <c r="S131" s="42">
        <f t="shared" ca="1" si="46"/>
        <v>0</v>
      </c>
      <c r="T131" s="42">
        <f t="shared" ca="1" si="46"/>
        <v>0</v>
      </c>
      <c r="U131" s="42">
        <f t="shared" ca="1" si="46"/>
        <v>0</v>
      </c>
      <c r="V131" s="42">
        <f t="shared" ca="1" si="46"/>
        <v>0</v>
      </c>
      <c r="W131" s="42">
        <f t="shared" ca="1" si="46"/>
        <v>0</v>
      </c>
      <c r="X131" s="42">
        <f t="shared" ca="1" si="46"/>
        <v>0</v>
      </c>
      <c r="Y131" s="42">
        <f t="shared" ca="1" si="27"/>
        <v>0</v>
      </c>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row>
    <row r="132" spans="1:80">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ht="15">
      <c r="C133" s="76" t="s">
        <v>141</v>
      </c>
      <c r="D133" s="76"/>
      <c r="E133" s="77">
        <f t="shared" ref="E133:Y133" ca="1" si="47">SUM(E100:E131)</f>
        <v>9.387115825863962E-2</v>
      </c>
      <c r="F133" s="77">
        <f t="shared" ca="1" si="47"/>
        <v>0.18079523358862604</v>
      </c>
      <c r="G133" s="77">
        <f t="shared" ca="1" si="47"/>
        <v>0.259586355398081</v>
      </c>
      <c r="H133" s="77">
        <f t="shared" ca="1" si="47"/>
        <v>0.33530957878429568</v>
      </c>
      <c r="I133" s="77">
        <f t="shared" ca="1" si="47"/>
        <v>0.40553996659451425</v>
      </c>
      <c r="J133" s="77">
        <f t="shared" ca="1" si="47"/>
        <v>0.45742912872155606</v>
      </c>
      <c r="K133" s="77">
        <f t="shared" ca="1" si="47"/>
        <v>0.50099466763644551</v>
      </c>
      <c r="L133" s="77">
        <f t="shared" ca="1" si="47"/>
        <v>0.54440190358088214</v>
      </c>
      <c r="M133" s="77">
        <f t="shared" ca="1" si="47"/>
        <v>0.57672896782744887</v>
      </c>
      <c r="N133" s="77">
        <f t="shared" ca="1" si="47"/>
        <v>0.61586967232060208</v>
      </c>
      <c r="O133" s="77">
        <f t="shared" ca="1" si="47"/>
        <v>0.64216740431426722</v>
      </c>
      <c r="P133" s="77">
        <f t="shared" ca="1" si="47"/>
        <v>0.65355696121258366</v>
      </c>
      <c r="Q133" s="77">
        <f t="shared" ca="1" si="47"/>
        <v>0.65386968361642051</v>
      </c>
      <c r="R133" s="77">
        <f t="shared" ca="1" si="47"/>
        <v>0.66463064876654232</v>
      </c>
      <c r="S133" s="77">
        <f t="shared" ca="1" si="47"/>
        <v>0.67861391089598999</v>
      </c>
      <c r="T133" s="77">
        <f t="shared" ca="1" si="47"/>
        <v>0.6811410920517198</v>
      </c>
      <c r="U133" s="77">
        <f t="shared" ca="1" si="47"/>
        <v>0.66120095300838844</v>
      </c>
      <c r="V133" s="77">
        <f t="shared" ca="1" si="47"/>
        <v>0.6586801584240557</v>
      </c>
      <c r="W133" s="77">
        <f t="shared" ca="1" si="47"/>
        <v>0.6582172174457297</v>
      </c>
      <c r="X133" s="77">
        <f t="shared" ca="1" si="47"/>
        <v>0.66138072395901848</v>
      </c>
      <c r="Y133" s="77">
        <f t="shared" ca="1" si="47"/>
        <v>10.583985386405809</v>
      </c>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ht="15">
      <c r="C134" s="76" t="s">
        <v>142</v>
      </c>
      <c r="D134" s="76"/>
      <c r="E134" s="77">
        <f ca="1">E133</f>
        <v>9.387115825863962E-2</v>
      </c>
      <c r="F134" s="77">
        <f t="shared" ref="F134:X134" ca="1" si="48">E134+F133</f>
        <v>0.27466639184726566</v>
      </c>
      <c r="G134" s="77">
        <f t="shared" ca="1" si="48"/>
        <v>0.53425274724534666</v>
      </c>
      <c r="H134" s="77">
        <f t="shared" ca="1" si="48"/>
        <v>0.86956232602964234</v>
      </c>
      <c r="I134" s="77">
        <f t="shared" ca="1" si="48"/>
        <v>1.2751022926241566</v>
      </c>
      <c r="J134" s="77">
        <f t="shared" ca="1" si="48"/>
        <v>1.7325314213457128</v>
      </c>
      <c r="K134" s="77">
        <f t="shared" ca="1" si="48"/>
        <v>2.2335260889821584</v>
      </c>
      <c r="L134" s="77">
        <f t="shared" ca="1" si="48"/>
        <v>2.7779279925630407</v>
      </c>
      <c r="M134" s="77">
        <f t="shared" ca="1" si="48"/>
        <v>3.3546569603904897</v>
      </c>
      <c r="N134" s="77">
        <f t="shared" ca="1" si="48"/>
        <v>3.970526632711092</v>
      </c>
      <c r="O134" s="77">
        <f t="shared" ca="1" si="48"/>
        <v>4.6126940370253591</v>
      </c>
      <c r="P134" s="77">
        <f t="shared" ca="1" si="48"/>
        <v>5.2662509982379424</v>
      </c>
      <c r="Q134" s="77">
        <f t="shared" ca="1" si="48"/>
        <v>5.920120681854363</v>
      </c>
      <c r="R134" s="77">
        <f t="shared" ca="1" si="48"/>
        <v>6.5847513306209056</v>
      </c>
      <c r="S134" s="77">
        <f t="shared" ca="1" si="48"/>
        <v>7.2633652415168957</v>
      </c>
      <c r="T134" s="77">
        <f t="shared" ca="1" si="48"/>
        <v>7.944506333568615</v>
      </c>
      <c r="U134" s="77">
        <f t="shared" ca="1" si="48"/>
        <v>8.6057072865770028</v>
      </c>
      <c r="V134" s="77">
        <f t="shared" ca="1" si="48"/>
        <v>9.2643874450010593</v>
      </c>
      <c r="W134" s="77">
        <f t="shared" ca="1" si="48"/>
        <v>9.9226046624467887</v>
      </c>
      <c r="X134" s="77">
        <f t="shared" ca="1" si="48"/>
        <v>10.583985386405807</v>
      </c>
      <c r="Y134" s="77"/>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row>
    <row r="136" spans="1:80">
      <c r="E136" s="42"/>
      <c r="F136" s="42"/>
      <c r="G136" s="42"/>
      <c r="H136" s="42"/>
      <c r="I136" s="42"/>
      <c r="J136" s="42"/>
      <c r="K136" s="42"/>
      <c r="L136" s="42"/>
      <c r="M136" s="42"/>
      <c r="N136" s="42"/>
      <c r="O136" s="42"/>
      <c r="P136" s="42"/>
      <c r="Q136" s="42"/>
      <c r="R136" s="42"/>
      <c r="S136" s="42"/>
      <c r="T136" s="42"/>
      <c r="U136" s="42"/>
      <c r="V136" s="42"/>
      <c r="W136" s="42"/>
      <c r="X136" s="42"/>
      <c r="Y136" s="42"/>
    </row>
    <row r="137" spans="1:80">
      <c r="A137" s="9" t="s">
        <v>143</v>
      </c>
      <c r="E137" s="42"/>
      <c r="F137" s="42"/>
      <c r="G137" s="42"/>
      <c r="H137" s="42"/>
      <c r="I137" s="42"/>
      <c r="J137" s="42"/>
      <c r="K137" s="42"/>
      <c r="L137" s="42"/>
      <c r="M137" s="42"/>
      <c r="N137" s="42"/>
      <c r="O137" s="42"/>
      <c r="P137" s="42"/>
      <c r="Q137" s="42"/>
      <c r="R137" s="42"/>
      <c r="S137" s="42"/>
      <c r="T137" s="42"/>
      <c r="U137" s="42"/>
      <c r="V137" s="42"/>
      <c r="W137" s="42"/>
      <c r="X137" s="42"/>
      <c r="Y137" s="42"/>
    </row>
    <row r="138" spans="1:80" customFormat="1"/>
    <row r="139" spans="1:80" customFormat="1"/>
    <row r="140" spans="1:80" customFormat="1"/>
    <row r="141" spans="1:80" ht="15">
      <c r="A141" s="81" t="s">
        <v>144</v>
      </c>
      <c r="B141" s="81"/>
      <c r="E141" s="42"/>
      <c r="F141" s="42"/>
      <c r="G141" s="42"/>
      <c r="H141" s="42"/>
      <c r="I141" s="42"/>
      <c r="J141" s="42"/>
      <c r="K141" s="42"/>
      <c r="L141" s="42"/>
      <c r="M141" s="42"/>
      <c r="N141" s="42"/>
      <c r="O141" s="42"/>
      <c r="P141" s="42"/>
      <c r="Q141" s="42"/>
      <c r="R141" s="42"/>
      <c r="S141" s="42"/>
      <c r="T141" s="42"/>
      <c r="U141" s="42"/>
      <c r="V141" s="42"/>
      <c r="W141" s="42"/>
      <c r="X141" s="42"/>
      <c r="Y141" s="42"/>
      <c r="AA141" s="42"/>
    </row>
    <row r="142" spans="1:80">
      <c r="A142" s="9" t="s">
        <v>145</v>
      </c>
      <c r="C142"/>
      <c r="E142" s="42" t="s">
        <v>146</v>
      </c>
      <c r="F142" s="42"/>
      <c r="G142" s="42"/>
      <c r="H142" s="42"/>
      <c r="I142" s="42"/>
      <c r="J142" s="42"/>
      <c r="K142" s="42"/>
      <c r="L142" s="42"/>
      <c r="M142" s="42"/>
      <c r="N142" s="42"/>
      <c r="O142" s="42"/>
      <c r="P142" s="42"/>
      <c r="Q142" s="42"/>
      <c r="R142" s="42"/>
      <c r="S142" s="42"/>
      <c r="T142" s="42"/>
      <c r="U142" s="42"/>
      <c r="V142" s="42"/>
      <c r="W142" s="42"/>
      <c r="X142" s="42"/>
      <c r="Y142" s="42"/>
      <c r="AA142" s="42"/>
    </row>
    <row r="143" spans="1:80" ht="15">
      <c r="E143" s="78">
        <v>2016</v>
      </c>
      <c r="F143" s="79">
        <v>2017</v>
      </c>
      <c r="G143" s="79">
        <v>2018</v>
      </c>
      <c r="H143" s="79">
        <v>2019</v>
      </c>
      <c r="I143" s="79">
        <v>2020</v>
      </c>
      <c r="J143" s="79">
        <v>2021</v>
      </c>
      <c r="K143" s="79">
        <v>2022</v>
      </c>
      <c r="L143" s="79">
        <v>2023</v>
      </c>
      <c r="M143" s="79">
        <v>2024</v>
      </c>
      <c r="N143" s="79">
        <v>2025</v>
      </c>
      <c r="O143" s="79">
        <v>2026</v>
      </c>
      <c r="P143" s="79">
        <v>2027</v>
      </c>
      <c r="Q143" s="79">
        <v>2028</v>
      </c>
      <c r="R143" s="79">
        <v>2029</v>
      </c>
      <c r="S143" s="79">
        <v>2030</v>
      </c>
      <c r="T143" s="79">
        <v>2031</v>
      </c>
      <c r="U143" s="79">
        <v>2032</v>
      </c>
      <c r="V143" s="79">
        <v>2033</v>
      </c>
      <c r="W143" s="79">
        <v>2034</v>
      </c>
      <c r="X143" s="79">
        <v>2035</v>
      </c>
      <c r="Y143" s="80"/>
      <c r="AA143" s="42"/>
    </row>
    <row r="144" spans="1:80">
      <c r="C144" s="9" t="str">
        <f>C13</f>
        <v>Single Family</v>
      </c>
      <c r="E144" s="42">
        <f t="shared" ref="E144:X144" ca="1" si="49">E13-E33/$B23</f>
        <v>55829.529517006595</v>
      </c>
      <c r="F144" s="42">
        <f t="shared" ca="1" si="49"/>
        <v>46845.190013361593</v>
      </c>
      <c r="G144" s="42">
        <f t="shared" ca="1" si="49"/>
        <v>38185.420919949378</v>
      </c>
      <c r="H144" s="42">
        <f t="shared" ca="1" si="49"/>
        <v>30929.260208331478</v>
      </c>
      <c r="I144" s="42">
        <f t="shared" ca="1" si="49"/>
        <v>24245.682593812911</v>
      </c>
      <c r="J144" s="42">
        <f t="shared" ca="1" si="49"/>
        <v>18082.81777646867</v>
      </c>
      <c r="K144" s="42">
        <f t="shared" ca="1" si="49"/>
        <v>13676.056023630983</v>
      </c>
      <c r="L144" s="42">
        <f t="shared" ca="1" si="49"/>
        <v>10503.183414686995</v>
      </c>
      <c r="M144" s="42">
        <f t="shared" ca="1" si="49"/>
        <v>7934.5447129247914</v>
      </c>
      <c r="N144" s="42">
        <f t="shared" ca="1" si="49"/>
        <v>6072.3244635172814</v>
      </c>
      <c r="O144" s="42">
        <f t="shared" ca="1" si="49"/>
        <v>4500.9548905492047</v>
      </c>
      <c r="P144" s="42">
        <f t="shared" ca="1" si="49"/>
        <v>3168.7271717272451</v>
      </c>
      <c r="Q144" s="42">
        <f t="shared" ca="1" si="49"/>
        <v>2092.2402691743555</v>
      </c>
      <c r="R144" s="42">
        <f t="shared" ca="1" si="49"/>
        <v>1299.5514550444204</v>
      </c>
      <c r="S144" s="42">
        <f t="shared" ca="1" si="49"/>
        <v>671.41300535883784</v>
      </c>
      <c r="T144" s="42">
        <f t="shared" ca="1" si="49"/>
        <v>156.10406671177043</v>
      </c>
      <c r="U144" s="42">
        <f t="shared" ca="1" si="49"/>
        <v>147.56034409165295</v>
      </c>
      <c r="V144" s="42">
        <f t="shared" ca="1" si="49"/>
        <v>146.10287873932248</v>
      </c>
      <c r="W144" s="42">
        <f t="shared" ca="1" si="49"/>
        <v>146.06209680665779</v>
      </c>
      <c r="X144" s="42">
        <f t="shared" ca="1" si="49"/>
        <v>146.91849324599025</v>
      </c>
      <c r="Y144" s="42"/>
      <c r="AA144" s="42">
        <f t="shared" ref="AA144:AA147" ca="1" si="50">SUM(E144:Y144)</f>
        <v>264779.64431514021</v>
      </c>
    </row>
    <row r="145" spans="3:27">
      <c r="C145" s="9" t="str">
        <f>C14</f>
        <v>Multifamily - Low Rise</v>
      </c>
      <c r="E145" s="42">
        <f t="shared" ref="E145:T147" ca="1" si="51">E14-E34/$B24</f>
        <v>21119.526974914137</v>
      </c>
      <c r="F145" s="42">
        <f t="shared" ca="1" si="51"/>
        <v>18744.586599163711</v>
      </c>
      <c r="G145" s="42">
        <f t="shared" ca="1" si="51"/>
        <v>16459.669366393005</v>
      </c>
      <c r="H145" s="42">
        <f t="shared" ca="1" si="51"/>
        <v>13886.091452206112</v>
      </c>
      <c r="I145" s="42">
        <f t="shared" ca="1" si="51"/>
        <v>11156.563741445481</v>
      </c>
      <c r="J145" s="42">
        <f t="shared" ca="1" si="51"/>
        <v>9079.3454919695687</v>
      </c>
      <c r="K145" s="42">
        <f t="shared" ca="1" si="51"/>
        <v>7667.7363021231195</v>
      </c>
      <c r="L145" s="42">
        <f t="shared" ca="1" si="51"/>
        <v>6727.2668495244816</v>
      </c>
      <c r="M145" s="42">
        <f t="shared" ca="1" si="51"/>
        <v>6003.4158462991818</v>
      </c>
      <c r="N145" s="42">
        <f t="shared" ca="1" si="51"/>
        <v>5437.2851032524741</v>
      </c>
      <c r="O145" s="42">
        <f t="shared" ca="1" si="51"/>
        <v>4874.1056504309236</v>
      </c>
      <c r="P145" s="42">
        <f t="shared" ca="1" si="51"/>
        <v>4406.6131376095545</v>
      </c>
      <c r="Q145" s="42">
        <f t="shared" ca="1" si="51"/>
        <v>4037.9972443071674</v>
      </c>
      <c r="R145" s="42">
        <f t="shared" ca="1" si="51"/>
        <v>3696.7730389634708</v>
      </c>
      <c r="S145" s="42">
        <f t="shared" ca="1" si="51"/>
        <v>3417.2705520544914</v>
      </c>
      <c r="T145" s="42">
        <f t="shared" ca="1" si="51"/>
        <v>3163.2463669939571</v>
      </c>
      <c r="U145" s="42">
        <f t="shared" ref="U145:X147" ca="1" si="52">U14-U34/$B24</f>
        <v>3108.0824098855228</v>
      </c>
      <c r="V145" s="42">
        <f t="shared" ca="1" si="52"/>
        <v>3068.243422084277</v>
      </c>
      <c r="W145" s="42">
        <f t="shared" ca="1" si="52"/>
        <v>3009.0226360394408</v>
      </c>
      <c r="X145" s="42">
        <f t="shared" ca="1" si="52"/>
        <v>2997.5919973938435</v>
      </c>
      <c r="Y145" s="42"/>
      <c r="AA145" s="9">
        <f t="shared" ca="1" si="50"/>
        <v>152060.43418305393</v>
      </c>
    </row>
    <row r="146" spans="3:27">
      <c r="C146" s="9" t="str">
        <f>C15</f>
        <v>Multifamily - High Rise</v>
      </c>
      <c r="E146" s="42">
        <f t="shared" ca="1" si="51"/>
        <v>4733.074756315229</v>
      </c>
      <c r="F146" s="42">
        <f t="shared" ref="F146:T146" ca="1" si="53">F15-F35/$B25</f>
        <v>4251.0368944211177</v>
      </c>
      <c r="G146" s="42">
        <f t="shared" ca="1" si="53"/>
        <v>3779.0239263657982</v>
      </c>
      <c r="H146" s="42">
        <f t="shared" ca="1" si="53"/>
        <v>3103.9502370881728</v>
      </c>
      <c r="I146" s="42">
        <f t="shared" ca="1" si="53"/>
        <v>2434.1868996182338</v>
      </c>
      <c r="J146" s="42">
        <f t="shared" ca="1" si="53"/>
        <v>1998.9321637983548</v>
      </c>
      <c r="K146" s="42">
        <f t="shared" ca="1" si="53"/>
        <v>1682.0782049183808</v>
      </c>
      <c r="L146" s="42">
        <f t="shared" ca="1" si="53"/>
        <v>1483.4381076358918</v>
      </c>
      <c r="M146" s="42">
        <f t="shared" ca="1" si="53"/>
        <v>1304.4310695774229</v>
      </c>
      <c r="N146" s="42">
        <f t="shared" ca="1" si="53"/>
        <v>1171.7883575491496</v>
      </c>
      <c r="O146" s="42">
        <f t="shared" ca="1" si="53"/>
        <v>1029.2132917124882</v>
      </c>
      <c r="P146" s="42">
        <f t="shared" ca="1" si="53"/>
        <v>921.03965419493261</v>
      </c>
      <c r="Q146" s="42">
        <f t="shared" ca="1" si="53"/>
        <v>829.98300626679475</v>
      </c>
      <c r="R146" s="42">
        <f t="shared" ca="1" si="53"/>
        <v>759.93281447008985</v>
      </c>
      <c r="S146" s="42">
        <f t="shared" ca="1" si="53"/>
        <v>700.78931818333513</v>
      </c>
      <c r="T146" s="42">
        <f t="shared" ca="1" si="53"/>
        <v>644.02375834089753</v>
      </c>
      <c r="U146" s="42">
        <f t="shared" ca="1" si="52"/>
        <v>633.52192375926961</v>
      </c>
      <c r="V146" s="42">
        <f t="shared" ca="1" si="52"/>
        <v>618.83236152972586</v>
      </c>
      <c r="W146" s="42">
        <f t="shared" ca="1" si="52"/>
        <v>616.43710342652003</v>
      </c>
      <c r="X146" s="42">
        <f t="shared" ca="1" si="52"/>
        <v>613.61797592397897</v>
      </c>
      <c r="Y146" s="42"/>
      <c r="AA146" s="42">
        <f t="shared" ca="1" si="50"/>
        <v>33309.331825095782</v>
      </c>
    </row>
    <row r="147" spans="3:27">
      <c r="C147" s="9" t="str">
        <f>C16</f>
        <v>Manufactured</v>
      </c>
      <c r="E147" s="42">
        <f t="shared" ca="1" si="51"/>
        <v>1665.0913529321142</v>
      </c>
      <c r="F147" s="42">
        <f t="shared" ca="1" si="51"/>
        <v>1470.1548894664227</v>
      </c>
      <c r="G147" s="42">
        <f t="shared" ca="1" si="51"/>
        <v>1309.5767921591346</v>
      </c>
      <c r="H147" s="42">
        <f t="shared" ca="1" si="51"/>
        <v>1136.9262298909211</v>
      </c>
      <c r="I147" s="42">
        <f t="shared" ca="1" si="51"/>
        <v>887.90520484849208</v>
      </c>
      <c r="J147" s="42">
        <f t="shared" ca="1" si="51"/>
        <v>684.04656645488694</v>
      </c>
      <c r="K147" s="42">
        <f t="shared" ca="1" si="51"/>
        <v>533.93435293909874</v>
      </c>
      <c r="L147" s="42">
        <f t="shared" ca="1" si="51"/>
        <v>414.35271523620145</v>
      </c>
      <c r="M147" s="42">
        <f t="shared" ca="1" si="51"/>
        <v>318.01717446714179</v>
      </c>
      <c r="N147" s="42">
        <f t="shared" ca="1" si="51"/>
        <v>239.28063685639563</v>
      </c>
      <c r="O147" s="42">
        <f t="shared" ca="1" si="51"/>
        <v>175.1799451472225</v>
      </c>
      <c r="P147" s="42">
        <f t="shared" ca="1" si="51"/>
        <v>124.80137240048498</v>
      </c>
      <c r="Q147" s="42">
        <f t="shared" ca="1" si="51"/>
        <v>84.766313236148335</v>
      </c>
      <c r="R147" s="42">
        <f t="shared" ca="1" si="51"/>
        <v>52.654742456270924</v>
      </c>
      <c r="S147" s="42">
        <f t="shared" ca="1" si="51"/>
        <v>26.900016770341153</v>
      </c>
      <c r="T147" s="42">
        <f t="shared" ca="1" si="51"/>
        <v>6.277977059932482</v>
      </c>
      <c r="U147" s="42">
        <f t="shared" ca="1" si="52"/>
        <v>6.1332346256915571</v>
      </c>
      <c r="V147" s="42">
        <f t="shared" ca="1" si="52"/>
        <v>6.083735411648604</v>
      </c>
      <c r="W147" s="42">
        <f t="shared" ca="1" si="52"/>
        <v>6.0684732445135978</v>
      </c>
      <c r="X147" s="42">
        <f t="shared" ca="1" si="52"/>
        <v>6.0636094739443251</v>
      </c>
      <c r="Y147" s="42"/>
      <c r="AA147" s="42">
        <f t="shared" ca="1" si="50"/>
        <v>9154.2153350770059</v>
      </c>
    </row>
    <row r="148" spans="3:27">
      <c r="E148" s="42"/>
      <c r="F148" s="42"/>
      <c r="G148" s="42"/>
      <c r="H148" s="42"/>
      <c r="I148" s="42"/>
      <c r="J148" s="42"/>
      <c r="K148" s="42"/>
      <c r="L148" s="42"/>
      <c r="M148" s="42"/>
      <c r="N148" s="42"/>
      <c r="O148" s="42"/>
      <c r="P148" s="42"/>
      <c r="Q148" s="42"/>
      <c r="R148" s="42"/>
      <c r="S148" s="42"/>
      <c r="T148" s="42"/>
      <c r="U148" s="42"/>
      <c r="V148" s="42"/>
      <c r="W148" s="42"/>
      <c r="X148" s="42"/>
      <c r="Y148" s="42"/>
    </row>
    <row r="149" spans="3:27">
      <c r="C149" s="9" t="s">
        <v>147</v>
      </c>
      <c r="E149" s="42">
        <f t="shared" ref="E149:X149" ca="1" si="54">SUM(E144:E147)</f>
        <v>83347.222601168061</v>
      </c>
      <c r="F149" s="42">
        <f t="shared" ca="1" si="54"/>
        <v>71310.968396412849</v>
      </c>
      <c r="G149" s="42">
        <f t="shared" ca="1" si="54"/>
        <v>59733.691004867316</v>
      </c>
      <c r="H149" s="42">
        <f t="shared" ca="1" si="54"/>
        <v>49056.22812751669</v>
      </c>
      <c r="I149" s="42">
        <f t="shared" ca="1" si="54"/>
        <v>38724.338439725121</v>
      </c>
      <c r="J149" s="42">
        <f t="shared" ca="1" si="54"/>
        <v>29845.141998691481</v>
      </c>
      <c r="K149" s="42">
        <f t="shared" ca="1" si="54"/>
        <v>23559.804883611581</v>
      </c>
      <c r="L149" s="42">
        <f t="shared" ca="1" si="54"/>
        <v>19128.241087083567</v>
      </c>
      <c r="M149" s="42">
        <f t="shared" ca="1" si="54"/>
        <v>15560.408803268539</v>
      </c>
      <c r="N149" s="42">
        <f t="shared" ca="1" si="54"/>
        <v>12920.678561175302</v>
      </c>
      <c r="O149" s="42">
        <f t="shared" ca="1" si="54"/>
        <v>10579.453777839837</v>
      </c>
      <c r="P149" s="42">
        <f t="shared" ca="1" si="54"/>
        <v>8621.1813359322168</v>
      </c>
      <c r="Q149" s="42">
        <f t="shared" ca="1" si="54"/>
        <v>7044.9868329844667</v>
      </c>
      <c r="R149" s="42">
        <f t="shared" ca="1" si="54"/>
        <v>5808.912050934252</v>
      </c>
      <c r="S149" s="42">
        <f t="shared" ca="1" si="54"/>
        <v>4816.372892367006</v>
      </c>
      <c r="T149" s="42">
        <f t="shared" ca="1" si="54"/>
        <v>3969.6521691065573</v>
      </c>
      <c r="U149" s="42">
        <f t="shared" ca="1" si="54"/>
        <v>3895.2979123621371</v>
      </c>
      <c r="V149" s="42">
        <f t="shared" ca="1" si="54"/>
        <v>3839.2623977649737</v>
      </c>
      <c r="W149" s="42">
        <f t="shared" ca="1" si="54"/>
        <v>3777.5903095171325</v>
      </c>
      <c r="X149" s="42">
        <f t="shared" ca="1" si="54"/>
        <v>3764.192076037757</v>
      </c>
      <c r="Y149" s="42"/>
      <c r="AA149" s="42">
        <f ca="1">SUM(E149:Y149)</f>
        <v>459303.62565836683</v>
      </c>
    </row>
  </sheetData>
  <mergeCells count="1">
    <mergeCell ref="B1:T6"/>
  </mergeCells>
  <pageMargins left="0.75" right="0.75" top="1" bottom="1" header="0.5" footer="0.5"/>
  <headerFooter alignWithMargins="0"/>
  <drawing r:id="rId1"/>
  <legacyDrawing r:id="rId2"/>
</worksheet>
</file>

<file path=xl/worksheets/sheet4.xml><?xml version="1.0" encoding="utf-8"?>
<worksheet xmlns="http://schemas.openxmlformats.org/spreadsheetml/2006/main" xmlns:r="http://schemas.openxmlformats.org/officeDocument/2006/relationships">
  <dimension ref="A1:BZ224"/>
  <sheetViews>
    <sheetView topLeftCell="A7" zoomScaleNormal="100" workbookViewId="0">
      <selection activeCell="E13" sqref="E13"/>
    </sheetView>
  </sheetViews>
  <sheetFormatPr defaultRowHeight="12.75"/>
  <cols>
    <col min="1" max="1" width="35" style="9" customWidth="1"/>
    <col min="2" max="4" width="20.7109375" style="9" customWidth="1"/>
    <col min="5" max="5" width="19.85546875" style="9" customWidth="1"/>
    <col min="6" max="6" width="9.28515625" style="9" bestFit="1" customWidth="1"/>
    <col min="7" max="28" width="9.140625" style="9"/>
    <col min="29" max="29" width="21.7109375" style="9" customWidth="1"/>
    <col min="30" max="30" width="35.85546875" style="9" customWidth="1"/>
    <col min="31" max="31" width="35.28515625" style="9" customWidth="1"/>
    <col min="32" max="32" width="15" style="9" customWidth="1"/>
    <col min="33" max="33" width="17.7109375" style="9" customWidth="1"/>
    <col min="34" max="34" width="15.140625" style="9" customWidth="1"/>
    <col min="35" max="35" width="15.7109375" style="9" customWidth="1"/>
    <col min="36" max="36" width="21.28515625" style="9" customWidth="1"/>
    <col min="37" max="37" width="17.7109375" style="9" bestFit="1" customWidth="1"/>
    <col min="38" max="38" width="15.42578125" style="9" bestFit="1" customWidth="1"/>
    <col min="39" max="39" width="14.28515625" style="9" bestFit="1" customWidth="1"/>
    <col min="40" max="40" width="14.28515625" style="9" customWidth="1"/>
    <col min="41" max="41" width="12.5703125" style="9" customWidth="1"/>
    <col min="42" max="42" width="14" style="9" bestFit="1" customWidth="1"/>
    <col min="43" max="44" width="10.85546875" style="9" bestFit="1" customWidth="1"/>
    <col min="45" max="45" width="13.42578125" style="9" customWidth="1"/>
    <col min="46" max="46" width="11.85546875" style="9" bestFit="1" customWidth="1"/>
    <col min="47" max="47" width="11" style="9" bestFit="1" customWidth="1"/>
    <col min="48" max="48" width="14.28515625" style="9" bestFit="1" customWidth="1"/>
    <col min="49" max="49" width="10.7109375" style="9" customWidth="1"/>
    <col min="50" max="50" width="13.85546875" style="9" bestFit="1" customWidth="1"/>
    <col min="51" max="51" width="11.7109375" style="9" bestFit="1" customWidth="1"/>
    <col min="52" max="52" width="15.28515625" style="9" bestFit="1" customWidth="1"/>
    <col min="53" max="55" width="12.28515625" style="9" bestFit="1" customWidth="1"/>
    <col min="56" max="56" width="12.5703125" style="9" bestFit="1" customWidth="1"/>
    <col min="57" max="59" width="14.28515625" style="9" bestFit="1" customWidth="1"/>
    <col min="60" max="60" width="13.7109375" style="9" bestFit="1" customWidth="1"/>
    <col min="61" max="61" width="14" style="9" bestFit="1" customWidth="1"/>
    <col min="62" max="62" width="12.85546875" style="9" bestFit="1" customWidth="1"/>
    <col min="63" max="63" width="15.28515625" style="9" bestFit="1" customWidth="1"/>
    <col min="64" max="64" width="12.28515625" style="9" bestFit="1" customWidth="1"/>
    <col min="65" max="65" width="10.85546875" style="9" bestFit="1" customWidth="1"/>
    <col min="66" max="66" width="12.28515625" style="9" bestFit="1" customWidth="1"/>
    <col min="67" max="67" width="12.5703125" style="9" bestFit="1" customWidth="1"/>
    <col min="68" max="16384" width="9.140625" style="9"/>
  </cols>
  <sheetData>
    <row r="1" spans="1:67" ht="12.75" customHeight="1">
      <c r="A1" s="50" t="s">
        <v>59</v>
      </c>
      <c r="B1" s="888" t="s">
        <v>1635</v>
      </c>
      <c r="C1" s="888"/>
      <c r="D1" s="888"/>
      <c r="E1" s="888"/>
      <c r="F1" s="888"/>
      <c r="G1" s="888"/>
      <c r="H1" s="888"/>
      <c r="I1" s="888"/>
      <c r="J1" s="888"/>
      <c r="K1" s="888"/>
      <c r="L1" s="888"/>
      <c r="M1" s="888"/>
      <c r="N1" s="888"/>
      <c r="O1" s="888"/>
      <c r="P1" s="888"/>
      <c r="Q1" s="888"/>
      <c r="R1" s="888"/>
      <c r="S1" s="888"/>
      <c r="T1" s="888"/>
      <c r="U1" s="887"/>
      <c r="V1" s="54"/>
      <c r="W1" s="54"/>
      <c r="X1" s="54"/>
      <c r="Y1" s="54"/>
      <c r="Z1" s="54"/>
    </row>
    <row r="2" spans="1:67" ht="12.75" customHeight="1">
      <c r="A2" s="51" t="s">
        <v>1211</v>
      </c>
      <c r="B2" s="888"/>
      <c r="C2" s="888"/>
      <c r="D2" s="888"/>
      <c r="E2" s="888"/>
      <c r="F2" s="888"/>
      <c r="G2" s="888"/>
      <c r="H2" s="888"/>
      <c r="I2" s="888"/>
      <c r="J2" s="888"/>
      <c r="K2" s="888"/>
      <c r="L2" s="888"/>
      <c r="M2" s="888"/>
      <c r="N2" s="888"/>
      <c r="O2" s="888"/>
      <c r="P2" s="888"/>
      <c r="Q2" s="888"/>
      <c r="R2" s="888"/>
      <c r="S2" s="888"/>
      <c r="T2" s="888"/>
      <c r="U2" s="887"/>
      <c r="V2" s="55"/>
      <c r="W2" s="55"/>
      <c r="X2" s="55"/>
      <c r="Y2" s="55"/>
    </row>
    <row r="3" spans="1:67">
      <c r="B3" s="888"/>
      <c r="C3" s="888"/>
      <c r="D3" s="888"/>
      <c r="E3" s="888"/>
      <c r="F3" s="888"/>
      <c r="G3" s="888"/>
      <c r="H3" s="888"/>
      <c r="I3" s="888"/>
      <c r="J3" s="888"/>
      <c r="K3" s="888"/>
      <c r="L3" s="888"/>
      <c r="M3" s="888"/>
      <c r="N3" s="888"/>
      <c r="O3" s="888"/>
      <c r="P3" s="888"/>
      <c r="Q3" s="888"/>
      <c r="R3" s="888"/>
      <c r="S3" s="888"/>
      <c r="T3" s="888"/>
      <c r="U3" s="887"/>
      <c r="V3" s="55"/>
      <c r="W3" s="55"/>
      <c r="X3" s="55"/>
      <c r="Y3" s="55"/>
      <c r="Z3" s="55"/>
    </row>
    <row r="4" spans="1:67">
      <c r="B4" s="888"/>
      <c r="C4" s="888"/>
      <c r="D4" s="888"/>
      <c r="E4" s="888"/>
      <c r="F4" s="888"/>
      <c r="G4" s="888"/>
      <c r="H4" s="888"/>
      <c r="I4" s="888"/>
      <c r="J4" s="888"/>
      <c r="K4" s="888"/>
      <c r="L4" s="888"/>
      <c r="M4" s="888"/>
      <c r="N4" s="888"/>
      <c r="O4" s="888"/>
      <c r="P4" s="888"/>
      <c r="Q4" s="888"/>
      <c r="R4" s="888"/>
      <c r="S4" s="888"/>
      <c r="T4" s="888"/>
      <c r="U4" s="887"/>
      <c r="V4" s="55"/>
      <c r="W4" s="55"/>
      <c r="X4" s="55"/>
      <c r="Y4" s="55"/>
      <c r="Z4" s="55"/>
    </row>
    <row r="5" spans="1:67">
      <c r="B5" s="888"/>
      <c r="C5" s="888"/>
      <c r="D5" s="888"/>
      <c r="E5" s="888"/>
      <c r="F5" s="888"/>
      <c r="G5" s="888"/>
      <c r="H5" s="888"/>
      <c r="I5" s="888"/>
      <c r="J5" s="888"/>
      <c r="K5" s="888"/>
      <c r="L5" s="888"/>
      <c r="M5" s="888"/>
      <c r="N5" s="888"/>
      <c r="O5" s="888"/>
      <c r="P5" s="888"/>
      <c r="Q5" s="888"/>
      <c r="R5" s="888"/>
      <c r="S5" s="888"/>
      <c r="T5" s="888"/>
      <c r="U5" s="887"/>
      <c r="V5" s="55"/>
      <c r="W5" s="55"/>
      <c r="X5" s="55"/>
      <c r="Y5" s="55"/>
      <c r="Z5" s="55"/>
    </row>
    <row r="6" spans="1:67">
      <c r="B6" s="888"/>
      <c r="C6" s="888"/>
      <c r="D6" s="888"/>
      <c r="E6" s="888"/>
      <c r="F6" s="888"/>
      <c r="G6" s="888"/>
      <c r="H6" s="888"/>
      <c r="I6" s="888"/>
      <c r="J6" s="888"/>
      <c r="K6" s="888"/>
      <c r="L6" s="888"/>
      <c r="M6" s="888"/>
      <c r="N6" s="888"/>
      <c r="O6" s="888"/>
      <c r="P6" s="888"/>
      <c r="Q6" s="888"/>
      <c r="R6" s="888"/>
      <c r="S6" s="888"/>
      <c r="T6" s="888"/>
      <c r="U6" s="887"/>
      <c r="V6" s="55"/>
      <c r="W6" s="55"/>
      <c r="X6" s="55"/>
      <c r="Y6" s="55"/>
      <c r="Z6" s="55"/>
    </row>
    <row r="7" spans="1:67">
      <c r="A7" s="551"/>
      <c r="B7" s="551" t="s">
        <v>53</v>
      </c>
      <c r="C7" s="521" t="s">
        <v>148</v>
      </c>
      <c r="D7" s="521" t="s">
        <v>1166</v>
      </c>
    </row>
    <row r="8" spans="1:67">
      <c r="A8" s="551" t="s">
        <v>1223</v>
      </c>
      <c r="B8" s="551" t="s">
        <v>62</v>
      </c>
      <c r="C8" s="521" t="str">
        <f>[2]MLIST!$B$15</f>
        <v>Clothes Washer</v>
      </c>
      <c r="D8" s="521" t="str">
        <f>[1]!switch_ForecastState</f>
        <v>Region</v>
      </c>
      <c r="F8" s="54"/>
    </row>
    <row r="9" spans="1:67">
      <c r="A9" s="551" t="str">
        <f>INDEX([2]ACHIEV!$A$19:$B$100,MATCH(CONCATENATE($C$8," - ",$C$7),[2]ACHIEV!$B$19:$B$100,0),1)</f>
        <v>Water Heating</v>
      </c>
      <c r="B9" s="552" t="s">
        <v>63</v>
      </c>
      <c r="C9" s="521">
        <f>[2]FILES!$H$4</f>
        <v>2035</v>
      </c>
      <c r="D9" s="521" t="str">
        <f>[1]!switch_ForecastScenario</f>
        <v>Base</v>
      </c>
    </row>
    <row r="10" spans="1:67">
      <c r="A10" s="551"/>
      <c r="B10" s="551" t="s">
        <v>1653</v>
      </c>
      <c r="C10" s="886">
        <f ca="1">MIN(SUM(E87:X87),Y87)</f>
        <v>49.766395138584762</v>
      </c>
      <c r="D10" s="522"/>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row>
    <row r="11" spans="1:67" ht="15">
      <c r="A11" s="81" t="s">
        <v>149</v>
      </c>
      <c r="E11" s="74">
        <v>2016</v>
      </c>
      <c r="F11" s="68">
        <v>2017</v>
      </c>
      <c r="G11" s="68">
        <v>2018</v>
      </c>
      <c r="H11" s="68">
        <v>2019</v>
      </c>
      <c r="I11" s="68">
        <v>2020</v>
      </c>
      <c r="J11" s="68">
        <v>2021</v>
      </c>
      <c r="K11" s="68">
        <v>2022</v>
      </c>
      <c r="L11" s="68">
        <v>2023</v>
      </c>
      <c r="M11" s="68">
        <v>2024</v>
      </c>
      <c r="N11" s="68">
        <v>2025</v>
      </c>
      <c r="O11" s="68">
        <v>2026</v>
      </c>
      <c r="P11" s="68">
        <v>2027</v>
      </c>
      <c r="Q11" s="68">
        <v>2028</v>
      </c>
      <c r="R11" s="68">
        <v>2029</v>
      </c>
      <c r="S11" s="68">
        <v>2030</v>
      </c>
      <c r="T11" s="68">
        <v>2031</v>
      </c>
      <c r="U11" s="68">
        <v>2032</v>
      </c>
      <c r="V11" s="68">
        <v>2033</v>
      </c>
      <c r="W11" s="68">
        <v>2034</v>
      </c>
      <c r="X11" s="68">
        <v>2035</v>
      </c>
      <c r="Y11" s="68"/>
    </row>
    <row r="12" spans="1:67" ht="15">
      <c r="E12" s="75" t="str">
        <f>CONCATENATE("HOMES_",E11)</f>
        <v>HOMES_2016</v>
      </c>
      <c r="F12" s="70" t="str">
        <f t="shared" ref="F12:X12" si="0">CONCATENATE("HOMES_",F11)</f>
        <v>HOMES_2017</v>
      </c>
      <c r="G12" s="70" t="str">
        <f t="shared" si="0"/>
        <v>HOMES_2018</v>
      </c>
      <c r="H12" s="70" t="str">
        <f t="shared" si="0"/>
        <v>HOMES_2019</v>
      </c>
      <c r="I12" s="70" t="str">
        <f t="shared" si="0"/>
        <v>HOMES_2020</v>
      </c>
      <c r="J12" s="70" t="str">
        <f t="shared" si="0"/>
        <v>HOMES_2021</v>
      </c>
      <c r="K12" s="70" t="str">
        <f t="shared" si="0"/>
        <v>HOMES_2022</v>
      </c>
      <c r="L12" s="70" t="str">
        <f t="shared" si="0"/>
        <v>HOMES_2023</v>
      </c>
      <c r="M12" s="70" t="str">
        <f t="shared" si="0"/>
        <v>HOMES_2024</v>
      </c>
      <c r="N12" s="70" t="str">
        <f t="shared" si="0"/>
        <v>HOMES_2025</v>
      </c>
      <c r="O12" s="70" t="str">
        <f t="shared" si="0"/>
        <v>HOMES_2026</v>
      </c>
      <c r="P12" s="70" t="str">
        <f t="shared" si="0"/>
        <v>HOMES_2027</v>
      </c>
      <c r="Q12" s="70" t="str">
        <f t="shared" si="0"/>
        <v>HOMES_2028</v>
      </c>
      <c r="R12" s="70" t="str">
        <f t="shared" si="0"/>
        <v>HOMES_2029</v>
      </c>
      <c r="S12" s="70" t="str">
        <f t="shared" si="0"/>
        <v>HOMES_2030</v>
      </c>
      <c r="T12" s="70" t="str">
        <f t="shared" si="0"/>
        <v>HOMES_2031</v>
      </c>
      <c r="U12" s="70" t="str">
        <f t="shared" si="0"/>
        <v>HOMES_2032</v>
      </c>
      <c r="V12" s="70" t="str">
        <f t="shared" si="0"/>
        <v>HOMES_2033</v>
      </c>
      <c r="W12" s="70" t="str">
        <f t="shared" si="0"/>
        <v>HOMES_2034</v>
      </c>
      <c r="X12" s="70" t="str">
        <f t="shared" si="0"/>
        <v>HOMES_2035</v>
      </c>
      <c r="Y12" s="71"/>
    </row>
    <row r="13" spans="1:67">
      <c r="D13" s="9" t="s">
        <v>54</v>
      </c>
      <c r="E13" s="42">
        <f ca="1">INDEX([1]!tbl_Forecast,MATCH($D$8&amp;$D13&amp;$D$7,[1]!rng_ForecastRowLookup,0),MATCH(E$11,[1]!rng_ForecastColumnLookup,0))</f>
        <v>4203528.2719999999</v>
      </c>
      <c r="F13" s="42">
        <f ca="1">INDEX([1]!tbl_Forecast,MATCH($D$8&amp;$D13&amp;$D$7,[1]!rng_ForecastRowLookup,0),MATCH(F$11,[1]!rng_ForecastColumnLookup,0))</f>
        <v>4193982.9785983553</v>
      </c>
      <c r="G13" s="42">
        <f ca="1">INDEX([1]!tbl_Forecast,MATCH($D$8&amp;$D13&amp;$D$7,[1]!rng_ForecastRowLookup,0),MATCH(G$11,[1]!rng_ForecastColumnLookup,0))</f>
        <v>4184459.3604704877</v>
      </c>
      <c r="H13" s="42">
        <f ca="1">INDEX([1]!tbl_Forecast,MATCH($D$8&amp;$D13&amp;$D$7,[1]!rng_ForecastRowLookup,0),MATCH(H$11,[1]!rng_ForecastColumnLookup,0))</f>
        <v>4174957.36839659</v>
      </c>
      <c r="I13" s="42">
        <f ca="1">INDEX([1]!tbl_Forecast,MATCH($D$8&amp;$D13&amp;$D$7,[1]!rng_ForecastRowLookup,0),MATCH(I$11,[1]!rng_ForecastColumnLookup,0))</f>
        <v>4165476.9532686244</v>
      </c>
      <c r="J13" s="42">
        <f ca="1">INDEX([1]!tbl_Forecast,MATCH($D$8&amp;$D13&amp;$D$7,[1]!rng_ForecastRowLookup,0),MATCH(J$11,[1]!rng_ForecastColumnLookup,0))</f>
        <v>4156018.0660900641</v>
      </c>
      <c r="K13" s="42">
        <f ca="1">INDEX([1]!tbl_Forecast,MATCH($D$8&amp;$D13&amp;$D$7,[1]!rng_ForecastRowLookup,0),MATCH(K$11,[1]!rng_ForecastColumnLookup,0))</f>
        <v>4146580.6579756448</v>
      </c>
      <c r="L13" s="42">
        <f ca="1">INDEX([1]!tbl_Forecast,MATCH($D$8&amp;$D13&amp;$D$7,[1]!rng_ForecastRowLookup,0),MATCH(L$11,[1]!rng_ForecastColumnLookup,0))</f>
        <v>4137164.6801511091</v>
      </c>
      <c r="M13" s="42">
        <f ca="1">INDEX([1]!tbl_Forecast,MATCH($D$8&amp;$D13&amp;$D$7,[1]!rng_ForecastRowLookup,0),MATCH(M$11,[1]!rng_ForecastColumnLookup,0))</f>
        <v>4127770.0839529554</v>
      </c>
      <c r="N13" s="42">
        <f ca="1">INDEX([1]!tbl_Forecast,MATCH($D$8&amp;$D13&amp;$D$7,[1]!rng_ForecastRowLookup,0),MATCH(N$11,[1]!rng_ForecastColumnLookup,0))</f>
        <v>4118396.8208281873</v>
      </c>
      <c r="O13" s="42">
        <f ca="1">INDEX([1]!tbl_Forecast,MATCH($D$8&amp;$D13&amp;$D$7,[1]!rng_ForecastRowLookup,0),MATCH(O$11,[1]!rng_ForecastColumnLookup,0))</f>
        <v>4109044.8423340586</v>
      </c>
      <c r="P13" s="42">
        <f ca="1">INDEX([1]!tbl_Forecast,MATCH($D$8&amp;$D13&amp;$D$7,[1]!rng_ForecastRowLookup,0),MATCH(P$11,[1]!rng_ForecastColumnLookup,0))</f>
        <v>4099714.1001378288</v>
      </c>
      <c r="Q13" s="42">
        <f ca="1">INDEX([1]!tbl_Forecast,MATCH($D$8&amp;$D13&amp;$D$7,[1]!rng_ForecastRowLookup,0),MATCH(Q$11,[1]!rng_ForecastColumnLookup,0))</f>
        <v>4090404.5460165106</v>
      </c>
      <c r="R13" s="42">
        <f ca="1">INDEX([1]!tbl_Forecast,MATCH($D$8&amp;$D13&amp;$D$7,[1]!rng_ForecastRowLookup,0),MATCH(R$11,[1]!rng_ForecastColumnLookup,0))</f>
        <v>4081116.1318566194</v>
      </c>
      <c r="S13" s="42">
        <f ca="1">INDEX([1]!tbl_Forecast,MATCH($D$8&amp;$D13&amp;$D$7,[1]!rng_ForecastRowLookup,0),MATCH(S$11,[1]!rng_ForecastColumnLookup,0))</f>
        <v>4071848.8096539262</v>
      </c>
      <c r="T13" s="42">
        <f ca="1">INDEX([1]!tbl_Forecast,MATCH($D$8&amp;$D13&amp;$D$7,[1]!rng_ForecastRowLookup,0),MATCH(T$11,[1]!rng_ForecastColumnLookup,0))</f>
        <v>4062602.5315132081</v>
      </c>
      <c r="U13" s="42">
        <f ca="1">INDEX([1]!tbl_Forecast,MATCH($D$8&amp;$D13&amp;$D$7,[1]!rng_ForecastRowLookup,0),MATCH(U$11,[1]!rng_ForecastColumnLookup,0))</f>
        <v>4053377.2496480034</v>
      </c>
      <c r="V13" s="42">
        <f ca="1">INDEX([1]!tbl_Forecast,MATCH($D$8&amp;$D13&amp;$D$7,[1]!rng_ForecastRowLookup,0),MATCH(V$11,[1]!rng_ForecastColumnLookup,0))</f>
        <v>4044172.9163803621</v>
      </c>
      <c r="W13" s="42">
        <f ca="1">INDEX([1]!tbl_Forecast,MATCH($D$8&amp;$D13&amp;$D$7,[1]!rng_ForecastRowLookup,0),MATCH(W$11,[1]!rng_ForecastColumnLookup,0))</f>
        <v>4034989.4841406001</v>
      </c>
      <c r="X13" s="42">
        <f ca="1">INDEX([1]!tbl_Forecast,MATCH($D$8&amp;$D13&amp;$D$7,[1]!rng_ForecastRowLookup,0),MATCH(X$11,[1]!rng_ForecastColumnLookup,0))</f>
        <v>4025826.9054670548</v>
      </c>
      <c r="Y13" s="42"/>
    </row>
    <row r="14" spans="1:67">
      <c r="D14" s="9" t="s">
        <v>55</v>
      </c>
      <c r="E14" s="42">
        <f ca="1">INDEX([1]!tbl_Forecast,MATCH($D$8&amp;$D14&amp;$D$7,[1]!rng_ForecastRowLookup,0),MATCH(E$11,[1]!rng_ForecastColumnLookup,0))</f>
        <v>926243.25609262148</v>
      </c>
      <c r="F14" s="42">
        <f ca="1">INDEX([1]!tbl_Forecast,MATCH($D$8&amp;$D14&amp;$D$7,[1]!rng_ForecastRowLookup,0),MATCH(F$11,[1]!rng_ForecastColumnLookup,0))</f>
        <v>924139.92640956037</v>
      </c>
      <c r="G14" s="42">
        <f ca="1">INDEX([1]!tbl_Forecast,MATCH($D$8&amp;$D14&amp;$D$7,[1]!rng_ForecastRowLookup,0),MATCH(G$11,[1]!rng_ForecastColumnLookup,0))</f>
        <v>922041.3730050053</v>
      </c>
      <c r="H14" s="42">
        <f ca="1">INDEX([1]!tbl_Forecast,MATCH($D$8&amp;$D14&amp;$D$7,[1]!rng_ForecastRowLookup,0),MATCH(H$11,[1]!rng_ForecastColumnLookup,0))</f>
        <v>919947.58503289847</v>
      </c>
      <c r="I14" s="42">
        <f ca="1">INDEX([1]!tbl_Forecast,MATCH($D$8&amp;$D14&amp;$D$7,[1]!rng_ForecastRowLookup,0),MATCH(I$11,[1]!rng_ForecastColumnLookup,0))</f>
        <v>917858.55167181045</v>
      </c>
      <c r="J14" s="42">
        <f ca="1">INDEX([1]!tbl_Forecast,MATCH($D$8&amp;$D14&amp;$D$7,[1]!rng_ForecastRowLookup,0),MATCH(J$11,[1]!rng_ForecastColumnLookup,0))</f>
        <v>915774.26212488639</v>
      </c>
      <c r="K14" s="42">
        <f ca="1">INDEX([1]!tbl_Forecast,MATCH($D$8&amp;$D14&amp;$D$7,[1]!rng_ForecastRowLookup,0),MATCH(K$11,[1]!rng_ForecastColumnLookup,0))</f>
        <v>913694.70561978838</v>
      </c>
      <c r="L14" s="42">
        <f ca="1">INDEX([1]!tbl_Forecast,MATCH($D$8&amp;$D14&amp;$D$7,[1]!rng_ForecastRowLookup,0),MATCH(L$11,[1]!rng_ForecastColumnLookup,0))</f>
        <v>911619.87140864041</v>
      </c>
      <c r="M14" s="42">
        <f ca="1">INDEX([1]!tbl_Forecast,MATCH($D$8&amp;$D14&amp;$D$7,[1]!rng_ForecastRowLookup,0),MATCH(M$11,[1]!rng_ForecastColumnLookup,0))</f>
        <v>909549.74876797362</v>
      </c>
      <c r="N14" s="42">
        <f ca="1">INDEX([1]!tbl_Forecast,MATCH($D$8&amp;$D14&amp;$D$7,[1]!rng_ForecastRowLookup,0),MATCH(N$11,[1]!rng_ForecastColumnLookup,0))</f>
        <v>907484.32699866977</v>
      </c>
      <c r="O14" s="42">
        <f ca="1">INDEX([1]!tbl_Forecast,MATCH($D$8&amp;$D14&amp;$D$7,[1]!rng_ForecastRowLookup,0),MATCH(O$11,[1]!rng_ForecastColumnLookup,0))</f>
        <v>905423.59542590659</v>
      </c>
      <c r="P14" s="42">
        <f ca="1">INDEX([1]!tbl_Forecast,MATCH($D$8&amp;$D14&amp;$D$7,[1]!rng_ForecastRowLookup,0),MATCH(P$11,[1]!rng_ForecastColumnLookup,0))</f>
        <v>903367.54339910217</v>
      </c>
      <c r="Q14" s="42">
        <f ca="1">INDEX([1]!tbl_Forecast,MATCH($D$8&amp;$D14&amp;$D$7,[1]!rng_ForecastRowLookup,0),MATCH(Q$11,[1]!rng_ForecastColumnLookup,0))</f>
        <v>901316.16029185988</v>
      </c>
      <c r="R14" s="42">
        <f ca="1">INDEX([1]!tbl_Forecast,MATCH($D$8&amp;$D14&amp;$D$7,[1]!rng_ForecastRowLookup,0),MATCH(R$11,[1]!rng_ForecastColumnLookup,0))</f>
        <v>899269.43550191447</v>
      </c>
      <c r="S14" s="42">
        <f ca="1">INDEX([1]!tbl_Forecast,MATCH($D$8&amp;$D14&amp;$D$7,[1]!rng_ForecastRowLookup,0),MATCH(S$11,[1]!rng_ForecastColumnLookup,0))</f>
        <v>897227.35845107585</v>
      </c>
      <c r="T14" s="42">
        <f ca="1">INDEX([1]!tbl_Forecast,MATCH($D$8&amp;$D14&amp;$D$7,[1]!rng_ForecastRowLookup,0),MATCH(T$11,[1]!rng_ForecastColumnLookup,0))</f>
        <v>895189.9185851753</v>
      </c>
      <c r="U14" s="42">
        <f ca="1">INDEX([1]!tbl_Forecast,MATCH($D$8&amp;$D14&amp;$D$7,[1]!rng_ForecastRowLookup,0),MATCH(U$11,[1]!rng_ForecastColumnLookup,0))</f>
        <v>893157.10537401051</v>
      </c>
      <c r="V14" s="42">
        <f ca="1">INDEX([1]!tbl_Forecast,MATCH($D$8&amp;$D14&amp;$D$7,[1]!rng_ForecastRowLookup,0),MATCH(V$11,[1]!rng_ForecastColumnLookup,0))</f>
        <v>891128.90831129183</v>
      </c>
      <c r="W14" s="42">
        <f ca="1">INDEX([1]!tbl_Forecast,MATCH($D$8&amp;$D14&amp;$D$7,[1]!rng_ForecastRowLookup,0),MATCH(W$11,[1]!rng_ForecastColumnLookup,0))</f>
        <v>889105.31691458682</v>
      </c>
      <c r="X14" s="42">
        <f ca="1">INDEX([1]!tbl_Forecast,MATCH($D$8&amp;$D14&amp;$D$7,[1]!rng_ForecastRowLookup,0),MATCH(X$11,[1]!rng_ForecastColumnLookup,0))</f>
        <v>887086.32072526717</v>
      </c>
      <c r="Y14" s="42"/>
    </row>
    <row r="15" spans="1:67">
      <c r="D15" s="9" t="s">
        <v>56</v>
      </c>
      <c r="E15" s="42">
        <f ca="1">INDEX([1]!tbl_Forecast,MATCH($D$8&amp;$D15&amp;$D$7,[1]!rng_ForecastRowLookup,0),MATCH(E$11,[1]!rng_ForecastColumnLookup,0))</f>
        <v>211180.07985625503</v>
      </c>
      <c r="F15" s="42">
        <f ca="1">INDEX([1]!tbl_Forecast,MATCH($D$8&amp;$D15&amp;$D$7,[1]!rng_ForecastRowLookup,0),MATCH(F$11,[1]!rng_ForecastColumnLookup,0))</f>
        <v>210700.52836963299</v>
      </c>
      <c r="G15" s="42">
        <f ca="1">INDEX([1]!tbl_Forecast,MATCH($D$8&amp;$D15&amp;$D$7,[1]!rng_ForecastRowLookup,0),MATCH(G$11,[1]!rng_ForecastColumnLookup,0))</f>
        <v>210222.06585706791</v>
      </c>
      <c r="H15" s="42">
        <f ca="1">INDEX([1]!tbl_Forecast,MATCH($D$8&amp;$D15&amp;$D$7,[1]!rng_ForecastRowLookup,0),MATCH(H$11,[1]!rng_ForecastColumnLookup,0))</f>
        <v>209744.68984569819</v>
      </c>
      <c r="I15" s="42">
        <f ca="1">INDEX([1]!tbl_Forecast,MATCH($D$8&amp;$D15&amp;$D$7,[1]!rng_ForecastRowLookup,0),MATCH(I$11,[1]!rng_ForecastColumnLookup,0))</f>
        <v>209268.39786827751</v>
      </c>
      <c r="J15" s="42">
        <f ca="1">INDEX([1]!tbl_Forecast,MATCH($D$8&amp;$D15&amp;$D$7,[1]!rng_ForecastRowLookup,0),MATCH(J$11,[1]!rng_ForecastColumnLookup,0))</f>
        <v>208793.18746316229</v>
      </c>
      <c r="K15" s="42">
        <f ca="1">INDEX([1]!tbl_Forecast,MATCH($D$8&amp;$D15&amp;$D$7,[1]!rng_ForecastRowLookup,0),MATCH(K$11,[1]!rng_ForecastColumnLookup,0))</f>
        <v>208319.05617429892</v>
      </c>
      <c r="L15" s="42">
        <f ca="1">INDEX([1]!tbl_Forecast,MATCH($D$8&amp;$D15&amp;$D$7,[1]!rng_ForecastRowLookup,0),MATCH(L$11,[1]!rng_ForecastColumnLookup,0))</f>
        <v>207846.00155121088</v>
      </c>
      <c r="M15" s="42">
        <f ca="1">INDEX([1]!tbl_Forecast,MATCH($D$8&amp;$D15&amp;$D$7,[1]!rng_ForecastRowLookup,0),MATCH(M$11,[1]!rng_ForecastColumnLookup,0))</f>
        <v>207374.0211489865</v>
      </c>
      <c r="N15" s="42">
        <f ca="1">INDEX([1]!tbl_Forecast,MATCH($D$8&amp;$D15&amp;$D$7,[1]!rng_ForecastRowLookup,0),MATCH(N$11,[1]!rng_ForecastColumnLookup,0))</f>
        <v>206903.11252826577</v>
      </c>
      <c r="O15" s="42">
        <f ca="1">INDEX([1]!tbl_Forecast,MATCH($D$8&amp;$D15&amp;$D$7,[1]!rng_ForecastRowLookup,0),MATCH(O$11,[1]!rng_ForecastColumnLookup,0))</f>
        <v>206433.27325522827</v>
      </c>
      <c r="P15" s="42">
        <f ca="1">INDEX([1]!tbl_Forecast,MATCH($D$8&amp;$D15&amp;$D$7,[1]!rng_ForecastRowLookup,0),MATCH(P$11,[1]!rng_ForecastColumnLookup,0))</f>
        <v>205964.50090158021</v>
      </c>
      <c r="Q15" s="42">
        <f ca="1">INDEX([1]!tbl_Forecast,MATCH($D$8&amp;$D15&amp;$D$7,[1]!rng_ForecastRowLookup,0),MATCH(Q$11,[1]!rng_ForecastColumnLookup,0))</f>
        <v>205496.79304454199</v>
      </c>
      <c r="R15" s="42">
        <f ca="1">INDEX([1]!tbl_Forecast,MATCH($D$8&amp;$D15&amp;$D$7,[1]!rng_ForecastRowLookup,0),MATCH(R$11,[1]!rng_ForecastColumnLookup,0))</f>
        <v>205030.14726683579</v>
      </c>
      <c r="S15" s="42">
        <f ca="1">INDEX([1]!tbl_Forecast,MATCH($D$8&amp;$D15&amp;$D$7,[1]!rng_ForecastRowLookup,0),MATCH(S$11,[1]!rng_ForecastColumnLookup,0))</f>
        <v>204564.56115667295</v>
      </c>
      <c r="T15" s="42">
        <f ca="1">INDEX([1]!tbl_Forecast,MATCH($D$8&amp;$D15&amp;$D$7,[1]!rng_ForecastRowLookup,0),MATCH(T$11,[1]!rng_ForecastColumnLookup,0))</f>
        <v>204100.03230774152</v>
      </c>
      <c r="U15" s="42">
        <f ca="1">INDEX([1]!tbl_Forecast,MATCH($D$8&amp;$D15&amp;$D$7,[1]!rng_ForecastRowLookup,0),MATCH(U$11,[1]!rng_ForecastColumnLookup,0))</f>
        <v>203636.55831919383</v>
      </c>
      <c r="V15" s="42">
        <f ca="1">INDEX([1]!tbl_Forecast,MATCH($D$8&amp;$D15&amp;$D$7,[1]!rng_ForecastRowLookup,0),MATCH(V$11,[1]!rng_ForecastColumnLookup,0))</f>
        <v>203174.13679563423</v>
      </c>
      <c r="W15" s="42">
        <f ca="1">INDEX([1]!tbl_Forecast,MATCH($D$8&amp;$D15&amp;$D$7,[1]!rng_ForecastRowLookup,0),MATCH(W$11,[1]!rng_ForecastColumnLookup,0))</f>
        <v>202712.76534710638</v>
      </c>
      <c r="X15" s="42">
        <f ca="1">INDEX([1]!tbl_Forecast,MATCH($D$8&amp;$D15&amp;$D$7,[1]!rng_ForecastRowLookup,0),MATCH(X$11,[1]!rng_ForecastColumnLookup,0))</f>
        <v>202252.44158908122</v>
      </c>
      <c r="Y15" s="42"/>
    </row>
    <row r="16" spans="1:67">
      <c r="D16" s="9" t="s">
        <v>57</v>
      </c>
      <c r="E16" s="42">
        <f ca="1">INDEX([1]!tbl_Forecast,MATCH($D$8&amp;$D16&amp;$D$7,[1]!rng_ForecastRowLookup,0),MATCH(E$11,[1]!rng_ForecastColumnLookup,0))</f>
        <v>572006.3278356482</v>
      </c>
      <c r="F16" s="42">
        <f ca="1">INDEX([1]!tbl_Forecast,MATCH($D$8&amp;$D16&amp;$D$7,[1]!rng_ForecastRowLookup,0),MATCH(F$11,[1]!rng_ForecastColumnLookup,0))</f>
        <v>565893.30394507048</v>
      </c>
      <c r="G16" s="42">
        <f ca="1">INDEX([1]!tbl_Forecast,MATCH($D$8&amp;$D16&amp;$D$7,[1]!rng_ForecastRowLookup,0),MATCH(G$11,[1]!rng_ForecastColumnLookup,0))</f>
        <v>559845.60985814757</v>
      </c>
      <c r="H16" s="42">
        <f ca="1">INDEX([1]!tbl_Forecast,MATCH($D$8&amp;$D16&amp;$D$7,[1]!rng_ForecastRowLookup,0),MATCH(H$11,[1]!rng_ForecastColumnLookup,0))</f>
        <v>553862.54739615123</v>
      </c>
      <c r="I16" s="42">
        <f ca="1">INDEX([1]!tbl_Forecast,MATCH($D$8&amp;$D16&amp;$D$7,[1]!rng_ForecastRowLookup,0),MATCH(I$11,[1]!rng_ForecastColumnLookup,0))</f>
        <v>547943.42584177968</v>
      </c>
      <c r="J16" s="42">
        <f ca="1">INDEX([1]!tbl_Forecast,MATCH($D$8&amp;$D16&amp;$D$7,[1]!rng_ForecastRowLookup,0),MATCH(J$11,[1]!rng_ForecastColumnLookup,0))</f>
        <v>542087.56185941794</v>
      </c>
      <c r="K16" s="42">
        <f ca="1">INDEX([1]!tbl_Forecast,MATCH($D$8&amp;$D16&amp;$D$7,[1]!rng_ForecastRowLookup,0),MATCH(K$11,[1]!rng_ForecastColumnLookup,0))</f>
        <v>536294.27941624937</v>
      </c>
      <c r="L16" s="42">
        <f ca="1">INDEX([1]!tbl_Forecast,MATCH($D$8&amp;$D16&amp;$D$7,[1]!rng_ForecastRowLookup,0),MATCH(L$11,[1]!rng_ForecastColumnLookup,0))</f>
        <v>530562.90970421082</v>
      </c>
      <c r="M16" s="42">
        <f ca="1">INDEX([1]!tbl_Forecast,MATCH($D$8&amp;$D16&amp;$D$7,[1]!rng_ForecastRowLookup,0),MATCH(M$11,[1]!rng_ForecastColumnLookup,0))</f>
        <v>524892.79106278194</v>
      </c>
      <c r="N16" s="42">
        <f ca="1">INDEX([1]!tbl_Forecast,MATCH($D$8&amp;$D16&amp;$D$7,[1]!rng_ForecastRowLookup,0),MATCH(N$11,[1]!rng_ForecastColumnLookup,0))</f>
        <v>519283.26890259917</v>
      </c>
      <c r="O16" s="42">
        <f ca="1">INDEX([1]!tbl_Forecast,MATCH($D$8&amp;$D16&amp;$D$7,[1]!rng_ForecastRowLookup,0),MATCH(O$11,[1]!rng_ForecastColumnLookup,0))</f>
        <v>513733.69562988722</v>
      </c>
      <c r="P16" s="42">
        <f ca="1">INDEX([1]!tbl_Forecast,MATCH($D$8&amp;$D16&amp;$D$7,[1]!rng_ForecastRowLookup,0),MATCH(P$11,[1]!rng_ForecastColumnLookup,0))</f>
        <v>508243.4305716962</v>
      </c>
      <c r="Q16" s="42">
        <f ca="1">INDEX([1]!tbl_Forecast,MATCH($D$8&amp;$D16&amp;$D$7,[1]!rng_ForecastRowLookup,0),MATCH(Q$11,[1]!rng_ForecastColumnLookup,0))</f>
        <v>502811.8399019395</v>
      </c>
      <c r="R16" s="42">
        <f ca="1">INDEX([1]!tbl_Forecast,MATCH($D$8&amp;$D16&amp;$D$7,[1]!rng_ForecastRowLookup,0),MATCH(R$11,[1]!rng_ForecastColumnLookup,0))</f>
        <v>497438.2965682213</v>
      </c>
      <c r="S16" s="42">
        <f ca="1">INDEX([1]!tbl_Forecast,MATCH($D$8&amp;$D16&amp;$D$7,[1]!rng_ForecastRowLookup,0),MATCH(S$11,[1]!rng_ForecastColumnLookup,0))</f>
        <v>492122.18021944637</v>
      </c>
      <c r="T16" s="42">
        <f ca="1">INDEX([1]!tbl_Forecast,MATCH($D$8&amp;$D16&amp;$D$7,[1]!rng_ForecastRowLookup,0),MATCH(T$11,[1]!rng_ForecastColumnLookup,0))</f>
        <v>486862.87713420321</v>
      </c>
      <c r="U16" s="42">
        <f ca="1">INDEX([1]!tbl_Forecast,MATCH($D$8&amp;$D16&amp;$D$7,[1]!rng_ForecastRowLookup,0),MATCH(U$11,[1]!rng_ForecastColumnLookup,0))</f>
        <v>481659.78014991269</v>
      </c>
      <c r="V16" s="42">
        <f ca="1">INDEX([1]!tbl_Forecast,MATCH($D$8&amp;$D16&amp;$D$7,[1]!rng_ForecastRowLookup,0),MATCH(V$11,[1]!rng_ForecastColumnLookup,0))</f>
        <v>476512.28859273402</v>
      </c>
      <c r="W16" s="42">
        <f ca="1">INDEX([1]!tbl_Forecast,MATCH($D$8&amp;$D16&amp;$D$7,[1]!rng_ForecastRowLookup,0),MATCH(W$11,[1]!rng_ForecastColumnLookup,0))</f>
        <v>471419.80820821953</v>
      </c>
      <c r="X16" s="42">
        <f ca="1">INDEX([1]!tbl_Forecast,MATCH($D$8&amp;$D16&amp;$D$7,[1]!rng_ForecastRowLookup,0),MATCH(X$11,[1]!rng_ForecastColumnLookup,0))</f>
        <v>466381.75109271082</v>
      </c>
      <c r="Y16" s="42"/>
    </row>
    <row r="17" spans="1:31">
      <c r="E17" s="42"/>
      <c r="F17" s="42"/>
      <c r="G17" s="42"/>
      <c r="H17" s="42"/>
      <c r="I17" s="42"/>
      <c r="J17" s="42"/>
      <c r="K17" s="42"/>
      <c r="L17" s="42"/>
      <c r="M17" s="42"/>
      <c r="N17" s="42"/>
      <c r="O17" s="42"/>
      <c r="P17" s="42"/>
      <c r="Q17" s="42"/>
      <c r="R17" s="42"/>
      <c r="S17" s="42"/>
      <c r="T17" s="42"/>
      <c r="U17" s="42"/>
      <c r="V17" s="42"/>
      <c r="W17" s="42"/>
      <c r="X17" s="42"/>
      <c r="Y17" s="42"/>
    </row>
    <row r="18" spans="1:31">
      <c r="B18" s="9" t="s">
        <v>65</v>
      </c>
      <c r="D18" s="9" t="s">
        <v>66</v>
      </c>
      <c r="E18" s="42">
        <f t="shared" ref="E18:X18" ca="1" si="1">SUM(E13:E16)</f>
        <v>5912957.9357845243</v>
      </c>
      <c r="F18" s="42">
        <f t="shared" ca="1" si="1"/>
        <v>5894716.7373226183</v>
      </c>
      <c r="G18" s="42">
        <f t="shared" ca="1" si="1"/>
        <v>5876568.4091907088</v>
      </c>
      <c r="H18" s="42">
        <f t="shared" ca="1" si="1"/>
        <v>5858512.1906713378</v>
      </c>
      <c r="I18" s="42">
        <f t="shared" ca="1" si="1"/>
        <v>5840547.3286504922</v>
      </c>
      <c r="J18" s="42">
        <f t="shared" ca="1" si="1"/>
        <v>5822673.077537531</v>
      </c>
      <c r="K18" s="42">
        <f t="shared" ca="1" si="1"/>
        <v>5804888.6991859814</v>
      </c>
      <c r="L18" s="42">
        <f t="shared" ca="1" si="1"/>
        <v>5787193.462815172</v>
      </c>
      <c r="M18" s="42">
        <f t="shared" ca="1" si="1"/>
        <v>5769586.6449326966</v>
      </c>
      <c r="N18" s="42">
        <f t="shared" ca="1" si="1"/>
        <v>5752067.5292577213</v>
      </c>
      <c r="O18" s="42">
        <f t="shared" ca="1" si="1"/>
        <v>5734635.406645081</v>
      </c>
      <c r="P18" s="42">
        <f t="shared" ca="1" si="1"/>
        <v>5717289.5750102066</v>
      </c>
      <c r="Q18" s="42">
        <f t="shared" ca="1" si="1"/>
        <v>5700029.3392548524</v>
      </c>
      <c r="R18" s="42">
        <f t="shared" ca="1" si="1"/>
        <v>5682854.0111935912</v>
      </c>
      <c r="S18" s="42">
        <f t="shared" ca="1" si="1"/>
        <v>5665762.9094811222</v>
      </c>
      <c r="T18" s="42">
        <f t="shared" ca="1" si="1"/>
        <v>5648755.3595403275</v>
      </c>
      <c r="U18" s="42">
        <f t="shared" ca="1" si="1"/>
        <v>5631830.6934911208</v>
      </c>
      <c r="V18" s="42">
        <f t="shared" ca="1" si="1"/>
        <v>5614988.250080023</v>
      </c>
      <c r="W18" s="42">
        <f t="shared" ca="1" si="1"/>
        <v>5598227.3746105134</v>
      </c>
      <c r="X18" s="42">
        <f t="shared" ca="1" si="1"/>
        <v>5581547.4188741138</v>
      </c>
      <c r="Y18" s="42"/>
      <c r="Z18" s="42"/>
    </row>
    <row r="19" spans="1:31">
      <c r="E19" s="42"/>
      <c r="F19" s="42"/>
      <c r="G19" s="42"/>
      <c r="H19" s="42"/>
      <c r="I19" s="42"/>
      <c r="J19" s="42"/>
      <c r="K19" s="42"/>
      <c r="L19" s="42"/>
      <c r="M19" s="42"/>
      <c r="N19" s="42"/>
      <c r="O19" s="42"/>
      <c r="P19" s="42"/>
      <c r="Q19" s="42"/>
      <c r="R19" s="42"/>
      <c r="S19" s="42"/>
      <c r="T19" s="42"/>
      <c r="U19" s="42"/>
      <c r="V19" s="42"/>
      <c r="W19" s="42"/>
      <c r="X19" s="42"/>
      <c r="Y19" s="42"/>
    </row>
    <row r="20" spans="1:31">
      <c r="E20" s="42"/>
      <c r="F20" s="42"/>
      <c r="G20" s="42"/>
      <c r="H20" s="42"/>
      <c r="I20" s="42"/>
      <c r="J20" s="42"/>
      <c r="K20" s="42"/>
      <c r="L20" s="42"/>
      <c r="M20" s="42"/>
      <c r="N20" s="42"/>
      <c r="O20" s="42"/>
      <c r="P20" s="42"/>
      <c r="Q20" s="42"/>
      <c r="R20" s="42"/>
      <c r="S20" s="42"/>
      <c r="T20" s="42"/>
      <c r="U20" s="42"/>
      <c r="V20" s="42"/>
      <c r="W20" s="42"/>
      <c r="X20" s="42"/>
      <c r="Y20" s="42"/>
    </row>
    <row r="21" spans="1:31" ht="15">
      <c r="A21" s="81" t="s">
        <v>150</v>
      </c>
      <c r="E21" s="42"/>
      <c r="F21" s="42"/>
      <c r="G21" s="42"/>
      <c r="H21" s="42"/>
      <c r="I21" s="42"/>
      <c r="J21" s="42"/>
      <c r="K21" s="42"/>
      <c r="L21" s="42"/>
      <c r="M21" s="42"/>
      <c r="N21" s="42"/>
      <c r="O21" s="42"/>
      <c r="P21" s="42"/>
      <c r="Q21" s="42"/>
      <c r="R21" s="42"/>
      <c r="S21" s="42"/>
      <c r="T21" s="42"/>
      <c r="U21" s="42"/>
      <c r="V21" s="42"/>
      <c r="W21" s="42"/>
      <c r="X21" s="42"/>
      <c r="Y21" s="42"/>
    </row>
    <row r="22" spans="1:31" ht="15">
      <c r="A22" s="9" t="s">
        <v>165</v>
      </c>
      <c r="E22" s="63">
        <v>1</v>
      </c>
      <c r="F22" s="63">
        <v>2</v>
      </c>
      <c r="G22" s="63">
        <v>3</v>
      </c>
      <c r="H22" s="63">
        <v>4</v>
      </c>
      <c r="I22" s="63">
        <v>5</v>
      </c>
      <c r="J22" s="63">
        <v>6</v>
      </c>
      <c r="K22" s="63">
        <v>7</v>
      </c>
      <c r="L22" s="63">
        <v>8</v>
      </c>
      <c r="M22" s="63">
        <v>9</v>
      </c>
      <c r="N22" s="63">
        <v>10</v>
      </c>
      <c r="O22" s="63">
        <v>11</v>
      </c>
      <c r="P22" s="63">
        <v>12</v>
      </c>
      <c r="Q22" s="63">
        <v>13</v>
      </c>
      <c r="R22" s="63">
        <v>14</v>
      </c>
      <c r="S22" s="63">
        <v>15</v>
      </c>
      <c r="T22" s="63">
        <v>16</v>
      </c>
      <c r="U22" s="63">
        <v>17</v>
      </c>
      <c r="V22" s="63">
        <v>18</v>
      </c>
      <c r="W22" s="63">
        <v>19</v>
      </c>
      <c r="X22" s="63">
        <v>20</v>
      </c>
      <c r="Y22" s="63"/>
    </row>
    <row r="23" spans="1:31">
      <c r="D23" s="9" t="str">
        <f>D13</f>
        <v>Single Family</v>
      </c>
      <c r="E23" s="42">
        <f>IF(E$22&lt;=1/$C$43,0,INDEX('SC-New'!$E144:$Y144,1,E$22-ROUND(1/$C$43,0)))</f>
        <v>0</v>
      </c>
      <c r="F23" s="42">
        <f>IF(F$22&lt;=1/$C$43,0,INDEX('SC-New'!$E144:$Y144,1,F$22-ROUND(1/$C$43,0)))</f>
        <v>0</v>
      </c>
      <c r="G23" s="42">
        <f>IF(G$22&lt;=1/$C$43,0,INDEX('SC-New'!$E144:$Y144,1,G$22-ROUND(1/$C$43,0)))</f>
        <v>0</v>
      </c>
      <c r="H23" s="42">
        <f>IF(H$22&lt;=1/$C$43,0,INDEX('SC-New'!$E144:$Y144,1,H$22-ROUND(1/$C$43,0)))</f>
        <v>0</v>
      </c>
      <c r="I23" s="42">
        <f>IF(I$22&lt;=1/$C$43,0,INDEX('SC-New'!$E144:$Y144,1,I$22-ROUND(1/$C$43,0)))</f>
        <v>0</v>
      </c>
      <c r="J23" s="42">
        <f>IF(J$22&lt;=1/$C$43,0,INDEX('SC-New'!$E144:$Y144,1,J$22-ROUND(1/$C$43,0)))</f>
        <v>0</v>
      </c>
      <c r="K23" s="42">
        <f>IF(K$22&lt;=1/$C$43,0,INDEX('SC-New'!$E144:$Y144,1,K$22-ROUND(1/$C$43,0)))</f>
        <v>0</v>
      </c>
      <c r="L23" s="42">
        <f>IF(L$22&lt;=1/$C$43,0,INDEX('SC-New'!$E144:$Y144,1,L$22-ROUND(1/$C$43,0)))</f>
        <v>0</v>
      </c>
      <c r="M23" s="42">
        <f>IF(M$22&lt;=1/$C$43,0,INDEX('SC-New'!$E144:$Y144,1,M$22-ROUND(1/$C$43,0)))</f>
        <v>0</v>
      </c>
      <c r="N23" s="42">
        <f>IF(N$22&lt;=1/$C$43,0,INDEX('SC-New'!$E144:$Y144,1,N$22-ROUND(1/$C$43,0)))</f>
        <v>0</v>
      </c>
      <c r="O23" s="42">
        <f>IF(O$22&lt;=1/$C$43,0,INDEX('SC-New'!$E144:$Y144,1,O$22-ROUND(1/$C$43,0)))</f>
        <v>0</v>
      </c>
      <c r="P23" s="42">
        <f>IF(P$22&lt;=1/$C$43,0,INDEX('SC-New'!$E144:$Y144,1,P$22-ROUND(1/$C$43,0)))</f>
        <v>0</v>
      </c>
      <c r="Q23" s="42">
        <f>IF(Q$22&lt;=1/$C$43,0,INDEX('SC-New'!$E144:$Y144,1,Q$22-ROUND(1/$C$43,0)))</f>
        <v>0</v>
      </c>
      <c r="R23" s="42">
        <f>IF(R$22&lt;=1/$C$43,0,INDEX('SC-New'!$E144:$Y144,1,R$22-ROUND(1/$C$43,0)))</f>
        <v>0</v>
      </c>
      <c r="S23" s="42">
        <f ca="1">IF(S$22&lt;=1/$C$43,0,INDEX('SC-New'!$E144:$Y144,1,S$22-ROUND(1/$C$43,0)))</f>
        <v>55829.529517006595</v>
      </c>
      <c r="T23" s="42">
        <f ca="1">IF(T$22&lt;=1/$C$43,0,INDEX('SC-New'!$E144:$Y144,1,T$22-ROUND(1/$C$43,0)))</f>
        <v>46845.190013361593</v>
      </c>
      <c r="U23" s="42">
        <f ca="1">IF(U$22&lt;=1/$C$43,0,INDEX('SC-New'!$E144:$Y144,1,U$22-ROUND(1/$C$43,0)))</f>
        <v>38185.420919949378</v>
      </c>
      <c r="V23" s="42">
        <f ca="1">IF(V$22&lt;=1/$C$43,0,INDEX('SC-New'!$E144:$Y144,1,V$22-ROUND(1/$C$43,0)))</f>
        <v>30929.260208331478</v>
      </c>
      <c r="W23" s="42">
        <f ca="1">IF(W$22&lt;=1/$C$43,0,INDEX('SC-New'!$E144:$Y144,1,W$22-ROUND(1/$C$43,0)))</f>
        <v>24245.682593812911</v>
      </c>
      <c r="X23" s="42">
        <f ca="1">IF(X$22&lt;=1/$C$43,0,INDEX('SC-New'!$E144:$Y144,1,X$22-ROUND(1/$C$43,0)))</f>
        <v>18082.81777646867</v>
      </c>
      <c r="Y23" s="42"/>
      <c r="Z23" s="42"/>
      <c r="AA23" s="42"/>
      <c r="AB23" s="42"/>
      <c r="AC23" s="42"/>
      <c r="AD23" s="42"/>
      <c r="AE23" s="42"/>
    </row>
    <row r="24" spans="1:31">
      <c r="D24" s="9" t="str">
        <f>D14</f>
        <v>Multifamily - Low Rise</v>
      </c>
      <c r="E24" s="42">
        <f>IF(E$22&lt;=1/$C$43,0,INDEX('SC-New'!$E145:$Y145,1,E$22-ROUND(1/$C$43,0)))</f>
        <v>0</v>
      </c>
      <c r="F24" s="42">
        <f>IF(F$22&lt;=1/$C$43,0,INDEX('SC-New'!$E145:$Y145,1,F$22-ROUND(1/$C$43,0)))</f>
        <v>0</v>
      </c>
      <c r="G24" s="42">
        <f>IF(G$22&lt;=1/$C$43,0,INDEX('SC-New'!$E145:$Y145,1,G$22-ROUND(1/$C$43,0)))</f>
        <v>0</v>
      </c>
      <c r="H24" s="42">
        <f>IF(H$22&lt;=1/$C$43,0,INDEX('SC-New'!$E145:$Y145,1,H$22-ROUND(1/$C$43,0)))</f>
        <v>0</v>
      </c>
      <c r="I24" s="42">
        <f>IF(I$22&lt;=1/$C$43,0,INDEX('SC-New'!$E145:$Y145,1,I$22-ROUND(1/$C$43,0)))</f>
        <v>0</v>
      </c>
      <c r="J24" s="42">
        <f>IF(J$22&lt;=1/$C$43,0,INDEX('SC-New'!$E145:$Y145,1,J$22-ROUND(1/$C$43,0)))</f>
        <v>0</v>
      </c>
      <c r="K24" s="42">
        <f>IF(K$22&lt;=1/$C$43,0,INDEX('SC-New'!$E145:$Y145,1,K$22-ROUND(1/$C$43,0)))</f>
        <v>0</v>
      </c>
      <c r="L24" s="42">
        <f>IF(L$22&lt;=1/$C$43,0,INDEX('SC-New'!$E145:$Y145,1,L$22-ROUND(1/$C$43,0)))</f>
        <v>0</v>
      </c>
      <c r="M24" s="42">
        <f>IF(M$22&lt;=1/$C$43,0,INDEX('SC-New'!$E145:$Y145,1,M$22-ROUND(1/$C$43,0)))</f>
        <v>0</v>
      </c>
      <c r="N24" s="42">
        <f>IF(N$22&lt;=1/$C$43,0,INDEX('SC-New'!$E145:$Y145,1,N$22-ROUND(1/$C$43,0)))</f>
        <v>0</v>
      </c>
      <c r="O24" s="42">
        <f>IF(O$22&lt;=1/$C$43,0,INDEX('SC-New'!$E145:$Y145,1,O$22-ROUND(1/$C$43,0)))</f>
        <v>0</v>
      </c>
      <c r="P24" s="42">
        <f>IF(P$22&lt;=1/$C$43,0,INDEX('SC-New'!$E145:$Y145,1,P$22-ROUND(1/$C$43,0)))</f>
        <v>0</v>
      </c>
      <c r="Q24" s="42">
        <f>IF(Q$22&lt;=1/$C$43,0,INDEX('SC-New'!$E145:$Y145,1,Q$22-ROUND(1/$C$43,0)))</f>
        <v>0</v>
      </c>
      <c r="R24" s="42">
        <f>IF(R$22&lt;=1/$C$43,0,INDEX('SC-New'!$E145:$Y145,1,R$22-ROUND(1/$C$43,0)))</f>
        <v>0</v>
      </c>
      <c r="S24" s="42">
        <f ca="1">IF(S$22&lt;=1/$C$43,0,INDEX('SC-New'!$E145:$Y145,1,S$22-ROUND(1/$C$43,0)))</f>
        <v>21119.526974914137</v>
      </c>
      <c r="T24" s="42">
        <f ca="1">IF(T$22&lt;=1/$C$43,0,INDEX('SC-New'!$E145:$Y145,1,T$22-ROUND(1/$C$43,0)))</f>
        <v>18744.586599163711</v>
      </c>
      <c r="U24" s="42">
        <f ca="1">IF(U$22&lt;=1/$C$43,0,INDEX('SC-New'!$E145:$Y145,1,U$22-ROUND(1/$C$43,0)))</f>
        <v>16459.669366393005</v>
      </c>
      <c r="V24" s="42">
        <f ca="1">IF(V$22&lt;=1/$C$43,0,INDEX('SC-New'!$E145:$Y145,1,V$22-ROUND(1/$C$43,0)))</f>
        <v>13886.091452206112</v>
      </c>
      <c r="W24" s="42">
        <f ca="1">IF(W$22&lt;=1/$C$43,0,INDEX('SC-New'!$E145:$Y145,1,W$22-ROUND(1/$C$43,0)))</f>
        <v>11156.563741445481</v>
      </c>
      <c r="X24" s="42">
        <f ca="1">IF(X$22&lt;=1/$C$43,0,INDEX('SC-New'!$E145:$Y145,1,X$22-ROUND(1/$C$43,0)))</f>
        <v>9079.3454919695687</v>
      </c>
      <c r="Y24" s="42"/>
      <c r="Z24" s="42"/>
      <c r="AA24" s="42"/>
      <c r="AB24" s="42"/>
      <c r="AC24" s="42"/>
      <c r="AD24" s="42"/>
      <c r="AE24" s="42"/>
    </row>
    <row r="25" spans="1:31">
      <c r="D25" s="9" t="str">
        <f>D15</f>
        <v>Multifamily - High Rise</v>
      </c>
      <c r="E25" s="42">
        <f>IF(E$22&lt;=1/$C$43,0,INDEX('SC-New'!$E146:$Y146,1,E$22-ROUND(1/$C$43,0)))</f>
        <v>0</v>
      </c>
      <c r="F25" s="42">
        <f>IF(F$22&lt;=1/$C$43,0,INDEX('SC-New'!$E146:$Y146,1,F$22-ROUND(1/$C$43,0)))</f>
        <v>0</v>
      </c>
      <c r="G25" s="42">
        <f>IF(G$22&lt;=1/$C$43,0,INDEX('SC-New'!$E146:$Y146,1,G$22-ROUND(1/$C$43,0)))</f>
        <v>0</v>
      </c>
      <c r="H25" s="42">
        <f>IF(H$22&lt;=1/$C$43,0,INDEX('SC-New'!$E146:$Y146,1,H$22-ROUND(1/$C$43,0)))</f>
        <v>0</v>
      </c>
      <c r="I25" s="42">
        <f>IF(I$22&lt;=1/$C$43,0,INDEX('SC-New'!$E146:$Y146,1,I$22-ROUND(1/$C$43,0)))</f>
        <v>0</v>
      </c>
      <c r="J25" s="42">
        <f>IF(J$22&lt;=1/$C$43,0,INDEX('SC-New'!$E146:$Y146,1,J$22-ROUND(1/$C$43,0)))</f>
        <v>0</v>
      </c>
      <c r="K25" s="42">
        <f>IF(K$22&lt;=1/$C$43,0,INDEX('SC-New'!$E146:$Y146,1,K$22-ROUND(1/$C$43,0)))</f>
        <v>0</v>
      </c>
      <c r="L25" s="42">
        <f>IF(L$22&lt;=1/$C$43,0,INDEX('SC-New'!$E146:$Y146,1,L$22-ROUND(1/$C$43,0)))</f>
        <v>0</v>
      </c>
      <c r="M25" s="42">
        <f>IF(M$22&lt;=1/$C$43,0,INDEX('SC-New'!$E146:$Y146,1,M$22-ROUND(1/$C$43,0)))</f>
        <v>0</v>
      </c>
      <c r="N25" s="42">
        <f>IF(N$22&lt;=1/$C$43,0,INDEX('SC-New'!$E146:$Y146,1,N$22-ROUND(1/$C$43,0)))</f>
        <v>0</v>
      </c>
      <c r="O25" s="42">
        <f>IF(O$22&lt;=1/$C$43,0,INDEX('SC-New'!$E146:$Y146,1,O$22-ROUND(1/$C$43,0)))</f>
        <v>0</v>
      </c>
      <c r="P25" s="42">
        <f>IF(P$22&lt;=1/$C$43,0,INDEX('SC-New'!$E146:$Y146,1,P$22-ROUND(1/$C$43,0)))</f>
        <v>0</v>
      </c>
      <c r="Q25" s="42">
        <f>IF(Q$22&lt;=1/$C$43,0,INDEX('SC-New'!$E146:$Y146,1,Q$22-ROUND(1/$C$43,0)))</f>
        <v>0</v>
      </c>
      <c r="R25" s="42">
        <f>IF(R$22&lt;=1/$C$43,0,INDEX('SC-New'!$E146:$Y146,1,R$22-ROUND(1/$C$43,0)))</f>
        <v>0</v>
      </c>
      <c r="S25" s="42">
        <f ca="1">IF(S$22&lt;=1/$C$43,0,INDEX('SC-New'!$E146:$Y146,1,S$22-ROUND(1/$C$43,0)))</f>
        <v>4733.074756315229</v>
      </c>
      <c r="T25" s="42">
        <f ca="1">IF(T$22&lt;=1/$C$43,0,INDEX('SC-New'!$E146:$Y146,1,T$22-ROUND(1/$C$43,0)))</f>
        <v>4251.0368944211177</v>
      </c>
      <c r="U25" s="42">
        <f ca="1">IF(U$22&lt;=1/$C$43,0,INDEX('SC-New'!$E146:$Y146,1,U$22-ROUND(1/$C$43,0)))</f>
        <v>3779.0239263657982</v>
      </c>
      <c r="V25" s="42">
        <f ca="1">IF(V$22&lt;=1/$C$43,0,INDEX('SC-New'!$E146:$Y146,1,V$22-ROUND(1/$C$43,0)))</f>
        <v>3103.9502370881728</v>
      </c>
      <c r="W25" s="42">
        <f ca="1">IF(W$22&lt;=1/$C$43,0,INDEX('SC-New'!$E146:$Y146,1,W$22-ROUND(1/$C$43,0)))</f>
        <v>2434.1868996182338</v>
      </c>
      <c r="X25" s="42">
        <f ca="1">IF(X$22&lt;=1/$C$43,0,INDEX('SC-New'!$E146:$Y146,1,X$22-ROUND(1/$C$43,0)))</f>
        <v>1998.9321637983548</v>
      </c>
      <c r="Y25" s="42"/>
      <c r="Z25" s="42"/>
      <c r="AA25" s="42"/>
      <c r="AB25" s="42"/>
      <c r="AC25" s="42"/>
      <c r="AD25" s="42"/>
      <c r="AE25" s="42"/>
    </row>
    <row r="26" spans="1:31">
      <c r="D26" s="9" t="str">
        <f>D16</f>
        <v>Manufactured</v>
      </c>
      <c r="E26" s="42">
        <f>IF(E$22&lt;=1/$C$43,0,INDEX('SC-New'!$E147:$Y147,1,E$22-ROUND(1/$C$43,0)))</f>
        <v>0</v>
      </c>
      <c r="F26" s="42">
        <f>IF(F$22&lt;=1/$C$43,0,INDEX('SC-New'!$E147:$Y147,1,F$22-ROUND(1/$C$43,0)))</f>
        <v>0</v>
      </c>
      <c r="G26" s="42">
        <f>IF(G$22&lt;=1/$C$43,0,INDEX('SC-New'!$E147:$Y147,1,G$22-ROUND(1/$C$43,0)))</f>
        <v>0</v>
      </c>
      <c r="H26" s="42">
        <f>IF(H$22&lt;=1/$C$43,0,INDEX('SC-New'!$E147:$Y147,1,H$22-ROUND(1/$C$43,0)))</f>
        <v>0</v>
      </c>
      <c r="I26" s="42">
        <f>IF(I$22&lt;=1/$C$43,0,INDEX('SC-New'!$E147:$Y147,1,I$22-ROUND(1/$C$43,0)))</f>
        <v>0</v>
      </c>
      <c r="J26" s="42">
        <f>IF(J$22&lt;=1/$C$43,0,INDEX('SC-New'!$E147:$Y147,1,J$22-ROUND(1/$C$43,0)))</f>
        <v>0</v>
      </c>
      <c r="K26" s="42">
        <f>IF(K$22&lt;=1/$C$43,0,INDEX('SC-New'!$E147:$Y147,1,K$22-ROUND(1/$C$43,0)))</f>
        <v>0</v>
      </c>
      <c r="L26" s="42">
        <f>IF(L$22&lt;=1/$C$43,0,INDEX('SC-New'!$E147:$Y147,1,L$22-ROUND(1/$C$43,0)))</f>
        <v>0</v>
      </c>
      <c r="M26" s="42">
        <f>IF(M$22&lt;=1/$C$43,0,INDEX('SC-New'!$E147:$Y147,1,M$22-ROUND(1/$C$43,0)))</f>
        <v>0</v>
      </c>
      <c r="N26" s="42">
        <f>IF(N$22&lt;=1/$C$43,0,INDEX('SC-New'!$E147:$Y147,1,N$22-ROUND(1/$C$43,0)))</f>
        <v>0</v>
      </c>
      <c r="O26" s="42">
        <f>IF(O$22&lt;=1/$C$43,0,INDEX('SC-New'!$E147:$Y147,1,O$22-ROUND(1/$C$43,0)))</f>
        <v>0</v>
      </c>
      <c r="P26" s="42">
        <f>IF(P$22&lt;=1/$C$43,0,INDEX('SC-New'!$E147:$Y147,1,P$22-ROUND(1/$C$43,0)))</f>
        <v>0</v>
      </c>
      <c r="Q26" s="42">
        <f>IF(Q$22&lt;=1/$C$43,0,INDEX('SC-New'!$E147:$Y147,1,Q$22-ROUND(1/$C$43,0)))</f>
        <v>0</v>
      </c>
      <c r="R26" s="42">
        <f>IF(R$22&lt;=1/$C$43,0,INDEX('SC-New'!$E147:$Y147,1,R$22-ROUND(1/$C$43,0)))</f>
        <v>0</v>
      </c>
      <c r="S26" s="42">
        <f ca="1">IF(S$22&lt;=1/$C$43,0,INDEX('SC-New'!$E147:$Y147,1,S$22-ROUND(1/$C$43,0)))</f>
        <v>1665.0913529321142</v>
      </c>
      <c r="T26" s="42">
        <f ca="1">IF(T$22&lt;=1/$C$43,0,INDEX('SC-New'!$E147:$Y147,1,T$22-ROUND(1/$C$43,0)))</f>
        <v>1470.1548894664227</v>
      </c>
      <c r="U26" s="42">
        <f ca="1">IF(U$22&lt;=1/$C$43,0,INDEX('SC-New'!$E147:$Y147,1,U$22-ROUND(1/$C$43,0)))</f>
        <v>1309.5767921591346</v>
      </c>
      <c r="V26" s="42">
        <f ca="1">IF(V$22&lt;=1/$C$43,0,INDEX('SC-New'!$E147:$Y147,1,V$22-ROUND(1/$C$43,0)))</f>
        <v>1136.9262298909211</v>
      </c>
      <c r="W26" s="42">
        <f ca="1">IF(W$22&lt;=1/$C$43,0,INDEX('SC-New'!$E147:$Y147,1,W$22-ROUND(1/$C$43,0)))</f>
        <v>887.90520484849208</v>
      </c>
      <c r="X26" s="42">
        <f ca="1">IF(X$22&lt;=1/$C$43,0,INDEX('SC-New'!$E147:$Y147,1,X$22-ROUND(1/$C$43,0)))</f>
        <v>684.04656645488694</v>
      </c>
      <c r="Y26" s="42"/>
      <c r="Z26" s="42"/>
      <c r="AA26" s="42"/>
      <c r="AB26" s="42"/>
      <c r="AC26" s="42"/>
      <c r="AD26" s="42"/>
      <c r="AE26" s="42"/>
    </row>
    <row r="27" spans="1:31">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row>
    <row r="28" spans="1:31">
      <c r="D28" s="9" t="s">
        <v>151</v>
      </c>
      <c r="E28" s="42">
        <f t="shared" ref="E28:X28" si="2">SUM(E23:E26)</f>
        <v>0</v>
      </c>
      <c r="F28" s="42">
        <f t="shared" si="2"/>
        <v>0</v>
      </c>
      <c r="G28" s="42">
        <f t="shared" si="2"/>
        <v>0</v>
      </c>
      <c r="H28" s="42">
        <f t="shared" si="2"/>
        <v>0</v>
      </c>
      <c r="I28" s="42">
        <f t="shared" si="2"/>
        <v>0</v>
      </c>
      <c r="J28" s="42">
        <f t="shared" si="2"/>
        <v>0</v>
      </c>
      <c r="K28" s="42">
        <f t="shared" si="2"/>
        <v>0</v>
      </c>
      <c r="L28" s="42">
        <f t="shared" si="2"/>
        <v>0</v>
      </c>
      <c r="M28" s="42">
        <f t="shared" si="2"/>
        <v>0</v>
      </c>
      <c r="N28" s="42">
        <f t="shared" si="2"/>
        <v>0</v>
      </c>
      <c r="O28" s="42">
        <f t="shared" si="2"/>
        <v>0</v>
      </c>
      <c r="P28" s="42">
        <f t="shared" si="2"/>
        <v>0</v>
      </c>
      <c r="Q28" s="42">
        <f t="shared" si="2"/>
        <v>0</v>
      </c>
      <c r="R28" s="42">
        <f t="shared" si="2"/>
        <v>0</v>
      </c>
      <c r="S28" s="42">
        <f t="shared" ca="1" si="2"/>
        <v>83347.222601168061</v>
      </c>
      <c r="T28" s="42">
        <f t="shared" ca="1" si="2"/>
        <v>71310.968396412849</v>
      </c>
      <c r="U28" s="42">
        <f t="shared" ca="1" si="2"/>
        <v>59733.691004867316</v>
      </c>
      <c r="V28" s="42">
        <f t="shared" ca="1" si="2"/>
        <v>49056.22812751669</v>
      </c>
      <c r="W28" s="42">
        <f t="shared" ca="1" si="2"/>
        <v>38724.338439725121</v>
      </c>
      <c r="X28" s="42">
        <f t="shared" ca="1" si="2"/>
        <v>29845.141998691481</v>
      </c>
      <c r="Y28" s="42"/>
      <c r="Z28" s="42"/>
      <c r="AA28" s="42"/>
      <c r="AB28" s="42"/>
      <c r="AC28" s="42"/>
      <c r="AD28" s="42"/>
      <c r="AE28" s="42"/>
    </row>
    <row r="29" spans="1:31">
      <c r="E29" s="42"/>
      <c r="F29" s="42"/>
      <c r="G29" s="42"/>
      <c r="H29" s="42"/>
      <c r="I29" s="42"/>
      <c r="J29" s="42"/>
      <c r="K29" s="42"/>
      <c r="L29" s="42"/>
      <c r="M29" s="42"/>
      <c r="N29" s="42"/>
      <c r="O29" s="42"/>
      <c r="P29" s="42"/>
      <c r="Q29" s="42"/>
      <c r="R29" s="42"/>
      <c r="S29" s="42"/>
      <c r="T29" s="42"/>
      <c r="U29" s="42"/>
      <c r="V29" s="42"/>
      <c r="W29" s="42"/>
      <c r="X29" s="42"/>
      <c r="Y29" s="42"/>
    </row>
    <row r="30" spans="1:31">
      <c r="E30" s="42"/>
      <c r="F30" s="42"/>
      <c r="G30" s="42"/>
      <c r="H30" s="42"/>
      <c r="I30" s="42"/>
      <c r="J30" s="42"/>
      <c r="K30" s="42"/>
      <c r="L30" s="42"/>
      <c r="M30" s="42"/>
      <c r="N30" s="42"/>
      <c r="O30" s="42"/>
      <c r="P30" s="42"/>
      <c r="Q30" s="42"/>
      <c r="R30" s="42"/>
      <c r="S30" s="42"/>
      <c r="T30" s="42"/>
      <c r="U30" s="42"/>
      <c r="V30" s="42"/>
      <c r="W30" s="42"/>
      <c r="X30" s="42"/>
      <c r="Y30" s="42"/>
    </row>
    <row r="31" spans="1:31" ht="15">
      <c r="A31" s="81" t="s">
        <v>152</v>
      </c>
      <c r="E31" s="42"/>
      <c r="F31" s="42"/>
      <c r="G31" s="42"/>
      <c r="H31" s="42"/>
      <c r="I31" s="42"/>
      <c r="J31" s="42"/>
      <c r="K31" s="42"/>
      <c r="L31" s="42"/>
      <c r="M31" s="42"/>
      <c r="N31" s="42"/>
      <c r="O31" s="42"/>
      <c r="P31" s="42"/>
      <c r="Q31" s="42"/>
      <c r="R31" s="42"/>
      <c r="S31" s="42"/>
      <c r="T31" s="42"/>
      <c r="U31" s="42"/>
      <c r="V31" s="42"/>
      <c r="W31" s="42"/>
      <c r="X31" s="42"/>
      <c r="Y31" s="42"/>
      <c r="Z31" s="56">
        <v>0.85</v>
      </c>
    </row>
    <row r="32" spans="1:31">
      <c r="E32" s="42">
        <v>2</v>
      </c>
      <c r="F32" s="42">
        <v>3</v>
      </c>
      <c r="G32" s="42">
        <v>4</v>
      </c>
      <c r="H32" s="42">
        <v>5</v>
      </c>
      <c r="I32" s="42">
        <v>6</v>
      </c>
      <c r="J32" s="42">
        <v>7</v>
      </c>
      <c r="K32" s="42">
        <v>8</v>
      </c>
      <c r="L32" s="42">
        <v>9</v>
      </c>
      <c r="M32" s="42">
        <v>10</v>
      </c>
      <c r="N32" s="42">
        <v>11</v>
      </c>
      <c r="O32" s="42">
        <v>12</v>
      </c>
      <c r="P32" s="42">
        <v>13</v>
      </c>
      <c r="Q32" s="42">
        <v>14</v>
      </c>
      <c r="R32" s="42">
        <v>15</v>
      </c>
      <c r="S32" s="42">
        <v>16</v>
      </c>
      <c r="T32" s="42">
        <v>17</v>
      </c>
      <c r="U32" s="42">
        <v>18</v>
      </c>
      <c r="V32" s="42">
        <v>19</v>
      </c>
      <c r="W32" s="42">
        <v>20</v>
      </c>
      <c r="X32" s="42">
        <v>21</v>
      </c>
      <c r="Y32" s="42">
        <v>22</v>
      </c>
      <c r="Z32" s="57" t="s">
        <v>153</v>
      </c>
    </row>
    <row r="33" spans="1:29">
      <c r="D33" s="9" t="str">
        <f>D13</f>
        <v>Single Family</v>
      </c>
      <c r="E33" s="42">
        <f ca="1">SUM(E13,E23)</f>
        <v>4203528.2719999999</v>
      </c>
      <c r="F33" s="42">
        <f t="shared" ref="F33:X36" ca="1" si="3">SUM(F13,F23)</f>
        <v>4193982.9785983553</v>
      </c>
      <c r="G33" s="42">
        <f t="shared" ca="1" si="3"/>
        <v>4184459.3604704877</v>
      </c>
      <c r="H33" s="42">
        <f t="shared" ca="1" si="3"/>
        <v>4174957.36839659</v>
      </c>
      <c r="I33" s="42">
        <f t="shared" ca="1" si="3"/>
        <v>4165476.9532686244</v>
      </c>
      <c r="J33" s="42">
        <f t="shared" ca="1" si="3"/>
        <v>4156018.0660900641</v>
      </c>
      <c r="K33" s="42">
        <f t="shared" ca="1" si="3"/>
        <v>4146580.6579756448</v>
      </c>
      <c r="L33" s="42">
        <f t="shared" ca="1" si="3"/>
        <v>4137164.6801511091</v>
      </c>
      <c r="M33" s="42">
        <f t="shared" ca="1" si="3"/>
        <v>4127770.0839529554</v>
      </c>
      <c r="N33" s="42">
        <f t="shared" ca="1" si="3"/>
        <v>4118396.8208281873</v>
      </c>
      <c r="O33" s="42">
        <f t="shared" ca="1" si="3"/>
        <v>4109044.8423340586</v>
      </c>
      <c r="P33" s="42">
        <f t="shared" ca="1" si="3"/>
        <v>4099714.1001378288</v>
      </c>
      <c r="Q33" s="42">
        <f t="shared" ca="1" si="3"/>
        <v>4090404.5460165106</v>
      </c>
      <c r="R33" s="42">
        <f t="shared" ca="1" si="3"/>
        <v>4081116.1318566194</v>
      </c>
      <c r="S33" s="42">
        <f ca="1">SUM(S13,S23)</f>
        <v>4127678.3391709328</v>
      </c>
      <c r="T33" s="42">
        <f t="shared" ca="1" si="3"/>
        <v>4109447.7215265697</v>
      </c>
      <c r="U33" s="42">
        <f t="shared" ca="1" si="3"/>
        <v>4091562.6705679526</v>
      </c>
      <c r="V33" s="42">
        <f t="shared" ca="1" si="3"/>
        <v>4075102.1765886936</v>
      </c>
      <c r="W33" s="42">
        <f t="shared" ca="1" si="3"/>
        <v>4059235.1667344128</v>
      </c>
      <c r="X33" s="42">
        <f t="shared" ca="1" si="3"/>
        <v>4043909.7232435234</v>
      </c>
      <c r="Y33" s="42"/>
      <c r="Z33" s="58">
        <f ca="1">X33*$Z$31*A43*B43</f>
        <v>3387376.5549034285</v>
      </c>
    </row>
    <row r="34" spans="1:29">
      <c r="D34" s="9" t="str">
        <f>D14</f>
        <v>Multifamily - Low Rise</v>
      </c>
      <c r="E34" s="42">
        <f ca="1">SUM(E14,E24)</f>
        <v>926243.25609262148</v>
      </c>
      <c r="F34" s="42">
        <f t="shared" ca="1" si="3"/>
        <v>924139.92640956037</v>
      </c>
      <c r="G34" s="42">
        <f t="shared" ca="1" si="3"/>
        <v>922041.3730050053</v>
      </c>
      <c r="H34" s="42">
        <f t="shared" ca="1" si="3"/>
        <v>919947.58503289847</v>
      </c>
      <c r="I34" s="42">
        <f t="shared" ca="1" si="3"/>
        <v>917858.55167181045</v>
      </c>
      <c r="J34" s="42">
        <f t="shared" ca="1" si="3"/>
        <v>915774.26212488639</v>
      </c>
      <c r="K34" s="42">
        <f t="shared" ca="1" si="3"/>
        <v>913694.70561978838</v>
      </c>
      <c r="L34" s="42">
        <f t="shared" ca="1" si="3"/>
        <v>911619.87140864041</v>
      </c>
      <c r="M34" s="42">
        <f t="shared" ca="1" si="3"/>
        <v>909549.74876797362</v>
      </c>
      <c r="N34" s="42">
        <f t="shared" ca="1" si="3"/>
        <v>907484.32699866977</v>
      </c>
      <c r="O34" s="42">
        <f t="shared" ca="1" si="3"/>
        <v>905423.59542590659</v>
      </c>
      <c r="P34" s="42">
        <f t="shared" ca="1" si="3"/>
        <v>903367.54339910217</v>
      </c>
      <c r="Q34" s="42">
        <f t="shared" ca="1" si="3"/>
        <v>901316.16029185988</v>
      </c>
      <c r="R34" s="42">
        <f t="shared" ca="1" si="3"/>
        <v>899269.43550191447</v>
      </c>
      <c r="S34" s="42">
        <f t="shared" ca="1" si="3"/>
        <v>918346.88542598998</v>
      </c>
      <c r="T34" s="42">
        <f t="shared" ca="1" si="3"/>
        <v>913934.50518433901</v>
      </c>
      <c r="U34" s="42">
        <f t="shared" ca="1" si="3"/>
        <v>909616.77474040352</v>
      </c>
      <c r="V34" s="42">
        <f t="shared" ca="1" si="3"/>
        <v>905014.99976349797</v>
      </c>
      <c r="W34" s="42">
        <f t="shared" ca="1" si="3"/>
        <v>900261.88065603224</v>
      </c>
      <c r="X34" s="42">
        <f t="shared" ca="1" si="3"/>
        <v>896165.66621723678</v>
      </c>
      <c r="Y34" s="42"/>
      <c r="Z34" s="58">
        <f t="shared" ref="Z34:Z36" ca="1" si="4">X34*$Z$31*A44*B44</f>
        <v>265529.47386323923</v>
      </c>
    </row>
    <row r="35" spans="1:29">
      <c r="D35" s="9" t="str">
        <f>D15</f>
        <v>Multifamily - High Rise</v>
      </c>
      <c r="E35" s="42">
        <f ca="1">SUM(E15,E25)</f>
        <v>211180.07985625503</v>
      </c>
      <c r="F35" s="42">
        <f t="shared" ca="1" si="3"/>
        <v>210700.52836963299</v>
      </c>
      <c r="G35" s="42">
        <f t="shared" ca="1" si="3"/>
        <v>210222.06585706791</v>
      </c>
      <c r="H35" s="42">
        <f t="shared" ca="1" si="3"/>
        <v>209744.68984569819</v>
      </c>
      <c r="I35" s="42">
        <f t="shared" ca="1" si="3"/>
        <v>209268.39786827751</v>
      </c>
      <c r="J35" s="42">
        <f t="shared" ca="1" si="3"/>
        <v>208793.18746316229</v>
      </c>
      <c r="K35" s="42">
        <f t="shared" ca="1" si="3"/>
        <v>208319.05617429892</v>
      </c>
      <c r="L35" s="42">
        <f t="shared" ca="1" si="3"/>
        <v>207846.00155121088</v>
      </c>
      <c r="M35" s="42">
        <f t="shared" ca="1" si="3"/>
        <v>207374.0211489865</v>
      </c>
      <c r="N35" s="42">
        <f t="shared" ca="1" si="3"/>
        <v>206903.11252826577</v>
      </c>
      <c r="O35" s="42">
        <f t="shared" ca="1" si="3"/>
        <v>206433.27325522827</v>
      </c>
      <c r="P35" s="42">
        <f t="shared" ca="1" si="3"/>
        <v>205964.50090158021</v>
      </c>
      <c r="Q35" s="42">
        <f t="shared" ca="1" si="3"/>
        <v>205496.79304454199</v>
      </c>
      <c r="R35" s="42">
        <f t="shared" ca="1" si="3"/>
        <v>205030.14726683579</v>
      </c>
      <c r="S35" s="42">
        <f t="shared" ca="1" si="3"/>
        <v>209297.63591298819</v>
      </c>
      <c r="T35" s="42">
        <f t="shared" ca="1" si="3"/>
        <v>208351.06920216265</v>
      </c>
      <c r="U35" s="42">
        <f t="shared" ca="1" si="3"/>
        <v>207415.58224555964</v>
      </c>
      <c r="V35" s="42">
        <f t="shared" ca="1" si="3"/>
        <v>206278.0870327224</v>
      </c>
      <c r="W35" s="42">
        <f t="shared" ca="1" si="3"/>
        <v>205146.95224672463</v>
      </c>
      <c r="X35" s="42">
        <f t="shared" ca="1" si="3"/>
        <v>204251.37375287959</v>
      </c>
      <c r="Y35" s="42"/>
      <c r="Z35" s="58">
        <f t="shared" ca="1" si="4"/>
        <v>60518.676236921427</v>
      </c>
    </row>
    <row r="36" spans="1:29">
      <c r="D36" s="9" t="str">
        <f>D16</f>
        <v>Manufactured</v>
      </c>
      <c r="E36" s="42">
        <f ca="1">SUM(E16,E26)</f>
        <v>572006.3278356482</v>
      </c>
      <c r="F36" s="42">
        <f t="shared" ca="1" si="3"/>
        <v>565893.30394507048</v>
      </c>
      <c r="G36" s="42">
        <f t="shared" ca="1" si="3"/>
        <v>559845.60985814757</v>
      </c>
      <c r="H36" s="42">
        <f t="shared" ca="1" si="3"/>
        <v>553862.54739615123</v>
      </c>
      <c r="I36" s="42">
        <f t="shared" ca="1" si="3"/>
        <v>547943.42584177968</v>
      </c>
      <c r="J36" s="42">
        <f t="shared" ca="1" si="3"/>
        <v>542087.56185941794</v>
      </c>
      <c r="K36" s="42">
        <f t="shared" ca="1" si="3"/>
        <v>536294.27941624937</v>
      </c>
      <c r="L36" s="42">
        <f t="shared" ca="1" si="3"/>
        <v>530562.90970421082</v>
      </c>
      <c r="M36" s="42">
        <f t="shared" ca="1" si="3"/>
        <v>524892.79106278194</v>
      </c>
      <c r="N36" s="42">
        <f t="shared" ca="1" si="3"/>
        <v>519283.26890259917</v>
      </c>
      <c r="O36" s="42">
        <f t="shared" ca="1" si="3"/>
        <v>513733.69562988722</v>
      </c>
      <c r="P36" s="42">
        <f t="shared" ca="1" si="3"/>
        <v>508243.4305716962</v>
      </c>
      <c r="Q36" s="42">
        <f t="shared" ca="1" si="3"/>
        <v>502811.8399019395</v>
      </c>
      <c r="R36" s="42">
        <f t="shared" ca="1" si="3"/>
        <v>497438.2965682213</v>
      </c>
      <c r="S36" s="42">
        <f t="shared" ca="1" si="3"/>
        <v>493787.27157237846</v>
      </c>
      <c r="T36" s="42">
        <f t="shared" ca="1" si="3"/>
        <v>488333.03202366963</v>
      </c>
      <c r="U36" s="42">
        <f t="shared" ca="1" si="3"/>
        <v>482969.35694207181</v>
      </c>
      <c r="V36" s="42">
        <f t="shared" ca="1" si="3"/>
        <v>477649.21482262493</v>
      </c>
      <c r="W36" s="42">
        <f t="shared" ca="1" si="3"/>
        <v>472307.71341306804</v>
      </c>
      <c r="X36" s="42">
        <f t="shared" ca="1" si="3"/>
        <v>467065.79765916569</v>
      </c>
      <c r="Y36" s="42"/>
      <c r="Z36" s="58">
        <f t="shared" ca="1" si="4"/>
        <v>378617.68893697765</v>
      </c>
    </row>
    <row r="37" spans="1:29">
      <c r="E37" s="42"/>
      <c r="F37" s="42"/>
      <c r="G37" s="42"/>
      <c r="H37" s="42"/>
      <c r="I37" s="42"/>
      <c r="J37" s="42"/>
      <c r="K37" s="42"/>
      <c r="L37" s="42"/>
      <c r="M37" s="42"/>
      <c r="N37" s="42"/>
      <c r="O37" s="42"/>
      <c r="P37" s="42"/>
      <c r="Q37" s="42"/>
      <c r="R37" s="42"/>
      <c r="S37" s="42"/>
      <c r="T37" s="42"/>
      <c r="U37" s="42"/>
      <c r="V37" s="42"/>
      <c r="W37" s="42"/>
      <c r="X37" s="42"/>
      <c r="Y37" s="42"/>
    </row>
    <row r="38" spans="1:29">
      <c r="E38" s="42">
        <f t="shared" ref="E38:Z38" ca="1" si="5">SUM(E33:E36)</f>
        <v>5912957.9357845243</v>
      </c>
      <c r="F38" s="42">
        <f t="shared" ca="1" si="5"/>
        <v>5894716.7373226183</v>
      </c>
      <c r="G38" s="42">
        <f t="shared" ca="1" si="5"/>
        <v>5876568.4091907088</v>
      </c>
      <c r="H38" s="42">
        <f t="shared" ca="1" si="5"/>
        <v>5858512.1906713378</v>
      </c>
      <c r="I38" s="42">
        <f t="shared" ca="1" si="5"/>
        <v>5840547.3286504922</v>
      </c>
      <c r="J38" s="42">
        <f t="shared" ca="1" si="5"/>
        <v>5822673.077537531</v>
      </c>
      <c r="K38" s="42">
        <f t="shared" ca="1" si="5"/>
        <v>5804888.6991859814</v>
      </c>
      <c r="L38" s="42">
        <f t="shared" ca="1" si="5"/>
        <v>5787193.462815172</v>
      </c>
      <c r="M38" s="42">
        <f t="shared" ca="1" si="5"/>
        <v>5769586.6449326966</v>
      </c>
      <c r="N38" s="42">
        <f t="shared" ca="1" si="5"/>
        <v>5752067.5292577213</v>
      </c>
      <c r="O38" s="42">
        <f t="shared" ca="1" si="5"/>
        <v>5734635.406645081</v>
      </c>
      <c r="P38" s="42">
        <f t="shared" ca="1" si="5"/>
        <v>5717289.5750102066</v>
      </c>
      <c r="Q38" s="42">
        <f t="shared" ca="1" si="5"/>
        <v>5700029.3392548524</v>
      </c>
      <c r="R38" s="42">
        <f t="shared" ca="1" si="5"/>
        <v>5682854.0111935912</v>
      </c>
      <c r="S38" s="42">
        <f t="shared" ca="1" si="5"/>
        <v>5749110.13208229</v>
      </c>
      <c r="T38" s="42">
        <f t="shared" ca="1" si="5"/>
        <v>5720066.3279367406</v>
      </c>
      <c r="U38" s="42">
        <f t="shared" ca="1" si="5"/>
        <v>5691564.3844959866</v>
      </c>
      <c r="V38" s="42">
        <f t="shared" ca="1" si="5"/>
        <v>5664044.4782075388</v>
      </c>
      <c r="W38" s="42">
        <f t="shared" ca="1" si="5"/>
        <v>5636951.7130502379</v>
      </c>
      <c r="X38" s="42">
        <f t="shared" ca="1" si="5"/>
        <v>5611392.5608728062</v>
      </c>
      <c r="Y38" s="42"/>
      <c r="Z38" s="42">
        <f t="shared" ca="1" si="5"/>
        <v>4092042.393940567</v>
      </c>
    </row>
    <row r="39" spans="1:29">
      <c r="E39" s="42"/>
      <c r="F39" s="42"/>
      <c r="G39" s="42"/>
      <c r="H39" s="42"/>
      <c r="I39" s="42"/>
      <c r="J39" s="42"/>
      <c r="K39" s="42"/>
      <c r="L39" s="42"/>
      <c r="M39" s="42"/>
      <c r="N39" s="42"/>
      <c r="O39" s="42"/>
      <c r="P39" s="42"/>
      <c r="Q39" s="42"/>
      <c r="R39" s="42"/>
      <c r="S39" s="42"/>
      <c r="T39" s="42"/>
      <c r="U39" s="42"/>
      <c r="V39" s="42"/>
      <c r="W39" s="42"/>
      <c r="X39" s="42"/>
      <c r="Y39" s="42"/>
    </row>
    <row r="40" spans="1:29">
      <c r="E40" s="42"/>
      <c r="F40" s="42"/>
      <c r="G40" s="42"/>
      <c r="H40" s="42"/>
      <c r="I40" s="42"/>
      <c r="J40" s="42"/>
      <c r="K40" s="42"/>
      <c r="L40" s="42"/>
      <c r="M40" s="42"/>
      <c r="N40" s="42"/>
      <c r="O40" s="42"/>
      <c r="P40" s="42"/>
      <c r="Q40" s="42"/>
      <c r="R40" s="42"/>
      <c r="S40" s="42"/>
      <c r="T40" s="42"/>
      <c r="U40" s="42"/>
      <c r="V40" s="42"/>
      <c r="W40" s="42"/>
      <c r="X40" s="42"/>
      <c r="Y40" s="42"/>
    </row>
    <row r="41" spans="1:29" ht="15">
      <c r="A41" s="62" t="s">
        <v>163</v>
      </c>
      <c r="B41" s="62"/>
      <c r="E41" s="54"/>
      <c r="F41" s="54"/>
      <c r="G41" s="42"/>
      <c r="H41" s="42"/>
      <c r="I41" s="42"/>
      <c r="J41" s="42"/>
      <c r="K41" s="42"/>
      <c r="L41" s="42"/>
      <c r="M41" s="42"/>
      <c r="N41" s="42"/>
      <c r="O41" s="42"/>
      <c r="P41" s="42"/>
      <c r="Q41" s="42"/>
      <c r="R41" s="42"/>
      <c r="S41" s="42"/>
      <c r="T41" s="42"/>
      <c r="U41" s="42"/>
      <c r="V41" s="42"/>
      <c r="W41" s="42"/>
      <c r="X41" s="42"/>
      <c r="Y41" s="42"/>
    </row>
    <row r="42" spans="1:29" ht="15">
      <c r="A42" s="63" t="s">
        <v>67</v>
      </c>
      <c r="B42" s="63" t="s">
        <v>155</v>
      </c>
      <c r="C42" s="63" t="s">
        <v>154</v>
      </c>
      <c r="D42" s="63" t="str">
        <f>CONCATENATE(C8," - ",C7)</f>
        <v>Clothes Washer - NR</v>
      </c>
      <c r="E42" s="78">
        <v>2016</v>
      </c>
      <c r="F42" s="79">
        <v>2017</v>
      </c>
      <c r="G42" s="79">
        <v>2018</v>
      </c>
      <c r="H42" s="79">
        <v>2019</v>
      </c>
      <c r="I42" s="79">
        <v>2020</v>
      </c>
      <c r="J42" s="79">
        <v>2021</v>
      </c>
      <c r="K42" s="79">
        <v>2022</v>
      </c>
      <c r="L42" s="79">
        <v>2023</v>
      </c>
      <c r="M42" s="79">
        <v>2024</v>
      </c>
      <c r="N42" s="79">
        <v>2025</v>
      </c>
      <c r="O42" s="79">
        <v>2026</v>
      </c>
      <c r="P42" s="79">
        <v>2027</v>
      </c>
      <c r="Q42" s="79">
        <v>2028</v>
      </c>
      <c r="R42" s="79">
        <v>2029</v>
      </c>
      <c r="S42" s="79">
        <v>2030</v>
      </c>
      <c r="T42" s="79">
        <v>2031</v>
      </c>
      <c r="U42" s="79">
        <v>2032</v>
      </c>
      <c r="V42" s="79">
        <v>2033</v>
      </c>
      <c r="W42" s="79">
        <v>2034</v>
      </c>
      <c r="X42" s="79">
        <v>2035</v>
      </c>
      <c r="Y42" s="80"/>
    </row>
    <row r="43" spans="1:29">
      <c r="A43" s="64">
        <f>INDEX([2]APPLIC!$B$9:$F$100,MATCH($D$42,[2]APPLIC!$B$9:B$100,0),MATCH($D43,[2]APPLIC!$B$8:$F$8,0))</f>
        <v>1</v>
      </c>
      <c r="B43" s="64">
        <f>VLOOKUP($C$8,[2]!ExistingSat,MATCH($D43,[2]SATS!$C$10:$F$10,0)+1,FALSE)</f>
        <v>0.98546930096285335</v>
      </c>
      <c r="C43" s="64">
        <f>VLOOKUP($D$42,[2]TURN!$B$10:$G$77,6,FALSE)</f>
        <v>7.1428571428571425E-2</v>
      </c>
      <c r="D43" s="9" t="str">
        <f>D13</f>
        <v>Single Family</v>
      </c>
      <c r="E43" s="42">
        <f ca="1">E13*$C43*$A43*$B43</f>
        <v>295889.14769895934</v>
      </c>
      <c r="F43" s="42">
        <f t="shared" ref="F43:X43" ca="1" si="6">F13*$C43*$A43*$B43</f>
        <v>295217.24815495906</v>
      </c>
      <c r="G43" s="42">
        <f t="shared" ca="1" si="6"/>
        <v>294546.87434788002</v>
      </c>
      <c r="H43" s="42">
        <f t="shared" ca="1" si="6"/>
        <v>293878.02281310724</v>
      </c>
      <c r="I43" s="42">
        <f t="shared" ca="1" si="6"/>
        <v>293210.69009389338</v>
      </c>
      <c r="J43" s="42">
        <f t="shared" ca="1" si="6"/>
        <v>292544.87274134037</v>
      </c>
      <c r="K43" s="42">
        <f t="shared" ca="1" si="6"/>
        <v>291880.56731438194</v>
      </c>
      <c r="L43" s="42">
        <f t="shared" ca="1" si="6"/>
        <v>291217.77037976572</v>
      </c>
      <c r="M43" s="42">
        <f t="shared" ca="1" si="6"/>
        <v>290556.47851203551</v>
      </c>
      <c r="N43" s="42">
        <f t="shared" ca="1" si="6"/>
        <v>289896.68829351367</v>
      </c>
      <c r="O43" s="42">
        <f t="shared" ca="1" si="6"/>
        <v>289238.39631428308</v>
      </c>
      <c r="P43" s="42">
        <f t="shared" ca="1" si="6"/>
        <v>288581.59917216998</v>
      </c>
      <c r="Q43" s="42">
        <f t="shared" ca="1" si="6"/>
        <v>287926.29347272631</v>
      </c>
      <c r="R43" s="42">
        <f t="shared" ca="1" si="6"/>
        <v>287272.47582921188</v>
      </c>
      <c r="S43" s="42">
        <f t="shared" ca="1" si="6"/>
        <v>286620.14286257722</v>
      </c>
      <c r="T43" s="42">
        <f t="shared" ca="1" si="6"/>
        <v>285969.29120144568</v>
      </c>
      <c r="U43" s="42">
        <f t="shared" ca="1" si="6"/>
        <v>285319.91748209647</v>
      </c>
      <c r="V43" s="42">
        <f t="shared" ca="1" si="6"/>
        <v>284672.01834844711</v>
      </c>
      <c r="W43" s="42">
        <f t="shared" ca="1" si="6"/>
        <v>284025.59045203577</v>
      </c>
      <c r="X43" s="42">
        <f t="shared" ca="1" si="6"/>
        <v>283380.63045200467</v>
      </c>
      <c r="Y43" s="42"/>
      <c r="Z43" s="42">
        <f ca="1">A43*B43*X13*$Z$31</f>
        <v>3372229.5023788558</v>
      </c>
      <c r="AC43" s="42"/>
    </row>
    <row r="44" spans="1:29">
      <c r="A44" s="64">
        <f>INDEX([2]APPLIC!$B$9:$F$100,MATCH($D$42,[2]APPLIC!$B$9:B$100,0),MATCH($D44,[2]APPLIC!$B$8:$F$8,0))</f>
        <v>0.75</v>
      </c>
      <c r="B44" s="64">
        <f>VLOOKUP($C$8,[2]!ExistingSat,MATCH($D44,[2]SATS!$C$10:$F$10,0)+1,FALSE)</f>
        <v>0.46477658924872384</v>
      </c>
      <c r="C44" s="64">
        <f>VLOOKUP($D$42,[2]TURN!$B$10:$G$77,6,FALSE)</f>
        <v>7.1428571428571425E-2</v>
      </c>
      <c r="D44" s="9" t="str">
        <f>D14</f>
        <v>Multifamily - Low Rise</v>
      </c>
      <c r="E44" s="42">
        <f ca="1">(E14*$B44+E14*'Common Units'!$B$5)*$A$44*$C$44</f>
        <v>26094.800217467011</v>
      </c>
      <c r="F44" s="42">
        <f ca="1">(F34*$B44+F34*'Common Units'!$B$5)*$A$44*$C$44</f>
        <v>26035.543680364124</v>
      </c>
      <c r="G44" s="42">
        <f ca="1">(G34*$B44+G34*'Common Units'!$B$5)*$A$44*$C$44</f>
        <v>25976.421704061089</v>
      </c>
      <c r="H44" s="42">
        <f ca="1">(H34*$B44+H34*'Common Units'!$B$5)*$A$44*$C$44</f>
        <v>25917.433982994873</v>
      </c>
      <c r="I44" s="42">
        <f ca="1">(I34*$B44+I34*'Common Units'!$B$5)*$A$44*$C$44</f>
        <v>25858.580212296252</v>
      </c>
      <c r="J44" s="42">
        <f ca="1">(J34*$B44+J34*'Common Units'!$B$5)*$A$44*$C$44</f>
        <v>25799.86008778838</v>
      </c>
      <c r="K44" s="42">
        <f ca="1">(K34*$B44+K34*'Common Units'!$B$5)*$A$44*$C$44</f>
        <v>25741.273305985091</v>
      </c>
      <c r="L44" s="42">
        <f ca="1">(L34*$B44+L34*'Common Units'!$B$5)*$A$44*$C$44</f>
        <v>25682.819564089386</v>
      </c>
      <c r="M44" s="42">
        <f ca="1">(M34*$B44+M34*'Common Units'!$B$5)*$A$44*$C$44</f>
        <v>25624.498559991895</v>
      </c>
      <c r="N44" s="42">
        <f ca="1">(N34*$B44+N34*'Common Units'!$B$5)*$A$44*$C$44</f>
        <v>25566.309992269245</v>
      </c>
      <c r="O44" s="42">
        <f ca="1">(O34*$B44+O34*'Common Units'!$B$5)*$A$44*$C$44</f>
        <v>25508.253560182569</v>
      </c>
      <c r="P44" s="42">
        <f ca="1">(P34*$B44+P34*'Common Units'!$B$5)*$A$44*$C$44</f>
        <v>25450.328963675907</v>
      </c>
      <c r="Q44" s="42">
        <f ca="1">(Q34*$B44+Q34*'Common Units'!$B$5)*$A$44*$C$44</f>
        <v>25392.535903374675</v>
      </c>
      <c r="R44" s="42">
        <f ca="1">(R34*$B44+R34*'Common Units'!$B$5)*$A$44*$C$44</f>
        <v>25334.874080584115</v>
      </c>
      <c r="S44" s="42">
        <f ca="1">(S34*$B44+S34*'Common Units'!$B$5)*$A$44*$C$44</f>
        <v>25872.337906801382</v>
      </c>
      <c r="T44" s="42">
        <f ca="1">(T34*$B44+T34*'Common Units'!$B$5)*$A$44*$C$44</f>
        <v>25748.029114125144</v>
      </c>
      <c r="U44" s="42">
        <f ca="1">(U34*$B44+U34*'Common Units'!$B$5)*$A$44*$C$44</f>
        <v>25626.386864547349</v>
      </c>
      <c r="V44" s="42">
        <f ca="1">(V34*$B44+V34*'Common Units'!$B$5)*$A$44*$C$44</f>
        <v>25496.742305325766</v>
      </c>
      <c r="W44" s="42">
        <f ca="1">(W34*$B44+W34*'Common Units'!$B$5)*$A$44*$C$44</f>
        <v>25362.83396893218</v>
      </c>
      <c r="X44" s="42">
        <f ca="1">(X34*$B44+X34*'Common Units'!$B$5)*$A$44*$C$44</f>
        <v>25247.432429730492</v>
      </c>
      <c r="Y44" s="42"/>
      <c r="Z44" s="42">
        <f ca="1">A44*(B44*X14+'Common Units'!B5*X14)*$Z$31</f>
        <v>297400.5456301443</v>
      </c>
      <c r="AC44" s="42"/>
    </row>
    <row r="45" spans="1:29">
      <c r="A45" s="64">
        <f>INDEX([2]APPLIC!$B$9:$F$100,MATCH($D$42,[2]APPLIC!$B$9:B$100,0),MATCH($D45,[2]APPLIC!$B$8:$F$8,0))</f>
        <v>0.75</v>
      </c>
      <c r="B45" s="64">
        <f>VLOOKUP($C$8,[2]!ExistingSat,MATCH($D45,[2]SATS!$C$10:$F$10,0)+1,FALSE)</f>
        <v>0.46477658924872384</v>
      </c>
      <c r="C45" s="64">
        <f>VLOOKUP($D$42,[2]TURN!$B$10:$G$77,6,FALSE)</f>
        <v>7.1428571428571425E-2</v>
      </c>
      <c r="D45" s="9" t="str">
        <f>D15</f>
        <v>Multifamily - High Rise</v>
      </c>
      <c r="E45" s="42">
        <f ca="1">(E15*$B45+E15*('Common Units'!$B$6+'Common Units'!$B$7))*$A$45*$C$45</f>
        <v>6048.5992342399522</v>
      </c>
      <c r="F45" s="42">
        <f ca="1">(F35*$B45+F35*('Common Units'!$B$6+'Common Units'!$B$7))*$A$45*$C$45</f>
        <v>6034.8639673684975</v>
      </c>
      <c r="G45" s="42">
        <f ca="1">(G35*$B45+G35*('Common Units'!$B$6+'Common Units'!$B$7))*$A$45*$C$45</f>
        <v>6021.1598907856896</v>
      </c>
      <c r="H45" s="42">
        <f ca="1">(H35*$B45+H35*('Common Units'!$B$6+'Common Units'!$B$7))*$A$45*$C$45</f>
        <v>6007.4869336640668</v>
      </c>
      <c r="I45" s="42">
        <f ca="1">(I35*$B45+I35*('Common Units'!$B$6+'Common Units'!$B$7))*$A$45*$C$45</f>
        <v>5993.8450253370011</v>
      </c>
      <c r="J45" s="42">
        <f ca="1">(J35*$B45+J35*('Common Units'!$B$6+'Common Units'!$B$7))*$A$45*$C$45</f>
        <v>5980.2340952983377</v>
      </c>
      <c r="K45" s="42">
        <f ca="1">(K35*$B45+K35*('Common Units'!$B$6+'Common Units'!$B$7))*$A$45*$C$45</f>
        <v>5966.6540732020303</v>
      </c>
      <c r="L45" s="42">
        <f ca="1">(L35*$B45+L35*('Common Units'!$B$6+'Common Units'!$B$7))*$A$45*$C$45</f>
        <v>5953.1048888617661</v>
      </c>
      <c r="M45" s="42">
        <f ca="1">(M35*$B45+M35*('Common Units'!$B$6+'Common Units'!$B$7))*$A$45*$C$45</f>
        <v>5939.5864722506267</v>
      </c>
      <c r="N45" s="42">
        <f ca="1">(N35*$B45+N35*('Common Units'!$B$6+'Common Units'!$B$7))*$A$45*$C$45</f>
        <v>5926.0987535006989</v>
      </c>
      <c r="O45" s="42">
        <f ca="1">(O35*$B45+O35*('Common Units'!$B$6+'Common Units'!$B$7))*$A$45*$C$45</f>
        <v>5912.6416629027372</v>
      </c>
      <c r="P45" s="42">
        <f ca="1">(P35*$B45+P35*('Common Units'!$B$6+'Common Units'!$B$7))*$A$45*$C$45</f>
        <v>5899.2151309057863</v>
      </c>
      <c r="Q45" s="42">
        <f ca="1">(Q35*$B45+Q35*('Common Units'!$B$6+'Common Units'!$B$7))*$A$45*$C$45</f>
        <v>5885.8190881168302</v>
      </c>
      <c r="R45" s="42">
        <f ca="1">(R35*$B45+R35*('Common Units'!$B$6+'Common Units'!$B$7))*$A$45*$C$45</f>
        <v>5872.4534653004357</v>
      </c>
      <c r="S45" s="42">
        <f ca="1">(S35*$B45+S35*('Common Units'!$B$6+'Common Units'!$B$7))*$A$45*$C$45</f>
        <v>5994.6824585597178</v>
      </c>
      <c r="T45" s="42">
        <f ca="1">(T35*$B45+T35*('Common Units'!$B$6+'Common Units'!$B$7))*$A$45*$C$45</f>
        <v>5967.5709872213529</v>
      </c>
      <c r="U45" s="42">
        <f ca="1">(U35*$B45+U35*('Common Units'!$B$6+'Common Units'!$B$7))*$A$45*$C$45</f>
        <v>5940.7768611219508</v>
      </c>
      <c r="V45" s="42">
        <f ca="1">(V35*$B45+V35*('Common Units'!$B$6+'Common Units'!$B$7))*$A$45*$C$45</f>
        <v>5908.1968342652417</v>
      </c>
      <c r="W45" s="42">
        <f ca="1">(W35*$B45+W35*('Common Units'!$B$6+'Common Units'!$B$7))*$A$45*$C$45</f>
        <v>5875.7989821332349</v>
      </c>
      <c r="X45" s="42">
        <f ca="1">(X35*$B45+X35*('Common Units'!$B$6+'Common Units'!$B$7))*$A$45*$C$45</f>
        <v>5850.1479103287356</v>
      </c>
      <c r="Y45" s="42"/>
      <c r="Z45" s="42">
        <f ca="1">A45*(B45*X15+('Common Units'!B6+'Common Units'!B7)*X15)*$Z$31</f>
        <v>68935.446815834934</v>
      </c>
      <c r="AC45" s="42"/>
    </row>
    <row r="46" spans="1:29">
      <c r="A46" s="64">
        <f>INDEX([2]APPLIC!$B$9:$F$100,MATCH($D$42,[2]APPLIC!$B$9:B$100,0),MATCH($D46,[2]APPLIC!$B$8:$F$8,0))</f>
        <v>1</v>
      </c>
      <c r="B46" s="64">
        <f>VLOOKUP($C$8,[2]!ExistingSat,MATCH($D46,[2]SATS!$C$10:$F$10,0)+1,FALSE)</f>
        <v>0.95368270905809616</v>
      </c>
      <c r="C46" s="64">
        <f>VLOOKUP($D$42,[2]TURN!$B$10:$G$77,6,FALSE)</f>
        <v>7.1428571428571425E-2</v>
      </c>
      <c r="D46" s="9" t="str">
        <f>D16</f>
        <v>Manufactured</v>
      </c>
      <c r="E46" s="42">
        <f ca="1">E16*$C46*$A46*$B46</f>
        <v>38965.181737762461</v>
      </c>
      <c r="F46" s="42">
        <f t="shared" ref="F46:X46" ca="1" si="7">F16*$C46*$A46*$B46</f>
        <v>38548.761367440813</v>
      </c>
      <c r="G46" s="42">
        <f t="shared" ca="1" si="7"/>
        <v>38136.791275985728</v>
      </c>
      <c r="H46" s="42">
        <f t="shared" ca="1" si="7"/>
        <v>37729.223903327118</v>
      </c>
      <c r="I46" s="42">
        <f t="shared" ca="1" si="7"/>
        <v>37326.012197668744</v>
      </c>
      <c r="J46" s="42">
        <f t="shared" ca="1" si="7"/>
        <v>36927.109610056279</v>
      </c>
      <c r="K46" s="42">
        <f t="shared" ca="1" si="7"/>
        <v>36532.470089003444</v>
      </c>
      <c r="L46" s="42">
        <f t="shared" ca="1" si="7"/>
        <v>36142.048075175553</v>
      </c>
      <c r="M46" s="42">
        <f t="shared" ca="1" si="7"/>
        <v>35755.798496129937</v>
      </c>
      <c r="N46" s="42">
        <f t="shared" ca="1" si="7"/>
        <v>35373.676761112474</v>
      </c>
      <c r="O46" s="42">
        <f t="shared" ca="1" si="7"/>
        <v>34995.638755909873</v>
      </c>
      <c r="P46" s="42">
        <f t="shared" ca="1" si="7"/>
        <v>34621.64083775683</v>
      </c>
      <c r="Q46" s="42">
        <f t="shared" ca="1" si="7"/>
        <v>34251.639830297674</v>
      </c>
      <c r="R46" s="42">
        <f t="shared" ca="1" si="7"/>
        <v>33885.593018601852</v>
      </c>
      <c r="S46" s="42">
        <f t="shared" ca="1" si="7"/>
        <v>33523.458144232733</v>
      </c>
      <c r="T46" s="42">
        <f t="shared" ca="1" si="7"/>
        <v>33165.193400368997</v>
      </c>
      <c r="U46" s="42">
        <f t="shared" ca="1" si="7"/>
        <v>32810.757426978264</v>
      </c>
      <c r="V46" s="42">
        <f t="shared" ca="1" si="7"/>
        <v>32460.109306042275</v>
      </c>
      <c r="W46" s="42">
        <f t="shared" ca="1" si="7"/>
        <v>32113.208556833066</v>
      </c>
      <c r="X46" s="42">
        <f t="shared" ca="1" si="7"/>
        <v>31770.015131239652</v>
      </c>
      <c r="Y46" s="42"/>
      <c r="Z46" s="42">
        <f ca="1">A46*B46*X16*$Z$31</f>
        <v>378063.18006175186</v>
      </c>
      <c r="AC46" s="42"/>
    </row>
    <row r="47" spans="1:29">
      <c r="E47" s="42"/>
      <c r="F47" s="42"/>
      <c r="G47" s="42"/>
      <c r="H47" s="42"/>
      <c r="I47" s="42"/>
      <c r="J47" s="42"/>
      <c r="K47" s="42"/>
      <c r="L47" s="42"/>
      <c r="M47" s="42"/>
      <c r="N47" s="42"/>
      <c r="O47" s="42"/>
      <c r="P47" s="42"/>
      <c r="Q47" s="42"/>
      <c r="R47" s="42"/>
      <c r="S47" s="42"/>
      <c r="T47" s="42"/>
      <c r="U47" s="42"/>
      <c r="V47" s="42"/>
      <c r="W47" s="42"/>
      <c r="X47" s="42"/>
      <c r="Y47" s="42"/>
    </row>
    <row r="48" spans="1:29">
      <c r="E48" s="42">
        <f t="shared" ref="E48:X48" ca="1" si="8">SUM(E43:E46)</f>
        <v>366997.72888842877</v>
      </c>
      <c r="F48" s="42">
        <f t="shared" ca="1" si="8"/>
        <v>365836.41717013251</v>
      </c>
      <c r="G48" s="42">
        <f t="shared" ca="1" si="8"/>
        <v>364681.24721871252</v>
      </c>
      <c r="H48" s="42">
        <f t="shared" ca="1" si="8"/>
        <v>363532.16763309331</v>
      </c>
      <c r="I48" s="42">
        <f t="shared" ca="1" si="8"/>
        <v>362389.12752919539</v>
      </c>
      <c r="J48" s="42">
        <f t="shared" ca="1" si="8"/>
        <v>361252.07653448335</v>
      </c>
      <c r="K48" s="42">
        <f t="shared" ca="1" si="8"/>
        <v>360120.96478257253</v>
      </c>
      <c r="L48" s="42">
        <f t="shared" ca="1" si="8"/>
        <v>358995.74290789245</v>
      </c>
      <c r="M48" s="42">
        <f t="shared" ca="1" si="8"/>
        <v>357876.36204040796</v>
      </c>
      <c r="N48" s="42">
        <f t="shared" ca="1" si="8"/>
        <v>356762.77380039607</v>
      </c>
      <c r="O48" s="42">
        <f t="shared" ca="1" si="8"/>
        <v>355654.93029327824</v>
      </c>
      <c r="P48" s="42">
        <f t="shared" ca="1" si="8"/>
        <v>354552.78410450846</v>
      </c>
      <c r="Q48" s="42">
        <f t="shared" ca="1" si="8"/>
        <v>353456.28829451546</v>
      </c>
      <c r="R48" s="42">
        <f t="shared" ca="1" si="8"/>
        <v>352365.39639369829</v>
      </c>
      <c r="S48" s="42">
        <f t="shared" ca="1" si="8"/>
        <v>352010.62137217104</v>
      </c>
      <c r="T48" s="42">
        <f t="shared" ca="1" si="8"/>
        <v>350850.08470316115</v>
      </c>
      <c r="U48" s="42">
        <f t="shared" ca="1" si="8"/>
        <v>349697.838634744</v>
      </c>
      <c r="V48" s="42">
        <f t="shared" ca="1" si="8"/>
        <v>348537.06679408037</v>
      </c>
      <c r="W48" s="42">
        <f t="shared" ca="1" si="8"/>
        <v>347377.43195993418</v>
      </c>
      <c r="X48" s="42">
        <f t="shared" ca="1" si="8"/>
        <v>346248.22592330357</v>
      </c>
      <c r="Y48" s="42"/>
      <c r="Z48" s="42">
        <f ca="1">SUM(E48:X48)</f>
        <v>7129195.2769787107</v>
      </c>
      <c r="AC48" s="42"/>
    </row>
    <row r="49" spans="1:29">
      <c r="E49" s="42"/>
      <c r="F49" s="42"/>
      <c r="G49" s="42"/>
      <c r="H49" s="42"/>
      <c r="I49" s="42"/>
      <c r="J49" s="42"/>
      <c r="K49" s="42"/>
      <c r="L49" s="42"/>
      <c r="M49" s="42"/>
      <c r="N49" s="42"/>
      <c r="O49" s="42"/>
      <c r="P49" s="42"/>
      <c r="Q49" s="42"/>
      <c r="R49" s="42"/>
      <c r="S49" s="42"/>
      <c r="T49" s="42"/>
      <c r="U49" s="42"/>
      <c r="V49" s="42"/>
      <c r="W49" s="42"/>
      <c r="X49" s="42"/>
      <c r="Y49" s="42"/>
      <c r="Z49" s="42"/>
      <c r="AC49" s="42"/>
    </row>
    <row r="50" spans="1:29" ht="15">
      <c r="A50" s="63" t="s">
        <v>67</v>
      </c>
      <c r="B50" s="63" t="s">
        <v>155</v>
      </c>
      <c r="C50" s="63" t="s">
        <v>154</v>
      </c>
      <c r="D50" s="63" t="str">
        <f>CONCATENATE(C8," - ","NEW")</f>
        <v>Clothes Washer - NEW</v>
      </c>
      <c r="E50" s="78">
        <v>2016</v>
      </c>
      <c r="F50" s="79">
        <v>2017</v>
      </c>
      <c r="G50" s="79">
        <v>2018</v>
      </c>
      <c r="H50" s="79">
        <v>2019</v>
      </c>
      <c r="I50" s="79">
        <v>2020</v>
      </c>
      <c r="J50" s="79">
        <v>2021</v>
      </c>
      <c r="K50" s="79">
        <v>2022</v>
      </c>
      <c r="L50" s="79">
        <v>2023</v>
      </c>
      <c r="M50" s="79">
        <v>2024</v>
      </c>
      <c r="N50" s="79">
        <v>2025</v>
      </c>
      <c r="O50" s="79">
        <v>2026</v>
      </c>
      <c r="P50" s="79">
        <v>2027</v>
      </c>
      <c r="Q50" s="79">
        <v>2028</v>
      </c>
      <c r="R50" s="79">
        <v>2029</v>
      </c>
      <c r="S50" s="79">
        <v>2030</v>
      </c>
      <c r="T50" s="79">
        <v>2031</v>
      </c>
      <c r="U50" s="79">
        <v>2032</v>
      </c>
      <c r="V50" s="79">
        <v>2033</v>
      </c>
      <c r="W50" s="79">
        <v>2034</v>
      </c>
      <c r="X50" s="79">
        <v>2035</v>
      </c>
      <c r="Y50" s="80"/>
    </row>
    <row r="51" spans="1:29">
      <c r="A51" s="64">
        <f>INDEX([2]APPLIC!$B$9:$F$100,MATCH($D$50,[2]APPLIC!$B$9:B$100,0),MATCH($D51,[2]APPLIC!$B$8:$F$8,0))</f>
        <v>1</v>
      </c>
      <c r="B51" s="64">
        <f>VLOOKUP($C$8,[2]!NewSat,MATCH($D51,[2]SATS!$C$10:$F$10,0)+1,FALSE)</f>
        <v>0.98546930096285335</v>
      </c>
      <c r="C51" s="64">
        <f>VLOOKUP($D$50,[2]TURN!$B$10:$G$77,6,FALSE)</f>
        <v>1</v>
      </c>
      <c r="D51" s="9" t="str">
        <f>D43</f>
        <v>Single Family</v>
      </c>
      <c r="E51" s="42">
        <f>E23*$C51*$A51*$B51</f>
        <v>0</v>
      </c>
      <c r="F51" s="42">
        <f t="shared" ref="F51:X54" si="9">F23*$C51*$A51*$B51</f>
        <v>0</v>
      </c>
      <c r="G51" s="42">
        <f t="shared" si="9"/>
        <v>0</v>
      </c>
      <c r="H51" s="42">
        <f t="shared" si="9"/>
        <v>0</v>
      </c>
      <c r="I51" s="42">
        <f t="shared" si="9"/>
        <v>0</v>
      </c>
      <c r="J51" s="42">
        <f t="shared" si="9"/>
        <v>0</v>
      </c>
      <c r="K51" s="42">
        <f t="shared" si="9"/>
        <v>0</v>
      </c>
      <c r="L51" s="42">
        <f t="shared" si="9"/>
        <v>0</v>
      </c>
      <c r="M51" s="42">
        <f t="shared" si="9"/>
        <v>0</v>
      </c>
      <c r="N51" s="42">
        <f t="shared" si="9"/>
        <v>0</v>
      </c>
      <c r="O51" s="42">
        <f t="shared" si="9"/>
        <v>0</v>
      </c>
      <c r="P51" s="42">
        <f t="shared" si="9"/>
        <v>0</v>
      </c>
      <c r="Q51" s="42">
        <f t="shared" si="9"/>
        <v>0</v>
      </c>
      <c r="R51" s="42">
        <f t="shared" si="9"/>
        <v>0</v>
      </c>
      <c r="S51" s="42">
        <f ca="1">S23*$C51*$A51*$B51</f>
        <v>55018.287426209477</v>
      </c>
      <c r="T51" s="42">
        <f t="shared" ca="1" si="9"/>
        <v>46164.496655939489</v>
      </c>
      <c r="U51" s="42">
        <f t="shared" ca="1" si="9"/>
        <v>37630.560060954827</v>
      </c>
      <c r="V51" s="42">
        <f t="shared" ca="1" si="9"/>
        <v>30479.836436802616</v>
      </c>
      <c r="W51" s="42">
        <f t="shared" ca="1" si="9"/>
        <v>23893.375877092032</v>
      </c>
      <c r="X51" s="42">
        <f t="shared" ca="1" si="9"/>
        <v>17820.061793615238</v>
      </c>
      <c r="Y51" s="42"/>
      <c r="Z51" s="42">
        <f ca="1">SUM(E23:X23)*$Z$31*A51*B51</f>
        <v>179355.62551302166</v>
      </c>
      <c r="AC51" s="42"/>
    </row>
    <row r="52" spans="1:29">
      <c r="A52" s="64">
        <f>INDEX([2]APPLIC!$B$9:$F$100,MATCH($D$50,[2]APPLIC!$B$9:B$100,0),MATCH($D52,[2]APPLIC!$B$8:$F$8,0))</f>
        <v>0.75</v>
      </c>
      <c r="B52" s="64">
        <f>VLOOKUP($C$8,[2]!NewSat,MATCH($D52,[2]SATS!$C$10:$F$10,0)+1,FALSE)</f>
        <v>0.46477658924872384</v>
      </c>
      <c r="C52" s="64">
        <f>VLOOKUP($D$50,[2]TURN!$B$10:$G$77,6,FALSE)</f>
        <v>1</v>
      </c>
      <c r="D52" s="9" t="str">
        <f t="shared" ref="D52:D54" si="10">D44</f>
        <v>Multifamily - Low Rise</v>
      </c>
      <c r="E52" s="42">
        <f>(E24*$B52+E24*'Common Units'!$B$5)*$A$52*$C$52</f>
        <v>0</v>
      </c>
      <c r="F52" s="42">
        <f>(F24*$B52+F24*'Common Units'!$B$5)*$A$52*$C$52</f>
        <v>0</v>
      </c>
      <c r="G52" s="42">
        <f>(G24*$B52+G24*'Common Units'!$B$5)*$A$52*$C$52</f>
        <v>0</v>
      </c>
      <c r="H52" s="42">
        <f>(H24*$B52+H24*'Common Units'!$B$5)*$A$52*$C$52</f>
        <v>0</v>
      </c>
      <c r="I52" s="42">
        <f>(I24*$B52+I24*'Common Units'!$B$5)*$A$52*$C$52</f>
        <v>0</v>
      </c>
      <c r="J52" s="42">
        <f>(J24*$B52+J24*'Common Units'!$B$5)*$A$52*$C$52</f>
        <v>0</v>
      </c>
      <c r="K52" s="42">
        <f>(K24*$B52+K24*'Common Units'!$B$5)*$A$52*$C$52</f>
        <v>0</v>
      </c>
      <c r="L52" s="42">
        <f>(L24*$B52+L24*'Common Units'!$B$5)*$A$52*$C$52</f>
        <v>0</v>
      </c>
      <c r="M52" s="42">
        <f>(M24*$B52+M24*'Common Units'!$B$5)*$A$52*$C$52</f>
        <v>0</v>
      </c>
      <c r="N52" s="42">
        <f>(N24*$B52+N24*'Common Units'!$B$5)*$A$52*$C$52</f>
        <v>0</v>
      </c>
      <c r="O52" s="42">
        <f>(O24*$B52+O24*'Common Units'!$B$5)*$A$52*$C$52</f>
        <v>0</v>
      </c>
      <c r="P52" s="42">
        <f>(P24*$B52+P24*'Common Units'!$B$5)*$A$52*$C$52</f>
        <v>0</v>
      </c>
      <c r="Q52" s="42">
        <f>(Q24*$B52+Q24*'Common Units'!$B$5)*$A$52*$C$52</f>
        <v>0</v>
      </c>
      <c r="R52" s="42">
        <f>(R24*$B52+R24*'Common Units'!$B$5)*$A$52*$C$52</f>
        <v>0</v>
      </c>
      <c r="S52" s="42">
        <f ca="1">(S24*$B52+S24*'Common Units'!$B$5)*$A$52*$C$52</f>
        <v>8329.9259331908452</v>
      </c>
      <c r="T52" s="42">
        <f ca="1">(T24*$B52+T24*'Common Units'!$B$5)*$A$52*$C$52</f>
        <v>7393.2062117101559</v>
      </c>
      <c r="U52" s="42">
        <f ca="1">(U24*$B52+U24*'Common Units'!$B$5)*$A$52*$C$52</f>
        <v>6491.9932567486612</v>
      </c>
      <c r="V52" s="42">
        <f ca="1">(V24*$B52+V24*'Common Units'!$B$5)*$A$52*$C$52</f>
        <v>5476.9272737871861</v>
      </c>
      <c r="W52" s="42">
        <f ca="1">(W24*$B52+W24*'Common Units'!$B$5)*$A$52*$C$52</f>
        <v>4400.3518518928013</v>
      </c>
      <c r="X52" s="42">
        <f ca="1">(X24*$B52+X24*'Common Units'!$B$5)*$A$52*$C$52</f>
        <v>3581.0591572335243</v>
      </c>
      <c r="Y52" s="42"/>
      <c r="Z52" s="42">
        <f ca="1">(SUM(E24:X24)*B52+SUM(E24:X24)*'Common Units'!B5)*$Z$31*A52</f>
        <v>30322.444131878699</v>
      </c>
      <c r="AC52" s="42"/>
    </row>
    <row r="53" spans="1:29">
      <c r="A53" s="64">
        <f>INDEX([2]APPLIC!$B$9:$F$100,MATCH($D$50,[2]APPLIC!$B$9:B$100,0),MATCH($D53,[2]APPLIC!$B$8:$F$8,0))</f>
        <v>0.75</v>
      </c>
      <c r="B53" s="64">
        <f>VLOOKUP($C$8,[2]!NewSat,MATCH($D53,[2]SATS!$C$10:$F$10,0)+1,FALSE)</f>
        <v>0.46477658924872384</v>
      </c>
      <c r="C53" s="64">
        <f>VLOOKUP($D$50,[2]TURN!$B$10:$G$77,6,FALSE)</f>
        <v>1</v>
      </c>
      <c r="D53" s="9" t="str">
        <f t="shared" si="10"/>
        <v>Multifamily - High Rise</v>
      </c>
      <c r="E53" s="42">
        <f>(E25*$B53+E25*('Common Units'!$B$6+'Common Units'!$B$7))*$A$53*$C$53</f>
        <v>0</v>
      </c>
      <c r="F53" s="42">
        <f>(F25*$B53+F25*('Common Units'!$B$6+'Common Units'!$B$7))*$A$53*$C$53</f>
        <v>0</v>
      </c>
      <c r="G53" s="42">
        <f>(G25*$B53+G25*('Common Units'!$B$6+'Common Units'!$B$7))*$A$53*$C$53</f>
        <v>0</v>
      </c>
      <c r="H53" s="42">
        <f>(H25*$B53+H25*('Common Units'!$B$6+'Common Units'!$B$7))*$A$53*$C$53</f>
        <v>0</v>
      </c>
      <c r="I53" s="42">
        <f>(I25*$B53+I25*('Common Units'!$B$6+'Common Units'!$B$7))*$A$53*$C$53</f>
        <v>0</v>
      </c>
      <c r="J53" s="42">
        <f>(J25*$B53+J25*('Common Units'!$B$6+'Common Units'!$B$7))*$A$53*$C$53</f>
        <v>0</v>
      </c>
      <c r="K53" s="42">
        <f>(K25*$B53+K25*('Common Units'!$B$6+'Common Units'!$B$7))*$A$53*$C$53</f>
        <v>0</v>
      </c>
      <c r="L53" s="42">
        <f>(L25*$B53+L25*('Common Units'!$B$6+'Common Units'!$B$7))*$A$53*$C$53</f>
        <v>0</v>
      </c>
      <c r="M53" s="42">
        <f>(M25*$B53+M25*('Common Units'!$B$6+'Common Units'!$B$7))*$A$53*$C$53</f>
        <v>0</v>
      </c>
      <c r="N53" s="42">
        <f>(N25*$B53+N25*('Common Units'!$B$6+'Common Units'!$B$7))*$A$53*$C$53</f>
        <v>0</v>
      </c>
      <c r="O53" s="42">
        <f>(O25*$B53+O25*('Common Units'!$B$6+'Common Units'!$B$7))*$A$53*$C$53</f>
        <v>0</v>
      </c>
      <c r="P53" s="42">
        <f>(P25*$B53+P25*('Common Units'!$B$6+'Common Units'!$B$7))*$A$53*$C$53</f>
        <v>0</v>
      </c>
      <c r="Q53" s="42">
        <f>(Q25*$B53+Q25*('Common Units'!$B$6+'Common Units'!$B$7))*$A$53*$C$53</f>
        <v>0</v>
      </c>
      <c r="R53" s="42">
        <f>(R25*$B53+R25*('Common Units'!$B$6+'Common Units'!$B$7))*$A$53*$C$53</f>
        <v>0</v>
      </c>
      <c r="S53" s="42">
        <f ca="1">(S25*$B53+S25*('Common Units'!$B$6+'Common Units'!$B$7))*$A$53*$C$53</f>
        <v>1897.8997125386823</v>
      </c>
      <c r="T53" s="42">
        <f ca="1">(T25*$B53+T25*('Common Units'!$B$6+'Common Units'!$B$7))*$A$53*$C$53</f>
        <v>1704.6089730884087</v>
      </c>
      <c r="U53" s="42">
        <f ca="1">(U25*$B53+U25*('Common Units'!$B$6+'Common Units'!$B$7))*$A$53*$C$53</f>
        <v>1515.3380820695349</v>
      </c>
      <c r="V53" s="42">
        <f ca="1">(V25*$B53+V25*('Common Units'!$B$6+'Common Units'!$B$7))*$A$53*$C$53</f>
        <v>1244.6425560559369</v>
      </c>
      <c r="W53" s="42">
        <f ca="1">(W25*$B53+W25*('Common Units'!$B$6+'Common Units'!$B$7))*$A$53*$C$53</f>
        <v>976.07641013629177</v>
      </c>
      <c r="X53" s="42">
        <f ca="1">(X25*$B53+X25*('Common Units'!$B$6+'Common Units'!$B$7))*$A$53*$C$53</f>
        <v>801.5450789141421</v>
      </c>
      <c r="Y53" s="42"/>
      <c r="Z53" s="42">
        <f ca="1">(SUM(E25:X25)*B53+SUM(E25:X25)*('Common Units'!B6+'Common Units'!B7))*$Z$31*A53</f>
        <v>6919.094190882548</v>
      </c>
      <c r="AC53" s="42"/>
    </row>
    <row r="54" spans="1:29">
      <c r="A54" s="64">
        <f>INDEX([2]APPLIC!$B$9:$F$100,MATCH($D$50,[2]APPLIC!$B$9:B$100,0),MATCH($D54,[2]APPLIC!$B$8:$F$8,0))</f>
        <v>1</v>
      </c>
      <c r="B54" s="64">
        <f>VLOOKUP($C$8,[2]!NewSat,MATCH($D54,[2]SATS!$C$10:$F$10,0)+1,FALSE)</f>
        <v>0.95368270905809616</v>
      </c>
      <c r="C54" s="64">
        <f>VLOOKUP($D$50,[2]TURN!$B$10:$G$77,6,FALSE)</f>
        <v>1</v>
      </c>
      <c r="D54" s="9" t="str">
        <f t="shared" si="10"/>
        <v>Manufactured</v>
      </c>
      <c r="E54" s="42">
        <f t="shared" ref="E54" si="11">E26*$C54*$A54*$B54</f>
        <v>0</v>
      </c>
      <c r="F54" s="42">
        <f t="shared" si="9"/>
        <v>0</v>
      </c>
      <c r="G54" s="42">
        <f t="shared" si="9"/>
        <v>0</v>
      </c>
      <c r="H54" s="42">
        <f t="shared" si="9"/>
        <v>0</v>
      </c>
      <c r="I54" s="42">
        <f t="shared" si="9"/>
        <v>0</v>
      </c>
      <c r="J54" s="42">
        <f t="shared" si="9"/>
        <v>0</v>
      </c>
      <c r="K54" s="42">
        <f t="shared" si="9"/>
        <v>0</v>
      </c>
      <c r="L54" s="42">
        <f t="shared" si="9"/>
        <v>0</v>
      </c>
      <c r="M54" s="42">
        <f t="shared" si="9"/>
        <v>0</v>
      </c>
      <c r="N54" s="42">
        <f t="shared" si="9"/>
        <v>0</v>
      </c>
      <c r="O54" s="42">
        <f t="shared" si="9"/>
        <v>0</v>
      </c>
      <c r="P54" s="42">
        <f t="shared" si="9"/>
        <v>0</v>
      </c>
      <c r="Q54" s="42">
        <f t="shared" si="9"/>
        <v>0</v>
      </c>
      <c r="R54" s="42">
        <f t="shared" si="9"/>
        <v>0</v>
      </c>
      <c r="S54" s="42">
        <f t="shared" ca="1" si="9"/>
        <v>1587.9688322935092</v>
      </c>
      <c r="T54" s="42">
        <f t="shared" ca="1" si="9"/>
        <v>1402.0612977213439</v>
      </c>
      <c r="U54" s="42">
        <f t="shared" ca="1" si="9"/>
        <v>1248.9207428659347</v>
      </c>
      <c r="V54" s="42">
        <f t="shared" ca="1" si="9"/>
        <v>1084.2668869215815</v>
      </c>
      <c r="W54" s="42">
        <f t="shared" ca="1" si="9"/>
        <v>846.77984114669368</v>
      </c>
      <c r="X54" s="42">
        <f t="shared" ca="1" si="9"/>
        <v>652.36338261858555</v>
      </c>
      <c r="Y54" s="42"/>
      <c r="Z54" s="42">
        <f ca="1">SUM(E26:X26)*$Z$31*A54*B54</f>
        <v>5799.0068360325022</v>
      </c>
      <c r="AC54" s="42"/>
    </row>
    <row r="55" spans="1:29">
      <c r="E55" s="42"/>
      <c r="F55" s="42"/>
      <c r="G55" s="42"/>
      <c r="H55" s="42"/>
      <c r="I55" s="42"/>
      <c r="J55" s="42"/>
      <c r="K55" s="42"/>
      <c r="L55" s="42"/>
      <c r="M55" s="42"/>
      <c r="N55" s="42"/>
      <c r="O55" s="42"/>
      <c r="P55" s="42"/>
      <c r="Q55" s="42"/>
      <c r="R55" s="42"/>
      <c r="S55" s="42"/>
      <c r="T55" s="42"/>
      <c r="U55" s="42"/>
      <c r="V55" s="42"/>
      <c r="W55" s="42"/>
      <c r="X55" s="42"/>
      <c r="Y55" s="42"/>
    </row>
    <row r="56" spans="1:29">
      <c r="E56" s="42">
        <f t="shared" ref="E56:X56" si="12">SUM(E51:E54)</f>
        <v>0</v>
      </c>
      <c r="F56" s="42">
        <f t="shared" si="12"/>
        <v>0</v>
      </c>
      <c r="G56" s="42">
        <f t="shared" si="12"/>
        <v>0</v>
      </c>
      <c r="H56" s="42">
        <f t="shared" si="12"/>
        <v>0</v>
      </c>
      <c r="I56" s="42">
        <f t="shared" si="12"/>
        <v>0</v>
      </c>
      <c r="J56" s="42">
        <f t="shared" si="12"/>
        <v>0</v>
      </c>
      <c r="K56" s="42">
        <f t="shared" si="12"/>
        <v>0</v>
      </c>
      <c r="L56" s="42">
        <f t="shared" si="12"/>
        <v>0</v>
      </c>
      <c r="M56" s="42">
        <f t="shared" si="12"/>
        <v>0</v>
      </c>
      <c r="N56" s="42">
        <f t="shared" si="12"/>
        <v>0</v>
      </c>
      <c r="O56" s="42">
        <f t="shared" si="12"/>
        <v>0</v>
      </c>
      <c r="P56" s="42">
        <f t="shared" si="12"/>
        <v>0</v>
      </c>
      <c r="Q56" s="42">
        <f t="shared" si="12"/>
        <v>0</v>
      </c>
      <c r="R56" s="42">
        <f t="shared" si="12"/>
        <v>0</v>
      </c>
      <c r="S56" s="42">
        <f t="shared" ca="1" si="12"/>
        <v>66834.081904232517</v>
      </c>
      <c r="T56" s="42">
        <f t="shared" ca="1" si="12"/>
        <v>56664.373138459399</v>
      </c>
      <c r="U56" s="42">
        <f t="shared" ca="1" si="12"/>
        <v>46886.812142638963</v>
      </c>
      <c r="V56" s="42">
        <f t="shared" ca="1" si="12"/>
        <v>38285.673153567324</v>
      </c>
      <c r="W56" s="42">
        <f t="shared" ca="1" si="12"/>
        <v>30116.58398026782</v>
      </c>
      <c r="X56" s="42">
        <f t="shared" ca="1" si="12"/>
        <v>22855.029412381493</v>
      </c>
      <c r="Y56" s="42"/>
      <c r="Z56" s="42">
        <f ca="1">SUM(E56:X56)*$Z$31</f>
        <v>222396.1706718154</v>
      </c>
      <c r="AC56" s="42"/>
    </row>
    <row r="57" spans="1:29">
      <c r="E57" s="42"/>
      <c r="F57" s="42"/>
      <c r="G57" s="42"/>
      <c r="H57" s="42"/>
      <c r="I57" s="42"/>
      <c r="J57" s="42"/>
      <c r="K57" s="42"/>
      <c r="L57" s="42"/>
      <c r="M57" s="42"/>
      <c r="N57" s="42"/>
      <c r="O57" s="42"/>
      <c r="P57" s="42"/>
      <c r="Q57" s="42"/>
      <c r="R57" s="42"/>
      <c r="S57" s="42"/>
      <c r="T57" s="42"/>
      <c r="U57" s="42"/>
      <c r="V57" s="42"/>
      <c r="W57" s="42"/>
      <c r="X57" s="42"/>
      <c r="Y57" s="42"/>
      <c r="Z57" s="42"/>
      <c r="AC57" s="42"/>
    </row>
    <row r="58" spans="1:29" ht="15">
      <c r="E58" s="63" t="s">
        <v>68</v>
      </c>
      <c r="F58" s="42"/>
      <c r="G58" s="42"/>
      <c r="H58" s="42"/>
      <c r="I58" s="42"/>
      <c r="J58" s="42"/>
      <c r="K58" s="42"/>
      <c r="L58" s="42"/>
      <c r="M58" s="42"/>
      <c r="N58" s="42"/>
      <c r="O58" s="42"/>
      <c r="P58" s="42"/>
      <c r="Q58" s="42"/>
      <c r="R58" s="42"/>
      <c r="S58" s="42"/>
      <c r="T58" s="42"/>
      <c r="U58" s="42"/>
      <c r="V58" s="42"/>
      <c r="W58" s="42"/>
      <c r="X58" s="42"/>
      <c r="Y58" s="42"/>
    </row>
    <row r="59" spans="1:29" ht="15">
      <c r="A59" s="81" t="s">
        <v>164</v>
      </c>
      <c r="D59" s="63" t="str">
        <f>D42</f>
        <v>Clothes Washer - NR</v>
      </c>
      <c r="E59" s="66">
        <f>VLOOKUP($D$42,[2]ACHIEV!$B$9:$X$79,MATCH(E$11,$E$11:$Y$11,0)+2,FALSE)</f>
        <v>0.10937459468255628</v>
      </c>
      <c r="F59" s="66">
        <f>VLOOKUP($D$42,[2]ACHIEV!$B$9:$X$79,MATCH(F$11,$E$11:$Y$11,0)+2,FALSE)</f>
        <v>0.21874918936511256</v>
      </c>
      <c r="G59" s="66">
        <f>VLOOKUP($D$42,[2]ACHIEV!$B$9:$X$79,MATCH(G$11,$E$11:$Y$11,0)+2,FALSE)</f>
        <v>0.32812378404766884</v>
      </c>
      <c r="H59" s="66">
        <f>VLOOKUP($D$42,[2]ACHIEV!$B$9:$X$79,MATCH(H$11,$E$11:$Y$11,0)+2,FALSE)</f>
        <v>0.43749837873022512</v>
      </c>
      <c r="I59" s="66">
        <f>VLOOKUP($D$42,[2]ACHIEV!$B$9:$X$79,MATCH(I$11,$E$11:$Y$11,0)+2,FALSE)</f>
        <v>0.5468729734127814</v>
      </c>
      <c r="J59" s="66">
        <f>VLOOKUP($D$42,[2]ACHIEV!$B$9:$X$79,MATCH(J$11,$E$11:$Y$11,0)+2,FALSE)</f>
        <v>0.64531010862708205</v>
      </c>
      <c r="K59" s="66">
        <f>VLOOKUP($D$42,[2]ACHIEV!$B$9:$X$79,MATCH(K$11,$E$11:$Y$11,0)+2,FALSE)</f>
        <v>0.7240598167985226</v>
      </c>
      <c r="L59" s="66">
        <f>VLOOKUP($D$42,[2]ACHIEV!$B$9:$X$79,MATCH(L$11,$E$11:$Y$11,0)+2,FALSE)</f>
        <v>0.78705958333567505</v>
      </c>
      <c r="M59" s="66">
        <f>VLOOKUP($D$42,[2]ACHIEV!$B$9:$X$79,MATCH(M$11,$E$11:$Y$11,0)+2,FALSE)</f>
        <v>0.83745939656539703</v>
      </c>
      <c r="N59" s="66">
        <f>VLOOKUP($D$42,[2]ACHIEV!$B$9:$X$79,MATCH(N$11,$E$11:$Y$11,0)+2,FALSE)</f>
        <v>0.87777924714917455</v>
      </c>
      <c r="O59" s="66">
        <f>VLOOKUP($D$42,[2]ACHIEV!$B$9:$X$79,MATCH(O$11,$E$11:$Y$11,0)+2,FALSE)</f>
        <v>0.91003512761619654</v>
      </c>
      <c r="P59" s="66">
        <f>VLOOKUP($D$42,[2]ACHIEV!$B$9:$X$79,MATCH(P$11,$E$11:$Y$11,0)+2,FALSE)</f>
        <v>0.93583983198981413</v>
      </c>
      <c r="Q59" s="66">
        <f>VLOOKUP($D$42,[2]ACHIEV!$B$9:$X$79,MATCH(Q$11,$E$11:$Y$11,0)+2,FALSE)</f>
        <v>0.9564835954887082</v>
      </c>
      <c r="R59" s="66">
        <f>VLOOKUP($D$42,[2]ACHIEV!$B$9:$X$79,MATCH(R$11,$E$11:$Y$11,0)+2,FALSE)</f>
        <v>0.97299860628782353</v>
      </c>
      <c r="S59" s="66">
        <f>VLOOKUP($D$42,[2]ACHIEV!$B$9:$X$79,MATCH(S$11,$E$11:$Y$11,0)+2,FALSE)</f>
        <v>0.9862106149271157</v>
      </c>
      <c r="T59" s="66">
        <f>VLOOKUP($D$42,[2]ACHIEV!$B$9:$X$79,MATCH(T$11,$E$11:$Y$11,0)+2,FALSE)</f>
        <v>0.99678022183854953</v>
      </c>
      <c r="U59" s="66">
        <f>VLOOKUP($D$42,[2]ACHIEV!$B$9:$X$79,MATCH(U$11,$E$11:$Y$11,0)+2,FALSE)</f>
        <v>0.99685231466234414</v>
      </c>
      <c r="V59" s="66">
        <f>VLOOKUP($D$42,[2]ACHIEV!$B$9:$X$79,MATCH(V$11,$E$11:$Y$11,0)+2,FALSE)</f>
        <v>0.99687806209941365</v>
      </c>
      <c r="W59" s="66">
        <f>VLOOKUP($D$42,[2]ACHIEV!$B$9:$X$79,MATCH(W$11,$E$11:$Y$11,0)+2,FALSE)</f>
        <v>0.99688683963477831</v>
      </c>
      <c r="X59" s="66">
        <f>VLOOKUP($D$42,[2]ACHIEV!$B$9:$X$79,MATCH(X$11,$E$11:$Y$11,0)+2,FALSE)</f>
        <v>0.99688970187457115</v>
      </c>
      <c r="Y59" s="66"/>
      <c r="Z59" s="545">
        <v>0.85</v>
      </c>
    </row>
    <row r="60" spans="1:29">
      <c r="D60" s="9" t="str">
        <f>D23</f>
        <v>Single Family</v>
      </c>
      <c r="E60" s="42">
        <f ca="1">(E43+E51)*E$59*$Z$59</f>
        <v>27508.342260459602</v>
      </c>
      <c r="F60" s="42">
        <f t="shared" ref="F60:W60" ca="1" si="13">(F43+F51)*F$59*$Z$59</f>
        <v>54891.753662422081</v>
      </c>
      <c r="G60" s="42">
        <f t="shared" ca="1" si="13"/>
        <v>82150.659741873678</v>
      </c>
      <c r="H60" s="42">
        <f t="shared" ca="1" si="13"/>
        <v>109285.48474640175</v>
      </c>
      <c r="I60" s="42">
        <f t="shared" ca="1" si="13"/>
        <v>136296.65163885188</v>
      </c>
      <c r="J60" s="42">
        <f t="shared" ca="1" si="13"/>
        <v>160464.83906595869</v>
      </c>
      <c r="K60" s="42">
        <f t="shared" ca="1" si="13"/>
        <v>179638.14158219518</v>
      </c>
      <c r="L60" s="42">
        <f t="shared" ca="1" si="13"/>
        <v>194824.87646278628</v>
      </c>
      <c r="M60" s="42">
        <f t="shared" ca="1" si="13"/>
        <v>206829.86518842759</v>
      </c>
      <c r="N60" s="42">
        <f t="shared" ca="1" si="13"/>
        <v>216295.50228112144</v>
      </c>
      <c r="O60" s="42">
        <f t="shared" ca="1" si="13"/>
        <v>223734.53576616672</v>
      </c>
      <c r="P60" s="42">
        <f t="shared" ca="1" si="13"/>
        <v>229556.23199194012</v>
      </c>
      <c r="Q60" s="42">
        <f t="shared" ca="1" si="13"/>
        <v>234087.25995405071</v>
      </c>
      <c r="R60" s="42">
        <f t="shared" ca="1" si="13"/>
        <v>237588.36081567427</v>
      </c>
      <c r="S60" s="42">
        <f t="shared" ca="1" si="13"/>
        <v>286388.3294551631</v>
      </c>
      <c r="T60" s="42">
        <f t="shared" ca="1" si="13"/>
        <v>281404.73212947784</v>
      </c>
      <c r="U60" s="42">
        <f t="shared" ca="1" si="13"/>
        <v>273643.84140108508</v>
      </c>
      <c r="V60" s="42">
        <f t="shared" ca="1" si="13"/>
        <v>267042.77472555224</v>
      </c>
      <c r="W60" s="42">
        <f t="shared" ca="1" si="13"/>
        <v>260916.31042633412</v>
      </c>
      <c r="X60" s="42">
        <f ca="1">(X43+X51)*X$59*$Z$59</f>
        <v>255224.2880525779</v>
      </c>
      <c r="Y60" s="42"/>
    </row>
    <row r="61" spans="1:29">
      <c r="D61" s="9" t="str">
        <f t="shared" ref="D61:D63" si="14">D24</f>
        <v>Multifamily - Low Rise</v>
      </c>
      <c r="E61" s="42">
        <f t="shared" ref="E61:X61" ca="1" si="15">(E44+E52)*E$59*$Z$59</f>
        <v>2425.9919675415754</v>
      </c>
      <c r="F61" s="42">
        <f t="shared" ca="1" si="15"/>
        <v>4840.9659635456865</v>
      </c>
      <c r="G61" s="42">
        <f t="shared" ca="1" si="15"/>
        <v>7244.9595177213405</v>
      </c>
      <c r="H61" s="42">
        <f t="shared" ca="1" si="15"/>
        <v>9638.0100461467136</v>
      </c>
      <c r="I61" s="42">
        <f t="shared" ca="1" si="15"/>
        <v>12020.154851591658</v>
      </c>
      <c r="J61" s="42">
        <f t="shared" ca="1" si="15"/>
        <v>14151.573938442101</v>
      </c>
      <c r="K61" s="42">
        <f t="shared" ca="1" si="15"/>
        <v>15842.488388978423</v>
      </c>
      <c r="L61" s="42">
        <f t="shared" ca="1" si="15"/>
        <v>17181.82287524789</v>
      </c>
      <c r="M61" s="42">
        <f t="shared" ca="1" si="15"/>
        <v>18240.555536140444</v>
      </c>
      <c r="N61" s="42">
        <f t="shared" ca="1" si="15"/>
        <v>19075.339886787038</v>
      </c>
      <c r="O61" s="42">
        <f t="shared" ca="1" si="15"/>
        <v>19731.395766320988</v>
      </c>
      <c r="P61" s="42">
        <f t="shared" ca="1" si="15"/>
        <v>20244.816844234167</v>
      </c>
      <c r="Q61" s="42">
        <f t="shared" ca="1" si="15"/>
        <v>20644.412433520534</v>
      </c>
      <c r="R61" s="42">
        <f t="shared" ca="1" si="15"/>
        <v>20953.177595252972</v>
      </c>
      <c r="S61" s="42">
        <f t="shared" ca="1" si="15"/>
        <v>28671.040305507464</v>
      </c>
      <c r="T61" s="42">
        <f t="shared" ca="1" si="15"/>
        <v>28079.348715076223</v>
      </c>
      <c r="U61" s="42">
        <f t="shared" ca="1" si="15"/>
        <v>27214.689332051104</v>
      </c>
      <c r="V61" s="42">
        <f t="shared" ca="1" si="15"/>
        <v>26245.42595021363</v>
      </c>
      <c r="W61" s="42">
        <f t="shared" ca="1" si="15"/>
        <v>25219.949012827132</v>
      </c>
      <c r="X61" s="42">
        <f t="shared" ca="1" si="15"/>
        <v>24428.00242607882</v>
      </c>
      <c r="Y61" s="42"/>
    </row>
    <row r="62" spans="1:29">
      <c r="D62" s="9" t="str">
        <f t="shared" si="14"/>
        <v>Multifamily - High Rise</v>
      </c>
      <c r="E62" s="42">
        <f t="shared" ref="E62:X62" ca="1" si="16">(E45+E53)*E$59*$Z$59</f>
        <v>562.32862619588286</v>
      </c>
      <c r="F62" s="42">
        <f t="shared" ca="1" si="16"/>
        <v>1122.103360671998</v>
      </c>
      <c r="G62" s="42">
        <f t="shared" ca="1" si="16"/>
        <v>1679.3329025625517</v>
      </c>
      <c r="H62" s="42">
        <f t="shared" ca="1" si="16"/>
        <v>2234.0259246628843</v>
      </c>
      <c r="I62" s="42">
        <f t="shared" ca="1" si="16"/>
        <v>2786.1910735042361</v>
      </c>
      <c r="J62" s="42">
        <f t="shared" ca="1" si="16"/>
        <v>3280.2396866044974</v>
      </c>
      <c r="K62" s="42">
        <f t="shared" ca="1" si="16"/>
        <v>3672.1822868713975</v>
      </c>
      <c r="L62" s="42">
        <f t="shared" ca="1" si="16"/>
        <v>3982.6310153739446</v>
      </c>
      <c r="M62" s="42">
        <f t="shared" ca="1" si="16"/>
        <v>4228.0381274641541</v>
      </c>
      <c r="N62" s="42">
        <f t="shared" ca="1" si="16"/>
        <v>4421.5355270225791</v>
      </c>
      <c r="O62" s="42">
        <f t="shared" ca="1" si="16"/>
        <v>4573.6048687112534</v>
      </c>
      <c r="P62" s="42">
        <f t="shared" ca="1" si="16"/>
        <v>4692.6124224318446</v>
      </c>
      <c r="Q62" s="42">
        <f t="shared" ca="1" si="16"/>
        <v>4785.2359932283471</v>
      </c>
      <c r="R62" s="42">
        <f t="shared" ca="1" si="16"/>
        <v>4856.80568164331</v>
      </c>
      <c r="S62" s="42">
        <f t="shared" ca="1" si="16"/>
        <v>6616.1860688734814</v>
      </c>
      <c r="T62" s="42">
        <f t="shared" ca="1" si="16"/>
        <v>6500.3556563994125</v>
      </c>
      <c r="U62" s="42">
        <f t="shared" ca="1" si="16"/>
        <v>6317.7486235825863</v>
      </c>
      <c r="V62" s="42">
        <f t="shared" ca="1" si="16"/>
        <v>6060.9323694419681</v>
      </c>
      <c r="W62" s="42">
        <f t="shared" ca="1" si="16"/>
        <v>5805.9627445652441</v>
      </c>
      <c r="X62" s="42">
        <f t="shared" ca="1" si="16"/>
        <v>5636.353604856381</v>
      </c>
      <c r="Y62" s="42"/>
    </row>
    <row r="63" spans="1:29">
      <c r="D63" s="9" t="str">
        <f t="shared" si="14"/>
        <v>Manufactured</v>
      </c>
      <c r="E63" s="42">
        <f t="shared" ref="E63:X63" ca="1" si="17">(E46+E54)*E$59*$Z$59</f>
        <v>3622.5308154049262</v>
      </c>
      <c r="F63" s="42">
        <f t="shared" ca="1" si="17"/>
        <v>7167.633755133319</v>
      </c>
      <c r="G63" s="42">
        <f t="shared" ca="1" si="17"/>
        <v>10636.550025175677</v>
      </c>
      <c r="H63" s="42">
        <f t="shared" ca="1" si="17"/>
        <v>14030.503145186978</v>
      </c>
      <c r="I63" s="42">
        <f t="shared" ca="1" si="17"/>
        <v>17350.699184753725</v>
      </c>
      <c r="J63" s="42">
        <f t="shared" ca="1" si="17"/>
        <v>20255.021546687145</v>
      </c>
      <c r="K63" s="42">
        <f t="shared" ca="1" si="17"/>
        <v>22483.939559865139</v>
      </c>
      <c r="L63" s="42">
        <f t="shared" ca="1" si="17"/>
        <v>24179.053504103766</v>
      </c>
      <c r="M63" s="42">
        <f t="shared" ca="1" si="17"/>
        <v>25452.42501744047</v>
      </c>
      <c r="N63" s="42">
        <f t="shared" ca="1" si="17"/>
        <v>26392.737452827423</v>
      </c>
      <c r="O63" s="42">
        <f t="shared" ca="1" si="17"/>
        <v>27070.171494058042</v>
      </c>
      <c r="P63" s="42">
        <f t="shared" ca="1" si="17"/>
        <v>27540.263963095334</v>
      </c>
      <c r="Q63" s="42">
        <f t="shared" ca="1" si="17"/>
        <v>27846.961873827262</v>
      </c>
      <c r="R63" s="42">
        <f t="shared" ca="1" si="17"/>
        <v>28025.039563285602</v>
      </c>
      <c r="S63" s="42">
        <f t="shared" ca="1" si="17"/>
        <v>29433.172691065192</v>
      </c>
      <c r="T63" s="42">
        <f t="shared" ca="1" si="17"/>
        <v>29287.562435365315</v>
      </c>
      <c r="U63" s="42">
        <f t="shared" ca="1" si="17"/>
        <v>28859.598667224149</v>
      </c>
      <c r="V63" s="42">
        <f t="shared" ca="1" si="17"/>
        <v>28423.704823539189</v>
      </c>
      <c r="W63" s="42">
        <f t="shared" ca="1" si="17"/>
        <v>27928.771868191852</v>
      </c>
      <c r="X63" s="42">
        <f t="shared" ca="1" si="17"/>
        <v>27473.304963132945</v>
      </c>
      <c r="Y63" s="42"/>
    </row>
    <row r="65" spans="1:28">
      <c r="E65" s="42">
        <f t="shared" ref="E65:X65" ca="1" si="18">SUM(E60:E63)</f>
        <v>34119.193669601984</v>
      </c>
      <c r="F65" s="42">
        <f t="shared" ca="1" si="18"/>
        <v>68022.456741773087</v>
      </c>
      <c r="G65" s="42">
        <f t="shared" ca="1" si="18"/>
        <v>101711.50218733324</v>
      </c>
      <c r="H65" s="42">
        <f t="shared" ca="1" si="18"/>
        <v>135188.02386239832</v>
      </c>
      <c r="I65" s="42">
        <f t="shared" ca="1" si="18"/>
        <v>168453.69674870151</v>
      </c>
      <c r="J65" s="42">
        <f t="shared" ca="1" si="18"/>
        <v>198151.67423769244</v>
      </c>
      <c r="K65" s="42">
        <f t="shared" ca="1" si="18"/>
        <v>221636.75181791012</v>
      </c>
      <c r="L65" s="42">
        <f t="shared" ca="1" si="18"/>
        <v>240168.38385751189</v>
      </c>
      <c r="M65" s="42">
        <f t="shared" ca="1" si="18"/>
        <v>254750.88386947266</v>
      </c>
      <c r="N65" s="42">
        <f t="shared" ca="1" si="18"/>
        <v>266185.11514775851</v>
      </c>
      <c r="O65" s="42">
        <f t="shared" ca="1" si="18"/>
        <v>275109.70789525704</v>
      </c>
      <c r="P65" s="42">
        <f t="shared" ca="1" si="18"/>
        <v>282033.92522170144</v>
      </c>
      <c r="Q65" s="42">
        <f t="shared" ca="1" si="18"/>
        <v>287363.87025462685</v>
      </c>
      <c r="R65" s="42">
        <f t="shared" ca="1" si="18"/>
        <v>291423.38365585613</v>
      </c>
      <c r="S65" s="42">
        <f t="shared" ca="1" si="18"/>
        <v>351108.72852060926</v>
      </c>
      <c r="T65" s="42">
        <f t="shared" ca="1" si="18"/>
        <v>345271.99893631879</v>
      </c>
      <c r="U65" s="42">
        <f t="shared" ca="1" si="18"/>
        <v>336035.87802394293</v>
      </c>
      <c r="V65" s="42">
        <f t="shared" ca="1" si="18"/>
        <v>327772.83786874701</v>
      </c>
      <c r="W65" s="42">
        <f t="shared" ca="1" si="18"/>
        <v>319870.99405191833</v>
      </c>
      <c r="X65" s="42">
        <f t="shared" ca="1" si="18"/>
        <v>312761.94904664601</v>
      </c>
      <c r="Y65" s="42"/>
    </row>
    <row r="66" spans="1:28">
      <c r="E66" s="42"/>
      <c r="F66" s="42"/>
      <c r="G66" s="42"/>
      <c r="H66" s="42"/>
      <c r="I66" s="42"/>
      <c r="J66" s="42"/>
      <c r="K66" s="42"/>
      <c r="L66" s="42"/>
      <c r="M66" s="42"/>
      <c r="N66" s="42"/>
      <c r="O66" s="42"/>
      <c r="P66" s="42"/>
      <c r="Q66" s="42"/>
      <c r="R66" s="42"/>
      <c r="S66" s="42"/>
      <c r="T66" s="42"/>
      <c r="U66" s="42"/>
      <c r="V66" s="42"/>
      <c r="W66" s="42"/>
      <c r="X66" s="42"/>
      <c r="Y66" s="42"/>
    </row>
    <row r="68" spans="1:28">
      <c r="E68" s="42"/>
      <c r="F68" s="42"/>
      <c r="G68" s="42"/>
      <c r="H68" s="42"/>
      <c r="I68" s="42"/>
      <c r="J68" s="42"/>
      <c r="K68" s="42"/>
      <c r="L68" s="42"/>
      <c r="M68" s="42"/>
      <c r="N68" s="42"/>
      <c r="O68" s="42"/>
      <c r="P68" s="42"/>
      <c r="Q68" s="42"/>
      <c r="R68" s="42"/>
      <c r="S68" s="42"/>
      <c r="T68" s="42"/>
      <c r="U68" s="42"/>
      <c r="V68" s="42"/>
      <c r="W68" s="42"/>
      <c r="X68" s="42"/>
      <c r="Y68" s="42"/>
    </row>
    <row r="70" spans="1:28" customForma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customFormat="1" ht="15">
      <c r="A71" s="81" t="s">
        <v>69</v>
      </c>
      <c r="B71" s="9"/>
      <c r="C71" s="9"/>
      <c r="D71" s="67" t="s">
        <v>148</v>
      </c>
      <c r="E71" s="9" t="s">
        <v>1164</v>
      </c>
      <c r="F71" s="9"/>
      <c r="G71" s="9"/>
      <c r="H71" s="9"/>
      <c r="I71" s="9"/>
      <c r="J71" s="9"/>
      <c r="K71" s="9"/>
      <c r="L71" s="9"/>
      <c r="M71" s="9"/>
      <c r="N71" s="9"/>
      <c r="O71" s="9"/>
      <c r="P71" s="9"/>
      <c r="Q71" s="9"/>
      <c r="R71" s="9"/>
      <c r="S71" s="9"/>
      <c r="T71" s="9"/>
      <c r="U71" s="9"/>
      <c r="V71" s="9"/>
      <c r="W71" s="9"/>
      <c r="X71" s="9"/>
      <c r="Y71" s="9"/>
      <c r="Z71" s="9"/>
      <c r="AA71" s="9"/>
      <c r="AB71" s="9"/>
    </row>
    <row r="72" spans="1:28" customFormat="1" ht="15">
      <c r="A72" s="63" t="s">
        <v>70</v>
      </c>
      <c r="B72" s="63" t="str">
        <f>M_Input_Out!K3</f>
        <v>TRC Net Levelized Cost (Net of All Benefits) in mills/kWh</v>
      </c>
      <c r="C72" s="63"/>
      <c r="D72" s="63">
        <v>1</v>
      </c>
      <c r="E72" s="74">
        <f t="shared" ref="E72:X72" si="19">E11</f>
        <v>2016</v>
      </c>
      <c r="F72" s="68">
        <f t="shared" si="19"/>
        <v>2017</v>
      </c>
      <c r="G72" s="68">
        <f t="shared" si="19"/>
        <v>2018</v>
      </c>
      <c r="H72" s="68">
        <f t="shared" si="19"/>
        <v>2019</v>
      </c>
      <c r="I72" s="68">
        <f t="shared" si="19"/>
        <v>2020</v>
      </c>
      <c r="J72" s="68">
        <f t="shared" si="19"/>
        <v>2021</v>
      </c>
      <c r="K72" s="68">
        <f t="shared" si="19"/>
        <v>2022</v>
      </c>
      <c r="L72" s="68">
        <f t="shared" si="19"/>
        <v>2023</v>
      </c>
      <c r="M72" s="68">
        <f t="shared" si="19"/>
        <v>2024</v>
      </c>
      <c r="N72" s="68">
        <f t="shared" si="19"/>
        <v>2025</v>
      </c>
      <c r="O72" s="68">
        <f t="shared" si="19"/>
        <v>2026</v>
      </c>
      <c r="P72" s="68">
        <f t="shared" si="19"/>
        <v>2027</v>
      </c>
      <c r="Q72" s="68">
        <f t="shared" si="19"/>
        <v>2028</v>
      </c>
      <c r="R72" s="68">
        <f t="shared" si="19"/>
        <v>2029</v>
      </c>
      <c r="S72" s="68">
        <f t="shared" si="19"/>
        <v>2030</v>
      </c>
      <c r="T72" s="68">
        <f t="shared" si="19"/>
        <v>2031</v>
      </c>
      <c r="U72" s="68">
        <f t="shared" si="19"/>
        <v>2032</v>
      </c>
      <c r="V72" s="68">
        <f t="shared" si="19"/>
        <v>2033</v>
      </c>
      <c r="W72" s="68">
        <f t="shared" si="19"/>
        <v>2034</v>
      </c>
      <c r="X72" s="68">
        <f t="shared" si="19"/>
        <v>2035</v>
      </c>
      <c r="Y72" s="69" t="s">
        <v>153</v>
      </c>
      <c r="Z72" s="9"/>
      <c r="AA72" s="9"/>
      <c r="AB72" s="9"/>
    </row>
    <row r="73" spans="1:28" customFormat="1" ht="26.25">
      <c r="A73" s="63" t="str">
        <f>M_Input_Out!C3</f>
        <v>Busbar Savings</v>
      </c>
      <c r="B73" s="63" t="s">
        <v>71</v>
      </c>
      <c r="C73" s="63" t="s">
        <v>72</v>
      </c>
      <c r="D73" s="63" t="s">
        <v>73</v>
      </c>
      <c r="E73" s="75" t="str">
        <f>CONCATENATE("aMW_",E$11)</f>
        <v>aMW_2016</v>
      </c>
      <c r="F73" s="70" t="str">
        <f t="shared" ref="F73:X73" si="20">CONCATENATE("aMW_",F$11)</f>
        <v>aMW_2017</v>
      </c>
      <c r="G73" s="70" t="str">
        <f t="shared" si="20"/>
        <v>aMW_2018</v>
      </c>
      <c r="H73" s="70" t="str">
        <f t="shared" si="20"/>
        <v>aMW_2019</v>
      </c>
      <c r="I73" s="70" t="str">
        <f t="shared" si="20"/>
        <v>aMW_2020</v>
      </c>
      <c r="J73" s="70" t="str">
        <f t="shared" si="20"/>
        <v>aMW_2021</v>
      </c>
      <c r="K73" s="70" t="str">
        <f t="shared" si="20"/>
        <v>aMW_2022</v>
      </c>
      <c r="L73" s="70" t="str">
        <f t="shared" si="20"/>
        <v>aMW_2023</v>
      </c>
      <c r="M73" s="70" t="str">
        <f t="shared" si="20"/>
        <v>aMW_2024</v>
      </c>
      <c r="N73" s="70" t="str">
        <f t="shared" si="20"/>
        <v>aMW_2025</v>
      </c>
      <c r="O73" s="70" t="str">
        <f t="shared" si="20"/>
        <v>aMW_2026</v>
      </c>
      <c r="P73" s="70" t="str">
        <f t="shared" si="20"/>
        <v>aMW_2027</v>
      </c>
      <c r="Q73" s="70" t="str">
        <f t="shared" si="20"/>
        <v>aMW_2028</v>
      </c>
      <c r="R73" s="70" t="str">
        <f t="shared" si="20"/>
        <v>aMW_2029</v>
      </c>
      <c r="S73" s="70" t="str">
        <f t="shared" si="20"/>
        <v>aMW_2030</v>
      </c>
      <c r="T73" s="70" t="str">
        <f t="shared" si="20"/>
        <v>aMW_2031</v>
      </c>
      <c r="U73" s="70" t="str">
        <f t="shared" si="20"/>
        <v>aMW_2032</v>
      </c>
      <c r="V73" s="70" t="str">
        <f t="shared" si="20"/>
        <v>aMW_2033</v>
      </c>
      <c r="W73" s="70" t="str">
        <f t="shared" si="20"/>
        <v>aMW_2034</v>
      </c>
      <c r="X73" s="70" t="str">
        <f t="shared" si="20"/>
        <v>aMW_2035</v>
      </c>
      <c r="Y73" s="71" t="s">
        <v>153</v>
      </c>
      <c r="Z73" s="9"/>
      <c r="AA73" s="59" t="s">
        <v>1198</v>
      </c>
      <c r="AB73" s="59"/>
    </row>
    <row r="74" spans="1:28" customFormat="1">
      <c r="A74" s="72">
        <f t="shared" ref="A74:A85" si="21">VLOOKUP($D74,MeasureOutput,3,FALSE)</f>
        <v>14.998309672390386</v>
      </c>
      <c r="B74" s="72">
        <f t="shared" ref="B74:B85" si="22">VLOOKUP($D74,MeasureOutput,11,FALSE)</f>
        <v>-62.378126923104922</v>
      </c>
      <c r="C74" s="9" t="str">
        <f>LEFT(D74,FIND("CEE",D74)-2)</f>
        <v>Single Family</v>
      </c>
      <c r="D74" s="9" t="s">
        <v>1638</v>
      </c>
      <c r="E74" s="36">
        <f ca="1">VLOOKUP($C74,$D$60:$Y$64,E$32,FALSE)*$D$72*$A74/8760/1000</f>
        <v>4.7098017784985902E-2</v>
      </c>
      <c r="F74" s="36">
        <f t="shared" ref="F74:U85" ca="1" si="23">VLOOKUP($C74,$D$60:$Y$64,F$32,FALSE)*$D$72*$A74/8760/1000</f>
        <v>9.398213697369584E-2</v>
      </c>
      <c r="G74" s="36">
        <f t="shared" ca="1" si="23"/>
        <v>0.14065308614152916</v>
      </c>
      <c r="H74" s="36">
        <f t="shared" ca="1" si="23"/>
        <v>0.18711159165797139</v>
      </c>
      <c r="I74" s="36">
        <f t="shared" ca="1" si="23"/>
        <v>0.23335837769285558</v>
      </c>
      <c r="J74" s="36">
        <f t="shared" ca="1" si="23"/>
        <v>0.27473759678556331</v>
      </c>
      <c r="K74" s="36">
        <f t="shared" ca="1" si="23"/>
        <v>0.30756489456877528</v>
      </c>
      <c r="L74" s="36">
        <f t="shared" ca="1" si="23"/>
        <v>0.33356664715457413</v>
      </c>
      <c r="M74" s="36">
        <f t="shared" ca="1" si="23"/>
        <v>0.35412081821858366</v>
      </c>
      <c r="N74" s="36">
        <f t="shared" ca="1" si="23"/>
        <v>0.37032727442436991</v>
      </c>
      <c r="O74" s="36">
        <f t="shared" ca="1" si="23"/>
        <v>0.38306391002619533</v>
      </c>
      <c r="P74" s="36">
        <f t="shared" ca="1" si="23"/>
        <v>0.39303144459385925</v>
      </c>
      <c r="Q74" s="36">
        <f t="shared" ca="1" si="23"/>
        <v>0.4007891798118951</v>
      </c>
      <c r="R74" s="36">
        <f t="shared" ca="1" si="23"/>
        <v>0.40678353996222649</v>
      </c>
      <c r="S74" s="36">
        <f t="shared" ca="1" si="23"/>
        <v>0.49033571366747686</v>
      </c>
      <c r="T74" s="36">
        <f t="shared" ca="1" si="23"/>
        <v>0.48180311823675492</v>
      </c>
      <c r="U74" s="36">
        <f t="shared" ca="1" si="23"/>
        <v>0.46851541932373914</v>
      </c>
      <c r="V74" s="36">
        <f t="shared" ref="V74:X85" ca="1" si="24">VLOOKUP($C74,$D$60:$Y$64,V$32,FALSE)*$D$72*$A74/8760/1000</f>
        <v>0.4572134967018513</v>
      </c>
      <c r="W74" s="36">
        <f t="shared" ca="1" si="24"/>
        <v>0.44672415780270541</v>
      </c>
      <c r="X74" s="36">
        <f t="shared" ca="1" si="24"/>
        <v>0.43697864248035723</v>
      </c>
      <c r="Y74" s="36">
        <f ca="1">(VLOOKUP($C74,$D$43:$Z$46,Y$32+1,FALSE)+VLOOKUP($C74,$D$51:$Z$54,$Y$32+1,FALSE))*$D$72*$A74/8760/1000</f>
        <v>6.0807960703171915</v>
      </c>
      <c r="Z74" s="9"/>
      <c r="AA74" s="36">
        <f ca="1">SUM(E74:X74)</f>
        <v>6.7077590640099665</v>
      </c>
      <c r="AB74" s="60"/>
    </row>
    <row r="75" spans="1:28" customFormat="1">
      <c r="A75" s="72">
        <f t="shared" si="21"/>
        <v>16.359662309730922</v>
      </c>
      <c r="B75" s="72">
        <f t="shared" si="22"/>
        <v>-77.253113419871809</v>
      </c>
      <c r="C75" s="9" t="str">
        <f t="shared" ref="C75:C85" si="25">LEFT(D75,FIND("CEE",D75)-2)</f>
        <v>Multifamily - Low Rise</v>
      </c>
      <c r="D75" s="9" t="s">
        <v>1639</v>
      </c>
      <c r="E75" s="36">
        <f t="shared" ref="E75:E85" ca="1" si="26">VLOOKUP($C75,$D$60:$Y$64,E$32,FALSE)*$D$72*$A75/8760/1000</f>
        <v>4.5306403373401687E-3</v>
      </c>
      <c r="F75" s="36">
        <f t="shared" ca="1" si="23"/>
        <v>9.0407041571356865E-3</v>
      </c>
      <c r="G75" s="36">
        <f t="shared" ca="1" si="23"/>
        <v>1.3530261547670334E-2</v>
      </c>
      <c r="H75" s="36">
        <f t="shared" ca="1" si="23"/>
        <v>1.7999382385017623E-2</v>
      </c>
      <c r="I75" s="36">
        <f t="shared" ca="1" si="23"/>
        <v>2.2448136333643075E-2</v>
      </c>
      <c r="J75" s="36">
        <f t="shared" ca="1" si="23"/>
        <v>2.6428649632888317E-2</v>
      </c>
      <c r="K75" s="36">
        <f t="shared" ca="1" si="23"/>
        <v>2.9586502304739734E-2</v>
      </c>
      <c r="L75" s="36">
        <f t="shared" ca="1" si="23"/>
        <v>3.208776485213076E-2</v>
      </c>
      <c r="M75" s="36">
        <f t="shared" ca="1" si="23"/>
        <v>3.4064991885062845E-2</v>
      </c>
      <c r="N75" s="36">
        <f t="shared" ca="1" si="23"/>
        <v>3.5623986186207407E-2</v>
      </c>
      <c r="O75" s="36">
        <f t="shared" ca="1" si="23"/>
        <v>3.6849197675418464E-2</v>
      </c>
      <c r="P75" s="36">
        <f t="shared" ca="1" si="23"/>
        <v>3.780803277329034E-2</v>
      </c>
      <c r="Q75" s="36">
        <f t="shared" ca="1" si="23"/>
        <v>3.8554294063379714E-2</v>
      </c>
      <c r="R75" s="36">
        <f t="shared" ca="1" si="23"/>
        <v>3.9130925773305757E-2</v>
      </c>
      <c r="S75" s="36">
        <f t="shared" ca="1" si="23"/>
        <v>5.3544353592098921E-2</v>
      </c>
      <c r="T75" s="36">
        <f t="shared" ca="1" si="23"/>
        <v>5.2439345074865744E-2</v>
      </c>
      <c r="U75" s="36">
        <f t="shared" ca="1" si="23"/>
        <v>5.0824557915136147E-2</v>
      </c>
      <c r="V75" s="36">
        <f t="shared" ca="1" si="24"/>
        <v>4.9014418461249293E-2</v>
      </c>
      <c r="W75" s="36">
        <f t="shared" ca="1" si="24"/>
        <v>4.7099297867406804E-2</v>
      </c>
      <c r="X75" s="36">
        <f t="shared" ca="1" si="24"/>
        <v>4.5620304862093293E-2</v>
      </c>
      <c r="Y75" s="36">
        <f ca="1">(VLOOKUP($C75,$D$43:$Z$46,Y$32+1,FALSE)+VLOOKUP($C75,$D$51:$Z$54,$Y$32+1,FALSE))*$D$72*$A75/8760/1000</f>
        <v>0.61203623785868733</v>
      </c>
      <c r="Z75" s="9"/>
      <c r="AA75" s="36">
        <f t="shared" ref="AA75:AA85" ca="1" si="27">SUM(E75:X75)</f>
        <v>0.67622574768008048</v>
      </c>
      <c r="AB75" s="60"/>
    </row>
    <row r="76" spans="1:28" customFormat="1">
      <c r="A76" s="72">
        <f t="shared" si="21"/>
        <v>16.365081135408719</v>
      </c>
      <c r="B76" s="72">
        <f t="shared" si="22"/>
        <v>-77.407564903665772</v>
      </c>
      <c r="C76" s="9" t="str">
        <f t="shared" si="25"/>
        <v>Manufactured</v>
      </c>
      <c r="D76" s="9" t="s">
        <v>1640</v>
      </c>
      <c r="E76" s="36">
        <f t="shared" ca="1" si="26"/>
        <v>6.7674669759840086E-3</v>
      </c>
      <c r="F76" s="36">
        <f t="shared" ca="1" si="23"/>
        <v>1.3390286295850576E-2</v>
      </c>
      <c r="G76" s="36">
        <f t="shared" ca="1" si="23"/>
        <v>1.9870776730917077E-2</v>
      </c>
      <c r="H76" s="36">
        <f t="shared" ca="1" si="23"/>
        <v>2.6211224011597273E-2</v>
      </c>
      <c r="I76" s="36">
        <f t="shared" ca="1" si="23"/>
        <v>3.2413881268785916E-2</v>
      </c>
      <c r="J76" s="36">
        <f t="shared" ca="1" si="23"/>
        <v>3.7839619978423167E-2</v>
      </c>
      <c r="K76" s="36">
        <f t="shared" ca="1" si="23"/>
        <v>4.2003595335709909E-2</v>
      </c>
      <c r="L76" s="36">
        <f t="shared" ca="1" si="23"/>
        <v>4.5170339311877472E-2</v>
      </c>
      <c r="M76" s="36">
        <f t="shared" ca="1" si="23"/>
        <v>4.7549200970698625E-2</v>
      </c>
      <c r="N76" s="36">
        <f t="shared" ca="1" si="23"/>
        <v>4.9305855000121142E-2</v>
      </c>
      <c r="O76" s="36">
        <f t="shared" ca="1" si="23"/>
        <v>5.0571410142658459E-2</v>
      </c>
      <c r="P76" s="36">
        <f t="shared" ca="1" si="23"/>
        <v>5.144961806468356E-2</v>
      </c>
      <c r="Q76" s="36">
        <f t="shared" ca="1" si="23"/>
        <v>5.2022578817330634E-2</v>
      </c>
      <c r="R76" s="36">
        <f t="shared" ca="1" si="23"/>
        <v>5.2355256424224679E-2</v>
      </c>
      <c r="S76" s="36">
        <f t="shared" ca="1" si="23"/>
        <v>5.49858743335363E-2</v>
      </c>
      <c r="T76" s="36">
        <f t="shared" ca="1" si="23"/>
        <v>5.4713851085970537E-2</v>
      </c>
      <c r="U76" s="36">
        <f t="shared" ca="1" si="23"/>
        <v>5.3914346315577226E-2</v>
      </c>
      <c r="V76" s="36">
        <f t="shared" ca="1" si="24"/>
        <v>5.3100026895676597E-2</v>
      </c>
      <c r="W76" s="36">
        <f t="shared" ca="1" si="24"/>
        <v>5.2175412972063948E-2</v>
      </c>
      <c r="X76" s="36">
        <f t="shared" ca="1" si="24"/>
        <v>5.1324527942865031E-2</v>
      </c>
      <c r="Y76" s="36">
        <f t="shared" ref="Y76:Y85" ca="1" si="28">(VLOOKUP($C76,$D$43:$Z$46,Y$32+1,FALSE)+VLOOKUP($C76,$D$51:$Z$54,$Y$32+1,FALSE))*$D$72*$A76/8760/1000</f>
        <v>0.7171159627166287</v>
      </c>
      <c r="Z76" s="9"/>
      <c r="AA76" s="36">
        <f t="shared" ca="1" si="27"/>
        <v>0.84713514887455221</v>
      </c>
      <c r="AB76" s="60"/>
    </row>
    <row r="77" spans="1:28" customFormat="1">
      <c r="A77" s="72">
        <f t="shared" si="21"/>
        <v>16.359662309730922</v>
      </c>
      <c r="B77" s="72">
        <f t="shared" si="22"/>
        <v>-77.253113419871809</v>
      </c>
      <c r="C77" s="9" t="str">
        <f t="shared" si="25"/>
        <v>Multifamily - High Rise</v>
      </c>
      <c r="D77" s="9" t="s">
        <v>1641</v>
      </c>
      <c r="E77" s="36">
        <f t="shared" ca="1" si="26"/>
        <v>1.0501719670844237E-3</v>
      </c>
      <c r="F77" s="36">
        <f t="shared" ca="1" si="23"/>
        <v>2.0955744357543478E-3</v>
      </c>
      <c r="G77" s="36">
        <f t="shared" ca="1" si="23"/>
        <v>3.1362236520026945E-3</v>
      </c>
      <c r="H77" s="36">
        <f t="shared" ca="1" si="23"/>
        <v>4.1721358126334653E-3</v>
      </c>
      <c r="I77" s="36">
        <f t="shared" ca="1" si="23"/>
        <v>5.203327065401369E-3</v>
      </c>
      <c r="J77" s="36">
        <f t="shared" ca="1" si="23"/>
        <v>6.1259832839985354E-3</v>
      </c>
      <c r="K77" s="36">
        <f t="shared" ca="1" si="23"/>
        <v>6.8579523005698065E-3</v>
      </c>
      <c r="L77" s="36">
        <f t="shared" ca="1" si="23"/>
        <v>7.4377281410706068E-3</v>
      </c>
      <c r="M77" s="36">
        <f t="shared" ca="1" si="23"/>
        <v>7.8960360728288388E-3</v>
      </c>
      <c r="N77" s="36">
        <f t="shared" ca="1" si="23"/>
        <v>8.2574004694711805E-3</v>
      </c>
      <c r="O77" s="36">
        <f t="shared" ca="1" si="23"/>
        <v>8.5413962545955856E-3</v>
      </c>
      <c r="P77" s="36">
        <f t="shared" ca="1" si="23"/>
        <v>8.7636477832686507E-3</v>
      </c>
      <c r="Q77" s="36">
        <f t="shared" ca="1" si="23"/>
        <v>8.9366261326010964E-3</v>
      </c>
      <c r="R77" s="36">
        <f t="shared" ca="1" si="23"/>
        <v>9.0702854858067429E-3</v>
      </c>
      <c r="S77" s="36">
        <f t="shared" ca="1" si="23"/>
        <v>1.2356001126154826E-2</v>
      </c>
      <c r="T77" s="36">
        <f t="shared" ca="1" si="23"/>
        <v>1.2139683040164802E-2</v>
      </c>
      <c r="U77" s="36">
        <f t="shared" ca="1" si="23"/>
        <v>1.1798656853833155E-2</v>
      </c>
      <c r="V77" s="36">
        <f t="shared" ca="1" si="24"/>
        <v>1.1319041877418711E-2</v>
      </c>
      <c r="W77" s="36">
        <f t="shared" ca="1" si="24"/>
        <v>1.0842875557530355E-2</v>
      </c>
      <c r="X77" s="36">
        <f t="shared" ca="1" si="24"/>
        <v>1.0526123474164949E-2</v>
      </c>
      <c r="Y77" s="36">
        <f t="shared" ca="1" si="28"/>
        <v>0.14166149264035782</v>
      </c>
      <c r="Z77" s="9"/>
      <c r="AA77" s="36">
        <f t="shared" ca="1" si="27"/>
        <v>0.15652687078635416</v>
      </c>
      <c r="AB77" s="60"/>
    </row>
    <row r="78" spans="1:28" customFormat="1">
      <c r="A78" s="72">
        <f t="shared" si="21"/>
        <v>31.749218306330086</v>
      </c>
      <c r="B78" s="72">
        <f t="shared" si="22"/>
        <v>-94.474849641527626</v>
      </c>
      <c r="C78" s="9" t="str">
        <f t="shared" si="25"/>
        <v>Single Family</v>
      </c>
      <c r="D78" s="9" t="s">
        <v>1642</v>
      </c>
      <c r="E78" s="36">
        <f t="shared" ca="1" si="26"/>
        <v>9.9699584894129861E-2</v>
      </c>
      <c r="F78" s="36">
        <f t="shared" ca="1" si="23"/>
        <v>0.19894637788191014</v>
      </c>
      <c r="G78" s="36">
        <f t="shared" ca="1" si="23"/>
        <v>0.29774192125043258</v>
      </c>
      <c r="H78" s="36">
        <f t="shared" ca="1" si="23"/>
        <v>0.39608775261719359</v>
      </c>
      <c r="I78" s="36">
        <f t="shared" ca="1" si="23"/>
        <v>0.49398540494334819</v>
      </c>
      <c r="J78" s="36">
        <f t="shared" ca="1" si="23"/>
        <v>0.58157913310448017</v>
      </c>
      <c r="K78" s="36">
        <f t="shared" ca="1" si="23"/>
        <v>0.65106970014115839</v>
      </c>
      <c r="L78" s="36">
        <f t="shared" ca="1" si="23"/>
        <v>0.70611159067588936</v>
      </c>
      <c r="M78" s="36">
        <f t="shared" ca="1" si="23"/>
        <v>0.74962175138541209</v>
      </c>
      <c r="N78" s="36">
        <f t="shared" ca="1" si="23"/>
        <v>0.78392843842473081</v>
      </c>
      <c r="O78" s="36">
        <f t="shared" ca="1" si="23"/>
        <v>0.81089002496637486</v>
      </c>
      <c r="P78" s="36">
        <f t="shared" ca="1" si="23"/>
        <v>0.8319898314030435</v>
      </c>
      <c r="Q78" s="36">
        <f t="shared" ca="1" si="23"/>
        <v>0.84841181723878956</v>
      </c>
      <c r="R78" s="36">
        <f t="shared" ca="1" si="23"/>
        <v>0.86110099709816934</v>
      </c>
      <c r="S78" s="36">
        <f t="shared" ca="1" si="23"/>
        <v>1.0379686749152004</v>
      </c>
      <c r="T78" s="36">
        <f t="shared" ca="1" si="23"/>
        <v>1.0199064238371156</v>
      </c>
      <c r="U78" s="36">
        <f t="shared" ca="1" si="23"/>
        <v>0.99177831721755905</v>
      </c>
      <c r="V78" s="36">
        <f t="shared" ca="1" si="24"/>
        <v>0.96785380729334303</v>
      </c>
      <c r="W78" s="36">
        <f t="shared" ca="1" si="24"/>
        <v>0.94564941774062461</v>
      </c>
      <c r="X78" s="36">
        <f t="shared" ca="1" si="24"/>
        <v>0.92501959343138918</v>
      </c>
      <c r="Y78" s="36">
        <f t="shared" ca="1" si="28"/>
        <v>12.872152004446859</v>
      </c>
      <c r="Z78" s="9"/>
      <c r="AA78" s="36">
        <f t="shared" ca="1" si="27"/>
        <v>14.199340560460296</v>
      </c>
      <c r="AB78" s="60"/>
    </row>
    <row r="79" spans="1:28" customFormat="1">
      <c r="A79" s="72">
        <f t="shared" si="21"/>
        <v>31.45855370122467</v>
      </c>
      <c r="B79" s="72">
        <f t="shared" si="22"/>
        <v>-87.148332348686608</v>
      </c>
      <c r="C79" s="9" t="str">
        <f t="shared" si="25"/>
        <v>Manufactured</v>
      </c>
      <c r="D79" s="9" t="s">
        <v>1643</v>
      </c>
      <c r="E79" s="36">
        <f t="shared" ca="1" si="26"/>
        <v>1.3009084496661764E-2</v>
      </c>
      <c r="F79" s="36">
        <f t="shared" ca="1" si="23"/>
        <v>2.5740113173124673E-2</v>
      </c>
      <c r="G79" s="36">
        <f t="shared" ca="1" si="23"/>
        <v>3.8197543397574384E-2</v>
      </c>
      <c r="H79" s="36">
        <f t="shared" ca="1" si="23"/>
        <v>5.0385769023751852E-2</v>
      </c>
      <c r="I79" s="36">
        <f t="shared" ca="1" si="23"/>
        <v>6.2309121239425821E-2</v>
      </c>
      <c r="J79" s="36">
        <f t="shared" ca="1" si="23"/>
        <v>7.2739004913917854E-2</v>
      </c>
      <c r="K79" s="36">
        <f t="shared" ca="1" si="23"/>
        <v>8.0743404116336445E-2</v>
      </c>
      <c r="L79" s="36">
        <f t="shared" ca="1" si="23"/>
        <v>8.683082797986677E-2</v>
      </c>
      <c r="M79" s="36">
        <f t="shared" ca="1" si="23"/>
        <v>9.1403707675518878E-2</v>
      </c>
      <c r="N79" s="36">
        <f t="shared" ca="1" si="23"/>
        <v>9.4780519233115867E-2</v>
      </c>
      <c r="O79" s="36">
        <f t="shared" ca="1" si="23"/>
        <v>9.7213292653788377E-2</v>
      </c>
      <c r="P79" s="36">
        <f t="shared" ca="1" si="23"/>
        <v>9.8901469501020217E-2</v>
      </c>
      <c r="Q79" s="36">
        <f t="shared" ca="1" si="23"/>
        <v>0.10000287049357887</v>
      </c>
      <c r="R79" s="36">
        <f t="shared" ca="1" si="23"/>
        <v>0.10064237580828381</v>
      </c>
      <c r="S79" s="36">
        <f t="shared" ca="1" si="23"/>
        <v>0.10569920590174585</v>
      </c>
      <c r="T79" s="36">
        <f t="shared" ca="1" si="23"/>
        <v>0.10517629630718153</v>
      </c>
      <c r="U79" s="36">
        <f t="shared" ca="1" si="23"/>
        <v>0.10363941032747291</v>
      </c>
      <c r="V79" s="36">
        <f t="shared" ca="1" si="24"/>
        <v>0.10207404618482491</v>
      </c>
      <c r="W79" s="36">
        <f t="shared" ca="1" si="24"/>
        <v>0.10029666319917421</v>
      </c>
      <c r="X79" s="36">
        <f t="shared" ca="1" si="24"/>
        <v>9.8661009079091325E-2</v>
      </c>
      <c r="Y79" s="36">
        <f t="shared" ca="1" si="28"/>
        <v>1.3785101849764259</v>
      </c>
      <c r="Z79" s="9"/>
      <c r="AA79" s="36">
        <f t="shared" ca="1" si="27"/>
        <v>1.6284457347054564</v>
      </c>
      <c r="AB79" s="60"/>
    </row>
    <row r="80" spans="1:28" customFormat="1">
      <c r="A80" s="72">
        <f t="shared" si="21"/>
        <v>31.430585206391111</v>
      </c>
      <c r="B80" s="72">
        <f t="shared" si="22"/>
        <v>-86.219141575020686</v>
      </c>
      <c r="C80" s="9" t="str">
        <f t="shared" si="25"/>
        <v>Multifamily - Low Rise</v>
      </c>
      <c r="D80" s="9" t="s">
        <v>1644</v>
      </c>
      <c r="E80" s="36">
        <f t="shared" ca="1" si="26"/>
        <v>8.704377539478985E-3</v>
      </c>
      <c r="F80" s="36">
        <f t="shared" ca="1" si="23"/>
        <v>1.7369222967860951E-2</v>
      </c>
      <c r="G80" s="36">
        <f t="shared" ca="1" si="23"/>
        <v>2.5994670940478866E-2</v>
      </c>
      <c r="H80" s="36">
        <f t="shared" ca="1" si="23"/>
        <v>3.4580855704962082E-2</v>
      </c>
      <c r="I80" s="36">
        <f t="shared" ca="1" si="23"/>
        <v>4.3127911102393508E-2</v>
      </c>
      <c r="J80" s="36">
        <f t="shared" ca="1" si="23"/>
        <v>5.0775371058989528E-2</v>
      </c>
      <c r="K80" s="36">
        <f t="shared" ca="1" si="23"/>
        <v>5.6842315204457552E-2</v>
      </c>
      <c r="L80" s="36">
        <f t="shared" ca="1" si="23"/>
        <v>6.1647802269588901E-2</v>
      </c>
      <c r="M80" s="36">
        <f t="shared" ca="1" si="23"/>
        <v>6.5446499428147425E-2</v>
      </c>
      <c r="N80" s="36">
        <f t="shared" ca="1" si="23"/>
        <v>6.8441677585905372E-2</v>
      </c>
      <c r="O80" s="36">
        <f t="shared" ca="1" si="23"/>
        <v>7.0795584003924272E-2</v>
      </c>
      <c r="P80" s="36">
        <f t="shared" ca="1" si="23"/>
        <v>7.263772155370822E-2</v>
      </c>
      <c r="Q80" s="36">
        <f t="shared" ca="1" si="23"/>
        <v>7.4071457080781652E-2</v>
      </c>
      <c r="R80" s="36">
        <f t="shared" ca="1" si="23"/>
        <v>7.5179296090438788E-2</v>
      </c>
      <c r="S80" s="36">
        <f t="shared" ca="1" si="23"/>
        <v>0.10287072777147559</v>
      </c>
      <c r="T80" s="36">
        <f t="shared" ca="1" si="23"/>
        <v>0.10074775825675479</v>
      </c>
      <c r="U80" s="36">
        <f t="shared" ca="1" si="23"/>
        <v>9.7645389488184423E-2</v>
      </c>
      <c r="V80" s="36">
        <f t="shared" ca="1" si="24"/>
        <v>9.416770509203401E-2</v>
      </c>
      <c r="W80" s="36">
        <f t="shared" ca="1" si="24"/>
        <v>9.0488328350285682E-2</v>
      </c>
      <c r="X80" s="36">
        <f t="shared" ca="1" si="24"/>
        <v>8.7646850647808125E-2</v>
      </c>
      <c r="Y80" s="36">
        <f t="shared" ca="1" si="28"/>
        <v>1.175859058653939</v>
      </c>
      <c r="Z80" s="9"/>
      <c r="AA80" s="36">
        <f t="shared" ca="1" si="27"/>
        <v>1.2991815221376586</v>
      </c>
      <c r="AB80" s="60"/>
    </row>
    <row r="81" spans="1:28" customFormat="1">
      <c r="A81" s="72">
        <f t="shared" si="21"/>
        <v>31.430585206391111</v>
      </c>
      <c r="B81" s="72">
        <f t="shared" si="22"/>
        <v>-86.219141575020686</v>
      </c>
      <c r="C81" s="9" t="str">
        <f t="shared" si="25"/>
        <v>Multifamily - High Rise</v>
      </c>
      <c r="D81" s="9" t="s">
        <v>1645</v>
      </c>
      <c r="E81" s="36">
        <f t="shared" ca="1" si="26"/>
        <v>2.0176161871738076E-3</v>
      </c>
      <c r="F81" s="36">
        <f t="shared" ca="1" si="23"/>
        <v>4.0260690968012608E-3</v>
      </c>
      <c r="G81" s="36">
        <f t="shared" ca="1" si="23"/>
        <v>6.0253899410831488E-3</v>
      </c>
      <c r="H81" s="36">
        <f t="shared" ca="1" si="23"/>
        <v>8.015609837717293E-3</v>
      </c>
      <c r="I81" s="36">
        <f t="shared" ca="1" si="23"/>
        <v>9.9967598101668061E-3</v>
      </c>
      <c r="J81" s="36">
        <f t="shared" ca="1" si="23"/>
        <v>1.1769389608128804E-2</v>
      </c>
      <c r="K81" s="36">
        <f t="shared" ca="1" si="23"/>
        <v>1.3175666468140597E-2</v>
      </c>
      <c r="L81" s="36">
        <f t="shared" ca="1" si="23"/>
        <v>1.4289546058713094E-2</v>
      </c>
      <c r="M81" s="36">
        <f t="shared" ca="1" si="23"/>
        <v>1.5170058518394111E-2</v>
      </c>
      <c r="N81" s="36">
        <f t="shared" ca="1" si="23"/>
        <v>1.5864320676389113E-2</v>
      </c>
      <c r="O81" s="36">
        <f t="shared" ca="1" si="23"/>
        <v>1.6409940356894324E-2</v>
      </c>
      <c r="P81" s="36">
        <f t="shared" ca="1" si="23"/>
        <v>1.683693545477323E-2</v>
      </c>
      <c r="Q81" s="36">
        <f t="shared" ca="1" si="23"/>
        <v>1.7169265709800586E-2</v>
      </c>
      <c r="R81" s="36">
        <f t="shared" ca="1" si="23"/>
        <v>1.7426055343353255E-2</v>
      </c>
      <c r="S81" s="36">
        <f t="shared" ca="1" si="23"/>
        <v>2.373865296564678E-2</v>
      </c>
      <c r="T81" s="36">
        <f t="shared" ca="1" si="23"/>
        <v>2.332305734364248E-2</v>
      </c>
      <c r="U81" s="36">
        <f t="shared" ca="1" si="23"/>
        <v>2.2667869455031124E-2</v>
      </c>
      <c r="V81" s="36">
        <f t="shared" ca="1" si="24"/>
        <v>2.1746421377616412E-2</v>
      </c>
      <c r="W81" s="36">
        <f t="shared" ca="1" si="24"/>
        <v>2.0831598943857336E-2</v>
      </c>
      <c r="X81" s="36">
        <f t="shared" ca="1" si="24"/>
        <v>2.0223047058309154E-2</v>
      </c>
      <c r="Y81" s="36">
        <f t="shared" ca="1" si="28"/>
        <v>0.27216354045700031</v>
      </c>
      <c r="Z81" s="9"/>
      <c r="AA81" s="36">
        <f t="shared" ca="1" si="27"/>
        <v>0.3007232702116327</v>
      </c>
      <c r="AB81" s="60"/>
    </row>
    <row r="82" spans="1:28" customFormat="1">
      <c r="A82" s="72">
        <f t="shared" si="21"/>
        <v>53.638909577706116</v>
      </c>
      <c r="B82" s="72">
        <f t="shared" si="22"/>
        <v>-65.743456849320339</v>
      </c>
      <c r="C82" s="9" t="str">
        <f t="shared" si="25"/>
        <v>Single Family</v>
      </c>
      <c r="D82" s="9" t="s">
        <v>1646</v>
      </c>
      <c r="E82" s="36">
        <f t="shared" ca="1" si="26"/>
        <v>0.16843806885175622</v>
      </c>
      <c r="F82" s="36">
        <f t="shared" ca="1" si="23"/>
        <v>0.3361111656689928</v>
      </c>
      <c r="G82" s="36">
        <f t="shared" ca="1" si="23"/>
        <v>0.50302189607799819</v>
      </c>
      <c r="H82" s="36">
        <f t="shared" ca="1" si="23"/>
        <v>0.66917285781598446</v>
      </c>
      <c r="I82" s="36">
        <f t="shared" ca="1" si="23"/>
        <v>0.83456664075348019</v>
      </c>
      <c r="J82" s="36">
        <f t="shared" ca="1" si="23"/>
        <v>0.98255239646805037</v>
      </c>
      <c r="K82" s="36">
        <f t="shared" ca="1" si="23"/>
        <v>1.0999536567391024</v>
      </c>
      <c r="L82" s="36">
        <f t="shared" ca="1" si="23"/>
        <v>1.1929445127939677</v>
      </c>
      <c r="M82" s="36">
        <f t="shared" ca="1" si="23"/>
        <v>1.2664530179008233</v>
      </c>
      <c r="N82" s="36">
        <f t="shared" ca="1" si="23"/>
        <v>1.3244126585526941</v>
      </c>
      <c r="O82" s="36">
        <f t="shared" ca="1" si="23"/>
        <v>1.3699630745857845</v>
      </c>
      <c r="P82" s="36">
        <f t="shared" ca="1" si="23"/>
        <v>1.4056102706409366</v>
      </c>
      <c r="Q82" s="36">
        <f t="shared" ca="1" si="23"/>
        <v>1.4333544942886201</v>
      </c>
      <c r="R82" s="36">
        <f t="shared" ca="1" si="23"/>
        <v>1.4547923062223023</v>
      </c>
      <c r="S82" s="36">
        <f t="shared" ca="1" si="23"/>
        <v>1.7536024780543154</v>
      </c>
      <c r="T82" s="36">
        <f t="shared" ca="1" si="23"/>
        <v>1.7230870983369488</v>
      </c>
      <c r="U82" s="36">
        <f t="shared" ca="1" si="23"/>
        <v>1.6755658978777346</v>
      </c>
      <c r="V82" s="36">
        <f t="shared" ca="1" si="24"/>
        <v>1.6351464893702785</v>
      </c>
      <c r="W82" s="36">
        <f t="shared" ca="1" si="24"/>
        <v>1.5976331486651638</v>
      </c>
      <c r="X82" s="36">
        <f t="shared" ca="1" si="24"/>
        <v>1.5627799667678819</v>
      </c>
      <c r="Y82" s="36">
        <f t="shared" ca="1" si="28"/>
        <v>21.746935334762355</v>
      </c>
      <c r="Z82" s="9"/>
      <c r="AA82" s="36">
        <f t="shared" ca="1" si="27"/>
        <v>23.989162096432818</v>
      </c>
      <c r="AB82" s="60"/>
    </row>
    <row r="83" spans="1:28" customFormat="1">
      <c r="A83" s="72">
        <f t="shared" si="21"/>
        <v>53.082689723506611</v>
      </c>
      <c r="B83" s="72">
        <f t="shared" si="22"/>
        <v>-55.418353719020054</v>
      </c>
      <c r="C83" s="9" t="str">
        <f t="shared" si="25"/>
        <v>Manufactured</v>
      </c>
      <c r="D83" s="9" t="s">
        <v>1647</v>
      </c>
      <c r="E83" s="36">
        <f t="shared" ca="1" si="26"/>
        <v>2.1951333252052639E-2</v>
      </c>
      <c r="F83" s="36">
        <f t="shared" ca="1" si="23"/>
        <v>4.3433479300853256E-2</v>
      </c>
      <c r="G83" s="36">
        <f t="shared" ca="1" si="23"/>
        <v>6.4453959442346678E-2</v>
      </c>
      <c r="H83" s="36">
        <f t="shared" ca="1" si="23"/>
        <v>8.5020187799160263E-2</v>
      </c>
      <c r="I83" s="36">
        <f t="shared" ca="1" si="23"/>
        <v>0.10513947275230379</v>
      </c>
      <c r="J83" s="36">
        <f t="shared" ca="1" si="23"/>
        <v>0.12273870138193319</v>
      </c>
      <c r="K83" s="36">
        <f t="shared" ca="1" si="23"/>
        <v>0.13624520404319601</v>
      </c>
      <c r="L83" s="36">
        <f t="shared" ca="1" si="23"/>
        <v>0.14651703138885908</v>
      </c>
      <c r="M83" s="36">
        <f t="shared" ca="1" si="23"/>
        <v>0.15423323971593716</v>
      </c>
      <c r="N83" s="36">
        <f t="shared" ca="1" si="23"/>
        <v>0.15993122068064045</v>
      </c>
      <c r="O83" s="36">
        <f t="shared" ca="1" si="23"/>
        <v>0.16403624591109547</v>
      </c>
      <c r="P83" s="36">
        <f t="shared" ca="1" si="23"/>
        <v>0.16688485009776943</v>
      </c>
      <c r="Q83" s="36">
        <f t="shared" ca="1" si="23"/>
        <v>0.16874333754459939</v>
      </c>
      <c r="R83" s="36">
        <f t="shared" ca="1" si="23"/>
        <v>0.16982242918115145</v>
      </c>
      <c r="S83" s="36">
        <f t="shared" ca="1" si="23"/>
        <v>0.17835524812079931</v>
      </c>
      <c r="T83" s="36">
        <f t="shared" ca="1" si="23"/>
        <v>0.17747289834638408</v>
      </c>
      <c r="U83" s="36">
        <f t="shared" ca="1" si="23"/>
        <v>0.17487958009100277</v>
      </c>
      <c r="V83" s="36">
        <f t="shared" ca="1" si="24"/>
        <v>0.17223820821238231</v>
      </c>
      <c r="W83" s="36">
        <f t="shared" ca="1" si="24"/>
        <v>0.16923907893125895</v>
      </c>
      <c r="X83" s="36">
        <f t="shared" ca="1" si="24"/>
        <v>0.16647910080334022</v>
      </c>
      <c r="Y83" s="36">
        <f t="shared" ca="1" si="28"/>
        <v>2.3260773246212092</v>
      </c>
      <c r="Z83" s="9"/>
      <c r="AA83" s="36">
        <f t="shared" ca="1" si="27"/>
        <v>2.7478148069970656</v>
      </c>
      <c r="AB83" s="60"/>
    </row>
    <row r="84" spans="1:28" customFormat="1">
      <c r="A84" s="72">
        <f t="shared" si="21"/>
        <v>53.029340362257024</v>
      </c>
      <c r="B84" s="72">
        <f t="shared" si="22"/>
        <v>-54.200294301150457</v>
      </c>
      <c r="C84" s="9" t="str">
        <f t="shared" si="25"/>
        <v>Multifamily - Low Rise</v>
      </c>
      <c r="D84" s="9" t="s">
        <v>1648</v>
      </c>
      <c r="E84" s="36">
        <f t="shared" ca="1" si="26"/>
        <v>1.4685930794847465E-2</v>
      </c>
      <c r="F84" s="36">
        <f t="shared" ca="1" si="23"/>
        <v>2.9305163443260927E-2</v>
      </c>
      <c r="G84" s="36">
        <f t="shared" ca="1" si="23"/>
        <v>4.3857925134248681E-2</v>
      </c>
      <c r="H84" s="36">
        <f t="shared" ca="1" si="23"/>
        <v>5.8344442368945953E-2</v>
      </c>
      <c r="I84" s="36">
        <f t="shared" ca="1" si="23"/>
        <v>7.2764940962567248E-2</v>
      </c>
      <c r="J84" s="36">
        <f t="shared" ca="1" si="23"/>
        <v>8.5667651945581319E-2</v>
      </c>
      <c r="K84" s="36">
        <f t="shared" ca="1" si="23"/>
        <v>9.5903733900027599E-2</v>
      </c>
      <c r="L84" s="36">
        <f t="shared" ca="1" si="23"/>
        <v>0.10401149923464999</v>
      </c>
      <c r="M84" s="36">
        <f t="shared" ca="1" si="23"/>
        <v>0.11042061962587252</v>
      </c>
      <c r="N84" s="36">
        <f t="shared" ca="1" si="23"/>
        <v>0.11547405152764464</v>
      </c>
      <c r="O84" s="36">
        <f t="shared" ca="1" si="23"/>
        <v>0.11944553674824576</v>
      </c>
      <c r="P84" s="36">
        <f t="shared" ca="1" si="23"/>
        <v>0.12255357111922921</v>
      </c>
      <c r="Q84" s="36">
        <f t="shared" ca="1" si="23"/>
        <v>0.12497255405433461</v>
      </c>
      <c r="R84" s="36">
        <f t="shared" ca="1" si="23"/>
        <v>0.12684168794172238</v>
      </c>
      <c r="S84" s="36">
        <f t="shared" ca="1" si="23"/>
        <v>0.17356236928090696</v>
      </c>
      <c r="T84" s="36">
        <f t="shared" ca="1" si="23"/>
        <v>0.16998051828336547</v>
      </c>
      <c r="U84" s="36">
        <f t="shared" ca="1" si="23"/>
        <v>0.16474623555278806</v>
      </c>
      <c r="V84" s="36">
        <f t="shared" ca="1" si="24"/>
        <v>0.15887872439112916</v>
      </c>
      <c r="W84" s="36">
        <f t="shared" ca="1" si="24"/>
        <v>0.15267092010502034</v>
      </c>
      <c r="X84" s="36">
        <f t="shared" ca="1" si="24"/>
        <v>0.14787680993408381</v>
      </c>
      <c r="Y84" s="36">
        <f t="shared" ca="1" si="28"/>
        <v>1.9838965717610491</v>
      </c>
      <c r="Z84" s="9"/>
      <c r="AA84" s="36">
        <f t="shared" ca="1" si="27"/>
        <v>2.1919648863484724</v>
      </c>
      <c r="AB84" s="60"/>
    </row>
    <row r="85" spans="1:28" customFormat="1">
      <c r="A85" s="72">
        <f t="shared" si="21"/>
        <v>53.029340362257024</v>
      </c>
      <c r="B85" s="72">
        <f t="shared" si="22"/>
        <v>-54.200294301150457</v>
      </c>
      <c r="C85" s="9" t="str">
        <f t="shared" si="25"/>
        <v>Multifamily - High Rise</v>
      </c>
      <c r="D85" s="9" t="s">
        <v>1649</v>
      </c>
      <c r="E85" s="36">
        <f t="shared" ca="1" si="26"/>
        <v>3.4041000130116297E-3</v>
      </c>
      <c r="F85" s="36">
        <f t="shared" ca="1" si="23"/>
        <v>6.7927398441447297E-3</v>
      </c>
      <c r="G85" s="36">
        <f t="shared" ca="1" si="23"/>
        <v>1.0165972154283854E-2</v>
      </c>
      <c r="H85" s="36">
        <f t="shared" ca="1" si="23"/>
        <v>1.3523849444869186E-2</v>
      </c>
      <c r="I85" s="36">
        <f t="shared" ca="1" si="23"/>
        <v>1.6866424058349136E-2</v>
      </c>
      <c r="J85" s="36">
        <f t="shared" ca="1" si="23"/>
        <v>1.9857185708987809E-2</v>
      </c>
      <c r="K85" s="36">
        <f t="shared" ca="1" si="23"/>
        <v>2.222984068067976E-2</v>
      </c>
      <c r="L85" s="36">
        <f t="shared" ca="1" si="23"/>
        <v>2.4109166170267829E-2</v>
      </c>
      <c r="M85" s="36">
        <f t="shared" ca="1" si="23"/>
        <v>2.5594757183321517E-2</v>
      </c>
      <c r="N85" s="36">
        <f t="shared" ca="1" si="23"/>
        <v>2.676610871989633E-2</v>
      </c>
      <c r="O85" s="36">
        <f t="shared" ca="1" si="23"/>
        <v>2.7686672290566768E-2</v>
      </c>
      <c r="P85" s="36">
        <f t="shared" ca="1" si="23"/>
        <v>2.8407093759965037E-2</v>
      </c>
      <c r="Q85" s="36">
        <f t="shared" ca="1" si="23"/>
        <v>2.8967797739569531E-2</v>
      </c>
      <c r="R85" s="36">
        <f t="shared" ca="1" si="23"/>
        <v>2.9401050406987077E-2</v>
      </c>
      <c r="S85" s="36">
        <f t="shared" ca="1" si="23"/>
        <v>4.0051596226748302E-2</v>
      </c>
      <c r="T85" s="36">
        <f t="shared" ca="1" si="23"/>
        <v>3.935040782864465E-2</v>
      </c>
      <c r="U85" s="36">
        <f t="shared" ca="1" si="23"/>
        <v>3.8244981972961389E-2</v>
      </c>
      <c r="V85" s="36">
        <f t="shared" ca="1" si="24"/>
        <v>3.6690324832392582E-2</v>
      </c>
      <c r="W85" s="36">
        <f t="shared" ca="1" si="24"/>
        <v>3.5146846405494779E-2</v>
      </c>
      <c r="X85" s="36">
        <f t="shared" ca="1" si="24"/>
        <v>3.4120104305246965E-2</v>
      </c>
      <c r="Y85" s="36">
        <f t="shared" ca="1" si="28"/>
        <v>0.45919135537305983</v>
      </c>
      <c r="Z85" s="9"/>
      <c r="AA85" s="36">
        <f t="shared" ca="1" si="27"/>
        <v>0.50737701974638882</v>
      </c>
      <c r="AB85" s="60"/>
    </row>
    <row r="86" spans="1:28" customForma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customFormat="1">
      <c r="A87" s="9"/>
      <c r="B87" s="73">
        <f ca="1">SUMPRODUCT(B74:B85,AA74:AA85)/AA87</f>
        <v>-73.217335758953453</v>
      </c>
      <c r="C87" s="9"/>
      <c r="D87" s="60"/>
      <c r="E87" s="42">
        <f ca="1">SUM(E74:E85)</f>
        <v>0.39135639309450682</v>
      </c>
      <c r="F87" s="42">
        <f ca="1">SUM(F74:F85)</f>
        <v>0.78023303323938531</v>
      </c>
      <c r="G87" s="42">
        <f t="shared" ref="G87:X87" ca="1" si="29">SUM(G74:G85)</f>
        <v>1.1666496264105659</v>
      </c>
      <c r="H87" s="42">
        <f t="shared" ca="1" si="29"/>
        <v>1.5506256584798044</v>
      </c>
      <c r="I87" s="42">
        <f t="shared" ca="1" si="29"/>
        <v>1.9321803979827208</v>
      </c>
      <c r="J87" s="42">
        <f t="shared" ca="1" si="29"/>
        <v>2.2728106838709423</v>
      </c>
      <c r="K87" s="42">
        <f t="shared" ca="1" si="29"/>
        <v>2.5421764658028931</v>
      </c>
      <c r="L87" s="42">
        <f t="shared" ca="1" si="29"/>
        <v>2.7547244560314557</v>
      </c>
      <c r="M87" s="42">
        <f t="shared" ca="1" si="29"/>
        <v>2.921974698580601</v>
      </c>
      <c r="N87" s="42">
        <f t="shared" ca="1" si="29"/>
        <v>3.0531135114811865</v>
      </c>
      <c r="O87" s="42">
        <f t="shared" ca="1" si="29"/>
        <v>3.155466285615542</v>
      </c>
      <c r="P87" s="42">
        <f t="shared" ca="1" si="29"/>
        <v>3.2348744867455475</v>
      </c>
      <c r="Q87" s="42">
        <f t="shared" ca="1" si="29"/>
        <v>3.2959962729752807</v>
      </c>
      <c r="R87" s="42">
        <f t="shared" ca="1" si="29"/>
        <v>3.342546205737972</v>
      </c>
      <c r="S87" s="42">
        <f t="shared" ca="1" si="29"/>
        <v>4.027070895956105</v>
      </c>
      <c r="T87" s="42">
        <f t="shared" ca="1" si="29"/>
        <v>3.9601404559777937</v>
      </c>
      <c r="U87" s="42">
        <f t="shared" ca="1" si="29"/>
        <v>3.8542206623910196</v>
      </c>
      <c r="V87" s="42">
        <f t="shared" ca="1" si="29"/>
        <v>3.7594427106901969</v>
      </c>
      <c r="W87" s="42">
        <f t="shared" ca="1" si="29"/>
        <v>3.6687977465405863</v>
      </c>
      <c r="X87" s="42">
        <f t="shared" ca="1" si="29"/>
        <v>3.5872560807866307</v>
      </c>
      <c r="Y87" s="42">
        <f ca="1">SUM(Y74:Y85)</f>
        <v>49.766395138584762</v>
      </c>
      <c r="Z87" s="42"/>
      <c r="AA87" s="42">
        <f ca="1">SUM(E87:X87)</f>
        <v>55.251656728390735</v>
      </c>
      <c r="AB87" s="36"/>
    </row>
    <row r="88" spans="1:28" customForma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customForma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customFormat="1" ht="15">
      <c r="A90" s="81" t="s">
        <v>74</v>
      </c>
      <c r="B90" s="9"/>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customFormat="1" ht="15">
      <c r="A91" s="9"/>
      <c r="B91" s="9"/>
      <c r="C91" s="9"/>
      <c r="D91" s="9"/>
      <c r="E91" s="74">
        <f t="shared" ref="E91:X91" si="30">E11</f>
        <v>2016</v>
      </c>
      <c r="F91" s="68">
        <f t="shared" si="30"/>
        <v>2017</v>
      </c>
      <c r="G91" s="68">
        <f t="shared" si="30"/>
        <v>2018</v>
      </c>
      <c r="H91" s="68">
        <f t="shared" si="30"/>
        <v>2019</v>
      </c>
      <c r="I91" s="68">
        <f t="shared" si="30"/>
        <v>2020</v>
      </c>
      <c r="J91" s="68">
        <f t="shared" si="30"/>
        <v>2021</v>
      </c>
      <c r="K91" s="68">
        <f t="shared" si="30"/>
        <v>2022</v>
      </c>
      <c r="L91" s="68">
        <f t="shared" si="30"/>
        <v>2023</v>
      </c>
      <c r="M91" s="68">
        <f t="shared" si="30"/>
        <v>2024</v>
      </c>
      <c r="N91" s="68">
        <f t="shared" si="30"/>
        <v>2025</v>
      </c>
      <c r="O91" s="68">
        <f t="shared" si="30"/>
        <v>2026</v>
      </c>
      <c r="P91" s="68">
        <f t="shared" si="30"/>
        <v>2027</v>
      </c>
      <c r="Q91" s="68">
        <f t="shared" si="30"/>
        <v>2028</v>
      </c>
      <c r="R91" s="68">
        <f t="shared" si="30"/>
        <v>2029</v>
      </c>
      <c r="S91" s="68">
        <f t="shared" si="30"/>
        <v>2030</v>
      </c>
      <c r="T91" s="68">
        <f t="shared" si="30"/>
        <v>2031</v>
      </c>
      <c r="U91" s="68">
        <f t="shared" si="30"/>
        <v>2032</v>
      </c>
      <c r="V91" s="68">
        <f t="shared" si="30"/>
        <v>2033</v>
      </c>
      <c r="W91" s="68">
        <f t="shared" si="30"/>
        <v>2034</v>
      </c>
      <c r="X91" s="68">
        <f t="shared" si="30"/>
        <v>2035</v>
      </c>
      <c r="Y91" s="69" t="s">
        <v>153</v>
      </c>
      <c r="Z91" s="9"/>
      <c r="AA91" s="9"/>
      <c r="AB91" s="9"/>
    </row>
    <row r="92" spans="1:28" customFormat="1" ht="15">
      <c r="A92" s="9"/>
      <c r="B92" s="9"/>
      <c r="C92" s="52" t="s">
        <v>71</v>
      </c>
      <c r="D92" s="52" t="s">
        <v>71</v>
      </c>
      <c r="E92" s="75" t="str">
        <f>CONCATENATE("aMW_",E$11)</f>
        <v>aMW_2016</v>
      </c>
      <c r="F92" s="70" t="str">
        <f t="shared" ref="F92:X92" si="31">CONCATENATE("aMW_",F$11)</f>
        <v>aMW_2017</v>
      </c>
      <c r="G92" s="70" t="str">
        <f t="shared" si="31"/>
        <v>aMW_2018</v>
      </c>
      <c r="H92" s="70" t="str">
        <f t="shared" si="31"/>
        <v>aMW_2019</v>
      </c>
      <c r="I92" s="70" t="str">
        <f t="shared" si="31"/>
        <v>aMW_2020</v>
      </c>
      <c r="J92" s="70" t="str">
        <f t="shared" si="31"/>
        <v>aMW_2021</v>
      </c>
      <c r="K92" s="70" t="str">
        <f t="shared" si="31"/>
        <v>aMW_2022</v>
      </c>
      <c r="L92" s="70" t="str">
        <f t="shared" si="31"/>
        <v>aMW_2023</v>
      </c>
      <c r="M92" s="70" t="str">
        <f t="shared" si="31"/>
        <v>aMW_2024</v>
      </c>
      <c r="N92" s="70" t="str">
        <f t="shared" si="31"/>
        <v>aMW_2025</v>
      </c>
      <c r="O92" s="70" t="str">
        <f t="shared" si="31"/>
        <v>aMW_2026</v>
      </c>
      <c r="P92" s="70" t="str">
        <f t="shared" si="31"/>
        <v>aMW_2027</v>
      </c>
      <c r="Q92" s="70" t="str">
        <f t="shared" si="31"/>
        <v>aMW_2028</v>
      </c>
      <c r="R92" s="70" t="str">
        <f t="shared" si="31"/>
        <v>aMW_2029</v>
      </c>
      <c r="S92" s="70" t="str">
        <f t="shared" si="31"/>
        <v>aMW_2030</v>
      </c>
      <c r="T92" s="70" t="str">
        <f t="shared" si="31"/>
        <v>aMW_2031</v>
      </c>
      <c r="U92" s="70" t="str">
        <f t="shared" si="31"/>
        <v>aMW_2032</v>
      </c>
      <c r="V92" s="70" t="str">
        <f t="shared" si="31"/>
        <v>aMW_2033</v>
      </c>
      <c r="W92" s="70" t="str">
        <f t="shared" si="31"/>
        <v>aMW_2034</v>
      </c>
      <c r="X92" s="70" t="str">
        <f t="shared" si="31"/>
        <v>aMW_2035</v>
      </c>
      <c r="Y92" s="71" t="s">
        <v>153</v>
      </c>
      <c r="Z92" s="9"/>
      <c r="AA92" s="9"/>
      <c r="AB92" s="9"/>
    </row>
    <row r="93" spans="1:28" customFormat="1">
      <c r="A93" s="9"/>
      <c r="B93" s="9" t="s">
        <v>75</v>
      </c>
      <c r="C93" s="53" t="s">
        <v>76</v>
      </c>
      <c r="D93" s="53" t="s">
        <v>77</v>
      </c>
      <c r="E93" s="42">
        <f ca="1">DSUM($B$73:$Y$85,E$73,$C$92:$D93)</f>
        <v>0.39135639309450682</v>
      </c>
      <c r="F93" s="42">
        <f ca="1">DSUM($B$73:$Y$85,F$73,$C$92:$D93)</f>
        <v>0.78023303323938531</v>
      </c>
      <c r="G93" s="42">
        <f ca="1">DSUM($B$73:$Y$85,G$73,$C$92:$D93)</f>
        <v>1.1666496264105659</v>
      </c>
      <c r="H93" s="42">
        <f ca="1">DSUM($B$73:$Y$85,H$73,$C$92:$D93)</f>
        <v>1.5506256584798044</v>
      </c>
      <c r="I93" s="42">
        <f ca="1">DSUM($B$73:$Y$85,I$73,$C$92:$D93)</f>
        <v>1.9321803979827208</v>
      </c>
      <c r="J93" s="42">
        <f ca="1">DSUM($B$73:$Y$85,J$73,$C$92:$D93)</f>
        <v>2.2728106838709423</v>
      </c>
      <c r="K93" s="42">
        <f ca="1">DSUM($B$73:$Y$85,K$73,$C$92:$D93)</f>
        <v>2.5421764658028931</v>
      </c>
      <c r="L93" s="42">
        <f ca="1">DSUM($B$73:$Y$85,L$73,$C$92:$D93)</f>
        <v>2.7547244560314557</v>
      </c>
      <c r="M93" s="42">
        <f ca="1">DSUM($B$73:$Y$85,M$73,$C$92:$D93)</f>
        <v>2.921974698580601</v>
      </c>
      <c r="N93" s="42">
        <f ca="1">DSUM($B$73:$Y$85,N$73,$C$92:$D93)</f>
        <v>3.0531135114811865</v>
      </c>
      <c r="O93" s="42">
        <f ca="1">DSUM($B$73:$Y$85,O$73,$C$92:$D93)</f>
        <v>3.155466285615542</v>
      </c>
      <c r="P93" s="42">
        <f ca="1">DSUM($B$73:$Y$85,P$73,$C$92:$D93)</f>
        <v>3.2348744867455475</v>
      </c>
      <c r="Q93" s="42">
        <f ca="1">DSUM($B$73:$Y$85,Q$73,$C$92:$D93)</f>
        <v>3.2959962729752807</v>
      </c>
      <c r="R93" s="42">
        <f ca="1">DSUM($B$73:$Y$85,R$73,$C$92:$D93)</f>
        <v>3.342546205737972</v>
      </c>
      <c r="S93" s="42">
        <f ca="1">DSUM($B$73:$Y$85,S$73,$C$92:$D93)</f>
        <v>4.027070895956105</v>
      </c>
      <c r="T93" s="42">
        <f ca="1">DSUM($B$73:$Y$85,T$73,$C$92:$D93)</f>
        <v>3.9601404559777937</v>
      </c>
      <c r="U93" s="42">
        <f ca="1">DSUM($B$73:$Y$85,U$73,$C$92:$D93)</f>
        <v>3.8542206623910196</v>
      </c>
      <c r="V93" s="42">
        <f ca="1">DSUM($B$73:$Y$85,V$73,$C$92:$D93)</f>
        <v>3.7594427106901969</v>
      </c>
      <c r="W93" s="42">
        <f ca="1">DSUM($B$73:$Y$85,W$73,$C$92:$D93)</f>
        <v>3.6687977465405863</v>
      </c>
      <c r="X93" s="42">
        <f ca="1">DSUM($B$73:$Y$85,X$73,$C$92:$D93)</f>
        <v>3.5872560807866307</v>
      </c>
      <c r="Y93" s="42">
        <f ca="1">DSUM($B$73:$Y$85,Y$73,$C$92:$D93)</f>
        <v>49.766395138584762</v>
      </c>
      <c r="Z93" s="9"/>
      <c r="AA93" s="9"/>
      <c r="AB93" s="9"/>
    </row>
    <row r="94" spans="1:28" customFormat="1">
      <c r="A94" s="9"/>
      <c r="B94" s="9" t="s">
        <v>1199</v>
      </c>
      <c r="C94" s="53" t="s">
        <v>78</v>
      </c>
      <c r="D94" s="53" t="s">
        <v>79</v>
      </c>
      <c r="E94" s="42">
        <f ca="1">DSUM($B$73:$Y$85,E$73,$C$92:$D94)</f>
        <v>0.39135639309450682</v>
      </c>
      <c r="F94" s="42">
        <f ca="1">DSUM($B$73:$Y$85,F$73,$C$92:$D94)</f>
        <v>0.78023303323938531</v>
      </c>
      <c r="G94" s="42">
        <f ca="1">DSUM($B$73:$Y$85,G$73,$C$92:$D94)</f>
        <v>1.1666496264105659</v>
      </c>
      <c r="H94" s="42">
        <f ca="1">DSUM($B$73:$Y$85,H$73,$C$92:$D94)</f>
        <v>1.5506256584798044</v>
      </c>
      <c r="I94" s="42">
        <f ca="1">DSUM($B$73:$Y$85,I$73,$C$92:$D94)</f>
        <v>1.9321803979827208</v>
      </c>
      <c r="J94" s="42">
        <f ca="1">DSUM($B$73:$Y$85,J$73,$C$92:$D94)</f>
        <v>2.2728106838709423</v>
      </c>
      <c r="K94" s="42">
        <f ca="1">DSUM($B$73:$Y$85,K$73,$C$92:$D94)</f>
        <v>2.5421764658028931</v>
      </c>
      <c r="L94" s="42">
        <f ca="1">DSUM($B$73:$Y$85,L$73,$C$92:$D94)</f>
        <v>2.7547244560314557</v>
      </c>
      <c r="M94" s="42">
        <f ca="1">DSUM($B$73:$Y$85,M$73,$C$92:$D94)</f>
        <v>2.921974698580601</v>
      </c>
      <c r="N94" s="42">
        <f ca="1">DSUM($B$73:$Y$85,N$73,$C$92:$D94)</f>
        <v>3.0531135114811865</v>
      </c>
      <c r="O94" s="42">
        <f ca="1">DSUM($B$73:$Y$85,O$73,$C$92:$D94)</f>
        <v>3.155466285615542</v>
      </c>
      <c r="P94" s="42">
        <f ca="1">DSUM($B$73:$Y$85,P$73,$C$92:$D94)</f>
        <v>3.2348744867455475</v>
      </c>
      <c r="Q94" s="42">
        <f ca="1">DSUM($B$73:$Y$85,Q$73,$C$92:$D94)</f>
        <v>3.2959962729752807</v>
      </c>
      <c r="R94" s="42">
        <f ca="1">DSUM($B$73:$Y$85,R$73,$C$92:$D94)</f>
        <v>3.342546205737972</v>
      </c>
      <c r="S94" s="42">
        <f ca="1">DSUM($B$73:$Y$85,S$73,$C$92:$D94)</f>
        <v>4.027070895956105</v>
      </c>
      <c r="T94" s="42">
        <f ca="1">DSUM($B$73:$Y$85,T$73,$C$92:$D94)</f>
        <v>3.9601404559777937</v>
      </c>
      <c r="U94" s="42">
        <f ca="1">DSUM($B$73:$Y$85,U$73,$C$92:$D94)</f>
        <v>3.8542206623910196</v>
      </c>
      <c r="V94" s="42">
        <f ca="1">DSUM($B$73:$Y$85,V$73,$C$92:$D94)</f>
        <v>3.7594427106901969</v>
      </c>
      <c r="W94" s="42">
        <f ca="1">DSUM($B$73:$Y$85,W$73,$C$92:$D94)</f>
        <v>3.6687977465405863</v>
      </c>
      <c r="X94" s="42">
        <f ca="1">DSUM($B$73:$Y$85,X$73,$C$92:$D94)</f>
        <v>3.5872560807866307</v>
      </c>
      <c r="Y94" s="42">
        <f ca="1">DSUM($B$73:$Y$85,Y$73,$C$92:$D94)</f>
        <v>49.766395138584762</v>
      </c>
      <c r="Z94" s="9"/>
      <c r="AA94" s="9"/>
      <c r="AB94" s="9"/>
    </row>
    <row r="95" spans="1:28" customFormat="1">
      <c r="A95" s="9"/>
      <c r="B95" s="9" t="s">
        <v>80</v>
      </c>
      <c r="C95" s="53" t="s">
        <v>81</v>
      </c>
      <c r="D95" s="53" t="s">
        <v>82</v>
      </c>
      <c r="E95" s="42">
        <f ca="1">DSUM($B$73:$Y$85,E$73,$C$92:$D95)</f>
        <v>0.39135639309450682</v>
      </c>
      <c r="F95" s="42">
        <f ca="1">DSUM($B$73:$Y$85,F$73,$C$92:$D95)</f>
        <v>0.78023303323938531</v>
      </c>
      <c r="G95" s="42">
        <f ca="1">DSUM($B$73:$Y$85,G$73,$C$92:$D95)</f>
        <v>1.1666496264105659</v>
      </c>
      <c r="H95" s="42">
        <f ca="1">DSUM($B$73:$Y$85,H$73,$C$92:$D95)</f>
        <v>1.5506256584798044</v>
      </c>
      <c r="I95" s="42">
        <f ca="1">DSUM($B$73:$Y$85,I$73,$C$92:$D95)</f>
        <v>1.9321803979827208</v>
      </c>
      <c r="J95" s="42">
        <f ca="1">DSUM($B$73:$Y$85,J$73,$C$92:$D95)</f>
        <v>2.2728106838709423</v>
      </c>
      <c r="K95" s="42">
        <f ca="1">DSUM($B$73:$Y$85,K$73,$C$92:$D95)</f>
        <v>2.5421764658028931</v>
      </c>
      <c r="L95" s="42">
        <f ca="1">DSUM($B$73:$Y$85,L$73,$C$92:$D95)</f>
        <v>2.7547244560314557</v>
      </c>
      <c r="M95" s="42">
        <f ca="1">DSUM($B$73:$Y$85,M$73,$C$92:$D95)</f>
        <v>2.921974698580601</v>
      </c>
      <c r="N95" s="42">
        <f ca="1">DSUM($B$73:$Y$85,N$73,$C$92:$D95)</f>
        <v>3.0531135114811865</v>
      </c>
      <c r="O95" s="42">
        <f ca="1">DSUM($B$73:$Y$85,O$73,$C$92:$D95)</f>
        <v>3.155466285615542</v>
      </c>
      <c r="P95" s="42">
        <f ca="1">DSUM($B$73:$Y$85,P$73,$C$92:$D95)</f>
        <v>3.2348744867455475</v>
      </c>
      <c r="Q95" s="42">
        <f ca="1">DSUM($B$73:$Y$85,Q$73,$C$92:$D95)</f>
        <v>3.2959962729752807</v>
      </c>
      <c r="R95" s="42">
        <f ca="1">DSUM($B$73:$Y$85,R$73,$C$92:$D95)</f>
        <v>3.342546205737972</v>
      </c>
      <c r="S95" s="42">
        <f ca="1">DSUM($B$73:$Y$85,S$73,$C$92:$D95)</f>
        <v>4.027070895956105</v>
      </c>
      <c r="T95" s="42">
        <f ca="1">DSUM($B$73:$Y$85,T$73,$C$92:$D95)</f>
        <v>3.9601404559777937</v>
      </c>
      <c r="U95" s="42">
        <f ca="1">DSUM($B$73:$Y$85,U$73,$C$92:$D95)</f>
        <v>3.8542206623910196</v>
      </c>
      <c r="V95" s="42">
        <f ca="1">DSUM($B$73:$Y$85,V$73,$C$92:$D95)</f>
        <v>3.7594427106901969</v>
      </c>
      <c r="W95" s="42">
        <f ca="1">DSUM($B$73:$Y$85,W$73,$C$92:$D95)</f>
        <v>3.6687977465405863</v>
      </c>
      <c r="X95" s="42">
        <f ca="1">DSUM($B$73:$Y$85,X$73,$C$92:$D95)</f>
        <v>3.5872560807866307</v>
      </c>
      <c r="Y95" s="42">
        <f ca="1">DSUM($B$73:$Y$85,Y$73,$C$92:$D95)</f>
        <v>49.766395138584762</v>
      </c>
      <c r="Z95" s="9"/>
      <c r="AA95" s="9"/>
      <c r="AB95" s="9"/>
    </row>
    <row r="96" spans="1:28" customFormat="1">
      <c r="A96" s="9"/>
      <c r="B96" s="9" t="s">
        <v>83</v>
      </c>
      <c r="C96" s="53" t="s">
        <v>84</v>
      </c>
      <c r="D96" s="53" t="s">
        <v>85</v>
      </c>
      <c r="E96" s="42">
        <f ca="1">DSUM($B$73:$Y$85,E$73,$C$92:$D96)</f>
        <v>0.39135639309450682</v>
      </c>
      <c r="F96" s="42">
        <f ca="1">DSUM($B$73:$Y$85,F$73,$C$92:$D96)</f>
        <v>0.78023303323938531</v>
      </c>
      <c r="G96" s="42">
        <f ca="1">DSUM($B$73:$Y$85,G$73,$C$92:$D96)</f>
        <v>1.1666496264105659</v>
      </c>
      <c r="H96" s="42">
        <f ca="1">DSUM($B$73:$Y$85,H$73,$C$92:$D96)</f>
        <v>1.5506256584798044</v>
      </c>
      <c r="I96" s="42">
        <f ca="1">DSUM($B$73:$Y$85,I$73,$C$92:$D96)</f>
        <v>1.9321803979827208</v>
      </c>
      <c r="J96" s="42">
        <f ca="1">DSUM($B$73:$Y$85,J$73,$C$92:$D96)</f>
        <v>2.2728106838709423</v>
      </c>
      <c r="K96" s="42">
        <f ca="1">DSUM($B$73:$Y$85,K$73,$C$92:$D96)</f>
        <v>2.5421764658028931</v>
      </c>
      <c r="L96" s="42">
        <f ca="1">DSUM($B$73:$Y$85,L$73,$C$92:$D96)</f>
        <v>2.7547244560314557</v>
      </c>
      <c r="M96" s="42">
        <f ca="1">DSUM($B$73:$Y$85,M$73,$C$92:$D96)</f>
        <v>2.921974698580601</v>
      </c>
      <c r="N96" s="42">
        <f ca="1">DSUM($B$73:$Y$85,N$73,$C$92:$D96)</f>
        <v>3.0531135114811865</v>
      </c>
      <c r="O96" s="42">
        <f ca="1">DSUM($B$73:$Y$85,O$73,$C$92:$D96)</f>
        <v>3.155466285615542</v>
      </c>
      <c r="P96" s="42">
        <f ca="1">DSUM($B$73:$Y$85,P$73,$C$92:$D96)</f>
        <v>3.2348744867455475</v>
      </c>
      <c r="Q96" s="42">
        <f ca="1">DSUM($B$73:$Y$85,Q$73,$C$92:$D96)</f>
        <v>3.2959962729752807</v>
      </c>
      <c r="R96" s="42">
        <f ca="1">DSUM($B$73:$Y$85,R$73,$C$92:$D96)</f>
        <v>3.342546205737972</v>
      </c>
      <c r="S96" s="42">
        <f ca="1">DSUM($B$73:$Y$85,S$73,$C$92:$D96)</f>
        <v>4.027070895956105</v>
      </c>
      <c r="T96" s="42">
        <f ca="1">DSUM($B$73:$Y$85,T$73,$C$92:$D96)</f>
        <v>3.9601404559777937</v>
      </c>
      <c r="U96" s="42">
        <f ca="1">DSUM($B$73:$Y$85,U$73,$C$92:$D96)</f>
        <v>3.8542206623910196</v>
      </c>
      <c r="V96" s="42">
        <f ca="1">DSUM($B$73:$Y$85,V$73,$C$92:$D96)</f>
        <v>3.7594427106901969</v>
      </c>
      <c r="W96" s="42">
        <f ca="1">DSUM($B$73:$Y$85,W$73,$C$92:$D96)</f>
        <v>3.6687977465405863</v>
      </c>
      <c r="X96" s="42">
        <f ca="1">DSUM($B$73:$Y$85,X$73,$C$92:$D96)</f>
        <v>3.5872560807866307</v>
      </c>
      <c r="Y96" s="42">
        <f ca="1">DSUM($B$73:$Y$85,Y$73,$C$92:$D96)</f>
        <v>49.766395138584762</v>
      </c>
      <c r="Z96" s="9"/>
      <c r="AA96" s="9"/>
      <c r="AB96" s="9"/>
    </row>
    <row r="97" spans="1:28" customFormat="1">
      <c r="A97" s="9"/>
      <c r="B97" s="9" t="s">
        <v>86</v>
      </c>
      <c r="C97" s="53" t="s">
        <v>87</v>
      </c>
      <c r="D97" s="53" t="s">
        <v>88</v>
      </c>
      <c r="E97" s="42">
        <f ca="1">DSUM($B$73:$Y$85,E$73,$C$92:$D97)</f>
        <v>0.39135639309450682</v>
      </c>
      <c r="F97" s="42">
        <f ca="1">DSUM($B$73:$Y$85,F$73,$C$92:$D97)</f>
        <v>0.78023303323938531</v>
      </c>
      <c r="G97" s="42">
        <f ca="1">DSUM($B$73:$Y$85,G$73,$C$92:$D97)</f>
        <v>1.1666496264105659</v>
      </c>
      <c r="H97" s="42">
        <f ca="1">DSUM($B$73:$Y$85,H$73,$C$92:$D97)</f>
        <v>1.5506256584798044</v>
      </c>
      <c r="I97" s="42">
        <f ca="1">DSUM($B$73:$Y$85,I$73,$C$92:$D97)</f>
        <v>1.9321803979827208</v>
      </c>
      <c r="J97" s="42">
        <f ca="1">DSUM($B$73:$Y$85,J$73,$C$92:$D97)</f>
        <v>2.2728106838709423</v>
      </c>
      <c r="K97" s="42">
        <f ca="1">DSUM($B$73:$Y$85,K$73,$C$92:$D97)</f>
        <v>2.5421764658028931</v>
      </c>
      <c r="L97" s="42">
        <f ca="1">DSUM($B$73:$Y$85,L$73,$C$92:$D97)</f>
        <v>2.7547244560314557</v>
      </c>
      <c r="M97" s="42">
        <f ca="1">DSUM($B$73:$Y$85,M$73,$C$92:$D97)</f>
        <v>2.921974698580601</v>
      </c>
      <c r="N97" s="42">
        <f ca="1">DSUM($B$73:$Y$85,N$73,$C$92:$D97)</f>
        <v>3.0531135114811865</v>
      </c>
      <c r="O97" s="42">
        <f ca="1">DSUM($B$73:$Y$85,O$73,$C$92:$D97)</f>
        <v>3.155466285615542</v>
      </c>
      <c r="P97" s="42">
        <f ca="1">DSUM($B$73:$Y$85,P$73,$C$92:$D97)</f>
        <v>3.2348744867455475</v>
      </c>
      <c r="Q97" s="42">
        <f ca="1">DSUM($B$73:$Y$85,Q$73,$C$92:$D97)</f>
        <v>3.2959962729752807</v>
      </c>
      <c r="R97" s="42">
        <f ca="1">DSUM($B$73:$Y$85,R$73,$C$92:$D97)</f>
        <v>3.342546205737972</v>
      </c>
      <c r="S97" s="42">
        <f ca="1">DSUM($B$73:$Y$85,S$73,$C$92:$D97)</f>
        <v>4.027070895956105</v>
      </c>
      <c r="T97" s="42">
        <f ca="1">DSUM($B$73:$Y$85,T$73,$C$92:$D97)</f>
        <v>3.9601404559777937</v>
      </c>
      <c r="U97" s="42">
        <f ca="1">DSUM($B$73:$Y$85,U$73,$C$92:$D97)</f>
        <v>3.8542206623910196</v>
      </c>
      <c r="V97" s="42">
        <f ca="1">DSUM($B$73:$Y$85,V$73,$C$92:$D97)</f>
        <v>3.7594427106901969</v>
      </c>
      <c r="W97" s="42">
        <f ca="1">DSUM($B$73:$Y$85,W$73,$C$92:$D97)</f>
        <v>3.6687977465405863</v>
      </c>
      <c r="X97" s="42">
        <f ca="1">DSUM($B$73:$Y$85,X$73,$C$92:$D97)</f>
        <v>3.5872560807866307</v>
      </c>
      <c r="Y97" s="42">
        <f ca="1">DSUM($B$73:$Y$85,Y$73,$C$92:$D97)</f>
        <v>49.766395138584762</v>
      </c>
      <c r="Z97" s="9"/>
      <c r="AA97" s="9"/>
      <c r="AB97" s="9"/>
    </row>
    <row r="98" spans="1:28" customFormat="1">
      <c r="A98" s="9"/>
      <c r="B98" s="9" t="s">
        <v>89</v>
      </c>
      <c r="C98" s="53" t="s">
        <v>90</v>
      </c>
      <c r="D98" s="53" t="s">
        <v>91</v>
      </c>
      <c r="E98" s="42">
        <f ca="1">DSUM($B$73:$Y$85,E$73,$C$92:$D98)</f>
        <v>0.39135639309450682</v>
      </c>
      <c r="F98" s="42">
        <f ca="1">DSUM($B$73:$Y$85,F$73,$C$92:$D98)</f>
        <v>0.78023303323938531</v>
      </c>
      <c r="G98" s="42">
        <f ca="1">DSUM($B$73:$Y$85,G$73,$C$92:$D98)</f>
        <v>1.1666496264105659</v>
      </c>
      <c r="H98" s="42">
        <f ca="1">DSUM($B$73:$Y$85,H$73,$C$92:$D98)</f>
        <v>1.5506256584798044</v>
      </c>
      <c r="I98" s="42">
        <f ca="1">DSUM($B$73:$Y$85,I$73,$C$92:$D98)</f>
        <v>1.9321803979827208</v>
      </c>
      <c r="J98" s="42">
        <f ca="1">DSUM($B$73:$Y$85,J$73,$C$92:$D98)</f>
        <v>2.2728106838709423</v>
      </c>
      <c r="K98" s="42">
        <f ca="1">DSUM($B$73:$Y$85,K$73,$C$92:$D98)</f>
        <v>2.5421764658028931</v>
      </c>
      <c r="L98" s="42">
        <f ca="1">DSUM($B$73:$Y$85,L$73,$C$92:$D98)</f>
        <v>2.7547244560314557</v>
      </c>
      <c r="M98" s="42">
        <f ca="1">DSUM($B$73:$Y$85,M$73,$C$92:$D98)</f>
        <v>2.921974698580601</v>
      </c>
      <c r="N98" s="42">
        <f ca="1">DSUM($B$73:$Y$85,N$73,$C$92:$D98)</f>
        <v>3.0531135114811865</v>
      </c>
      <c r="O98" s="42">
        <f ca="1">DSUM($B$73:$Y$85,O$73,$C$92:$D98)</f>
        <v>3.155466285615542</v>
      </c>
      <c r="P98" s="42">
        <f ca="1">DSUM($B$73:$Y$85,P$73,$C$92:$D98)</f>
        <v>3.2348744867455475</v>
      </c>
      <c r="Q98" s="42">
        <f ca="1">DSUM($B$73:$Y$85,Q$73,$C$92:$D98)</f>
        <v>3.2959962729752807</v>
      </c>
      <c r="R98" s="42">
        <f ca="1">DSUM($B$73:$Y$85,R$73,$C$92:$D98)</f>
        <v>3.342546205737972</v>
      </c>
      <c r="S98" s="42">
        <f ca="1">DSUM($B$73:$Y$85,S$73,$C$92:$D98)</f>
        <v>4.027070895956105</v>
      </c>
      <c r="T98" s="42">
        <f ca="1">DSUM($B$73:$Y$85,T$73,$C$92:$D98)</f>
        <v>3.9601404559777937</v>
      </c>
      <c r="U98" s="42">
        <f ca="1">DSUM($B$73:$Y$85,U$73,$C$92:$D98)</f>
        <v>3.8542206623910196</v>
      </c>
      <c r="V98" s="42">
        <f ca="1">DSUM($B$73:$Y$85,V$73,$C$92:$D98)</f>
        <v>3.7594427106901969</v>
      </c>
      <c r="W98" s="42">
        <f ca="1">DSUM($B$73:$Y$85,W$73,$C$92:$D98)</f>
        <v>3.6687977465405863</v>
      </c>
      <c r="X98" s="42">
        <f ca="1">DSUM($B$73:$Y$85,X$73,$C$92:$D98)</f>
        <v>3.5872560807866307</v>
      </c>
      <c r="Y98" s="42">
        <f ca="1">DSUM($B$73:$Y$85,Y$73,$C$92:$D98)</f>
        <v>49.766395138584762</v>
      </c>
      <c r="Z98" s="9"/>
      <c r="AA98" s="9"/>
      <c r="AB98" s="9"/>
    </row>
    <row r="99" spans="1:28" customFormat="1">
      <c r="A99" s="9"/>
      <c r="B99" s="9" t="s">
        <v>92</v>
      </c>
      <c r="C99" s="53" t="s">
        <v>93</v>
      </c>
      <c r="D99" s="53" t="s">
        <v>94</v>
      </c>
      <c r="E99" s="42">
        <f ca="1">DSUM($B$73:$Y$85,E$73,$C$92:$D99)</f>
        <v>0.39135639309450682</v>
      </c>
      <c r="F99" s="42">
        <f ca="1">DSUM($B$73:$Y$85,F$73,$C$92:$D99)</f>
        <v>0.78023303323938531</v>
      </c>
      <c r="G99" s="42">
        <f ca="1">DSUM($B$73:$Y$85,G$73,$C$92:$D99)</f>
        <v>1.1666496264105659</v>
      </c>
      <c r="H99" s="42">
        <f ca="1">DSUM($B$73:$Y$85,H$73,$C$92:$D99)</f>
        <v>1.5506256584798044</v>
      </c>
      <c r="I99" s="42">
        <f ca="1">DSUM($B$73:$Y$85,I$73,$C$92:$D99)</f>
        <v>1.9321803979827208</v>
      </c>
      <c r="J99" s="42">
        <f ca="1">DSUM($B$73:$Y$85,J$73,$C$92:$D99)</f>
        <v>2.2728106838709423</v>
      </c>
      <c r="K99" s="42">
        <f ca="1">DSUM($B$73:$Y$85,K$73,$C$92:$D99)</f>
        <v>2.5421764658028931</v>
      </c>
      <c r="L99" s="42">
        <f ca="1">DSUM($B$73:$Y$85,L$73,$C$92:$D99)</f>
        <v>2.7547244560314557</v>
      </c>
      <c r="M99" s="42">
        <f ca="1">DSUM($B$73:$Y$85,M$73,$C$92:$D99)</f>
        <v>2.921974698580601</v>
      </c>
      <c r="N99" s="42">
        <f ca="1">DSUM($B$73:$Y$85,N$73,$C$92:$D99)</f>
        <v>3.0531135114811865</v>
      </c>
      <c r="O99" s="42">
        <f ca="1">DSUM($B$73:$Y$85,O$73,$C$92:$D99)</f>
        <v>3.155466285615542</v>
      </c>
      <c r="P99" s="42">
        <f ca="1">DSUM($B$73:$Y$85,P$73,$C$92:$D99)</f>
        <v>3.2348744867455475</v>
      </c>
      <c r="Q99" s="42">
        <f ca="1">DSUM($B$73:$Y$85,Q$73,$C$92:$D99)</f>
        <v>3.2959962729752807</v>
      </c>
      <c r="R99" s="42">
        <f ca="1">DSUM($B$73:$Y$85,R$73,$C$92:$D99)</f>
        <v>3.342546205737972</v>
      </c>
      <c r="S99" s="42">
        <f ca="1">DSUM($B$73:$Y$85,S$73,$C$92:$D99)</f>
        <v>4.027070895956105</v>
      </c>
      <c r="T99" s="42">
        <f ca="1">DSUM($B$73:$Y$85,T$73,$C$92:$D99)</f>
        <v>3.9601404559777937</v>
      </c>
      <c r="U99" s="42">
        <f ca="1">DSUM($B$73:$Y$85,U$73,$C$92:$D99)</f>
        <v>3.8542206623910196</v>
      </c>
      <c r="V99" s="42">
        <f ca="1">DSUM($B$73:$Y$85,V$73,$C$92:$D99)</f>
        <v>3.7594427106901969</v>
      </c>
      <c r="W99" s="42">
        <f ca="1">DSUM($B$73:$Y$85,W$73,$C$92:$D99)</f>
        <v>3.6687977465405863</v>
      </c>
      <c r="X99" s="42">
        <f ca="1">DSUM($B$73:$Y$85,X$73,$C$92:$D99)</f>
        <v>3.5872560807866307</v>
      </c>
      <c r="Y99" s="42">
        <f ca="1">DSUM($B$73:$Y$85,Y$73,$C$92:$D99)</f>
        <v>49.766395138584762</v>
      </c>
      <c r="Z99" s="9"/>
      <c r="AA99" s="9"/>
      <c r="AB99" s="9"/>
    </row>
    <row r="100" spans="1:28" customFormat="1">
      <c r="A100" s="9"/>
      <c r="B100" s="9" t="s">
        <v>95</v>
      </c>
      <c r="C100" s="53" t="s">
        <v>96</v>
      </c>
      <c r="D100" s="53" t="s">
        <v>97</v>
      </c>
      <c r="E100" s="42">
        <f ca="1">DSUM($B$73:$Y$85,E$73,$C$92:$D100)</f>
        <v>0.39135639309450682</v>
      </c>
      <c r="F100" s="42">
        <f ca="1">DSUM($B$73:$Y$85,F$73,$C$92:$D100)</f>
        <v>0.78023303323938531</v>
      </c>
      <c r="G100" s="42">
        <f ca="1">DSUM($B$73:$Y$85,G$73,$C$92:$D100)</f>
        <v>1.1666496264105659</v>
      </c>
      <c r="H100" s="42">
        <f ca="1">DSUM($B$73:$Y$85,H$73,$C$92:$D100)</f>
        <v>1.5506256584798044</v>
      </c>
      <c r="I100" s="42">
        <f ca="1">DSUM($B$73:$Y$85,I$73,$C$92:$D100)</f>
        <v>1.9321803979827208</v>
      </c>
      <c r="J100" s="42">
        <f ca="1">DSUM($B$73:$Y$85,J$73,$C$92:$D100)</f>
        <v>2.2728106838709423</v>
      </c>
      <c r="K100" s="42">
        <f ca="1">DSUM($B$73:$Y$85,K$73,$C$92:$D100)</f>
        <v>2.5421764658028931</v>
      </c>
      <c r="L100" s="42">
        <f ca="1">DSUM($B$73:$Y$85,L$73,$C$92:$D100)</f>
        <v>2.7547244560314557</v>
      </c>
      <c r="M100" s="42">
        <f ca="1">DSUM($B$73:$Y$85,M$73,$C$92:$D100)</f>
        <v>2.921974698580601</v>
      </c>
      <c r="N100" s="42">
        <f ca="1">DSUM($B$73:$Y$85,N$73,$C$92:$D100)</f>
        <v>3.0531135114811865</v>
      </c>
      <c r="O100" s="42">
        <f ca="1">DSUM($B$73:$Y$85,O$73,$C$92:$D100)</f>
        <v>3.155466285615542</v>
      </c>
      <c r="P100" s="42">
        <f ca="1">DSUM($B$73:$Y$85,P$73,$C$92:$D100)</f>
        <v>3.2348744867455475</v>
      </c>
      <c r="Q100" s="42">
        <f ca="1">DSUM($B$73:$Y$85,Q$73,$C$92:$D100)</f>
        <v>3.2959962729752807</v>
      </c>
      <c r="R100" s="42">
        <f ca="1">DSUM($B$73:$Y$85,R$73,$C$92:$D100)</f>
        <v>3.342546205737972</v>
      </c>
      <c r="S100" s="42">
        <f ca="1">DSUM($B$73:$Y$85,S$73,$C$92:$D100)</f>
        <v>4.027070895956105</v>
      </c>
      <c r="T100" s="42">
        <f ca="1">DSUM($B$73:$Y$85,T$73,$C$92:$D100)</f>
        <v>3.9601404559777937</v>
      </c>
      <c r="U100" s="42">
        <f ca="1">DSUM($B$73:$Y$85,U$73,$C$92:$D100)</f>
        <v>3.8542206623910196</v>
      </c>
      <c r="V100" s="42">
        <f ca="1">DSUM($B$73:$Y$85,V$73,$C$92:$D100)</f>
        <v>3.7594427106901969</v>
      </c>
      <c r="W100" s="42">
        <f ca="1">DSUM($B$73:$Y$85,W$73,$C$92:$D100)</f>
        <v>3.6687977465405863</v>
      </c>
      <c r="X100" s="42">
        <f ca="1">DSUM($B$73:$Y$85,X$73,$C$92:$D100)</f>
        <v>3.5872560807866307</v>
      </c>
      <c r="Y100" s="42">
        <f ca="1">DSUM($B$73:$Y$85,Y$73,$C$92:$D100)</f>
        <v>49.766395138584762</v>
      </c>
      <c r="Z100" s="9"/>
      <c r="AA100" s="9"/>
      <c r="AB100" s="9"/>
    </row>
    <row r="101" spans="1:28" customFormat="1">
      <c r="A101" s="9"/>
      <c r="B101" s="9" t="s">
        <v>98</v>
      </c>
      <c r="C101" s="53" t="s">
        <v>99</v>
      </c>
      <c r="D101" s="53" t="s">
        <v>100</v>
      </c>
      <c r="E101" s="42">
        <f ca="1">DSUM($B$73:$Y$85,E$73,$C$92:$D101)</f>
        <v>0.39135639309450682</v>
      </c>
      <c r="F101" s="42">
        <f ca="1">DSUM($B$73:$Y$85,F$73,$C$92:$D101)</f>
        <v>0.78023303323938531</v>
      </c>
      <c r="G101" s="42">
        <f ca="1">DSUM($B$73:$Y$85,G$73,$C$92:$D101)</f>
        <v>1.1666496264105659</v>
      </c>
      <c r="H101" s="42">
        <f ca="1">DSUM($B$73:$Y$85,H$73,$C$92:$D101)</f>
        <v>1.5506256584798044</v>
      </c>
      <c r="I101" s="42">
        <f ca="1">DSUM($B$73:$Y$85,I$73,$C$92:$D101)</f>
        <v>1.9321803979827208</v>
      </c>
      <c r="J101" s="42">
        <f ca="1">DSUM($B$73:$Y$85,J$73,$C$92:$D101)</f>
        <v>2.2728106838709423</v>
      </c>
      <c r="K101" s="42">
        <f ca="1">DSUM($B$73:$Y$85,K$73,$C$92:$D101)</f>
        <v>2.5421764658028931</v>
      </c>
      <c r="L101" s="42">
        <f ca="1">DSUM($B$73:$Y$85,L$73,$C$92:$D101)</f>
        <v>2.7547244560314557</v>
      </c>
      <c r="M101" s="42">
        <f ca="1">DSUM($B$73:$Y$85,M$73,$C$92:$D101)</f>
        <v>2.921974698580601</v>
      </c>
      <c r="N101" s="42">
        <f ca="1">DSUM($B$73:$Y$85,N$73,$C$92:$D101)</f>
        <v>3.0531135114811865</v>
      </c>
      <c r="O101" s="42">
        <f ca="1">DSUM($B$73:$Y$85,O$73,$C$92:$D101)</f>
        <v>3.155466285615542</v>
      </c>
      <c r="P101" s="42">
        <f ca="1">DSUM($B$73:$Y$85,P$73,$C$92:$D101)</f>
        <v>3.2348744867455475</v>
      </c>
      <c r="Q101" s="42">
        <f ca="1">DSUM($B$73:$Y$85,Q$73,$C$92:$D101)</f>
        <v>3.2959962729752807</v>
      </c>
      <c r="R101" s="42">
        <f ca="1">DSUM($B$73:$Y$85,R$73,$C$92:$D101)</f>
        <v>3.342546205737972</v>
      </c>
      <c r="S101" s="42">
        <f ca="1">DSUM($B$73:$Y$85,S$73,$C$92:$D101)</f>
        <v>4.027070895956105</v>
      </c>
      <c r="T101" s="42">
        <f ca="1">DSUM($B$73:$Y$85,T$73,$C$92:$D101)</f>
        <v>3.9601404559777937</v>
      </c>
      <c r="U101" s="42">
        <f ca="1">DSUM($B$73:$Y$85,U$73,$C$92:$D101)</f>
        <v>3.8542206623910196</v>
      </c>
      <c r="V101" s="42">
        <f ca="1">DSUM($B$73:$Y$85,V$73,$C$92:$D101)</f>
        <v>3.7594427106901969</v>
      </c>
      <c r="W101" s="42">
        <f ca="1">DSUM($B$73:$Y$85,W$73,$C$92:$D101)</f>
        <v>3.6687977465405863</v>
      </c>
      <c r="X101" s="42">
        <f ca="1">DSUM($B$73:$Y$85,X$73,$C$92:$D101)</f>
        <v>3.5872560807866307</v>
      </c>
      <c r="Y101" s="42">
        <f ca="1">DSUM($B$73:$Y$85,Y$73,$C$92:$D101)</f>
        <v>49.766395138584762</v>
      </c>
      <c r="Z101" s="9"/>
      <c r="AA101" s="9"/>
      <c r="AB101" s="9"/>
    </row>
    <row r="102" spans="1:28" customFormat="1">
      <c r="A102" s="9"/>
      <c r="B102" s="9" t="s">
        <v>101</v>
      </c>
      <c r="C102" s="53" t="s">
        <v>102</v>
      </c>
      <c r="D102" s="53" t="s">
        <v>103</v>
      </c>
      <c r="E102" s="42">
        <f ca="1">DSUM($B$73:$Y$85,E$73,$C$92:$D102)</f>
        <v>0.39135639309450682</v>
      </c>
      <c r="F102" s="42">
        <f ca="1">DSUM($B$73:$Y$85,F$73,$C$92:$D102)</f>
        <v>0.78023303323938531</v>
      </c>
      <c r="G102" s="42">
        <f ca="1">DSUM($B$73:$Y$85,G$73,$C$92:$D102)</f>
        <v>1.1666496264105659</v>
      </c>
      <c r="H102" s="42">
        <f ca="1">DSUM($B$73:$Y$85,H$73,$C$92:$D102)</f>
        <v>1.5506256584798044</v>
      </c>
      <c r="I102" s="42">
        <f ca="1">DSUM($B$73:$Y$85,I$73,$C$92:$D102)</f>
        <v>1.9321803979827208</v>
      </c>
      <c r="J102" s="42">
        <f ca="1">DSUM($B$73:$Y$85,J$73,$C$92:$D102)</f>
        <v>2.2728106838709423</v>
      </c>
      <c r="K102" s="42">
        <f ca="1">DSUM($B$73:$Y$85,K$73,$C$92:$D102)</f>
        <v>2.5421764658028931</v>
      </c>
      <c r="L102" s="42">
        <f ca="1">DSUM($B$73:$Y$85,L$73,$C$92:$D102)</f>
        <v>2.7547244560314557</v>
      </c>
      <c r="M102" s="42">
        <f ca="1">DSUM($B$73:$Y$85,M$73,$C$92:$D102)</f>
        <v>2.921974698580601</v>
      </c>
      <c r="N102" s="42">
        <f ca="1">DSUM($B$73:$Y$85,N$73,$C$92:$D102)</f>
        <v>3.0531135114811865</v>
      </c>
      <c r="O102" s="42">
        <f ca="1">DSUM($B$73:$Y$85,O$73,$C$92:$D102)</f>
        <v>3.155466285615542</v>
      </c>
      <c r="P102" s="42">
        <f ca="1">DSUM($B$73:$Y$85,P$73,$C$92:$D102)</f>
        <v>3.2348744867455475</v>
      </c>
      <c r="Q102" s="42">
        <f ca="1">DSUM($B$73:$Y$85,Q$73,$C$92:$D102)</f>
        <v>3.2959962729752807</v>
      </c>
      <c r="R102" s="42">
        <f ca="1">DSUM($B$73:$Y$85,R$73,$C$92:$D102)</f>
        <v>3.342546205737972</v>
      </c>
      <c r="S102" s="42">
        <f ca="1">DSUM($B$73:$Y$85,S$73,$C$92:$D102)</f>
        <v>4.027070895956105</v>
      </c>
      <c r="T102" s="42">
        <f ca="1">DSUM($B$73:$Y$85,T$73,$C$92:$D102)</f>
        <v>3.9601404559777937</v>
      </c>
      <c r="U102" s="42">
        <f ca="1">DSUM($B$73:$Y$85,U$73,$C$92:$D102)</f>
        <v>3.8542206623910196</v>
      </c>
      <c r="V102" s="42">
        <f ca="1">DSUM($B$73:$Y$85,V$73,$C$92:$D102)</f>
        <v>3.7594427106901969</v>
      </c>
      <c r="W102" s="42">
        <f ca="1">DSUM($B$73:$Y$85,W$73,$C$92:$D102)</f>
        <v>3.6687977465405863</v>
      </c>
      <c r="X102" s="42">
        <f ca="1">DSUM($B$73:$Y$85,X$73,$C$92:$D102)</f>
        <v>3.5872560807866307</v>
      </c>
      <c r="Y102" s="42">
        <f ca="1">DSUM($B$73:$Y$85,Y$73,$C$92:$D102)</f>
        <v>49.766395138584762</v>
      </c>
      <c r="Z102" s="9"/>
      <c r="AA102" s="9"/>
      <c r="AB102" s="9"/>
    </row>
    <row r="103" spans="1:28" customFormat="1">
      <c r="A103" s="9"/>
      <c r="B103" s="9" t="s">
        <v>104</v>
      </c>
      <c r="C103" s="53" t="s">
        <v>105</v>
      </c>
      <c r="D103" s="53" t="s">
        <v>106</v>
      </c>
      <c r="E103" s="42">
        <f ca="1">DSUM($B$73:$Y$85,E$73,$C$92:$D103)</f>
        <v>0.39135639309450682</v>
      </c>
      <c r="F103" s="42">
        <f ca="1">DSUM($B$73:$Y$85,F$73,$C$92:$D103)</f>
        <v>0.78023303323938531</v>
      </c>
      <c r="G103" s="42">
        <f ca="1">DSUM($B$73:$Y$85,G$73,$C$92:$D103)</f>
        <v>1.1666496264105659</v>
      </c>
      <c r="H103" s="42">
        <f ca="1">DSUM($B$73:$Y$85,H$73,$C$92:$D103)</f>
        <v>1.5506256584798044</v>
      </c>
      <c r="I103" s="42">
        <f ca="1">DSUM($B$73:$Y$85,I$73,$C$92:$D103)</f>
        <v>1.9321803979827208</v>
      </c>
      <c r="J103" s="42">
        <f ca="1">DSUM($B$73:$Y$85,J$73,$C$92:$D103)</f>
        <v>2.2728106838709423</v>
      </c>
      <c r="K103" s="42">
        <f ca="1">DSUM($B$73:$Y$85,K$73,$C$92:$D103)</f>
        <v>2.5421764658028931</v>
      </c>
      <c r="L103" s="42">
        <f ca="1">DSUM($B$73:$Y$85,L$73,$C$92:$D103)</f>
        <v>2.7547244560314557</v>
      </c>
      <c r="M103" s="42">
        <f ca="1">DSUM($B$73:$Y$85,M$73,$C$92:$D103)</f>
        <v>2.921974698580601</v>
      </c>
      <c r="N103" s="42">
        <f ca="1">DSUM($B$73:$Y$85,N$73,$C$92:$D103)</f>
        <v>3.0531135114811865</v>
      </c>
      <c r="O103" s="42">
        <f ca="1">DSUM($B$73:$Y$85,O$73,$C$92:$D103)</f>
        <v>3.155466285615542</v>
      </c>
      <c r="P103" s="42">
        <f ca="1">DSUM($B$73:$Y$85,P$73,$C$92:$D103)</f>
        <v>3.2348744867455475</v>
      </c>
      <c r="Q103" s="42">
        <f ca="1">DSUM($B$73:$Y$85,Q$73,$C$92:$D103)</f>
        <v>3.2959962729752807</v>
      </c>
      <c r="R103" s="42">
        <f ca="1">DSUM($B$73:$Y$85,R$73,$C$92:$D103)</f>
        <v>3.342546205737972</v>
      </c>
      <c r="S103" s="42">
        <f ca="1">DSUM($B$73:$Y$85,S$73,$C$92:$D103)</f>
        <v>4.027070895956105</v>
      </c>
      <c r="T103" s="42">
        <f ca="1">DSUM($B$73:$Y$85,T$73,$C$92:$D103)</f>
        <v>3.9601404559777937</v>
      </c>
      <c r="U103" s="42">
        <f ca="1">DSUM($B$73:$Y$85,U$73,$C$92:$D103)</f>
        <v>3.8542206623910196</v>
      </c>
      <c r="V103" s="42">
        <f ca="1">DSUM($B$73:$Y$85,V$73,$C$92:$D103)</f>
        <v>3.7594427106901969</v>
      </c>
      <c r="W103" s="42">
        <f ca="1">DSUM($B$73:$Y$85,W$73,$C$92:$D103)</f>
        <v>3.6687977465405863</v>
      </c>
      <c r="X103" s="42">
        <f ca="1">DSUM($B$73:$Y$85,X$73,$C$92:$D103)</f>
        <v>3.5872560807866307</v>
      </c>
      <c r="Y103" s="42">
        <f ca="1">DSUM($B$73:$Y$85,Y$73,$C$92:$D103)</f>
        <v>49.766395138584762</v>
      </c>
      <c r="Z103" s="9"/>
      <c r="AA103" s="9"/>
      <c r="AB103" s="9"/>
    </row>
    <row r="104" spans="1:28" customFormat="1">
      <c r="A104" s="9"/>
      <c r="B104" s="9" t="s">
        <v>107</v>
      </c>
      <c r="C104" s="53" t="s">
        <v>108</v>
      </c>
      <c r="D104" s="53" t="s">
        <v>109</v>
      </c>
      <c r="E104" s="42">
        <f ca="1">DSUM($B$73:$Y$85,E$73,$C$92:$D104)</f>
        <v>0.39135639309450682</v>
      </c>
      <c r="F104" s="42">
        <f ca="1">DSUM($B$73:$Y$85,F$73,$C$92:$D104)</f>
        <v>0.78023303323938531</v>
      </c>
      <c r="G104" s="42">
        <f ca="1">DSUM($B$73:$Y$85,G$73,$C$92:$D104)</f>
        <v>1.1666496264105659</v>
      </c>
      <c r="H104" s="42">
        <f ca="1">DSUM($B$73:$Y$85,H$73,$C$92:$D104)</f>
        <v>1.5506256584798044</v>
      </c>
      <c r="I104" s="42">
        <f ca="1">DSUM($B$73:$Y$85,I$73,$C$92:$D104)</f>
        <v>1.9321803979827208</v>
      </c>
      <c r="J104" s="42">
        <f ca="1">DSUM($B$73:$Y$85,J$73,$C$92:$D104)</f>
        <v>2.2728106838709423</v>
      </c>
      <c r="K104" s="42">
        <f ca="1">DSUM($B$73:$Y$85,K$73,$C$92:$D104)</f>
        <v>2.5421764658028931</v>
      </c>
      <c r="L104" s="42">
        <f ca="1">DSUM($B$73:$Y$85,L$73,$C$92:$D104)</f>
        <v>2.7547244560314557</v>
      </c>
      <c r="M104" s="42">
        <f ca="1">DSUM($B$73:$Y$85,M$73,$C$92:$D104)</f>
        <v>2.921974698580601</v>
      </c>
      <c r="N104" s="42">
        <f ca="1">DSUM($B$73:$Y$85,N$73,$C$92:$D104)</f>
        <v>3.0531135114811865</v>
      </c>
      <c r="O104" s="42">
        <f ca="1">DSUM($B$73:$Y$85,O$73,$C$92:$D104)</f>
        <v>3.155466285615542</v>
      </c>
      <c r="P104" s="42">
        <f ca="1">DSUM($B$73:$Y$85,P$73,$C$92:$D104)</f>
        <v>3.2348744867455475</v>
      </c>
      <c r="Q104" s="42">
        <f ca="1">DSUM($B$73:$Y$85,Q$73,$C$92:$D104)</f>
        <v>3.2959962729752807</v>
      </c>
      <c r="R104" s="42">
        <f ca="1">DSUM($B$73:$Y$85,R$73,$C$92:$D104)</f>
        <v>3.342546205737972</v>
      </c>
      <c r="S104" s="42">
        <f ca="1">DSUM($B$73:$Y$85,S$73,$C$92:$D104)</f>
        <v>4.027070895956105</v>
      </c>
      <c r="T104" s="42">
        <f ca="1">DSUM($B$73:$Y$85,T$73,$C$92:$D104)</f>
        <v>3.9601404559777937</v>
      </c>
      <c r="U104" s="42">
        <f ca="1">DSUM($B$73:$Y$85,U$73,$C$92:$D104)</f>
        <v>3.8542206623910196</v>
      </c>
      <c r="V104" s="42">
        <f ca="1">DSUM($B$73:$Y$85,V$73,$C$92:$D104)</f>
        <v>3.7594427106901969</v>
      </c>
      <c r="W104" s="42">
        <f ca="1">DSUM($B$73:$Y$85,W$73,$C$92:$D104)</f>
        <v>3.6687977465405863</v>
      </c>
      <c r="X104" s="42">
        <f ca="1">DSUM($B$73:$Y$85,X$73,$C$92:$D104)</f>
        <v>3.5872560807866307</v>
      </c>
      <c r="Y104" s="42">
        <f ca="1">DSUM($B$73:$Y$85,Y$73,$C$92:$D104)</f>
        <v>49.766395138584762</v>
      </c>
      <c r="Z104" s="9"/>
      <c r="AA104" s="9"/>
      <c r="AB104" s="9"/>
    </row>
    <row r="105" spans="1:28" customFormat="1">
      <c r="A105" s="9"/>
      <c r="B105" s="9" t="s">
        <v>110</v>
      </c>
      <c r="C105" s="53" t="s">
        <v>111</v>
      </c>
      <c r="D105" s="53" t="s">
        <v>112</v>
      </c>
      <c r="E105" s="42">
        <f ca="1">DSUM($B$73:$Y$85,E$73,$C$92:$D105)</f>
        <v>0.39135639309450682</v>
      </c>
      <c r="F105" s="42">
        <f ca="1">DSUM($B$73:$Y$85,F$73,$C$92:$D105)</f>
        <v>0.78023303323938531</v>
      </c>
      <c r="G105" s="42">
        <f ca="1">DSUM($B$73:$Y$85,G$73,$C$92:$D105)</f>
        <v>1.1666496264105659</v>
      </c>
      <c r="H105" s="42">
        <f ca="1">DSUM($B$73:$Y$85,H$73,$C$92:$D105)</f>
        <v>1.5506256584798044</v>
      </c>
      <c r="I105" s="42">
        <f ca="1">DSUM($B$73:$Y$85,I$73,$C$92:$D105)</f>
        <v>1.9321803979827208</v>
      </c>
      <c r="J105" s="42">
        <f ca="1">DSUM($B$73:$Y$85,J$73,$C$92:$D105)</f>
        <v>2.2728106838709423</v>
      </c>
      <c r="K105" s="42">
        <f ca="1">DSUM($B$73:$Y$85,K$73,$C$92:$D105)</f>
        <v>2.5421764658028931</v>
      </c>
      <c r="L105" s="42">
        <f ca="1">DSUM($B$73:$Y$85,L$73,$C$92:$D105)</f>
        <v>2.7547244560314557</v>
      </c>
      <c r="M105" s="42">
        <f ca="1">DSUM($B$73:$Y$85,M$73,$C$92:$D105)</f>
        <v>2.921974698580601</v>
      </c>
      <c r="N105" s="42">
        <f ca="1">DSUM($B$73:$Y$85,N$73,$C$92:$D105)</f>
        <v>3.0531135114811865</v>
      </c>
      <c r="O105" s="42">
        <f ca="1">DSUM($B$73:$Y$85,O$73,$C$92:$D105)</f>
        <v>3.155466285615542</v>
      </c>
      <c r="P105" s="42">
        <f ca="1">DSUM($B$73:$Y$85,P$73,$C$92:$D105)</f>
        <v>3.2348744867455475</v>
      </c>
      <c r="Q105" s="42">
        <f ca="1">DSUM($B$73:$Y$85,Q$73,$C$92:$D105)</f>
        <v>3.2959962729752807</v>
      </c>
      <c r="R105" s="42">
        <f ca="1">DSUM($B$73:$Y$85,R$73,$C$92:$D105)</f>
        <v>3.342546205737972</v>
      </c>
      <c r="S105" s="42">
        <f ca="1">DSUM($B$73:$Y$85,S$73,$C$92:$D105)</f>
        <v>4.027070895956105</v>
      </c>
      <c r="T105" s="42">
        <f ca="1">DSUM($B$73:$Y$85,T$73,$C$92:$D105)</f>
        <v>3.9601404559777937</v>
      </c>
      <c r="U105" s="42">
        <f ca="1">DSUM($B$73:$Y$85,U$73,$C$92:$D105)</f>
        <v>3.8542206623910196</v>
      </c>
      <c r="V105" s="42">
        <f ca="1">DSUM($B$73:$Y$85,V$73,$C$92:$D105)</f>
        <v>3.7594427106901969</v>
      </c>
      <c r="W105" s="42">
        <f ca="1">DSUM($B$73:$Y$85,W$73,$C$92:$D105)</f>
        <v>3.6687977465405863</v>
      </c>
      <c r="X105" s="42">
        <f ca="1">DSUM($B$73:$Y$85,X$73,$C$92:$D105)</f>
        <v>3.5872560807866307</v>
      </c>
      <c r="Y105" s="42">
        <f ca="1">DSUM($B$73:$Y$85,Y$73,$C$92:$D105)</f>
        <v>49.766395138584762</v>
      </c>
      <c r="Z105" s="9"/>
      <c r="AA105" s="9"/>
      <c r="AB105" s="9"/>
    </row>
    <row r="106" spans="1:28" customFormat="1">
      <c r="A106" s="9"/>
      <c r="B106" s="9" t="s">
        <v>113</v>
      </c>
      <c r="C106" s="53" t="s">
        <v>114</v>
      </c>
      <c r="D106" s="53" t="s">
        <v>115</v>
      </c>
      <c r="E106" s="42">
        <f ca="1">DSUM($B$73:$Y$85,E$73,$C$92:$D106)</f>
        <v>0.39135639309450682</v>
      </c>
      <c r="F106" s="42">
        <f ca="1">DSUM($B$73:$Y$85,F$73,$C$92:$D106)</f>
        <v>0.78023303323938531</v>
      </c>
      <c r="G106" s="42">
        <f ca="1">DSUM($B$73:$Y$85,G$73,$C$92:$D106)</f>
        <v>1.1666496264105659</v>
      </c>
      <c r="H106" s="42">
        <f ca="1">DSUM($B$73:$Y$85,H$73,$C$92:$D106)</f>
        <v>1.5506256584798044</v>
      </c>
      <c r="I106" s="42">
        <f ca="1">DSUM($B$73:$Y$85,I$73,$C$92:$D106)</f>
        <v>1.9321803979827208</v>
      </c>
      <c r="J106" s="42">
        <f ca="1">DSUM($B$73:$Y$85,J$73,$C$92:$D106)</f>
        <v>2.2728106838709423</v>
      </c>
      <c r="K106" s="42">
        <f ca="1">DSUM($B$73:$Y$85,K$73,$C$92:$D106)</f>
        <v>2.5421764658028931</v>
      </c>
      <c r="L106" s="42">
        <f ca="1">DSUM($B$73:$Y$85,L$73,$C$92:$D106)</f>
        <v>2.7547244560314557</v>
      </c>
      <c r="M106" s="42">
        <f ca="1">DSUM($B$73:$Y$85,M$73,$C$92:$D106)</f>
        <v>2.921974698580601</v>
      </c>
      <c r="N106" s="42">
        <f ca="1">DSUM($B$73:$Y$85,N$73,$C$92:$D106)</f>
        <v>3.0531135114811865</v>
      </c>
      <c r="O106" s="42">
        <f ca="1">DSUM($B$73:$Y$85,O$73,$C$92:$D106)</f>
        <v>3.155466285615542</v>
      </c>
      <c r="P106" s="42">
        <f ca="1">DSUM($B$73:$Y$85,P$73,$C$92:$D106)</f>
        <v>3.2348744867455475</v>
      </c>
      <c r="Q106" s="42">
        <f ca="1">DSUM($B$73:$Y$85,Q$73,$C$92:$D106)</f>
        <v>3.2959962729752807</v>
      </c>
      <c r="R106" s="42">
        <f ca="1">DSUM($B$73:$Y$85,R$73,$C$92:$D106)</f>
        <v>3.342546205737972</v>
      </c>
      <c r="S106" s="42">
        <f ca="1">DSUM($B$73:$Y$85,S$73,$C$92:$D106)</f>
        <v>4.027070895956105</v>
      </c>
      <c r="T106" s="42">
        <f ca="1">DSUM($B$73:$Y$85,T$73,$C$92:$D106)</f>
        <v>3.9601404559777937</v>
      </c>
      <c r="U106" s="42">
        <f ca="1">DSUM($B$73:$Y$85,U$73,$C$92:$D106)</f>
        <v>3.8542206623910196</v>
      </c>
      <c r="V106" s="42">
        <f ca="1">DSUM($B$73:$Y$85,V$73,$C$92:$D106)</f>
        <v>3.7594427106901969</v>
      </c>
      <c r="W106" s="42">
        <f ca="1">DSUM($B$73:$Y$85,W$73,$C$92:$D106)</f>
        <v>3.6687977465405863</v>
      </c>
      <c r="X106" s="42">
        <f ca="1">DSUM($B$73:$Y$85,X$73,$C$92:$D106)</f>
        <v>3.5872560807866307</v>
      </c>
      <c r="Y106" s="42">
        <f ca="1">DSUM($B$73:$Y$85,Y$73,$C$92:$D106)</f>
        <v>49.766395138584762</v>
      </c>
      <c r="Z106" s="9"/>
      <c r="AA106" s="9"/>
      <c r="AB106" s="9"/>
    </row>
    <row r="107" spans="1:28" customFormat="1">
      <c r="A107" s="9"/>
      <c r="B107" s="9" t="s">
        <v>116</v>
      </c>
      <c r="C107" s="53" t="s">
        <v>117</v>
      </c>
      <c r="D107" s="53" t="s">
        <v>118</v>
      </c>
      <c r="E107" s="42">
        <f ca="1">DSUM($B$73:$Y$85,E$73,$C$92:$D107)</f>
        <v>0.39135639309450682</v>
      </c>
      <c r="F107" s="42">
        <f ca="1">DSUM($B$73:$Y$85,F$73,$C$92:$D107)</f>
        <v>0.78023303323938531</v>
      </c>
      <c r="G107" s="42">
        <f ca="1">DSUM($B$73:$Y$85,G$73,$C$92:$D107)</f>
        <v>1.1666496264105659</v>
      </c>
      <c r="H107" s="42">
        <f ca="1">DSUM($B$73:$Y$85,H$73,$C$92:$D107)</f>
        <v>1.5506256584798044</v>
      </c>
      <c r="I107" s="42">
        <f ca="1">DSUM($B$73:$Y$85,I$73,$C$92:$D107)</f>
        <v>1.9321803979827208</v>
      </c>
      <c r="J107" s="42">
        <f ca="1">DSUM($B$73:$Y$85,J$73,$C$92:$D107)</f>
        <v>2.2728106838709423</v>
      </c>
      <c r="K107" s="42">
        <f ca="1">DSUM($B$73:$Y$85,K$73,$C$92:$D107)</f>
        <v>2.5421764658028931</v>
      </c>
      <c r="L107" s="42">
        <f ca="1">DSUM($B$73:$Y$85,L$73,$C$92:$D107)</f>
        <v>2.7547244560314557</v>
      </c>
      <c r="M107" s="42">
        <f ca="1">DSUM($B$73:$Y$85,M$73,$C$92:$D107)</f>
        <v>2.921974698580601</v>
      </c>
      <c r="N107" s="42">
        <f ca="1">DSUM($B$73:$Y$85,N$73,$C$92:$D107)</f>
        <v>3.0531135114811865</v>
      </c>
      <c r="O107" s="42">
        <f ca="1">DSUM($B$73:$Y$85,O$73,$C$92:$D107)</f>
        <v>3.155466285615542</v>
      </c>
      <c r="P107" s="42">
        <f ca="1">DSUM($B$73:$Y$85,P$73,$C$92:$D107)</f>
        <v>3.2348744867455475</v>
      </c>
      <c r="Q107" s="42">
        <f ca="1">DSUM($B$73:$Y$85,Q$73,$C$92:$D107)</f>
        <v>3.2959962729752807</v>
      </c>
      <c r="R107" s="42">
        <f ca="1">DSUM($B$73:$Y$85,R$73,$C$92:$D107)</f>
        <v>3.342546205737972</v>
      </c>
      <c r="S107" s="42">
        <f ca="1">DSUM($B$73:$Y$85,S$73,$C$92:$D107)</f>
        <v>4.027070895956105</v>
      </c>
      <c r="T107" s="42">
        <f ca="1">DSUM($B$73:$Y$85,T$73,$C$92:$D107)</f>
        <v>3.9601404559777937</v>
      </c>
      <c r="U107" s="42">
        <f ca="1">DSUM($B$73:$Y$85,U$73,$C$92:$D107)</f>
        <v>3.8542206623910196</v>
      </c>
      <c r="V107" s="42">
        <f ca="1">DSUM($B$73:$Y$85,V$73,$C$92:$D107)</f>
        <v>3.7594427106901969</v>
      </c>
      <c r="W107" s="42">
        <f ca="1">DSUM($B$73:$Y$85,W$73,$C$92:$D107)</f>
        <v>3.6687977465405863</v>
      </c>
      <c r="X107" s="42">
        <f ca="1">DSUM($B$73:$Y$85,X$73,$C$92:$D107)</f>
        <v>3.5872560807866307</v>
      </c>
      <c r="Y107" s="42">
        <f ca="1">DSUM($B$73:$Y$85,Y$73,$C$92:$D107)</f>
        <v>49.766395138584762</v>
      </c>
      <c r="Z107" s="9"/>
      <c r="AA107" s="9"/>
      <c r="AB107" s="9"/>
    </row>
    <row r="108" spans="1:28" customFormat="1">
      <c r="A108" s="9"/>
      <c r="B108" s="9" t="s">
        <v>119</v>
      </c>
      <c r="C108" s="53" t="s">
        <v>120</v>
      </c>
      <c r="D108" s="53" t="s">
        <v>121</v>
      </c>
      <c r="E108" s="42">
        <f ca="1">DSUM($B$73:$Y$85,E$73,$C$92:$D108)</f>
        <v>0.39135639309450682</v>
      </c>
      <c r="F108" s="42">
        <f ca="1">DSUM($B$73:$Y$85,F$73,$C$92:$D108)</f>
        <v>0.78023303323938531</v>
      </c>
      <c r="G108" s="42">
        <f ca="1">DSUM($B$73:$Y$85,G$73,$C$92:$D108)</f>
        <v>1.1666496264105659</v>
      </c>
      <c r="H108" s="42">
        <f ca="1">DSUM($B$73:$Y$85,H$73,$C$92:$D108)</f>
        <v>1.5506256584798044</v>
      </c>
      <c r="I108" s="42">
        <f ca="1">DSUM($B$73:$Y$85,I$73,$C$92:$D108)</f>
        <v>1.9321803979827208</v>
      </c>
      <c r="J108" s="42">
        <f ca="1">DSUM($B$73:$Y$85,J$73,$C$92:$D108)</f>
        <v>2.2728106838709423</v>
      </c>
      <c r="K108" s="42">
        <f ca="1">DSUM($B$73:$Y$85,K$73,$C$92:$D108)</f>
        <v>2.5421764658028931</v>
      </c>
      <c r="L108" s="42">
        <f ca="1">DSUM($B$73:$Y$85,L$73,$C$92:$D108)</f>
        <v>2.7547244560314557</v>
      </c>
      <c r="M108" s="42">
        <f ca="1">DSUM($B$73:$Y$85,M$73,$C$92:$D108)</f>
        <v>2.921974698580601</v>
      </c>
      <c r="N108" s="42">
        <f ca="1">DSUM($B$73:$Y$85,N$73,$C$92:$D108)</f>
        <v>3.0531135114811865</v>
      </c>
      <c r="O108" s="42">
        <f ca="1">DSUM($B$73:$Y$85,O$73,$C$92:$D108)</f>
        <v>3.155466285615542</v>
      </c>
      <c r="P108" s="42">
        <f ca="1">DSUM($B$73:$Y$85,P$73,$C$92:$D108)</f>
        <v>3.2348744867455475</v>
      </c>
      <c r="Q108" s="42">
        <f ca="1">DSUM($B$73:$Y$85,Q$73,$C$92:$D108)</f>
        <v>3.2959962729752807</v>
      </c>
      <c r="R108" s="42">
        <f ca="1">DSUM($B$73:$Y$85,R$73,$C$92:$D108)</f>
        <v>3.342546205737972</v>
      </c>
      <c r="S108" s="42">
        <f ca="1">DSUM($B$73:$Y$85,S$73,$C$92:$D108)</f>
        <v>4.027070895956105</v>
      </c>
      <c r="T108" s="42">
        <f ca="1">DSUM($B$73:$Y$85,T$73,$C$92:$D108)</f>
        <v>3.9601404559777937</v>
      </c>
      <c r="U108" s="42">
        <f ca="1">DSUM($B$73:$Y$85,U$73,$C$92:$D108)</f>
        <v>3.8542206623910196</v>
      </c>
      <c r="V108" s="42">
        <f ca="1">DSUM($B$73:$Y$85,V$73,$C$92:$D108)</f>
        <v>3.7594427106901969</v>
      </c>
      <c r="W108" s="42">
        <f ca="1">DSUM($B$73:$Y$85,W$73,$C$92:$D108)</f>
        <v>3.6687977465405863</v>
      </c>
      <c r="X108" s="42">
        <f ca="1">DSUM($B$73:$Y$85,X$73,$C$92:$D108)</f>
        <v>3.5872560807866307</v>
      </c>
      <c r="Y108" s="42">
        <f ca="1">DSUM($B$73:$Y$85,Y$73,$C$92:$D108)</f>
        <v>49.766395138584762</v>
      </c>
      <c r="Z108" s="9"/>
      <c r="AA108" s="9"/>
      <c r="AB108" s="9"/>
    </row>
    <row r="109" spans="1:28" customFormat="1">
      <c r="A109" s="9"/>
      <c r="B109" s="9" t="s">
        <v>122</v>
      </c>
      <c r="C109" s="53" t="s">
        <v>123</v>
      </c>
      <c r="D109" s="53" t="s">
        <v>124</v>
      </c>
      <c r="E109" s="42">
        <f ca="1">DSUM($B$73:$Y$85,E$73,$C$92:$D109)</f>
        <v>0.39135639309450682</v>
      </c>
      <c r="F109" s="42">
        <f ca="1">DSUM($B$73:$Y$85,F$73,$C$92:$D109)</f>
        <v>0.78023303323938531</v>
      </c>
      <c r="G109" s="42">
        <f ca="1">DSUM($B$73:$Y$85,G$73,$C$92:$D109)</f>
        <v>1.1666496264105659</v>
      </c>
      <c r="H109" s="42">
        <f ca="1">DSUM($B$73:$Y$85,H$73,$C$92:$D109)</f>
        <v>1.5506256584798044</v>
      </c>
      <c r="I109" s="42">
        <f ca="1">DSUM($B$73:$Y$85,I$73,$C$92:$D109)</f>
        <v>1.9321803979827208</v>
      </c>
      <c r="J109" s="42">
        <f ca="1">DSUM($B$73:$Y$85,J$73,$C$92:$D109)</f>
        <v>2.2728106838709423</v>
      </c>
      <c r="K109" s="42">
        <f ca="1">DSUM($B$73:$Y$85,K$73,$C$92:$D109)</f>
        <v>2.5421764658028931</v>
      </c>
      <c r="L109" s="42">
        <f ca="1">DSUM($B$73:$Y$85,L$73,$C$92:$D109)</f>
        <v>2.7547244560314557</v>
      </c>
      <c r="M109" s="42">
        <f ca="1">DSUM($B$73:$Y$85,M$73,$C$92:$D109)</f>
        <v>2.921974698580601</v>
      </c>
      <c r="N109" s="42">
        <f ca="1">DSUM($B$73:$Y$85,N$73,$C$92:$D109)</f>
        <v>3.0531135114811865</v>
      </c>
      <c r="O109" s="42">
        <f ca="1">DSUM($B$73:$Y$85,O$73,$C$92:$D109)</f>
        <v>3.155466285615542</v>
      </c>
      <c r="P109" s="42">
        <f ca="1">DSUM($B$73:$Y$85,P$73,$C$92:$D109)</f>
        <v>3.2348744867455475</v>
      </c>
      <c r="Q109" s="42">
        <f ca="1">DSUM($B$73:$Y$85,Q$73,$C$92:$D109)</f>
        <v>3.2959962729752807</v>
      </c>
      <c r="R109" s="42">
        <f ca="1">DSUM($B$73:$Y$85,R$73,$C$92:$D109)</f>
        <v>3.342546205737972</v>
      </c>
      <c r="S109" s="42">
        <f ca="1">DSUM($B$73:$Y$85,S$73,$C$92:$D109)</f>
        <v>4.027070895956105</v>
      </c>
      <c r="T109" s="42">
        <f ca="1">DSUM($B$73:$Y$85,T$73,$C$92:$D109)</f>
        <v>3.9601404559777937</v>
      </c>
      <c r="U109" s="42">
        <f ca="1">DSUM($B$73:$Y$85,U$73,$C$92:$D109)</f>
        <v>3.8542206623910196</v>
      </c>
      <c r="V109" s="42">
        <f ca="1">DSUM($B$73:$Y$85,V$73,$C$92:$D109)</f>
        <v>3.7594427106901969</v>
      </c>
      <c r="W109" s="42">
        <f ca="1">DSUM($B$73:$Y$85,W$73,$C$92:$D109)</f>
        <v>3.6687977465405863</v>
      </c>
      <c r="X109" s="42">
        <f ca="1">DSUM($B$73:$Y$85,X$73,$C$92:$D109)</f>
        <v>3.5872560807866307</v>
      </c>
      <c r="Y109" s="42">
        <f ca="1">DSUM($B$73:$Y$85,Y$73,$C$92:$D109)</f>
        <v>49.766395138584762</v>
      </c>
      <c r="Z109" s="9"/>
      <c r="AA109" s="9"/>
      <c r="AB109" s="9"/>
    </row>
    <row r="110" spans="1:28" customFormat="1">
      <c r="A110" s="9"/>
      <c r="B110" s="9" t="s">
        <v>125</v>
      </c>
      <c r="C110" s="53" t="s">
        <v>126</v>
      </c>
      <c r="D110" s="53" t="s">
        <v>127</v>
      </c>
      <c r="E110" s="42">
        <f ca="1">DSUM($B$73:$Y$85,E$73,$C$92:$D110)</f>
        <v>0.39135639309450682</v>
      </c>
      <c r="F110" s="42">
        <f ca="1">DSUM($B$73:$Y$85,F$73,$C$92:$D110)</f>
        <v>0.78023303323938531</v>
      </c>
      <c r="G110" s="42">
        <f ca="1">DSUM($B$73:$Y$85,G$73,$C$92:$D110)</f>
        <v>1.1666496264105659</v>
      </c>
      <c r="H110" s="42">
        <f ca="1">DSUM($B$73:$Y$85,H$73,$C$92:$D110)</f>
        <v>1.5506256584798044</v>
      </c>
      <c r="I110" s="42">
        <f ca="1">DSUM($B$73:$Y$85,I$73,$C$92:$D110)</f>
        <v>1.9321803979827208</v>
      </c>
      <c r="J110" s="42">
        <f ca="1">DSUM($B$73:$Y$85,J$73,$C$92:$D110)</f>
        <v>2.2728106838709423</v>
      </c>
      <c r="K110" s="42">
        <f ca="1">DSUM($B$73:$Y$85,K$73,$C$92:$D110)</f>
        <v>2.5421764658028931</v>
      </c>
      <c r="L110" s="42">
        <f ca="1">DSUM($B$73:$Y$85,L$73,$C$92:$D110)</f>
        <v>2.7547244560314557</v>
      </c>
      <c r="M110" s="42">
        <f ca="1">DSUM($B$73:$Y$85,M$73,$C$92:$D110)</f>
        <v>2.921974698580601</v>
      </c>
      <c r="N110" s="42">
        <f ca="1">DSUM($B$73:$Y$85,N$73,$C$92:$D110)</f>
        <v>3.0531135114811865</v>
      </c>
      <c r="O110" s="42">
        <f ca="1">DSUM($B$73:$Y$85,O$73,$C$92:$D110)</f>
        <v>3.155466285615542</v>
      </c>
      <c r="P110" s="42">
        <f ca="1">DSUM($B$73:$Y$85,P$73,$C$92:$D110)</f>
        <v>3.2348744867455475</v>
      </c>
      <c r="Q110" s="42">
        <f ca="1">DSUM($B$73:$Y$85,Q$73,$C$92:$D110)</f>
        <v>3.2959962729752807</v>
      </c>
      <c r="R110" s="42">
        <f ca="1">DSUM($B$73:$Y$85,R$73,$C$92:$D110)</f>
        <v>3.342546205737972</v>
      </c>
      <c r="S110" s="42">
        <f ca="1">DSUM($B$73:$Y$85,S$73,$C$92:$D110)</f>
        <v>4.027070895956105</v>
      </c>
      <c r="T110" s="42">
        <f ca="1">DSUM($B$73:$Y$85,T$73,$C$92:$D110)</f>
        <v>3.9601404559777937</v>
      </c>
      <c r="U110" s="42">
        <f ca="1">DSUM($B$73:$Y$85,U$73,$C$92:$D110)</f>
        <v>3.8542206623910196</v>
      </c>
      <c r="V110" s="42">
        <f ca="1">DSUM($B$73:$Y$85,V$73,$C$92:$D110)</f>
        <v>3.7594427106901969</v>
      </c>
      <c r="W110" s="42">
        <f ca="1">DSUM($B$73:$Y$85,W$73,$C$92:$D110)</f>
        <v>3.6687977465405863</v>
      </c>
      <c r="X110" s="42">
        <f ca="1">DSUM($B$73:$Y$85,X$73,$C$92:$D110)</f>
        <v>3.5872560807866307</v>
      </c>
      <c r="Y110" s="42">
        <f ca="1">DSUM($B$73:$Y$85,Y$73,$C$92:$D110)</f>
        <v>49.766395138584762</v>
      </c>
      <c r="Z110" s="9"/>
      <c r="AA110" s="9"/>
      <c r="AB110" s="9"/>
    </row>
    <row r="111" spans="1:28" customFormat="1">
      <c r="A111" s="9"/>
      <c r="B111" s="9" t="s">
        <v>128</v>
      </c>
      <c r="C111" s="53" t="s">
        <v>129</v>
      </c>
      <c r="D111" s="53" t="s">
        <v>130</v>
      </c>
      <c r="E111" s="42">
        <f ca="1">DSUM($B$73:$Y$85,E$73,$C$92:$D111)</f>
        <v>0.39135639309450682</v>
      </c>
      <c r="F111" s="42">
        <f ca="1">DSUM($B$73:$Y$85,F$73,$C$92:$D111)</f>
        <v>0.78023303323938531</v>
      </c>
      <c r="G111" s="42">
        <f ca="1">DSUM($B$73:$Y$85,G$73,$C$92:$D111)</f>
        <v>1.1666496264105659</v>
      </c>
      <c r="H111" s="42">
        <f ca="1">DSUM($B$73:$Y$85,H$73,$C$92:$D111)</f>
        <v>1.5506256584798044</v>
      </c>
      <c r="I111" s="42">
        <f ca="1">DSUM($B$73:$Y$85,I$73,$C$92:$D111)</f>
        <v>1.9321803979827208</v>
      </c>
      <c r="J111" s="42">
        <f ca="1">DSUM($B$73:$Y$85,J$73,$C$92:$D111)</f>
        <v>2.2728106838709423</v>
      </c>
      <c r="K111" s="42">
        <f ca="1">DSUM($B$73:$Y$85,K$73,$C$92:$D111)</f>
        <v>2.5421764658028931</v>
      </c>
      <c r="L111" s="42">
        <f ca="1">DSUM($B$73:$Y$85,L$73,$C$92:$D111)</f>
        <v>2.7547244560314557</v>
      </c>
      <c r="M111" s="42">
        <f ca="1">DSUM($B$73:$Y$85,M$73,$C$92:$D111)</f>
        <v>2.921974698580601</v>
      </c>
      <c r="N111" s="42">
        <f ca="1">DSUM($B$73:$Y$85,N$73,$C$92:$D111)</f>
        <v>3.0531135114811865</v>
      </c>
      <c r="O111" s="42">
        <f ca="1">DSUM($B$73:$Y$85,O$73,$C$92:$D111)</f>
        <v>3.155466285615542</v>
      </c>
      <c r="P111" s="42">
        <f ca="1">DSUM($B$73:$Y$85,P$73,$C$92:$D111)</f>
        <v>3.2348744867455475</v>
      </c>
      <c r="Q111" s="42">
        <f ca="1">DSUM($B$73:$Y$85,Q$73,$C$92:$D111)</f>
        <v>3.2959962729752807</v>
      </c>
      <c r="R111" s="42">
        <f ca="1">DSUM($B$73:$Y$85,R$73,$C$92:$D111)</f>
        <v>3.342546205737972</v>
      </c>
      <c r="S111" s="42">
        <f ca="1">DSUM($B$73:$Y$85,S$73,$C$92:$D111)</f>
        <v>4.027070895956105</v>
      </c>
      <c r="T111" s="42">
        <f ca="1">DSUM($B$73:$Y$85,T$73,$C$92:$D111)</f>
        <v>3.9601404559777937</v>
      </c>
      <c r="U111" s="42">
        <f ca="1">DSUM($B$73:$Y$85,U$73,$C$92:$D111)</f>
        <v>3.8542206623910196</v>
      </c>
      <c r="V111" s="42">
        <f ca="1">DSUM($B$73:$Y$85,V$73,$C$92:$D111)</f>
        <v>3.7594427106901969</v>
      </c>
      <c r="W111" s="42">
        <f ca="1">DSUM($B$73:$Y$85,W$73,$C$92:$D111)</f>
        <v>3.6687977465405863</v>
      </c>
      <c r="X111" s="42">
        <f ca="1">DSUM($B$73:$Y$85,X$73,$C$92:$D111)</f>
        <v>3.5872560807866307</v>
      </c>
      <c r="Y111" s="42">
        <f ca="1">DSUM($B$73:$Y$85,Y$73,$C$92:$D111)</f>
        <v>49.766395138584762</v>
      </c>
      <c r="Z111" s="9"/>
      <c r="AA111" s="9"/>
      <c r="AB111" s="9"/>
    </row>
    <row r="112" spans="1:28" customFormat="1">
      <c r="A112" s="9"/>
      <c r="B112" s="9" t="s">
        <v>131</v>
      </c>
      <c r="C112" s="53" t="s">
        <v>132</v>
      </c>
      <c r="D112" s="53" t="s">
        <v>133</v>
      </c>
      <c r="E112" s="42">
        <f ca="1">DSUM($B$73:$Y$85,E$73,$C$92:$D112)</f>
        <v>0.39135639309450682</v>
      </c>
      <c r="F112" s="42">
        <f ca="1">DSUM($B$73:$Y$85,F$73,$C$92:$D112)</f>
        <v>0.78023303323938531</v>
      </c>
      <c r="G112" s="42">
        <f ca="1">DSUM($B$73:$Y$85,G$73,$C$92:$D112)</f>
        <v>1.1666496264105659</v>
      </c>
      <c r="H112" s="42">
        <f ca="1">DSUM($B$73:$Y$85,H$73,$C$92:$D112)</f>
        <v>1.5506256584798044</v>
      </c>
      <c r="I112" s="42">
        <f ca="1">DSUM($B$73:$Y$85,I$73,$C$92:$D112)</f>
        <v>1.9321803979827208</v>
      </c>
      <c r="J112" s="42">
        <f ca="1">DSUM($B$73:$Y$85,J$73,$C$92:$D112)</f>
        <v>2.2728106838709423</v>
      </c>
      <c r="K112" s="42">
        <f ca="1">DSUM($B$73:$Y$85,K$73,$C$92:$D112)</f>
        <v>2.5421764658028931</v>
      </c>
      <c r="L112" s="42">
        <f ca="1">DSUM($B$73:$Y$85,L$73,$C$92:$D112)</f>
        <v>2.7547244560314557</v>
      </c>
      <c r="M112" s="42">
        <f ca="1">DSUM($B$73:$Y$85,M$73,$C$92:$D112)</f>
        <v>2.921974698580601</v>
      </c>
      <c r="N112" s="42">
        <f ca="1">DSUM($B$73:$Y$85,N$73,$C$92:$D112)</f>
        <v>3.0531135114811865</v>
      </c>
      <c r="O112" s="42">
        <f ca="1">DSUM($B$73:$Y$85,O$73,$C$92:$D112)</f>
        <v>3.155466285615542</v>
      </c>
      <c r="P112" s="42">
        <f ca="1">DSUM($B$73:$Y$85,P$73,$C$92:$D112)</f>
        <v>3.2348744867455475</v>
      </c>
      <c r="Q112" s="42">
        <f ca="1">DSUM($B$73:$Y$85,Q$73,$C$92:$D112)</f>
        <v>3.2959962729752807</v>
      </c>
      <c r="R112" s="42">
        <f ca="1">DSUM($B$73:$Y$85,R$73,$C$92:$D112)</f>
        <v>3.342546205737972</v>
      </c>
      <c r="S112" s="42">
        <f ca="1">DSUM($B$73:$Y$85,S$73,$C$92:$D112)</f>
        <v>4.027070895956105</v>
      </c>
      <c r="T112" s="42">
        <f ca="1">DSUM($B$73:$Y$85,T$73,$C$92:$D112)</f>
        <v>3.9601404559777937</v>
      </c>
      <c r="U112" s="42">
        <f ca="1">DSUM($B$73:$Y$85,U$73,$C$92:$D112)</f>
        <v>3.8542206623910196</v>
      </c>
      <c r="V112" s="42">
        <f ca="1">DSUM($B$73:$Y$85,V$73,$C$92:$D112)</f>
        <v>3.7594427106901969</v>
      </c>
      <c r="W112" s="42">
        <f ca="1">DSUM($B$73:$Y$85,W$73,$C$92:$D112)</f>
        <v>3.6687977465405863</v>
      </c>
      <c r="X112" s="42">
        <f ca="1">DSUM($B$73:$Y$85,X$73,$C$92:$D112)</f>
        <v>3.5872560807866307</v>
      </c>
      <c r="Y112" s="42">
        <f ca="1">DSUM($B$73:$Y$85,Y$73,$C$92:$D112)</f>
        <v>49.766395138584762</v>
      </c>
      <c r="Z112" s="9"/>
      <c r="AA112" s="9"/>
      <c r="AB112" s="9"/>
    </row>
    <row r="113" spans="1:28" customFormat="1">
      <c r="A113" s="9"/>
      <c r="B113" s="9" t="s">
        <v>134</v>
      </c>
      <c r="C113" s="53" t="s">
        <v>135</v>
      </c>
      <c r="D113" s="53" t="s">
        <v>136</v>
      </c>
      <c r="E113" s="42">
        <f ca="1">DSUM($B$73:$Y$85,E$73,$C$92:$D113)</f>
        <v>0.39135639309450682</v>
      </c>
      <c r="F113" s="42">
        <f ca="1">DSUM($B$73:$Y$85,F$73,$C$92:$D113)</f>
        <v>0.78023303323938531</v>
      </c>
      <c r="G113" s="42">
        <f ca="1">DSUM($B$73:$Y$85,G$73,$C$92:$D113)</f>
        <v>1.1666496264105659</v>
      </c>
      <c r="H113" s="42">
        <f ca="1">DSUM($B$73:$Y$85,H$73,$C$92:$D113)</f>
        <v>1.5506256584798044</v>
      </c>
      <c r="I113" s="42">
        <f ca="1">DSUM($B$73:$Y$85,I$73,$C$92:$D113)</f>
        <v>1.9321803979827208</v>
      </c>
      <c r="J113" s="42">
        <f ca="1">DSUM($B$73:$Y$85,J$73,$C$92:$D113)</f>
        <v>2.2728106838709423</v>
      </c>
      <c r="K113" s="42">
        <f ca="1">DSUM($B$73:$Y$85,K$73,$C$92:$D113)</f>
        <v>2.5421764658028931</v>
      </c>
      <c r="L113" s="42">
        <f ca="1">DSUM($B$73:$Y$85,L$73,$C$92:$D113)</f>
        <v>2.7547244560314557</v>
      </c>
      <c r="M113" s="42">
        <f ca="1">DSUM($B$73:$Y$85,M$73,$C$92:$D113)</f>
        <v>2.921974698580601</v>
      </c>
      <c r="N113" s="42">
        <f ca="1">DSUM($B$73:$Y$85,N$73,$C$92:$D113)</f>
        <v>3.0531135114811865</v>
      </c>
      <c r="O113" s="42">
        <f ca="1">DSUM($B$73:$Y$85,O$73,$C$92:$D113)</f>
        <v>3.155466285615542</v>
      </c>
      <c r="P113" s="42">
        <f ca="1">DSUM($B$73:$Y$85,P$73,$C$92:$D113)</f>
        <v>3.2348744867455475</v>
      </c>
      <c r="Q113" s="42">
        <f ca="1">DSUM($B$73:$Y$85,Q$73,$C$92:$D113)</f>
        <v>3.2959962729752807</v>
      </c>
      <c r="R113" s="42">
        <f ca="1">DSUM($B$73:$Y$85,R$73,$C$92:$D113)</f>
        <v>3.342546205737972</v>
      </c>
      <c r="S113" s="42">
        <f ca="1">DSUM($B$73:$Y$85,S$73,$C$92:$D113)</f>
        <v>4.027070895956105</v>
      </c>
      <c r="T113" s="42">
        <f ca="1">DSUM($B$73:$Y$85,T$73,$C$92:$D113)</f>
        <v>3.9601404559777937</v>
      </c>
      <c r="U113" s="42">
        <f ca="1">DSUM($B$73:$Y$85,U$73,$C$92:$D113)</f>
        <v>3.8542206623910196</v>
      </c>
      <c r="V113" s="42">
        <f ca="1">DSUM($B$73:$Y$85,V$73,$C$92:$D113)</f>
        <v>3.7594427106901969</v>
      </c>
      <c r="W113" s="42">
        <f ca="1">DSUM($B$73:$Y$85,W$73,$C$92:$D113)</f>
        <v>3.6687977465405863</v>
      </c>
      <c r="X113" s="42">
        <f ca="1">DSUM($B$73:$Y$85,X$73,$C$92:$D113)</f>
        <v>3.5872560807866307</v>
      </c>
      <c r="Y113" s="42">
        <f ca="1">DSUM($B$73:$Y$85,Y$73,$C$92:$D113)</f>
        <v>49.766395138584762</v>
      </c>
      <c r="Z113" s="9"/>
      <c r="AA113" s="9"/>
      <c r="AB113" s="9"/>
    </row>
    <row r="114" spans="1:28" customFormat="1">
      <c r="A114" s="9"/>
      <c r="B114" s="9" t="s">
        <v>1167</v>
      </c>
      <c r="C114" s="53" t="s">
        <v>137</v>
      </c>
      <c r="D114" s="53" t="s">
        <v>1178</v>
      </c>
      <c r="E114" s="42">
        <f ca="1">DSUM($B$73:$Y$85,E$73,$C$92:$D114)</f>
        <v>0.39135639309450682</v>
      </c>
      <c r="F114" s="42">
        <f ca="1">DSUM($B$73:$Y$85,F$73,$C$92:$D114)</f>
        <v>0.78023303323938531</v>
      </c>
      <c r="G114" s="42">
        <f ca="1">DSUM($B$73:$Y$85,G$73,$C$92:$D114)</f>
        <v>1.1666496264105659</v>
      </c>
      <c r="H114" s="42">
        <f ca="1">DSUM($B$73:$Y$85,H$73,$C$92:$D114)</f>
        <v>1.5506256584798044</v>
      </c>
      <c r="I114" s="42">
        <f ca="1">DSUM($B$73:$Y$85,I$73,$C$92:$D114)</f>
        <v>1.9321803979827208</v>
      </c>
      <c r="J114" s="42">
        <f ca="1">DSUM($B$73:$Y$85,J$73,$C$92:$D114)</f>
        <v>2.2728106838709423</v>
      </c>
      <c r="K114" s="42">
        <f ca="1">DSUM($B$73:$Y$85,K$73,$C$92:$D114)</f>
        <v>2.5421764658028931</v>
      </c>
      <c r="L114" s="42">
        <f ca="1">DSUM($B$73:$Y$85,L$73,$C$92:$D114)</f>
        <v>2.7547244560314557</v>
      </c>
      <c r="M114" s="42">
        <f ca="1">DSUM($B$73:$Y$85,M$73,$C$92:$D114)</f>
        <v>2.921974698580601</v>
      </c>
      <c r="N114" s="42">
        <f ca="1">DSUM($B$73:$Y$85,N$73,$C$92:$D114)</f>
        <v>3.0531135114811865</v>
      </c>
      <c r="O114" s="42">
        <f ca="1">DSUM($B$73:$Y$85,O$73,$C$92:$D114)</f>
        <v>3.155466285615542</v>
      </c>
      <c r="P114" s="42">
        <f ca="1">DSUM($B$73:$Y$85,P$73,$C$92:$D114)</f>
        <v>3.2348744867455475</v>
      </c>
      <c r="Q114" s="42">
        <f ca="1">DSUM($B$73:$Y$85,Q$73,$C$92:$D114)</f>
        <v>3.2959962729752807</v>
      </c>
      <c r="R114" s="42">
        <f ca="1">DSUM($B$73:$Y$85,R$73,$C$92:$D114)</f>
        <v>3.342546205737972</v>
      </c>
      <c r="S114" s="42">
        <f ca="1">DSUM($B$73:$Y$85,S$73,$C$92:$D114)</f>
        <v>4.027070895956105</v>
      </c>
      <c r="T114" s="42">
        <f ca="1">DSUM($B$73:$Y$85,T$73,$C$92:$D114)</f>
        <v>3.9601404559777937</v>
      </c>
      <c r="U114" s="42">
        <f ca="1">DSUM($B$73:$Y$85,U$73,$C$92:$D114)</f>
        <v>3.8542206623910196</v>
      </c>
      <c r="V114" s="42">
        <f ca="1">DSUM($B$73:$Y$85,V$73,$C$92:$D114)</f>
        <v>3.7594427106901969</v>
      </c>
      <c r="W114" s="42">
        <f ca="1">DSUM($B$73:$Y$85,W$73,$C$92:$D114)</f>
        <v>3.6687977465405863</v>
      </c>
      <c r="X114" s="42">
        <f ca="1">DSUM($B$73:$Y$85,X$73,$C$92:$D114)</f>
        <v>3.5872560807866307</v>
      </c>
      <c r="Y114" s="42">
        <f ca="1">DSUM($B$73:$Y$85,Y$73,$C$92:$D114)</f>
        <v>49.766395138584762</v>
      </c>
      <c r="Z114" s="9"/>
      <c r="AA114" s="9"/>
      <c r="AB114" s="9"/>
    </row>
    <row r="115" spans="1:28" customFormat="1">
      <c r="A115" s="9"/>
      <c r="B115" s="9" t="s">
        <v>1168</v>
      </c>
      <c r="C115" s="53" t="s">
        <v>1179</v>
      </c>
      <c r="D115" s="53" t="s">
        <v>1180</v>
      </c>
      <c r="E115" s="42">
        <f ca="1">DSUM($B$73:$Y$85,E$73,$C$92:$D115)</f>
        <v>0.39135639309450682</v>
      </c>
      <c r="F115" s="42">
        <f ca="1">DSUM($B$73:$Y$85,F$73,$C$92:$D115)</f>
        <v>0.78023303323938531</v>
      </c>
      <c r="G115" s="42">
        <f ca="1">DSUM($B$73:$Y$85,G$73,$C$92:$D115)</f>
        <v>1.1666496264105659</v>
      </c>
      <c r="H115" s="42">
        <f ca="1">DSUM($B$73:$Y$85,H$73,$C$92:$D115)</f>
        <v>1.5506256584798044</v>
      </c>
      <c r="I115" s="42">
        <f ca="1">DSUM($B$73:$Y$85,I$73,$C$92:$D115)</f>
        <v>1.9321803979827208</v>
      </c>
      <c r="J115" s="42">
        <f ca="1">DSUM($B$73:$Y$85,J$73,$C$92:$D115)</f>
        <v>2.2728106838709423</v>
      </c>
      <c r="K115" s="42">
        <f ca="1">DSUM($B$73:$Y$85,K$73,$C$92:$D115)</f>
        <v>2.5421764658028931</v>
      </c>
      <c r="L115" s="42">
        <f ca="1">DSUM($B$73:$Y$85,L$73,$C$92:$D115)</f>
        <v>2.7547244560314557</v>
      </c>
      <c r="M115" s="42">
        <f ca="1">DSUM($B$73:$Y$85,M$73,$C$92:$D115)</f>
        <v>2.921974698580601</v>
      </c>
      <c r="N115" s="42">
        <f ca="1">DSUM($B$73:$Y$85,N$73,$C$92:$D115)</f>
        <v>3.0531135114811865</v>
      </c>
      <c r="O115" s="42">
        <f ca="1">DSUM($B$73:$Y$85,O$73,$C$92:$D115)</f>
        <v>3.155466285615542</v>
      </c>
      <c r="P115" s="42">
        <f ca="1">DSUM($B$73:$Y$85,P$73,$C$92:$D115)</f>
        <v>3.2348744867455475</v>
      </c>
      <c r="Q115" s="42">
        <f ca="1">DSUM($B$73:$Y$85,Q$73,$C$92:$D115)</f>
        <v>3.2959962729752807</v>
      </c>
      <c r="R115" s="42">
        <f ca="1">DSUM($B$73:$Y$85,R$73,$C$92:$D115)</f>
        <v>3.342546205737972</v>
      </c>
      <c r="S115" s="42">
        <f ca="1">DSUM($B$73:$Y$85,S$73,$C$92:$D115)</f>
        <v>4.027070895956105</v>
      </c>
      <c r="T115" s="42">
        <f ca="1">DSUM($B$73:$Y$85,T$73,$C$92:$D115)</f>
        <v>3.9601404559777937</v>
      </c>
      <c r="U115" s="42">
        <f ca="1">DSUM($B$73:$Y$85,U$73,$C$92:$D115)</f>
        <v>3.8542206623910196</v>
      </c>
      <c r="V115" s="42">
        <f ca="1">DSUM($B$73:$Y$85,V$73,$C$92:$D115)</f>
        <v>3.7594427106901969</v>
      </c>
      <c r="W115" s="42">
        <f ca="1">DSUM($B$73:$Y$85,W$73,$C$92:$D115)</f>
        <v>3.6687977465405863</v>
      </c>
      <c r="X115" s="42">
        <f ca="1">DSUM($B$73:$Y$85,X$73,$C$92:$D115)</f>
        <v>3.5872560807866307</v>
      </c>
      <c r="Y115" s="42">
        <f ca="1">DSUM($B$73:$Y$85,Y$73,$C$92:$D115)</f>
        <v>49.766395138584762</v>
      </c>
      <c r="Z115" s="9"/>
      <c r="AA115" s="9"/>
      <c r="AB115" s="9"/>
    </row>
    <row r="116" spans="1:28" customFormat="1">
      <c r="A116" s="9"/>
      <c r="B116" s="9" t="s">
        <v>1169</v>
      </c>
      <c r="C116" s="53" t="s">
        <v>1181</v>
      </c>
      <c r="D116" s="53" t="s">
        <v>1182</v>
      </c>
      <c r="E116" s="42">
        <f ca="1">DSUM($B$73:$Y$85,E$73,$C$92:$D116)</f>
        <v>0.39135639309450682</v>
      </c>
      <c r="F116" s="42">
        <f ca="1">DSUM($B$73:$Y$85,F$73,$C$92:$D116)</f>
        <v>0.78023303323938531</v>
      </c>
      <c r="G116" s="42">
        <f ca="1">DSUM($B$73:$Y$85,G$73,$C$92:$D116)</f>
        <v>1.1666496264105659</v>
      </c>
      <c r="H116" s="42">
        <f ca="1">DSUM($B$73:$Y$85,H$73,$C$92:$D116)</f>
        <v>1.5506256584798044</v>
      </c>
      <c r="I116" s="42">
        <f ca="1">DSUM($B$73:$Y$85,I$73,$C$92:$D116)</f>
        <v>1.9321803979827208</v>
      </c>
      <c r="J116" s="42">
        <f ca="1">DSUM($B$73:$Y$85,J$73,$C$92:$D116)</f>
        <v>2.2728106838709423</v>
      </c>
      <c r="K116" s="42">
        <f ca="1">DSUM($B$73:$Y$85,K$73,$C$92:$D116)</f>
        <v>2.5421764658028931</v>
      </c>
      <c r="L116" s="42">
        <f ca="1">DSUM($B$73:$Y$85,L$73,$C$92:$D116)</f>
        <v>2.7547244560314557</v>
      </c>
      <c r="M116" s="42">
        <f ca="1">DSUM($B$73:$Y$85,M$73,$C$92:$D116)</f>
        <v>2.921974698580601</v>
      </c>
      <c r="N116" s="42">
        <f ca="1">DSUM($B$73:$Y$85,N$73,$C$92:$D116)</f>
        <v>3.0531135114811865</v>
      </c>
      <c r="O116" s="42">
        <f ca="1">DSUM($B$73:$Y$85,O$73,$C$92:$D116)</f>
        <v>3.155466285615542</v>
      </c>
      <c r="P116" s="42">
        <f ca="1">DSUM($B$73:$Y$85,P$73,$C$92:$D116)</f>
        <v>3.2348744867455475</v>
      </c>
      <c r="Q116" s="42">
        <f ca="1">DSUM($B$73:$Y$85,Q$73,$C$92:$D116)</f>
        <v>3.2959962729752807</v>
      </c>
      <c r="R116" s="42">
        <f ca="1">DSUM($B$73:$Y$85,R$73,$C$92:$D116)</f>
        <v>3.342546205737972</v>
      </c>
      <c r="S116" s="42">
        <f ca="1">DSUM($B$73:$Y$85,S$73,$C$92:$D116)</f>
        <v>4.027070895956105</v>
      </c>
      <c r="T116" s="42">
        <f ca="1">DSUM($B$73:$Y$85,T$73,$C$92:$D116)</f>
        <v>3.9601404559777937</v>
      </c>
      <c r="U116" s="42">
        <f ca="1">DSUM($B$73:$Y$85,U$73,$C$92:$D116)</f>
        <v>3.8542206623910196</v>
      </c>
      <c r="V116" s="42">
        <f ca="1">DSUM($B$73:$Y$85,V$73,$C$92:$D116)</f>
        <v>3.7594427106901969</v>
      </c>
      <c r="W116" s="42">
        <f ca="1">DSUM($B$73:$Y$85,W$73,$C$92:$D116)</f>
        <v>3.6687977465405863</v>
      </c>
      <c r="X116" s="42">
        <f ca="1">DSUM($B$73:$Y$85,X$73,$C$92:$D116)</f>
        <v>3.5872560807866307</v>
      </c>
      <c r="Y116" s="42">
        <f ca="1">DSUM($B$73:$Y$85,Y$73,$C$92:$D116)</f>
        <v>49.766395138584762</v>
      </c>
      <c r="Z116" s="9"/>
      <c r="AA116" s="9"/>
      <c r="AB116" s="9"/>
    </row>
    <row r="117" spans="1:28" customFormat="1">
      <c r="A117" s="9"/>
      <c r="B117" s="9" t="s">
        <v>1170</v>
      </c>
      <c r="C117" s="53" t="s">
        <v>1183</v>
      </c>
      <c r="D117" s="53" t="s">
        <v>1184</v>
      </c>
      <c r="E117" s="42">
        <f ca="1">DSUM($B$73:$Y$85,E$73,$C$92:$D117)</f>
        <v>0.39135639309450682</v>
      </c>
      <c r="F117" s="42">
        <f ca="1">DSUM($B$73:$Y$85,F$73,$C$92:$D117)</f>
        <v>0.78023303323938531</v>
      </c>
      <c r="G117" s="42">
        <f ca="1">DSUM($B$73:$Y$85,G$73,$C$92:$D117)</f>
        <v>1.1666496264105659</v>
      </c>
      <c r="H117" s="42">
        <f ca="1">DSUM($B$73:$Y$85,H$73,$C$92:$D117)</f>
        <v>1.5506256584798044</v>
      </c>
      <c r="I117" s="42">
        <f ca="1">DSUM($B$73:$Y$85,I$73,$C$92:$D117)</f>
        <v>1.9321803979827208</v>
      </c>
      <c r="J117" s="42">
        <f ca="1">DSUM($B$73:$Y$85,J$73,$C$92:$D117)</f>
        <v>2.2728106838709423</v>
      </c>
      <c r="K117" s="42">
        <f ca="1">DSUM($B$73:$Y$85,K$73,$C$92:$D117)</f>
        <v>2.5421764658028931</v>
      </c>
      <c r="L117" s="42">
        <f ca="1">DSUM($B$73:$Y$85,L$73,$C$92:$D117)</f>
        <v>2.7547244560314557</v>
      </c>
      <c r="M117" s="42">
        <f ca="1">DSUM($B$73:$Y$85,M$73,$C$92:$D117)</f>
        <v>2.921974698580601</v>
      </c>
      <c r="N117" s="42">
        <f ca="1">DSUM($B$73:$Y$85,N$73,$C$92:$D117)</f>
        <v>3.0531135114811865</v>
      </c>
      <c r="O117" s="42">
        <f ca="1">DSUM($B$73:$Y$85,O$73,$C$92:$D117)</f>
        <v>3.155466285615542</v>
      </c>
      <c r="P117" s="42">
        <f ca="1">DSUM($B$73:$Y$85,P$73,$C$92:$D117)</f>
        <v>3.2348744867455475</v>
      </c>
      <c r="Q117" s="42">
        <f ca="1">DSUM($B$73:$Y$85,Q$73,$C$92:$D117)</f>
        <v>3.2959962729752807</v>
      </c>
      <c r="R117" s="42">
        <f ca="1">DSUM($B$73:$Y$85,R$73,$C$92:$D117)</f>
        <v>3.342546205737972</v>
      </c>
      <c r="S117" s="42">
        <f ca="1">DSUM($B$73:$Y$85,S$73,$C$92:$D117)</f>
        <v>4.027070895956105</v>
      </c>
      <c r="T117" s="42">
        <f ca="1">DSUM($B$73:$Y$85,T$73,$C$92:$D117)</f>
        <v>3.9601404559777937</v>
      </c>
      <c r="U117" s="42">
        <f ca="1">DSUM($B$73:$Y$85,U$73,$C$92:$D117)</f>
        <v>3.8542206623910196</v>
      </c>
      <c r="V117" s="42">
        <f ca="1">DSUM($B$73:$Y$85,V$73,$C$92:$D117)</f>
        <v>3.7594427106901969</v>
      </c>
      <c r="W117" s="42">
        <f ca="1">DSUM($B$73:$Y$85,W$73,$C$92:$D117)</f>
        <v>3.6687977465405863</v>
      </c>
      <c r="X117" s="42">
        <f ca="1">DSUM($B$73:$Y$85,X$73,$C$92:$D117)</f>
        <v>3.5872560807866307</v>
      </c>
      <c r="Y117" s="42">
        <f ca="1">DSUM($B$73:$Y$85,Y$73,$C$92:$D117)</f>
        <v>49.766395138584762</v>
      </c>
      <c r="Z117" s="9"/>
      <c r="AA117" s="9"/>
      <c r="AB117" s="9"/>
    </row>
    <row r="118" spans="1:28" customFormat="1">
      <c r="A118" s="9"/>
      <c r="B118" s="9" t="s">
        <v>1171</v>
      </c>
      <c r="C118" s="53" t="s">
        <v>1185</v>
      </c>
      <c r="D118" s="53" t="s">
        <v>1186</v>
      </c>
      <c r="E118" s="42">
        <f ca="1">DSUM($B$73:$Y$85,E$73,$C$92:$D118)</f>
        <v>0.39135639309450682</v>
      </c>
      <c r="F118" s="42">
        <f ca="1">DSUM($B$73:$Y$85,F$73,$C$92:$D118)</f>
        <v>0.78023303323938531</v>
      </c>
      <c r="G118" s="42">
        <f ca="1">DSUM($B$73:$Y$85,G$73,$C$92:$D118)</f>
        <v>1.1666496264105659</v>
      </c>
      <c r="H118" s="42">
        <f ca="1">DSUM($B$73:$Y$85,H$73,$C$92:$D118)</f>
        <v>1.5506256584798044</v>
      </c>
      <c r="I118" s="42">
        <f ca="1">DSUM($B$73:$Y$85,I$73,$C$92:$D118)</f>
        <v>1.9321803979827208</v>
      </c>
      <c r="J118" s="42">
        <f ca="1">DSUM($B$73:$Y$85,J$73,$C$92:$D118)</f>
        <v>2.2728106838709423</v>
      </c>
      <c r="K118" s="42">
        <f ca="1">DSUM($B$73:$Y$85,K$73,$C$92:$D118)</f>
        <v>2.5421764658028931</v>
      </c>
      <c r="L118" s="42">
        <f ca="1">DSUM($B$73:$Y$85,L$73,$C$92:$D118)</f>
        <v>2.7547244560314557</v>
      </c>
      <c r="M118" s="42">
        <f ca="1">DSUM($B$73:$Y$85,M$73,$C$92:$D118)</f>
        <v>2.921974698580601</v>
      </c>
      <c r="N118" s="42">
        <f ca="1">DSUM($B$73:$Y$85,N$73,$C$92:$D118)</f>
        <v>3.0531135114811865</v>
      </c>
      <c r="O118" s="42">
        <f ca="1">DSUM($B$73:$Y$85,O$73,$C$92:$D118)</f>
        <v>3.155466285615542</v>
      </c>
      <c r="P118" s="42">
        <f ca="1">DSUM($B$73:$Y$85,P$73,$C$92:$D118)</f>
        <v>3.2348744867455475</v>
      </c>
      <c r="Q118" s="42">
        <f ca="1">DSUM($B$73:$Y$85,Q$73,$C$92:$D118)</f>
        <v>3.2959962729752807</v>
      </c>
      <c r="R118" s="42">
        <f ca="1">DSUM($B$73:$Y$85,R$73,$C$92:$D118)</f>
        <v>3.342546205737972</v>
      </c>
      <c r="S118" s="42">
        <f ca="1">DSUM($B$73:$Y$85,S$73,$C$92:$D118)</f>
        <v>4.027070895956105</v>
      </c>
      <c r="T118" s="42">
        <f ca="1">DSUM($B$73:$Y$85,T$73,$C$92:$D118)</f>
        <v>3.9601404559777937</v>
      </c>
      <c r="U118" s="42">
        <f ca="1">DSUM($B$73:$Y$85,U$73,$C$92:$D118)</f>
        <v>3.8542206623910196</v>
      </c>
      <c r="V118" s="42">
        <f ca="1">DSUM($B$73:$Y$85,V$73,$C$92:$D118)</f>
        <v>3.7594427106901969</v>
      </c>
      <c r="W118" s="42">
        <f ca="1">DSUM($B$73:$Y$85,W$73,$C$92:$D118)</f>
        <v>3.6687977465405863</v>
      </c>
      <c r="X118" s="42">
        <f ca="1">DSUM($B$73:$Y$85,X$73,$C$92:$D118)</f>
        <v>3.5872560807866307</v>
      </c>
      <c r="Y118" s="42">
        <f ca="1">DSUM($B$73:$Y$85,Y$73,$C$92:$D118)</f>
        <v>49.766395138584762</v>
      </c>
      <c r="Z118" s="9"/>
      <c r="AA118" s="9"/>
      <c r="AB118" s="9"/>
    </row>
    <row r="119" spans="1:28" customFormat="1">
      <c r="A119" s="9"/>
      <c r="B119" s="9" t="s">
        <v>1172</v>
      </c>
      <c r="C119" s="53" t="s">
        <v>1187</v>
      </c>
      <c r="D119" s="53" t="s">
        <v>1188</v>
      </c>
      <c r="E119" s="42">
        <f ca="1">DSUM($B$73:$Y$85,E$73,$C$92:$D119)</f>
        <v>0.39135639309450682</v>
      </c>
      <c r="F119" s="42">
        <f ca="1">DSUM($B$73:$Y$85,F$73,$C$92:$D119)</f>
        <v>0.78023303323938531</v>
      </c>
      <c r="G119" s="42">
        <f ca="1">DSUM($B$73:$Y$85,G$73,$C$92:$D119)</f>
        <v>1.1666496264105659</v>
      </c>
      <c r="H119" s="42">
        <f ca="1">DSUM($B$73:$Y$85,H$73,$C$92:$D119)</f>
        <v>1.5506256584798044</v>
      </c>
      <c r="I119" s="42">
        <f ca="1">DSUM($B$73:$Y$85,I$73,$C$92:$D119)</f>
        <v>1.9321803979827208</v>
      </c>
      <c r="J119" s="42">
        <f ca="1">DSUM($B$73:$Y$85,J$73,$C$92:$D119)</f>
        <v>2.2728106838709423</v>
      </c>
      <c r="K119" s="42">
        <f ca="1">DSUM($B$73:$Y$85,K$73,$C$92:$D119)</f>
        <v>2.5421764658028931</v>
      </c>
      <c r="L119" s="42">
        <f ca="1">DSUM($B$73:$Y$85,L$73,$C$92:$D119)</f>
        <v>2.7547244560314557</v>
      </c>
      <c r="M119" s="42">
        <f ca="1">DSUM($B$73:$Y$85,M$73,$C$92:$D119)</f>
        <v>2.921974698580601</v>
      </c>
      <c r="N119" s="42">
        <f ca="1">DSUM($B$73:$Y$85,N$73,$C$92:$D119)</f>
        <v>3.0531135114811865</v>
      </c>
      <c r="O119" s="42">
        <f ca="1">DSUM($B$73:$Y$85,O$73,$C$92:$D119)</f>
        <v>3.155466285615542</v>
      </c>
      <c r="P119" s="42">
        <f ca="1">DSUM($B$73:$Y$85,P$73,$C$92:$D119)</f>
        <v>3.2348744867455475</v>
      </c>
      <c r="Q119" s="42">
        <f ca="1">DSUM($B$73:$Y$85,Q$73,$C$92:$D119)</f>
        <v>3.2959962729752807</v>
      </c>
      <c r="R119" s="42">
        <f ca="1">DSUM($B$73:$Y$85,R$73,$C$92:$D119)</f>
        <v>3.342546205737972</v>
      </c>
      <c r="S119" s="42">
        <f ca="1">DSUM($B$73:$Y$85,S$73,$C$92:$D119)</f>
        <v>4.027070895956105</v>
      </c>
      <c r="T119" s="42">
        <f ca="1">DSUM($B$73:$Y$85,T$73,$C$92:$D119)</f>
        <v>3.9601404559777937</v>
      </c>
      <c r="U119" s="42">
        <f ca="1">DSUM($B$73:$Y$85,U$73,$C$92:$D119)</f>
        <v>3.8542206623910196</v>
      </c>
      <c r="V119" s="42">
        <f ca="1">DSUM($B$73:$Y$85,V$73,$C$92:$D119)</f>
        <v>3.7594427106901969</v>
      </c>
      <c r="W119" s="42">
        <f ca="1">DSUM($B$73:$Y$85,W$73,$C$92:$D119)</f>
        <v>3.6687977465405863</v>
      </c>
      <c r="X119" s="42">
        <f ca="1">DSUM($B$73:$Y$85,X$73,$C$92:$D119)</f>
        <v>3.5872560807866307</v>
      </c>
      <c r="Y119" s="42">
        <f ca="1">DSUM($B$73:$Y$85,Y$73,$C$92:$D119)</f>
        <v>49.766395138584762</v>
      </c>
      <c r="Z119" s="9"/>
      <c r="AA119" s="9"/>
      <c r="AB119" s="9"/>
    </row>
    <row r="120" spans="1:28" customFormat="1">
      <c r="A120" s="9"/>
      <c r="B120" s="9" t="s">
        <v>1173</v>
      </c>
      <c r="C120" s="53" t="s">
        <v>1189</v>
      </c>
      <c r="D120" s="53" t="s">
        <v>1190</v>
      </c>
      <c r="E120" s="42">
        <f ca="1">DSUM($B$73:$Y$85,E$73,$C$92:$D120)</f>
        <v>0.39135639309450682</v>
      </c>
      <c r="F120" s="42">
        <f ca="1">DSUM($B$73:$Y$85,F$73,$C$92:$D120)</f>
        <v>0.78023303323938531</v>
      </c>
      <c r="G120" s="42">
        <f ca="1">DSUM($B$73:$Y$85,G$73,$C$92:$D120)</f>
        <v>1.1666496264105659</v>
      </c>
      <c r="H120" s="42">
        <f ca="1">DSUM($B$73:$Y$85,H$73,$C$92:$D120)</f>
        <v>1.5506256584798044</v>
      </c>
      <c r="I120" s="42">
        <f ca="1">DSUM($B$73:$Y$85,I$73,$C$92:$D120)</f>
        <v>1.9321803979827208</v>
      </c>
      <c r="J120" s="42">
        <f ca="1">DSUM($B$73:$Y$85,J$73,$C$92:$D120)</f>
        <v>2.2728106838709423</v>
      </c>
      <c r="K120" s="42">
        <f ca="1">DSUM($B$73:$Y$85,K$73,$C$92:$D120)</f>
        <v>2.5421764658028931</v>
      </c>
      <c r="L120" s="42">
        <f ca="1">DSUM($B$73:$Y$85,L$73,$C$92:$D120)</f>
        <v>2.7547244560314557</v>
      </c>
      <c r="M120" s="42">
        <f ca="1">DSUM($B$73:$Y$85,M$73,$C$92:$D120)</f>
        <v>2.921974698580601</v>
      </c>
      <c r="N120" s="42">
        <f ca="1">DSUM($B$73:$Y$85,N$73,$C$92:$D120)</f>
        <v>3.0531135114811865</v>
      </c>
      <c r="O120" s="42">
        <f ca="1">DSUM($B$73:$Y$85,O$73,$C$92:$D120)</f>
        <v>3.155466285615542</v>
      </c>
      <c r="P120" s="42">
        <f ca="1">DSUM($B$73:$Y$85,P$73,$C$92:$D120)</f>
        <v>3.2348744867455475</v>
      </c>
      <c r="Q120" s="42">
        <f ca="1">DSUM($B$73:$Y$85,Q$73,$C$92:$D120)</f>
        <v>3.2959962729752807</v>
      </c>
      <c r="R120" s="42">
        <f ca="1">DSUM($B$73:$Y$85,R$73,$C$92:$D120)</f>
        <v>3.342546205737972</v>
      </c>
      <c r="S120" s="42">
        <f ca="1">DSUM($B$73:$Y$85,S$73,$C$92:$D120)</f>
        <v>4.027070895956105</v>
      </c>
      <c r="T120" s="42">
        <f ca="1">DSUM($B$73:$Y$85,T$73,$C$92:$D120)</f>
        <v>3.9601404559777937</v>
      </c>
      <c r="U120" s="42">
        <f ca="1">DSUM($B$73:$Y$85,U$73,$C$92:$D120)</f>
        <v>3.8542206623910196</v>
      </c>
      <c r="V120" s="42">
        <f ca="1">DSUM($B$73:$Y$85,V$73,$C$92:$D120)</f>
        <v>3.7594427106901969</v>
      </c>
      <c r="W120" s="42">
        <f ca="1">DSUM($B$73:$Y$85,W$73,$C$92:$D120)</f>
        <v>3.6687977465405863</v>
      </c>
      <c r="X120" s="42">
        <f ca="1">DSUM($B$73:$Y$85,X$73,$C$92:$D120)</f>
        <v>3.5872560807866307</v>
      </c>
      <c r="Y120" s="42">
        <f ca="1">DSUM($B$73:$Y$85,Y$73,$C$92:$D120)</f>
        <v>49.766395138584762</v>
      </c>
      <c r="Z120" s="9"/>
      <c r="AA120" s="9"/>
      <c r="AB120" s="9"/>
    </row>
    <row r="121" spans="1:28" customFormat="1">
      <c r="A121" s="9"/>
      <c r="B121" s="9" t="s">
        <v>1174</v>
      </c>
      <c r="C121" s="53" t="s">
        <v>1191</v>
      </c>
      <c r="D121" s="53" t="s">
        <v>1192</v>
      </c>
      <c r="E121" s="42">
        <f ca="1">DSUM($B$73:$Y$85,E$73,$C$92:$D121)</f>
        <v>0.39135639309450682</v>
      </c>
      <c r="F121" s="42">
        <f ca="1">DSUM($B$73:$Y$85,F$73,$C$92:$D121)</f>
        <v>0.78023303323938531</v>
      </c>
      <c r="G121" s="42">
        <f ca="1">DSUM($B$73:$Y$85,G$73,$C$92:$D121)</f>
        <v>1.1666496264105659</v>
      </c>
      <c r="H121" s="42">
        <f ca="1">DSUM($B$73:$Y$85,H$73,$C$92:$D121)</f>
        <v>1.5506256584798044</v>
      </c>
      <c r="I121" s="42">
        <f ca="1">DSUM($B$73:$Y$85,I$73,$C$92:$D121)</f>
        <v>1.9321803979827208</v>
      </c>
      <c r="J121" s="42">
        <f ca="1">DSUM($B$73:$Y$85,J$73,$C$92:$D121)</f>
        <v>2.2728106838709423</v>
      </c>
      <c r="K121" s="42">
        <f ca="1">DSUM($B$73:$Y$85,K$73,$C$92:$D121)</f>
        <v>2.5421764658028931</v>
      </c>
      <c r="L121" s="42">
        <f ca="1">DSUM($B$73:$Y$85,L$73,$C$92:$D121)</f>
        <v>2.7547244560314557</v>
      </c>
      <c r="M121" s="42">
        <f ca="1">DSUM($B$73:$Y$85,M$73,$C$92:$D121)</f>
        <v>2.921974698580601</v>
      </c>
      <c r="N121" s="42">
        <f ca="1">DSUM($B$73:$Y$85,N$73,$C$92:$D121)</f>
        <v>3.0531135114811865</v>
      </c>
      <c r="O121" s="42">
        <f ca="1">DSUM($B$73:$Y$85,O$73,$C$92:$D121)</f>
        <v>3.155466285615542</v>
      </c>
      <c r="P121" s="42">
        <f ca="1">DSUM($B$73:$Y$85,P$73,$C$92:$D121)</f>
        <v>3.2348744867455475</v>
      </c>
      <c r="Q121" s="42">
        <f ca="1">DSUM($B$73:$Y$85,Q$73,$C$92:$D121)</f>
        <v>3.2959962729752807</v>
      </c>
      <c r="R121" s="42">
        <f ca="1">DSUM($B$73:$Y$85,R$73,$C$92:$D121)</f>
        <v>3.342546205737972</v>
      </c>
      <c r="S121" s="42">
        <f ca="1">DSUM($B$73:$Y$85,S$73,$C$92:$D121)</f>
        <v>4.027070895956105</v>
      </c>
      <c r="T121" s="42">
        <f ca="1">DSUM($B$73:$Y$85,T$73,$C$92:$D121)</f>
        <v>3.9601404559777937</v>
      </c>
      <c r="U121" s="42">
        <f ca="1">DSUM($B$73:$Y$85,U$73,$C$92:$D121)</f>
        <v>3.8542206623910196</v>
      </c>
      <c r="V121" s="42">
        <f ca="1">DSUM($B$73:$Y$85,V$73,$C$92:$D121)</f>
        <v>3.7594427106901969</v>
      </c>
      <c r="W121" s="42">
        <f ca="1">DSUM($B$73:$Y$85,W$73,$C$92:$D121)</f>
        <v>3.6687977465405863</v>
      </c>
      <c r="X121" s="42">
        <f ca="1">DSUM($B$73:$Y$85,X$73,$C$92:$D121)</f>
        <v>3.5872560807866307</v>
      </c>
      <c r="Y121" s="42">
        <f ca="1">DSUM($B$73:$Y$85,Y$73,$C$92:$D121)</f>
        <v>49.766395138584762</v>
      </c>
      <c r="Z121" s="9"/>
      <c r="AA121" s="9"/>
      <c r="AB121" s="9"/>
    </row>
    <row r="122" spans="1:28" customFormat="1">
      <c r="A122" s="9"/>
      <c r="B122" s="9" t="s">
        <v>1175</v>
      </c>
      <c r="C122" s="53" t="s">
        <v>1193</v>
      </c>
      <c r="D122" s="53" t="s">
        <v>1194</v>
      </c>
      <c r="E122" s="42">
        <f ca="1">DSUM($B$73:$Y$85,E$73,$C$92:$D122)</f>
        <v>0.39135639309450682</v>
      </c>
      <c r="F122" s="42">
        <f ca="1">DSUM($B$73:$Y$85,F$73,$C$92:$D122)</f>
        <v>0.78023303323938531</v>
      </c>
      <c r="G122" s="42">
        <f ca="1">DSUM($B$73:$Y$85,G$73,$C$92:$D122)</f>
        <v>1.1666496264105659</v>
      </c>
      <c r="H122" s="42">
        <f ca="1">DSUM($B$73:$Y$85,H$73,$C$92:$D122)</f>
        <v>1.5506256584798044</v>
      </c>
      <c r="I122" s="42">
        <f ca="1">DSUM($B$73:$Y$85,I$73,$C$92:$D122)</f>
        <v>1.9321803979827208</v>
      </c>
      <c r="J122" s="42">
        <f ca="1">DSUM($B$73:$Y$85,J$73,$C$92:$D122)</f>
        <v>2.2728106838709423</v>
      </c>
      <c r="K122" s="42">
        <f ca="1">DSUM($B$73:$Y$85,K$73,$C$92:$D122)</f>
        <v>2.5421764658028931</v>
      </c>
      <c r="L122" s="42">
        <f ca="1">DSUM($B$73:$Y$85,L$73,$C$92:$D122)</f>
        <v>2.7547244560314557</v>
      </c>
      <c r="M122" s="42">
        <f ca="1">DSUM($B$73:$Y$85,M$73,$C$92:$D122)</f>
        <v>2.921974698580601</v>
      </c>
      <c r="N122" s="42">
        <f ca="1">DSUM($B$73:$Y$85,N$73,$C$92:$D122)</f>
        <v>3.0531135114811865</v>
      </c>
      <c r="O122" s="42">
        <f ca="1">DSUM($B$73:$Y$85,O$73,$C$92:$D122)</f>
        <v>3.155466285615542</v>
      </c>
      <c r="P122" s="42">
        <f ca="1">DSUM($B$73:$Y$85,P$73,$C$92:$D122)</f>
        <v>3.2348744867455475</v>
      </c>
      <c r="Q122" s="42">
        <f ca="1">DSUM($B$73:$Y$85,Q$73,$C$92:$D122)</f>
        <v>3.2959962729752807</v>
      </c>
      <c r="R122" s="42">
        <f ca="1">DSUM($B$73:$Y$85,R$73,$C$92:$D122)</f>
        <v>3.342546205737972</v>
      </c>
      <c r="S122" s="42">
        <f ca="1">DSUM($B$73:$Y$85,S$73,$C$92:$D122)</f>
        <v>4.027070895956105</v>
      </c>
      <c r="T122" s="42">
        <f ca="1">DSUM($B$73:$Y$85,T$73,$C$92:$D122)</f>
        <v>3.9601404559777937</v>
      </c>
      <c r="U122" s="42">
        <f ca="1">DSUM($B$73:$Y$85,U$73,$C$92:$D122)</f>
        <v>3.8542206623910196</v>
      </c>
      <c r="V122" s="42">
        <f ca="1">DSUM($B$73:$Y$85,V$73,$C$92:$D122)</f>
        <v>3.7594427106901969</v>
      </c>
      <c r="W122" s="42">
        <f ca="1">DSUM($B$73:$Y$85,W$73,$C$92:$D122)</f>
        <v>3.6687977465405863</v>
      </c>
      <c r="X122" s="42">
        <f ca="1">DSUM($B$73:$Y$85,X$73,$C$92:$D122)</f>
        <v>3.5872560807866307</v>
      </c>
      <c r="Y122" s="42">
        <f ca="1">DSUM($B$73:$Y$85,Y$73,$C$92:$D122)</f>
        <v>49.766395138584762</v>
      </c>
      <c r="Z122" s="9"/>
      <c r="AA122" s="9"/>
      <c r="AB122" s="9"/>
    </row>
    <row r="123" spans="1:28" customFormat="1">
      <c r="A123" s="9"/>
      <c r="B123" s="9" t="s">
        <v>1176</v>
      </c>
      <c r="C123" s="53" t="s">
        <v>1195</v>
      </c>
      <c r="D123" s="53" t="s">
        <v>1196</v>
      </c>
      <c r="E123" s="42">
        <f ca="1">DSUM($B$73:$Y$85,E$73,$C$92:$D123)</f>
        <v>0.39135639309450682</v>
      </c>
      <c r="F123" s="42">
        <f ca="1">DSUM($B$73:$Y$85,F$73,$C$92:$D123)</f>
        <v>0.78023303323938531</v>
      </c>
      <c r="G123" s="42">
        <f ca="1">DSUM($B$73:$Y$85,G$73,$C$92:$D123)</f>
        <v>1.1666496264105659</v>
      </c>
      <c r="H123" s="42">
        <f ca="1">DSUM($B$73:$Y$85,H$73,$C$92:$D123)</f>
        <v>1.5506256584798044</v>
      </c>
      <c r="I123" s="42">
        <f ca="1">DSUM($B$73:$Y$85,I$73,$C$92:$D123)</f>
        <v>1.9321803979827208</v>
      </c>
      <c r="J123" s="42">
        <f ca="1">DSUM($B$73:$Y$85,J$73,$C$92:$D123)</f>
        <v>2.2728106838709423</v>
      </c>
      <c r="K123" s="42">
        <f ca="1">DSUM($B$73:$Y$85,K$73,$C$92:$D123)</f>
        <v>2.5421764658028931</v>
      </c>
      <c r="L123" s="42">
        <f ca="1">DSUM($B$73:$Y$85,L$73,$C$92:$D123)</f>
        <v>2.7547244560314557</v>
      </c>
      <c r="M123" s="42">
        <f ca="1">DSUM($B$73:$Y$85,M$73,$C$92:$D123)</f>
        <v>2.921974698580601</v>
      </c>
      <c r="N123" s="42">
        <f ca="1">DSUM($B$73:$Y$85,N$73,$C$92:$D123)</f>
        <v>3.0531135114811865</v>
      </c>
      <c r="O123" s="42">
        <f ca="1">DSUM($B$73:$Y$85,O$73,$C$92:$D123)</f>
        <v>3.155466285615542</v>
      </c>
      <c r="P123" s="42">
        <f ca="1">DSUM($B$73:$Y$85,P$73,$C$92:$D123)</f>
        <v>3.2348744867455475</v>
      </c>
      <c r="Q123" s="42">
        <f ca="1">DSUM($B$73:$Y$85,Q$73,$C$92:$D123)</f>
        <v>3.2959962729752807</v>
      </c>
      <c r="R123" s="42">
        <f ca="1">DSUM($B$73:$Y$85,R$73,$C$92:$D123)</f>
        <v>3.342546205737972</v>
      </c>
      <c r="S123" s="42">
        <f ca="1">DSUM($B$73:$Y$85,S$73,$C$92:$D123)</f>
        <v>4.027070895956105</v>
      </c>
      <c r="T123" s="42">
        <f ca="1">DSUM($B$73:$Y$85,T$73,$C$92:$D123)</f>
        <v>3.9601404559777937</v>
      </c>
      <c r="U123" s="42">
        <f ca="1">DSUM($B$73:$Y$85,U$73,$C$92:$D123)</f>
        <v>3.8542206623910196</v>
      </c>
      <c r="V123" s="42">
        <f ca="1">DSUM($B$73:$Y$85,V$73,$C$92:$D123)</f>
        <v>3.7594427106901969</v>
      </c>
      <c r="W123" s="42">
        <f ca="1">DSUM($B$73:$Y$85,W$73,$C$92:$D123)</f>
        <v>3.6687977465405863</v>
      </c>
      <c r="X123" s="42">
        <f ca="1">DSUM($B$73:$Y$85,X$73,$C$92:$D123)</f>
        <v>3.5872560807866307</v>
      </c>
      <c r="Y123" s="42">
        <f ca="1">DSUM($B$73:$Y$85,Y$73,$C$92:$D123)</f>
        <v>49.766395138584762</v>
      </c>
      <c r="Z123" s="9"/>
      <c r="AA123" s="9"/>
      <c r="AB123" s="9"/>
    </row>
    <row r="124" spans="1:28" customFormat="1">
      <c r="A124" s="9"/>
      <c r="B124" s="9" t="s">
        <v>1177</v>
      </c>
      <c r="C124" s="53" t="s">
        <v>1197</v>
      </c>
      <c r="D124" s="53" t="s">
        <v>138</v>
      </c>
      <c r="E124" s="42">
        <f ca="1">DSUM($B$73:$Y$85,E$73,$C$92:$D124)</f>
        <v>0.39135639309450682</v>
      </c>
      <c r="F124" s="42">
        <f ca="1">DSUM($B$73:$Y$85,F$73,$C$92:$D124)</f>
        <v>0.78023303323938531</v>
      </c>
      <c r="G124" s="42">
        <f ca="1">DSUM($B$73:$Y$85,G$73,$C$92:$D124)</f>
        <v>1.1666496264105659</v>
      </c>
      <c r="H124" s="42">
        <f ca="1">DSUM($B$73:$Y$85,H$73,$C$92:$D124)</f>
        <v>1.5506256584798044</v>
      </c>
      <c r="I124" s="42">
        <f ca="1">DSUM($B$73:$Y$85,I$73,$C$92:$D124)</f>
        <v>1.9321803979827208</v>
      </c>
      <c r="J124" s="42">
        <f ca="1">DSUM($B$73:$Y$85,J$73,$C$92:$D124)</f>
        <v>2.2728106838709423</v>
      </c>
      <c r="K124" s="42">
        <f ca="1">DSUM($B$73:$Y$85,K$73,$C$92:$D124)</f>
        <v>2.5421764658028931</v>
      </c>
      <c r="L124" s="42">
        <f ca="1">DSUM($B$73:$Y$85,L$73,$C$92:$D124)</f>
        <v>2.7547244560314557</v>
      </c>
      <c r="M124" s="42">
        <f ca="1">DSUM($B$73:$Y$85,M$73,$C$92:$D124)</f>
        <v>2.921974698580601</v>
      </c>
      <c r="N124" s="42">
        <f ca="1">DSUM($B$73:$Y$85,N$73,$C$92:$D124)</f>
        <v>3.0531135114811865</v>
      </c>
      <c r="O124" s="42">
        <f ca="1">DSUM($B$73:$Y$85,O$73,$C$92:$D124)</f>
        <v>3.155466285615542</v>
      </c>
      <c r="P124" s="42">
        <f ca="1">DSUM($B$73:$Y$85,P$73,$C$92:$D124)</f>
        <v>3.2348744867455475</v>
      </c>
      <c r="Q124" s="42">
        <f ca="1">DSUM($B$73:$Y$85,Q$73,$C$92:$D124)</f>
        <v>3.2959962729752807</v>
      </c>
      <c r="R124" s="42">
        <f ca="1">DSUM($B$73:$Y$85,R$73,$C$92:$D124)</f>
        <v>3.342546205737972</v>
      </c>
      <c r="S124" s="42">
        <f ca="1">DSUM($B$73:$Y$85,S$73,$C$92:$D124)</f>
        <v>4.027070895956105</v>
      </c>
      <c r="T124" s="42">
        <f ca="1">DSUM($B$73:$Y$85,T$73,$C$92:$D124)</f>
        <v>3.9601404559777937</v>
      </c>
      <c r="U124" s="42">
        <f ca="1">DSUM($B$73:$Y$85,U$73,$C$92:$D124)</f>
        <v>3.8542206623910196</v>
      </c>
      <c r="V124" s="42">
        <f ca="1">DSUM($B$73:$Y$85,V$73,$C$92:$D124)</f>
        <v>3.7594427106901969</v>
      </c>
      <c r="W124" s="42">
        <f ca="1">DSUM($B$73:$Y$85,W$73,$C$92:$D124)</f>
        <v>3.6687977465405863</v>
      </c>
      <c r="X124" s="42">
        <f ca="1">DSUM($B$73:$Y$85,X$73,$C$92:$D124)</f>
        <v>3.5872560807866307</v>
      </c>
      <c r="Y124" s="42">
        <f ca="1">DSUM($B$73:$Y$85,Y$73,$C$92:$D124)</f>
        <v>49.766395138584762</v>
      </c>
      <c r="Z124" s="9"/>
      <c r="AA124" s="9"/>
      <c r="AB124" s="9"/>
    </row>
    <row r="125" spans="1:28" customForma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row>
    <row r="126" spans="1:28" customForma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row>
    <row r="127" spans="1:28" customFormat="1" ht="15">
      <c r="A127" s="81" t="s">
        <v>139</v>
      </c>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row>
    <row r="128" spans="1:28" customFormat="1" ht="15">
      <c r="A128" s="9"/>
      <c r="B128" s="9"/>
      <c r="C128" s="9"/>
      <c r="D128" s="67" t="str">
        <f>C8</f>
        <v>Clothes Washer</v>
      </c>
      <c r="E128" s="74">
        <f t="shared" ref="E128:X128" si="32">E11</f>
        <v>2016</v>
      </c>
      <c r="F128" s="68">
        <f t="shared" si="32"/>
        <v>2017</v>
      </c>
      <c r="G128" s="68">
        <f t="shared" si="32"/>
        <v>2018</v>
      </c>
      <c r="H128" s="68">
        <f t="shared" si="32"/>
        <v>2019</v>
      </c>
      <c r="I128" s="68">
        <f t="shared" si="32"/>
        <v>2020</v>
      </c>
      <c r="J128" s="68">
        <f t="shared" si="32"/>
        <v>2021</v>
      </c>
      <c r="K128" s="68">
        <f t="shared" si="32"/>
        <v>2022</v>
      </c>
      <c r="L128" s="68">
        <f t="shared" si="32"/>
        <v>2023</v>
      </c>
      <c r="M128" s="68">
        <f t="shared" si="32"/>
        <v>2024</v>
      </c>
      <c r="N128" s="68">
        <f t="shared" si="32"/>
        <v>2025</v>
      </c>
      <c r="O128" s="68">
        <f t="shared" si="32"/>
        <v>2026</v>
      </c>
      <c r="P128" s="68">
        <f t="shared" si="32"/>
        <v>2027</v>
      </c>
      <c r="Q128" s="68">
        <f t="shared" si="32"/>
        <v>2028</v>
      </c>
      <c r="R128" s="68">
        <f t="shared" si="32"/>
        <v>2029</v>
      </c>
      <c r="S128" s="68">
        <f t="shared" si="32"/>
        <v>2030</v>
      </c>
      <c r="T128" s="68">
        <f t="shared" si="32"/>
        <v>2031</v>
      </c>
      <c r="U128" s="68">
        <f t="shared" si="32"/>
        <v>2032</v>
      </c>
      <c r="V128" s="68">
        <f t="shared" si="32"/>
        <v>2033</v>
      </c>
      <c r="W128" s="68">
        <f t="shared" si="32"/>
        <v>2034</v>
      </c>
      <c r="X128" s="68">
        <f t="shared" si="32"/>
        <v>2035</v>
      </c>
      <c r="Y128" s="69" t="s">
        <v>153</v>
      </c>
      <c r="Z128" s="9"/>
      <c r="AA128" s="9"/>
      <c r="AB128" s="9"/>
    </row>
    <row r="129" spans="1:28" customFormat="1" ht="15">
      <c r="A129" s="9"/>
      <c r="B129" s="9"/>
      <c r="C129" s="9"/>
      <c r="D129" s="9" t="str">
        <f>C8</f>
        <v>Clothes Washer</v>
      </c>
      <c r="E129" s="75" t="str">
        <f>CONCATENATE("aMW_",E$11)</f>
        <v>aMW_2016</v>
      </c>
      <c r="F129" s="70" t="str">
        <f t="shared" ref="F129:X129" si="33">CONCATENATE("aMW_",F$11)</f>
        <v>aMW_2017</v>
      </c>
      <c r="G129" s="70" t="str">
        <f t="shared" si="33"/>
        <v>aMW_2018</v>
      </c>
      <c r="H129" s="70" t="str">
        <f t="shared" si="33"/>
        <v>aMW_2019</v>
      </c>
      <c r="I129" s="70" t="str">
        <f t="shared" si="33"/>
        <v>aMW_2020</v>
      </c>
      <c r="J129" s="70" t="str">
        <f t="shared" si="33"/>
        <v>aMW_2021</v>
      </c>
      <c r="K129" s="70" t="str">
        <f t="shared" si="33"/>
        <v>aMW_2022</v>
      </c>
      <c r="L129" s="70" t="str">
        <f t="shared" si="33"/>
        <v>aMW_2023</v>
      </c>
      <c r="M129" s="70" t="str">
        <f t="shared" si="33"/>
        <v>aMW_2024</v>
      </c>
      <c r="N129" s="70" t="str">
        <f t="shared" si="33"/>
        <v>aMW_2025</v>
      </c>
      <c r="O129" s="70" t="str">
        <f t="shared" si="33"/>
        <v>aMW_2026</v>
      </c>
      <c r="P129" s="70" t="str">
        <f t="shared" si="33"/>
        <v>aMW_2027</v>
      </c>
      <c r="Q129" s="70" t="str">
        <f t="shared" si="33"/>
        <v>aMW_2028</v>
      </c>
      <c r="R129" s="70" t="str">
        <f t="shared" si="33"/>
        <v>aMW_2029</v>
      </c>
      <c r="S129" s="70" t="str">
        <f t="shared" si="33"/>
        <v>aMW_2030</v>
      </c>
      <c r="T129" s="70" t="str">
        <f t="shared" si="33"/>
        <v>aMW_2031</v>
      </c>
      <c r="U129" s="70" t="str">
        <f t="shared" si="33"/>
        <v>aMW_2032</v>
      </c>
      <c r="V129" s="70" t="str">
        <f t="shared" si="33"/>
        <v>aMW_2033</v>
      </c>
      <c r="W129" s="70" t="str">
        <f t="shared" si="33"/>
        <v>aMW_2034</v>
      </c>
      <c r="X129" s="70" t="str">
        <f t="shared" si="33"/>
        <v>aMW_2035</v>
      </c>
      <c r="Y129" s="71" t="s">
        <v>153</v>
      </c>
      <c r="Z129" s="9"/>
      <c r="AA129" s="9"/>
      <c r="AB129" s="9"/>
    </row>
    <row r="130" spans="1:28" customFormat="1">
      <c r="A130" s="9"/>
      <c r="B130" s="9"/>
      <c r="C130" s="9"/>
      <c r="D130" s="9" t="s">
        <v>75</v>
      </c>
      <c r="E130" s="36">
        <f t="shared" ref="E130:Y130" ca="1" si="34">E93</f>
        <v>0.39135639309450682</v>
      </c>
      <c r="F130" s="36">
        <f t="shared" ca="1" si="34"/>
        <v>0.78023303323938531</v>
      </c>
      <c r="G130" s="36">
        <f t="shared" ca="1" si="34"/>
        <v>1.1666496264105659</v>
      </c>
      <c r="H130" s="36">
        <f t="shared" ca="1" si="34"/>
        <v>1.5506256584798044</v>
      </c>
      <c r="I130" s="36">
        <f t="shared" ca="1" si="34"/>
        <v>1.9321803979827208</v>
      </c>
      <c r="J130" s="36">
        <f t="shared" ca="1" si="34"/>
        <v>2.2728106838709423</v>
      </c>
      <c r="K130" s="36">
        <f t="shared" ca="1" si="34"/>
        <v>2.5421764658028931</v>
      </c>
      <c r="L130" s="36">
        <f t="shared" ca="1" si="34"/>
        <v>2.7547244560314557</v>
      </c>
      <c r="M130" s="36">
        <f t="shared" ca="1" si="34"/>
        <v>2.921974698580601</v>
      </c>
      <c r="N130" s="36">
        <f t="shared" ca="1" si="34"/>
        <v>3.0531135114811865</v>
      </c>
      <c r="O130" s="36">
        <f t="shared" ca="1" si="34"/>
        <v>3.155466285615542</v>
      </c>
      <c r="P130" s="36">
        <f t="shared" ca="1" si="34"/>
        <v>3.2348744867455475</v>
      </c>
      <c r="Q130" s="36">
        <f t="shared" ca="1" si="34"/>
        <v>3.2959962729752807</v>
      </c>
      <c r="R130" s="36">
        <f t="shared" ca="1" si="34"/>
        <v>3.342546205737972</v>
      </c>
      <c r="S130" s="36">
        <f t="shared" ca="1" si="34"/>
        <v>4.027070895956105</v>
      </c>
      <c r="T130" s="36">
        <f t="shared" ca="1" si="34"/>
        <v>3.9601404559777937</v>
      </c>
      <c r="U130" s="36">
        <f t="shared" ca="1" si="34"/>
        <v>3.8542206623910196</v>
      </c>
      <c r="V130" s="36">
        <f t="shared" ca="1" si="34"/>
        <v>3.7594427106901969</v>
      </c>
      <c r="W130" s="36">
        <f t="shared" ca="1" si="34"/>
        <v>3.6687977465405863</v>
      </c>
      <c r="X130" s="36">
        <f t="shared" ca="1" si="34"/>
        <v>3.5872560807866307</v>
      </c>
      <c r="Y130" s="36">
        <f t="shared" ca="1" si="34"/>
        <v>49.766395138584762</v>
      </c>
      <c r="Z130" s="9"/>
      <c r="AA130" s="9"/>
      <c r="AB130" s="9"/>
    </row>
    <row r="131" spans="1:28" customFormat="1">
      <c r="A131" s="9"/>
      <c r="B131" s="9"/>
      <c r="C131" s="9"/>
      <c r="D131" s="9" t="s">
        <v>1199</v>
      </c>
      <c r="E131" s="36">
        <f t="shared" ref="E131:Y131" ca="1" si="35">E94-E93</f>
        <v>0</v>
      </c>
      <c r="F131" s="36">
        <f t="shared" ca="1" si="35"/>
        <v>0</v>
      </c>
      <c r="G131" s="36">
        <f t="shared" ca="1" si="35"/>
        <v>0</v>
      </c>
      <c r="H131" s="36">
        <f t="shared" ca="1" si="35"/>
        <v>0</v>
      </c>
      <c r="I131" s="36">
        <f t="shared" ca="1" si="35"/>
        <v>0</v>
      </c>
      <c r="J131" s="36">
        <f t="shared" ca="1" si="35"/>
        <v>0</v>
      </c>
      <c r="K131" s="36">
        <f t="shared" ca="1" si="35"/>
        <v>0</v>
      </c>
      <c r="L131" s="36">
        <f t="shared" ca="1" si="35"/>
        <v>0</v>
      </c>
      <c r="M131" s="36">
        <f t="shared" ca="1" si="35"/>
        <v>0</v>
      </c>
      <c r="N131" s="36">
        <f t="shared" ca="1" si="35"/>
        <v>0</v>
      </c>
      <c r="O131" s="36">
        <f t="shared" ca="1" si="35"/>
        <v>0</v>
      </c>
      <c r="P131" s="36">
        <f t="shared" ca="1" si="35"/>
        <v>0</v>
      </c>
      <c r="Q131" s="36">
        <f t="shared" ca="1" si="35"/>
        <v>0</v>
      </c>
      <c r="R131" s="36">
        <f t="shared" ca="1" si="35"/>
        <v>0</v>
      </c>
      <c r="S131" s="36">
        <f t="shared" ca="1" si="35"/>
        <v>0</v>
      </c>
      <c r="T131" s="36">
        <f t="shared" ca="1" si="35"/>
        <v>0</v>
      </c>
      <c r="U131" s="36">
        <f t="shared" ca="1" si="35"/>
        <v>0</v>
      </c>
      <c r="V131" s="36">
        <f t="shared" ca="1" si="35"/>
        <v>0</v>
      </c>
      <c r="W131" s="36">
        <f t="shared" ca="1" si="35"/>
        <v>0</v>
      </c>
      <c r="X131" s="36">
        <f t="shared" ca="1" si="35"/>
        <v>0</v>
      </c>
      <c r="Y131" s="36">
        <f t="shared" ca="1" si="35"/>
        <v>0</v>
      </c>
      <c r="Z131" s="9"/>
      <c r="AA131" s="9"/>
      <c r="AB131" s="9"/>
    </row>
    <row r="132" spans="1:28" customFormat="1">
      <c r="A132" s="9"/>
      <c r="B132" s="9"/>
      <c r="C132" s="9"/>
      <c r="D132" s="9" t="s">
        <v>80</v>
      </c>
      <c r="E132" s="36">
        <f t="shared" ref="E132:Y132" ca="1" si="36">E95-E94</f>
        <v>0</v>
      </c>
      <c r="F132" s="36">
        <f t="shared" ca="1" si="36"/>
        <v>0</v>
      </c>
      <c r="G132" s="36">
        <f t="shared" ca="1" si="36"/>
        <v>0</v>
      </c>
      <c r="H132" s="36">
        <f t="shared" ca="1" si="36"/>
        <v>0</v>
      </c>
      <c r="I132" s="36">
        <f t="shared" ca="1" si="36"/>
        <v>0</v>
      </c>
      <c r="J132" s="36">
        <f t="shared" ca="1" si="36"/>
        <v>0</v>
      </c>
      <c r="K132" s="36">
        <f t="shared" ca="1" si="36"/>
        <v>0</v>
      </c>
      <c r="L132" s="36">
        <f t="shared" ca="1" si="36"/>
        <v>0</v>
      </c>
      <c r="M132" s="36">
        <f t="shared" ca="1" si="36"/>
        <v>0</v>
      </c>
      <c r="N132" s="36">
        <f t="shared" ca="1" si="36"/>
        <v>0</v>
      </c>
      <c r="O132" s="36">
        <f t="shared" ca="1" si="36"/>
        <v>0</v>
      </c>
      <c r="P132" s="36">
        <f t="shared" ca="1" si="36"/>
        <v>0</v>
      </c>
      <c r="Q132" s="36">
        <f t="shared" ca="1" si="36"/>
        <v>0</v>
      </c>
      <c r="R132" s="36">
        <f t="shared" ca="1" si="36"/>
        <v>0</v>
      </c>
      <c r="S132" s="36">
        <f t="shared" ca="1" si="36"/>
        <v>0</v>
      </c>
      <c r="T132" s="36">
        <f t="shared" ca="1" si="36"/>
        <v>0</v>
      </c>
      <c r="U132" s="36">
        <f t="shared" ca="1" si="36"/>
        <v>0</v>
      </c>
      <c r="V132" s="36">
        <f t="shared" ca="1" si="36"/>
        <v>0</v>
      </c>
      <c r="W132" s="36">
        <f t="shared" ca="1" si="36"/>
        <v>0</v>
      </c>
      <c r="X132" s="36">
        <f t="shared" ca="1" si="36"/>
        <v>0</v>
      </c>
      <c r="Y132" s="36">
        <f t="shared" ca="1" si="36"/>
        <v>0</v>
      </c>
      <c r="Z132" s="9"/>
      <c r="AA132" s="9"/>
      <c r="AB132" s="9"/>
    </row>
    <row r="133" spans="1:28" customFormat="1">
      <c r="A133" s="9"/>
      <c r="B133" s="9"/>
      <c r="C133" s="9"/>
      <c r="D133" s="9" t="s">
        <v>83</v>
      </c>
      <c r="E133" s="36">
        <f t="shared" ref="E133:Y133" ca="1" si="37">E96-E95</f>
        <v>0</v>
      </c>
      <c r="F133" s="36">
        <f t="shared" ca="1" si="37"/>
        <v>0</v>
      </c>
      <c r="G133" s="36">
        <f t="shared" ca="1" si="37"/>
        <v>0</v>
      </c>
      <c r="H133" s="36">
        <f t="shared" ca="1" si="37"/>
        <v>0</v>
      </c>
      <c r="I133" s="36">
        <f t="shared" ca="1" si="37"/>
        <v>0</v>
      </c>
      <c r="J133" s="36">
        <f t="shared" ca="1" si="37"/>
        <v>0</v>
      </c>
      <c r="K133" s="36">
        <f t="shared" ca="1" si="37"/>
        <v>0</v>
      </c>
      <c r="L133" s="36">
        <f t="shared" ca="1" si="37"/>
        <v>0</v>
      </c>
      <c r="M133" s="36">
        <f t="shared" ca="1" si="37"/>
        <v>0</v>
      </c>
      <c r="N133" s="36">
        <f t="shared" ca="1" si="37"/>
        <v>0</v>
      </c>
      <c r="O133" s="36">
        <f t="shared" ca="1" si="37"/>
        <v>0</v>
      </c>
      <c r="P133" s="36">
        <f t="shared" ca="1" si="37"/>
        <v>0</v>
      </c>
      <c r="Q133" s="36">
        <f t="shared" ca="1" si="37"/>
        <v>0</v>
      </c>
      <c r="R133" s="36">
        <f t="shared" ca="1" si="37"/>
        <v>0</v>
      </c>
      <c r="S133" s="36">
        <f t="shared" ca="1" si="37"/>
        <v>0</v>
      </c>
      <c r="T133" s="36">
        <f t="shared" ca="1" si="37"/>
        <v>0</v>
      </c>
      <c r="U133" s="36">
        <f t="shared" ca="1" si="37"/>
        <v>0</v>
      </c>
      <c r="V133" s="36">
        <f t="shared" ca="1" si="37"/>
        <v>0</v>
      </c>
      <c r="W133" s="36">
        <f t="shared" ca="1" si="37"/>
        <v>0</v>
      </c>
      <c r="X133" s="36">
        <f t="shared" ca="1" si="37"/>
        <v>0</v>
      </c>
      <c r="Y133" s="36">
        <f t="shared" ca="1" si="37"/>
        <v>0</v>
      </c>
      <c r="Z133" s="9"/>
      <c r="AA133" s="9"/>
      <c r="AB133" s="9"/>
    </row>
    <row r="134" spans="1:28" customFormat="1">
      <c r="A134" s="9"/>
      <c r="B134" s="9"/>
      <c r="C134" s="9"/>
      <c r="D134" s="9" t="s">
        <v>86</v>
      </c>
      <c r="E134" s="36">
        <f t="shared" ref="E134:Y134" ca="1" si="38">E97-E96</f>
        <v>0</v>
      </c>
      <c r="F134" s="36">
        <f t="shared" ca="1" si="38"/>
        <v>0</v>
      </c>
      <c r="G134" s="36">
        <f t="shared" ca="1" si="38"/>
        <v>0</v>
      </c>
      <c r="H134" s="36">
        <f t="shared" ca="1" si="38"/>
        <v>0</v>
      </c>
      <c r="I134" s="36">
        <f t="shared" ca="1" si="38"/>
        <v>0</v>
      </c>
      <c r="J134" s="36">
        <f t="shared" ca="1" si="38"/>
        <v>0</v>
      </c>
      <c r="K134" s="36">
        <f t="shared" ca="1" si="38"/>
        <v>0</v>
      </c>
      <c r="L134" s="36">
        <f t="shared" ca="1" si="38"/>
        <v>0</v>
      </c>
      <c r="M134" s="36">
        <f t="shared" ca="1" si="38"/>
        <v>0</v>
      </c>
      <c r="N134" s="36">
        <f t="shared" ca="1" si="38"/>
        <v>0</v>
      </c>
      <c r="O134" s="36">
        <f t="shared" ca="1" si="38"/>
        <v>0</v>
      </c>
      <c r="P134" s="36">
        <f t="shared" ca="1" si="38"/>
        <v>0</v>
      </c>
      <c r="Q134" s="36">
        <f t="shared" ca="1" si="38"/>
        <v>0</v>
      </c>
      <c r="R134" s="36">
        <f t="shared" ca="1" si="38"/>
        <v>0</v>
      </c>
      <c r="S134" s="36">
        <f t="shared" ca="1" si="38"/>
        <v>0</v>
      </c>
      <c r="T134" s="36">
        <f t="shared" ca="1" si="38"/>
        <v>0</v>
      </c>
      <c r="U134" s="36">
        <f t="shared" ca="1" si="38"/>
        <v>0</v>
      </c>
      <c r="V134" s="36">
        <f t="shared" ca="1" si="38"/>
        <v>0</v>
      </c>
      <c r="W134" s="36">
        <f t="shared" ca="1" si="38"/>
        <v>0</v>
      </c>
      <c r="X134" s="36">
        <f t="shared" ca="1" si="38"/>
        <v>0</v>
      </c>
      <c r="Y134" s="36">
        <f t="shared" ca="1" si="38"/>
        <v>0</v>
      </c>
      <c r="Z134" s="9"/>
      <c r="AA134" s="9"/>
      <c r="AB134" s="9"/>
    </row>
    <row r="135" spans="1:28" customFormat="1">
      <c r="A135" s="9"/>
      <c r="B135" s="9"/>
      <c r="C135" s="9"/>
      <c r="D135" s="9" t="s">
        <v>89</v>
      </c>
      <c r="E135" s="36">
        <f t="shared" ref="E135:Y135" ca="1" si="39">E98-E97</f>
        <v>0</v>
      </c>
      <c r="F135" s="36">
        <f t="shared" ca="1" si="39"/>
        <v>0</v>
      </c>
      <c r="G135" s="36">
        <f t="shared" ca="1" si="39"/>
        <v>0</v>
      </c>
      <c r="H135" s="36">
        <f t="shared" ca="1" si="39"/>
        <v>0</v>
      </c>
      <c r="I135" s="36">
        <f t="shared" ca="1" si="39"/>
        <v>0</v>
      </c>
      <c r="J135" s="36">
        <f t="shared" ca="1" si="39"/>
        <v>0</v>
      </c>
      <c r="K135" s="36">
        <f t="shared" ca="1" si="39"/>
        <v>0</v>
      </c>
      <c r="L135" s="36">
        <f t="shared" ca="1" si="39"/>
        <v>0</v>
      </c>
      <c r="M135" s="36">
        <f t="shared" ca="1" si="39"/>
        <v>0</v>
      </c>
      <c r="N135" s="36">
        <f t="shared" ca="1" si="39"/>
        <v>0</v>
      </c>
      <c r="O135" s="36">
        <f t="shared" ca="1" si="39"/>
        <v>0</v>
      </c>
      <c r="P135" s="36">
        <f t="shared" ca="1" si="39"/>
        <v>0</v>
      </c>
      <c r="Q135" s="36">
        <f t="shared" ca="1" si="39"/>
        <v>0</v>
      </c>
      <c r="R135" s="36">
        <f t="shared" ca="1" si="39"/>
        <v>0</v>
      </c>
      <c r="S135" s="36">
        <f t="shared" ca="1" si="39"/>
        <v>0</v>
      </c>
      <c r="T135" s="36">
        <f t="shared" ca="1" si="39"/>
        <v>0</v>
      </c>
      <c r="U135" s="36">
        <f t="shared" ca="1" si="39"/>
        <v>0</v>
      </c>
      <c r="V135" s="36">
        <f t="shared" ca="1" si="39"/>
        <v>0</v>
      </c>
      <c r="W135" s="36">
        <f t="shared" ca="1" si="39"/>
        <v>0</v>
      </c>
      <c r="X135" s="36">
        <f t="shared" ca="1" si="39"/>
        <v>0</v>
      </c>
      <c r="Y135" s="36">
        <f t="shared" ca="1" si="39"/>
        <v>0</v>
      </c>
      <c r="Z135" s="9"/>
      <c r="AA135" s="9"/>
      <c r="AB135" s="9"/>
    </row>
    <row r="136" spans="1:28" customFormat="1">
      <c r="A136" s="9"/>
      <c r="B136" s="9"/>
      <c r="C136" s="9"/>
      <c r="D136" s="9" t="s">
        <v>92</v>
      </c>
      <c r="E136" s="36">
        <f t="shared" ref="E136:Y136" ca="1" si="40">E99-E98</f>
        <v>0</v>
      </c>
      <c r="F136" s="36">
        <f t="shared" ca="1" si="40"/>
        <v>0</v>
      </c>
      <c r="G136" s="36">
        <f t="shared" ca="1" si="40"/>
        <v>0</v>
      </c>
      <c r="H136" s="36">
        <f t="shared" ca="1" si="40"/>
        <v>0</v>
      </c>
      <c r="I136" s="36">
        <f t="shared" ca="1" si="40"/>
        <v>0</v>
      </c>
      <c r="J136" s="36">
        <f t="shared" ca="1" si="40"/>
        <v>0</v>
      </c>
      <c r="K136" s="36">
        <f t="shared" ca="1" si="40"/>
        <v>0</v>
      </c>
      <c r="L136" s="36">
        <f t="shared" ca="1" si="40"/>
        <v>0</v>
      </c>
      <c r="M136" s="36">
        <f t="shared" ca="1" si="40"/>
        <v>0</v>
      </c>
      <c r="N136" s="36">
        <f t="shared" ca="1" si="40"/>
        <v>0</v>
      </c>
      <c r="O136" s="36">
        <f t="shared" ca="1" si="40"/>
        <v>0</v>
      </c>
      <c r="P136" s="36">
        <f t="shared" ca="1" si="40"/>
        <v>0</v>
      </c>
      <c r="Q136" s="36">
        <f t="shared" ca="1" si="40"/>
        <v>0</v>
      </c>
      <c r="R136" s="36">
        <f t="shared" ca="1" si="40"/>
        <v>0</v>
      </c>
      <c r="S136" s="36">
        <f t="shared" ca="1" si="40"/>
        <v>0</v>
      </c>
      <c r="T136" s="36">
        <f t="shared" ca="1" si="40"/>
        <v>0</v>
      </c>
      <c r="U136" s="36">
        <f t="shared" ca="1" si="40"/>
        <v>0</v>
      </c>
      <c r="V136" s="36">
        <f t="shared" ca="1" si="40"/>
        <v>0</v>
      </c>
      <c r="W136" s="36">
        <f t="shared" ca="1" si="40"/>
        <v>0</v>
      </c>
      <c r="X136" s="36">
        <f t="shared" ca="1" si="40"/>
        <v>0</v>
      </c>
      <c r="Y136" s="36">
        <f t="shared" ca="1" si="40"/>
        <v>0</v>
      </c>
      <c r="Z136" s="9"/>
      <c r="AA136" s="9"/>
      <c r="AB136" s="9"/>
    </row>
    <row r="137" spans="1:28" customFormat="1">
      <c r="A137" s="9"/>
      <c r="B137" s="9"/>
      <c r="C137" s="9"/>
      <c r="D137" s="9" t="s">
        <v>95</v>
      </c>
      <c r="E137" s="36">
        <f t="shared" ref="E137:Y137" ca="1" si="41">E100-E99</f>
        <v>0</v>
      </c>
      <c r="F137" s="36">
        <f t="shared" ca="1" si="41"/>
        <v>0</v>
      </c>
      <c r="G137" s="36">
        <f t="shared" ca="1" si="41"/>
        <v>0</v>
      </c>
      <c r="H137" s="36">
        <f t="shared" ca="1" si="41"/>
        <v>0</v>
      </c>
      <c r="I137" s="36">
        <f t="shared" ca="1" si="41"/>
        <v>0</v>
      </c>
      <c r="J137" s="36">
        <f t="shared" ca="1" si="41"/>
        <v>0</v>
      </c>
      <c r="K137" s="36">
        <f t="shared" ca="1" si="41"/>
        <v>0</v>
      </c>
      <c r="L137" s="36">
        <f t="shared" ca="1" si="41"/>
        <v>0</v>
      </c>
      <c r="M137" s="36">
        <f t="shared" ca="1" si="41"/>
        <v>0</v>
      </c>
      <c r="N137" s="36">
        <f t="shared" ca="1" si="41"/>
        <v>0</v>
      </c>
      <c r="O137" s="36">
        <f t="shared" ca="1" si="41"/>
        <v>0</v>
      </c>
      <c r="P137" s="36">
        <f t="shared" ca="1" si="41"/>
        <v>0</v>
      </c>
      <c r="Q137" s="36">
        <f t="shared" ca="1" si="41"/>
        <v>0</v>
      </c>
      <c r="R137" s="36">
        <f t="shared" ca="1" si="41"/>
        <v>0</v>
      </c>
      <c r="S137" s="36">
        <f t="shared" ca="1" si="41"/>
        <v>0</v>
      </c>
      <c r="T137" s="36">
        <f t="shared" ca="1" si="41"/>
        <v>0</v>
      </c>
      <c r="U137" s="36">
        <f t="shared" ca="1" si="41"/>
        <v>0</v>
      </c>
      <c r="V137" s="36">
        <f t="shared" ca="1" si="41"/>
        <v>0</v>
      </c>
      <c r="W137" s="36">
        <f t="shared" ca="1" si="41"/>
        <v>0</v>
      </c>
      <c r="X137" s="36">
        <f t="shared" ca="1" si="41"/>
        <v>0</v>
      </c>
      <c r="Y137" s="36">
        <f t="shared" ca="1" si="41"/>
        <v>0</v>
      </c>
      <c r="Z137" s="9"/>
      <c r="AA137" s="9"/>
      <c r="AB137" s="9"/>
    </row>
    <row r="138" spans="1:28" customFormat="1">
      <c r="A138" s="9"/>
      <c r="B138" s="9"/>
      <c r="C138" s="9"/>
      <c r="D138" s="9" t="s">
        <v>98</v>
      </c>
      <c r="E138" s="36">
        <f t="shared" ref="E138:Y138" ca="1" si="42">E101-E100</f>
        <v>0</v>
      </c>
      <c r="F138" s="36">
        <f t="shared" ca="1" si="42"/>
        <v>0</v>
      </c>
      <c r="G138" s="36">
        <f t="shared" ca="1" si="42"/>
        <v>0</v>
      </c>
      <c r="H138" s="36">
        <f t="shared" ca="1" si="42"/>
        <v>0</v>
      </c>
      <c r="I138" s="36">
        <f t="shared" ca="1" si="42"/>
        <v>0</v>
      </c>
      <c r="J138" s="36">
        <f t="shared" ca="1" si="42"/>
        <v>0</v>
      </c>
      <c r="K138" s="36">
        <f t="shared" ca="1" si="42"/>
        <v>0</v>
      </c>
      <c r="L138" s="36">
        <f t="shared" ca="1" si="42"/>
        <v>0</v>
      </c>
      <c r="M138" s="36">
        <f t="shared" ca="1" si="42"/>
        <v>0</v>
      </c>
      <c r="N138" s="36">
        <f t="shared" ca="1" si="42"/>
        <v>0</v>
      </c>
      <c r="O138" s="36">
        <f t="shared" ca="1" si="42"/>
        <v>0</v>
      </c>
      <c r="P138" s="36">
        <f t="shared" ca="1" si="42"/>
        <v>0</v>
      </c>
      <c r="Q138" s="36">
        <f t="shared" ca="1" si="42"/>
        <v>0</v>
      </c>
      <c r="R138" s="36">
        <f t="shared" ca="1" si="42"/>
        <v>0</v>
      </c>
      <c r="S138" s="36">
        <f t="shared" ca="1" si="42"/>
        <v>0</v>
      </c>
      <c r="T138" s="36">
        <f t="shared" ca="1" si="42"/>
        <v>0</v>
      </c>
      <c r="U138" s="36">
        <f t="shared" ca="1" si="42"/>
        <v>0</v>
      </c>
      <c r="V138" s="36">
        <f t="shared" ca="1" si="42"/>
        <v>0</v>
      </c>
      <c r="W138" s="36">
        <f t="shared" ca="1" si="42"/>
        <v>0</v>
      </c>
      <c r="X138" s="36">
        <f t="shared" ca="1" si="42"/>
        <v>0</v>
      </c>
      <c r="Y138" s="36">
        <f t="shared" ca="1" si="42"/>
        <v>0</v>
      </c>
      <c r="Z138" s="9"/>
      <c r="AA138" s="9"/>
      <c r="AB138" s="9"/>
    </row>
    <row r="139" spans="1:28" customFormat="1">
      <c r="A139" s="9"/>
      <c r="B139" s="9"/>
      <c r="C139" s="9"/>
      <c r="D139" s="9" t="s">
        <v>101</v>
      </c>
      <c r="E139" s="36">
        <f t="shared" ref="E139:Y139" ca="1" si="43">E102-E101</f>
        <v>0</v>
      </c>
      <c r="F139" s="36">
        <f t="shared" ca="1" si="43"/>
        <v>0</v>
      </c>
      <c r="G139" s="36">
        <f t="shared" ca="1" si="43"/>
        <v>0</v>
      </c>
      <c r="H139" s="36">
        <f t="shared" ca="1" si="43"/>
        <v>0</v>
      </c>
      <c r="I139" s="36">
        <f t="shared" ca="1" si="43"/>
        <v>0</v>
      </c>
      <c r="J139" s="36">
        <f t="shared" ca="1" si="43"/>
        <v>0</v>
      </c>
      <c r="K139" s="36">
        <f t="shared" ca="1" si="43"/>
        <v>0</v>
      </c>
      <c r="L139" s="36">
        <f t="shared" ca="1" si="43"/>
        <v>0</v>
      </c>
      <c r="M139" s="36">
        <f t="shared" ca="1" si="43"/>
        <v>0</v>
      </c>
      <c r="N139" s="36">
        <f t="shared" ca="1" si="43"/>
        <v>0</v>
      </c>
      <c r="O139" s="36">
        <f t="shared" ca="1" si="43"/>
        <v>0</v>
      </c>
      <c r="P139" s="36">
        <f t="shared" ca="1" si="43"/>
        <v>0</v>
      </c>
      <c r="Q139" s="36">
        <f t="shared" ca="1" si="43"/>
        <v>0</v>
      </c>
      <c r="R139" s="36">
        <f t="shared" ca="1" si="43"/>
        <v>0</v>
      </c>
      <c r="S139" s="36">
        <f t="shared" ca="1" si="43"/>
        <v>0</v>
      </c>
      <c r="T139" s="36">
        <f t="shared" ca="1" si="43"/>
        <v>0</v>
      </c>
      <c r="U139" s="36">
        <f t="shared" ca="1" si="43"/>
        <v>0</v>
      </c>
      <c r="V139" s="36">
        <f t="shared" ca="1" si="43"/>
        <v>0</v>
      </c>
      <c r="W139" s="36">
        <f t="shared" ca="1" si="43"/>
        <v>0</v>
      </c>
      <c r="X139" s="36">
        <f t="shared" ca="1" si="43"/>
        <v>0</v>
      </c>
      <c r="Y139" s="36">
        <f t="shared" ca="1" si="43"/>
        <v>0</v>
      </c>
      <c r="Z139" s="9"/>
      <c r="AA139" s="9"/>
      <c r="AB139" s="9"/>
    </row>
    <row r="140" spans="1:28" customFormat="1">
      <c r="A140" s="9"/>
      <c r="B140" s="9"/>
      <c r="C140" s="9"/>
      <c r="D140" s="9" t="s">
        <v>104</v>
      </c>
      <c r="E140" s="36">
        <f t="shared" ref="E140:Y140" ca="1" si="44">E103-E102</f>
        <v>0</v>
      </c>
      <c r="F140" s="36">
        <f t="shared" ca="1" si="44"/>
        <v>0</v>
      </c>
      <c r="G140" s="36">
        <f t="shared" ca="1" si="44"/>
        <v>0</v>
      </c>
      <c r="H140" s="36">
        <f t="shared" ca="1" si="44"/>
        <v>0</v>
      </c>
      <c r="I140" s="36">
        <f t="shared" ca="1" si="44"/>
        <v>0</v>
      </c>
      <c r="J140" s="36">
        <f t="shared" ca="1" si="44"/>
        <v>0</v>
      </c>
      <c r="K140" s="36">
        <f t="shared" ca="1" si="44"/>
        <v>0</v>
      </c>
      <c r="L140" s="36">
        <f t="shared" ca="1" si="44"/>
        <v>0</v>
      </c>
      <c r="M140" s="36">
        <f t="shared" ca="1" si="44"/>
        <v>0</v>
      </c>
      <c r="N140" s="36">
        <f t="shared" ca="1" si="44"/>
        <v>0</v>
      </c>
      <c r="O140" s="36">
        <f t="shared" ca="1" si="44"/>
        <v>0</v>
      </c>
      <c r="P140" s="36">
        <f t="shared" ca="1" si="44"/>
        <v>0</v>
      </c>
      <c r="Q140" s="36">
        <f t="shared" ca="1" si="44"/>
        <v>0</v>
      </c>
      <c r="R140" s="36">
        <f t="shared" ca="1" si="44"/>
        <v>0</v>
      </c>
      <c r="S140" s="36">
        <f t="shared" ca="1" si="44"/>
        <v>0</v>
      </c>
      <c r="T140" s="36">
        <f t="shared" ca="1" si="44"/>
        <v>0</v>
      </c>
      <c r="U140" s="36">
        <f t="shared" ca="1" si="44"/>
        <v>0</v>
      </c>
      <c r="V140" s="36">
        <f t="shared" ca="1" si="44"/>
        <v>0</v>
      </c>
      <c r="W140" s="36">
        <f t="shared" ca="1" si="44"/>
        <v>0</v>
      </c>
      <c r="X140" s="36">
        <f t="shared" ca="1" si="44"/>
        <v>0</v>
      </c>
      <c r="Y140" s="36">
        <f t="shared" ca="1" si="44"/>
        <v>0</v>
      </c>
      <c r="Z140" s="9"/>
      <c r="AA140" s="9"/>
      <c r="AB140" s="9"/>
    </row>
    <row r="141" spans="1:28" customFormat="1">
      <c r="A141" s="9"/>
      <c r="B141" s="9"/>
      <c r="C141" s="9"/>
      <c r="D141" s="9" t="s">
        <v>107</v>
      </c>
      <c r="E141" s="36">
        <f t="shared" ref="E141:Y141" ca="1" si="45">E104-E103</f>
        <v>0</v>
      </c>
      <c r="F141" s="36">
        <f t="shared" ca="1" si="45"/>
        <v>0</v>
      </c>
      <c r="G141" s="36">
        <f t="shared" ca="1" si="45"/>
        <v>0</v>
      </c>
      <c r="H141" s="36">
        <f t="shared" ca="1" si="45"/>
        <v>0</v>
      </c>
      <c r="I141" s="36">
        <f t="shared" ca="1" si="45"/>
        <v>0</v>
      </c>
      <c r="J141" s="36">
        <f t="shared" ca="1" si="45"/>
        <v>0</v>
      </c>
      <c r="K141" s="36">
        <f t="shared" ca="1" si="45"/>
        <v>0</v>
      </c>
      <c r="L141" s="36">
        <f t="shared" ca="1" si="45"/>
        <v>0</v>
      </c>
      <c r="M141" s="36">
        <f t="shared" ca="1" si="45"/>
        <v>0</v>
      </c>
      <c r="N141" s="36">
        <f t="shared" ca="1" si="45"/>
        <v>0</v>
      </c>
      <c r="O141" s="36">
        <f t="shared" ca="1" si="45"/>
        <v>0</v>
      </c>
      <c r="P141" s="36">
        <f t="shared" ca="1" si="45"/>
        <v>0</v>
      </c>
      <c r="Q141" s="36">
        <f t="shared" ca="1" si="45"/>
        <v>0</v>
      </c>
      <c r="R141" s="36">
        <f t="shared" ca="1" si="45"/>
        <v>0</v>
      </c>
      <c r="S141" s="36">
        <f t="shared" ca="1" si="45"/>
        <v>0</v>
      </c>
      <c r="T141" s="36">
        <f t="shared" ca="1" si="45"/>
        <v>0</v>
      </c>
      <c r="U141" s="36">
        <f t="shared" ca="1" si="45"/>
        <v>0</v>
      </c>
      <c r="V141" s="36">
        <f t="shared" ca="1" si="45"/>
        <v>0</v>
      </c>
      <c r="W141" s="36">
        <f t="shared" ca="1" si="45"/>
        <v>0</v>
      </c>
      <c r="X141" s="36">
        <f t="shared" ca="1" si="45"/>
        <v>0</v>
      </c>
      <c r="Y141" s="36">
        <f t="shared" ca="1" si="45"/>
        <v>0</v>
      </c>
      <c r="Z141" s="9"/>
      <c r="AA141" s="9"/>
      <c r="AB141" s="9"/>
    </row>
    <row r="142" spans="1:28" customFormat="1">
      <c r="A142" s="9"/>
      <c r="B142" s="9"/>
      <c r="C142" s="9"/>
      <c r="D142" s="9" t="s">
        <v>110</v>
      </c>
      <c r="E142" s="36">
        <f t="shared" ref="E142:Y142" ca="1" si="46">E105-E104</f>
        <v>0</v>
      </c>
      <c r="F142" s="36">
        <f t="shared" ca="1" si="46"/>
        <v>0</v>
      </c>
      <c r="G142" s="36">
        <f t="shared" ca="1" si="46"/>
        <v>0</v>
      </c>
      <c r="H142" s="36">
        <f t="shared" ca="1" si="46"/>
        <v>0</v>
      </c>
      <c r="I142" s="36">
        <f t="shared" ca="1" si="46"/>
        <v>0</v>
      </c>
      <c r="J142" s="36">
        <f t="shared" ca="1" si="46"/>
        <v>0</v>
      </c>
      <c r="K142" s="36">
        <f t="shared" ca="1" si="46"/>
        <v>0</v>
      </c>
      <c r="L142" s="36">
        <f t="shared" ca="1" si="46"/>
        <v>0</v>
      </c>
      <c r="M142" s="36">
        <f t="shared" ca="1" si="46"/>
        <v>0</v>
      </c>
      <c r="N142" s="36">
        <f t="shared" ca="1" si="46"/>
        <v>0</v>
      </c>
      <c r="O142" s="36">
        <f t="shared" ca="1" si="46"/>
        <v>0</v>
      </c>
      <c r="P142" s="36">
        <f t="shared" ca="1" si="46"/>
        <v>0</v>
      </c>
      <c r="Q142" s="36">
        <f t="shared" ca="1" si="46"/>
        <v>0</v>
      </c>
      <c r="R142" s="36">
        <f t="shared" ca="1" si="46"/>
        <v>0</v>
      </c>
      <c r="S142" s="36">
        <f t="shared" ca="1" si="46"/>
        <v>0</v>
      </c>
      <c r="T142" s="36">
        <f t="shared" ca="1" si="46"/>
        <v>0</v>
      </c>
      <c r="U142" s="36">
        <f t="shared" ca="1" si="46"/>
        <v>0</v>
      </c>
      <c r="V142" s="36">
        <f t="shared" ca="1" si="46"/>
        <v>0</v>
      </c>
      <c r="W142" s="36">
        <f t="shared" ca="1" si="46"/>
        <v>0</v>
      </c>
      <c r="X142" s="36">
        <f t="shared" ca="1" si="46"/>
        <v>0</v>
      </c>
      <c r="Y142" s="36">
        <f t="shared" ca="1" si="46"/>
        <v>0</v>
      </c>
      <c r="Z142" s="9"/>
      <c r="AA142" s="9"/>
      <c r="AB142" s="9"/>
    </row>
    <row r="143" spans="1:28" customFormat="1">
      <c r="A143" s="9"/>
      <c r="B143" s="9"/>
      <c r="C143" s="9"/>
      <c r="D143" s="9" t="s">
        <v>113</v>
      </c>
      <c r="E143" s="36">
        <f t="shared" ref="E143:Y143" ca="1" si="47">E106-E105</f>
        <v>0</v>
      </c>
      <c r="F143" s="36">
        <f t="shared" ca="1" si="47"/>
        <v>0</v>
      </c>
      <c r="G143" s="36">
        <f t="shared" ca="1" si="47"/>
        <v>0</v>
      </c>
      <c r="H143" s="36">
        <f t="shared" ca="1" si="47"/>
        <v>0</v>
      </c>
      <c r="I143" s="36">
        <f t="shared" ca="1" si="47"/>
        <v>0</v>
      </c>
      <c r="J143" s="36">
        <f t="shared" ca="1" si="47"/>
        <v>0</v>
      </c>
      <c r="K143" s="36">
        <f t="shared" ca="1" si="47"/>
        <v>0</v>
      </c>
      <c r="L143" s="36">
        <f t="shared" ca="1" si="47"/>
        <v>0</v>
      </c>
      <c r="M143" s="36">
        <f t="shared" ca="1" si="47"/>
        <v>0</v>
      </c>
      <c r="N143" s="36">
        <f t="shared" ca="1" si="47"/>
        <v>0</v>
      </c>
      <c r="O143" s="36">
        <f t="shared" ca="1" si="47"/>
        <v>0</v>
      </c>
      <c r="P143" s="36">
        <f t="shared" ca="1" si="47"/>
        <v>0</v>
      </c>
      <c r="Q143" s="36">
        <f t="shared" ca="1" si="47"/>
        <v>0</v>
      </c>
      <c r="R143" s="36">
        <f t="shared" ca="1" si="47"/>
        <v>0</v>
      </c>
      <c r="S143" s="36">
        <f t="shared" ca="1" si="47"/>
        <v>0</v>
      </c>
      <c r="T143" s="36">
        <f t="shared" ca="1" si="47"/>
        <v>0</v>
      </c>
      <c r="U143" s="36">
        <f t="shared" ca="1" si="47"/>
        <v>0</v>
      </c>
      <c r="V143" s="36">
        <f t="shared" ca="1" si="47"/>
        <v>0</v>
      </c>
      <c r="W143" s="36">
        <f t="shared" ca="1" si="47"/>
        <v>0</v>
      </c>
      <c r="X143" s="36">
        <f t="shared" ca="1" si="47"/>
        <v>0</v>
      </c>
      <c r="Y143" s="36">
        <f t="shared" ca="1" si="47"/>
        <v>0</v>
      </c>
      <c r="Z143" s="9"/>
      <c r="AA143" s="9"/>
      <c r="AB143" s="9"/>
    </row>
    <row r="144" spans="1:28" customFormat="1">
      <c r="A144" s="9"/>
      <c r="B144" s="9"/>
      <c r="C144" s="9"/>
      <c r="D144" s="9" t="s">
        <v>116</v>
      </c>
      <c r="E144" s="36">
        <f t="shared" ref="E144:Y144" ca="1" si="48">E107-E106</f>
        <v>0</v>
      </c>
      <c r="F144" s="36">
        <f t="shared" ca="1" si="48"/>
        <v>0</v>
      </c>
      <c r="G144" s="36">
        <f t="shared" ca="1" si="48"/>
        <v>0</v>
      </c>
      <c r="H144" s="36">
        <f t="shared" ca="1" si="48"/>
        <v>0</v>
      </c>
      <c r="I144" s="36">
        <f t="shared" ca="1" si="48"/>
        <v>0</v>
      </c>
      <c r="J144" s="36">
        <f t="shared" ca="1" si="48"/>
        <v>0</v>
      </c>
      <c r="K144" s="36">
        <f t="shared" ca="1" si="48"/>
        <v>0</v>
      </c>
      <c r="L144" s="36">
        <f t="shared" ca="1" si="48"/>
        <v>0</v>
      </c>
      <c r="M144" s="36">
        <f t="shared" ca="1" si="48"/>
        <v>0</v>
      </c>
      <c r="N144" s="36">
        <f t="shared" ca="1" si="48"/>
        <v>0</v>
      </c>
      <c r="O144" s="36">
        <f t="shared" ca="1" si="48"/>
        <v>0</v>
      </c>
      <c r="P144" s="36">
        <f t="shared" ca="1" si="48"/>
        <v>0</v>
      </c>
      <c r="Q144" s="36">
        <f t="shared" ca="1" si="48"/>
        <v>0</v>
      </c>
      <c r="R144" s="36">
        <f t="shared" ca="1" si="48"/>
        <v>0</v>
      </c>
      <c r="S144" s="36">
        <f t="shared" ca="1" si="48"/>
        <v>0</v>
      </c>
      <c r="T144" s="36">
        <f t="shared" ca="1" si="48"/>
        <v>0</v>
      </c>
      <c r="U144" s="36">
        <f t="shared" ca="1" si="48"/>
        <v>0</v>
      </c>
      <c r="V144" s="36">
        <f t="shared" ca="1" si="48"/>
        <v>0</v>
      </c>
      <c r="W144" s="36">
        <f t="shared" ca="1" si="48"/>
        <v>0</v>
      </c>
      <c r="X144" s="36">
        <f t="shared" ca="1" si="48"/>
        <v>0</v>
      </c>
      <c r="Y144" s="36">
        <f t="shared" ca="1" si="48"/>
        <v>0</v>
      </c>
      <c r="Z144" s="9"/>
      <c r="AA144" s="9"/>
      <c r="AB144" s="9"/>
    </row>
    <row r="145" spans="1:28" customFormat="1">
      <c r="A145" s="9"/>
      <c r="B145" s="9"/>
      <c r="C145" s="9"/>
      <c r="D145" s="9" t="s">
        <v>119</v>
      </c>
      <c r="E145" s="36">
        <f t="shared" ref="E145:Y145" ca="1" si="49">E108-E107</f>
        <v>0</v>
      </c>
      <c r="F145" s="36">
        <f t="shared" ca="1" si="49"/>
        <v>0</v>
      </c>
      <c r="G145" s="36">
        <f t="shared" ca="1" si="49"/>
        <v>0</v>
      </c>
      <c r="H145" s="36">
        <f t="shared" ca="1" si="49"/>
        <v>0</v>
      </c>
      <c r="I145" s="36">
        <f t="shared" ca="1" si="49"/>
        <v>0</v>
      </c>
      <c r="J145" s="36">
        <f t="shared" ca="1" si="49"/>
        <v>0</v>
      </c>
      <c r="K145" s="36">
        <f t="shared" ca="1" si="49"/>
        <v>0</v>
      </c>
      <c r="L145" s="36">
        <f t="shared" ca="1" si="49"/>
        <v>0</v>
      </c>
      <c r="M145" s="36">
        <f t="shared" ca="1" si="49"/>
        <v>0</v>
      </c>
      <c r="N145" s="36">
        <f t="shared" ca="1" si="49"/>
        <v>0</v>
      </c>
      <c r="O145" s="36">
        <f t="shared" ca="1" si="49"/>
        <v>0</v>
      </c>
      <c r="P145" s="36">
        <f t="shared" ca="1" si="49"/>
        <v>0</v>
      </c>
      <c r="Q145" s="36">
        <f t="shared" ca="1" si="49"/>
        <v>0</v>
      </c>
      <c r="R145" s="36">
        <f t="shared" ca="1" si="49"/>
        <v>0</v>
      </c>
      <c r="S145" s="36">
        <f t="shared" ca="1" si="49"/>
        <v>0</v>
      </c>
      <c r="T145" s="36">
        <f t="shared" ca="1" si="49"/>
        <v>0</v>
      </c>
      <c r="U145" s="36">
        <f t="shared" ca="1" si="49"/>
        <v>0</v>
      </c>
      <c r="V145" s="36">
        <f t="shared" ca="1" si="49"/>
        <v>0</v>
      </c>
      <c r="W145" s="36">
        <f t="shared" ca="1" si="49"/>
        <v>0</v>
      </c>
      <c r="X145" s="36">
        <f t="shared" ca="1" si="49"/>
        <v>0</v>
      </c>
      <c r="Y145" s="36">
        <f t="shared" ca="1" si="49"/>
        <v>0</v>
      </c>
      <c r="Z145" s="9"/>
      <c r="AA145" s="9"/>
      <c r="AB145" s="9"/>
    </row>
    <row r="146" spans="1:28" customFormat="1">
      <c r="A146" s="9"/>
      <c r="B146" s="9"/>
      <c r="C146" s="9"/>
      <c r="D146" s="9" t="s">
        <v>122</v>
      </c>
      <c r="E146" s="36">
        <f t="shared" ref="E146:Y146" ca="1" si="50">E109-E108</f>
        <v>0</v>
      </c>
      <c r="F146" s="36">
        <f t="shared" ca="1" si="50"/>
        <v>0</v>
      </c>
      <c r="G146" s="36">
        <f t="shared" ca="1" si="50"/>
        <v>0</v>
      </c>
      <c r="H146" s="36">
        <f t="shared" ca="1" si="50"/>
        <v>0</v>
      </c>
      <c r="I146" s="36">
        <f t="shared" ca="1" si="50"/>
        <v>0</v>
      </c>
      <c r="J146" s="36">
        <f t="shared" ca="1" si="50"/>
        <v>0</v>
      </c>
      <c r="K146" s="36">
        <f t="shared" ca="1" si="50"/>
        <v>0</v>
      </c>
      <c r="L146" s="36">
        <f t="shared" ca="1" si="50"/>
        <v>0</v>
      </c>
      <c r="M146" s="36">
        <f t="shared" ca="1" si="50"/>
        <v>0</v>
      </c>
      <c r="N146" s="36">
        <f t="shared" ca="1" si="50"/>
        <v>0</v>
      </c>
      <c r="O146" s="36">
        <f t="shared" ca="1" si="50"/>
        <v>0</v>
      </c>
      <c r="P146" s="36">
        <f t="shared" ca="1" si="50"/>
        <v>0</v>
      </c>
      <c r="Q146" s="36">
        <f t="shared" ca="1" si="50"/>
        <v>0</v>
      </c>
      <c r="R146" s="36">
        <f t="shared" ca="1" si="50"/>
        <v>0</v>
      </c>
      <c r="S146" s="36">
        <f t="shared" ca="1" si="50"/>
        <v>0</v>
      </c>
      <c r="T146" s="36">
        <f t="shared" ca="1" si="50"/>
        <v>0</v>
      </c>
      <c r="U146" s="36">
        <f t="shared" ca="1" si="50"/>
        <v>0</v>
      </c>
      <c r="V146" s="36">
        <f t="shared" ca="1" si="50"/>
        <v>0</v>
      </c>
      <c r="W146" s="36">
        <f t="shared" ca="1" si="50"/>
        <v>0</v>
      </c>
      <c r="X146" s="36">
        <f t="shared" ca="1" si="50"/>
        <v>0</v>
      </c>
      <c r="Y146" s="36">
        <f t="shared" ca="1" si="50"/>
        <v>0</v>
      </c>
      <c r="Z146" s="9"/>
      <c r="AA146" s="9"/>
      <c r="AB146" s="9"/>
    </row>
    <row r="147" spans="1:28" customFormat="1">
      <c r="A147" s="9"/>
      <c r="B147" s="9"/>
      <c r="C147" s="9"/>
      <c r="D147" s="9" t="s">
        <v>125</v>
      </c>
      <c r="E147" s="36">
        <f t="shared" ref="E147:Y147" ca="1" si="51">E110-E109</f>
        <v>0</v>
      </c>
      <c r="F147" s="36">
        <f t="shared" ca="1" si="51"/>
        <v>0</v>
      </c>
      <c r="G147" s="36">
        <f t="shared" ca="1" si="51"/>
        <v>0</v>
      </c>
      <c r="H147" s="36">
        <f t="shared" ca="1" si="51"/>
        <v>0</v>
      </c>
      <c r="I147" s="36">
        <f t="shared" ca="1" si="51"/>
        <v>0</v>
      </c>
      <c r="J147" s="36">
        <f t="shared" ca="1" si="51"/>
        <v>0</v>
      </c>
      <c r="K147" s="36">
        <f t="shared" ca="1" si="51"/>
        <v>0</v>
      </c>
      <c r="L147" s="36">
        <f t="shared" ca="1" si="51"/>
        <v>0</v>
      </c>
      <c r="M147" s="36">
        <f t="shared" ca="1" si="51"/>
        <v>0</v>
      </c>
      <c r="N147" s="36">
        <f t="shared" ca="1" si="51"/>
        <v>0</v>
      </c>
      <c r="O147" s="36">
        <f t="shared" ca="1" si="51"/>
        <v>0</v>
      </c>
      <c r="P147" s="36">
        <f t="shared" ca="1" si="51"/>
        <v>0</v>
      </c>
      <c r="Q147" s="36">
        <f t="shared" ca="1" si="51"/>
        <v>0</v>
      </c>
      <c r="R147" s="36">
        <f t="shared" ca="1" si="51"/>
        <v>0</v>
      </c>
      <c r="S147" s="36">
        <f t="shared" ca="1" si="51"/>
        <v>0</v>
      </c>
      <c r="T147" s="36">
        <f t="shared" ca="1" si="51"/>
        <v>0</v>
      </c>
      <c r="U147" s="36">
        <f t="shared" ca="1" si="51"/>
        <v>0</v>
      </c>
      <c r="V147" s="36">
        <f t="shared" ca="1" si="51"/>
        <v>0</v>
      </c>
      <c r="W147" s="36">
        <f t="shared" ca="1" si="51"/>
        <v>0</v>
      </c>
      <c r="X147" s="36">
        <f t="shared" ca="1" si="51"/>
        <v>0</v>
      </c>
      <c r="Y147" s="36">
        <f t="shared" ca="1" si="51"/>
        <v>0</v>
      </c>
      <c r="Z147" s="9"/>
      <c r="AA147" s="9"/>
      <c r="AB147" s="9"/>
    </row>
    <row r="148" spans="1:28" customFormat="1">
      <c r="A148" s="9"/>
      <c r="B148" s="9"/>
      <c r="C148" s="9"/>
      <c r="D148" s="9" t="s">
        <v>128</v>
      </c>
      <c r="E148" s="36">
        <f t="shared" ref="E148:Y148" ca="1" si="52">E111-E110</f>
        <v>0</v>
      </c>
      <c r="F148" s="36">
        <f t="shared" ca="1" si="52"/>
        <v>0</v>
      </c>
      <c r="G148" s="36">
        <f t="shared" ca="1" si="52"/>
        <v>0</v>
      </c>
      <c r="H148" s="36">
        <f t="shared" ca="1" si="52"/>
        <v>0</v>
      </c>
      <c r="I148" s="36">
        <f t="shared" ca="1" si="52"/>
        <v>0</v>
      </c>
      <c r="J148" s="36">
        <f t="shared" ca="1" si="52"/>
        <v>0</v>
      </c>
      <c r="K148" s="36">
        <f t="shared" ca="1" si="52"/>
        <v>0</v>
      </c>
      <c r="L148" s="36">
        <f t="shared" ca="1" si="52"/>
        <v>0</v>
      </c>
      <c r="M148" s="36">
        <f t="shared" ca="1" si="52"/>
        <v>0</v>
      </c>
      <c r="N148" s="36">
        <f t="shared" ca="1" si="52"/>
        <v>0</v>
      </c>
      <c r="O148" s="36">
        <f t="shared" ca="1" si="52"/>
        <v>0</v>
      </c>
      <c r="P148" s="36">
        <f t="shared" ca="1" si="52"/>
        <v>0</v>
      </c>
      <c r="Q148" s="36">
        <f t="shared" ca="1" si="52"/>
        <v>0</v>
      </c>
      <c r="R148" s="36">
        <f t="shared" ca="1" si="52"/>
        <v>0</v>
      </c>
      <c r="S148" s="36">
        <f t="shared" ca="1" si="52"/>
        <v>0</v>
      </c>
      <c r="T148" s="36">
        <f t="shared" ca="1" si="52"/>
        <v>0</v>
      </c>
      <c r="U148" s="36">
        <f t="shared" ca="1" si="52"/>
        <v>0</v>
      </c>
      <c r="V148" s="36">
        <f t="shared" ca="1" si="52"/>
        <v>0</v>
      </c>
      <c r="W148" s="36">
        <f t="shared" ca="1" si="52"/>
        <v>0</v>
      </c>
      <c r="X148" s="36">
        <f t="shared" ca="1" si="52"/>
        <v>0</v>
      </c>
      <c r="Y148" s="36">
        <f t="shared" ca="1" si="52"/>
        <v>0</v>
      </c>
      <c r="Z148" s="9"/>
      <c r="AA148" s="9"/>
      <c r="AB148" s="9"/>
    </row>
    <row r="149" spans="1:28" customFormat="1">
      <c r="A149" s="9"/>
      <c r="B149" s="9"/>
      <c r="C149" s="9"/>
      <c r="D149" s="9" t="s">
        <v>131</v>
      </c>
      <c r="E149" s="36">
        <f t="shared" ref="E149:Y149" ca="1" si="53">E112-E111</f>
        <v>0</v>
      </c>
      <c r="F149" s="36">
        <f t="shared" ca="1" si="53"/>
        <v>0</v>
      </c>
      <c r="G149" s="36">
        <f t="shared" ca="1" si="53"/>
        <v>0</v>
      </c>
      <c r="H149" s="36">
        <f t="shared" ca="1" si="53"/>
        <v>0</v>
      </c>
      <c r="I149" s="36">
        <f t="shared" ca="1" si="53"/>
        <v>0</v>
      </c>
      <c r="J149" s="36">
        <f t="shared" ca="1" si="53"/>
        <v>0</v>
      </c>
      <c r="K149" s="36">
        <f t="shared" ca="1" si="53"/>
        <v>0</v>
      </c>
      <c r="L149" s="36">
        <f t="shared" ca="1" si="53"/>
        <v>0</v>
      </c>
      <c r="M149" s="36">
        <f t="shared" ca="1" si="53"/>
        <v>0</v>
      </c>
      <c r="N149" s="36">
        <f t="shared" ca="1" si="53"/>
        <v>0</v>
      </c>
      <c r="O149" s="36">
        <f t="shared" ca="1" si="53"/>
        <v>0</v>
      </c>
      <c r="P149" s="36">
        <f t="shared" ca="1" si="53"/>
        <v>0</v>
      </c>
      <c r="Q149" s="36">
        <f t="shared" ca="1" si="53"/>
        <v>0</v>
      </c>
      <c r="R149" s="36">
        <f t="shared" ca="1" si="53"/>
        <v>0</v>
      </c>
      <c r="S149" s="36">
        <f t="shared" ca="1" si="53"/>
        <v>0</v>
      </c>
      <c r="T149" s="36">
        <f t="shared" ca="1" si="53"/>
        <v>0</v>
      </c>
      <c r="U149" s="36">
        <f t="shared" ca="1" si="53"/>
        <v>0</v>
      </c>
      <c r="V149" s="36">
        <f t="shared" ca="1" si="53"/>
        <v>0</v>
      </c>
      <c r="W149" s="36">
        <f t="shared" ca="1" si="53"/>
        <v>0</v>
      </c>
      <c r="X149" s="36">
        <f t="shared" ca="1" si="53"/>
        <v>0</v>
      </c>
      <c r="Y149" s="36">
        <f t="shared" ca="1" si="53"/>
        <v>0</v>
      </c>
      <c r="Z149" s="9"/>
      <c r="AA149" s="9"/>
      <c r="AB149" s="9"/>
    </row>
    <row r="150" spans="1:28" customFormat="1">
      <c r="A150" s="9"/>
      <c r="B150" s="9"/>
      <c r="C150" s="9"/>
      <c r="D150" s="9" t="s">
        <v>134</v>
      </c>
      <c r="E150" s="36">
        <f t="shared" ref="E150:Y150" ca="1" si="54">E113-E112</f>
        <v>0</v>
      </c>
      <c r="F150" s="36">
        <f t="shared" ca="1" si="54"/>
        <v>0</v>
      </c>
      <c r="G150" s="36">
        <f t="shared" ca="1" si="54"/>
        <v>0</v>
      </c>
      <c r="H150" s="36">
        <f t="shared" ca="1" si="54"/>
        <v>0</v>
      </c>
      <c r="I150" s="36">
        <f t="shared" ca="1" si="54"/>
        <v>0</v>
      </c>
      <c r="J150" s="36">
        <f t="shared" ca="1" si="54"/>
        <v>0</v>
      </c>
      <c r="K150" s="36">
        <f t="shared" ca="1" si="54"/>
        <v>0</v>
      </c>
      <c r="L150" s="36">
        <f t="shared" ca="1" si="54"/>
        <v>0</v>
      </c>
      <c r="M150" s="36">
        <f t="shared" ca="1" si="54"/>
        <v>0</v>
      </c>
      <c r="N150" s="36">
        <f t="shared" ca="1" si="54"/>
        <v>0</v>
      </c>
      <c r="O150" s="36">
        <f t="shared" ca="1" si="54"/>
        <v>0</v>
      </c>
      <c r="P150" s="36">
        <f t="shared" ca="1" si="54"/>
        <v>0</v>
      </c>
      <c r="Q150" s="36">
        <f t="shared" ca="1" si="54"/>
        <v>0</v>
      </c>
      <c r="R150" s="36">
        <f t="shared" ca="1" si="54"/>
        <v>0</v>
      </c>
      <c r="S150" s="36">
        <f t="shared" ca="1" si="54"/>
        <v>0</v>
      </c>
      <c r="T150" s="36">
        <f t="shared" ca="1" si="54"/>
        <v>0</v>
      </c>
      <c r="U150" s="36">
        <f t="shared" ca="1" si="54"/>
        <v>0</v>
      </c>
      <c r="V150" s="36">
        <f t="shared" ca="1" si="54"/>
        <v>0</v>
      </c>
      <c r="W150" s="36">
        <f t="shared" ca="1" si="54"/>
        <v>0</v>
      </c>
      <c r="X150" s="36">
        <f t="shared" ca="1" si="54"/>
        <v>0</v>
      </c>
      <c r="Y150" s="36">
        <f t="shared" ca="1" si="54"/>
        <v>0</v>
      </c>
      <c r="Z150" s="9"/>
      <c r="AA150" s="9"/>
      <c r="AB150" s="9"/>
    </row>
    <row r="151" spans="1:28" customFormat="1">
      <c r="A151" s="9"/>
      <c r="B151" s="9"/>
      <c r="C151" s="9"/>
      <c r="D151" s="9" t="s">
        <v>1167</v>
      </c>
      <c r="E151" s="36">
        <f t="shared" ref="E151:Y151" ca="1" si="55">E114-E113</f>
        <v>0</v>
      </c>
      <c r="F151" s="36">
        <f t="shared" ca="1" si="55"/>
        <v>0</v>
      </c>
      <c r="G151" s="36">
        <f t="shared" ca="1" si="55"/>
        <v>0</v>
      </c>
      <c r="H151" s="36">
        <f t="shared" ca="1" si="55"/>
        <v>0</v>
      </c>
      <c r="I151" s="36">
        <f t="shared" ca="1" si="55"/>
        <v>0</v>
      </c>
      <c r="J151" s="36">
        <f t="shared" ca="1" si="55"/>
        <v>0</v>
      </c>
      <c r="K151" s="36">
        <f t="shared" ca="1" si="55"/>
        <v>0</v>
      </c>
      <c r="L151" s="36">
        <f t="shared" ca="1" si="55"/>
        <v>0</v>
      </c>
      <c r="M151" s="36">
        <f t="shared" ca="1" si="55"/>
        <v>0</v>
      </c>
      <c r="N151" s="36">
        <f t="shared" ca="1" si="55"/>
        <v>0</v>
      </c>
      <c r="O151" s="36">
        <f t="shared" ca="1" si="55"/>
        <v>0</v>
      </c>
      <c r="P151" s="36">
        <f t="shared" ca="1" si="55"/>
        <v>0</v>
      </c>
      <c r="Q151" s="36">
        <f t="shared" ca="1" si="55"/>
        <v>0</v>
      </c>
      <c r="R151" s="36">
        <f t="shared" ca="1" si="55"/>
        <v>0</v>
      </c>
      <c r="S151" s="36">
        <f t="shared" ca="1" si="55"/>
        <v>0</v>
      </c>
      <c r="T151" s="36">
        <f t="shared" ca="1" si="55"/>
        <v>0</v>
      </c>
      <c r="U151" s="36">
        <f t="shared" ca="1" si="55"/>
        <v>0</v>
      </c>
      <c r="V151" s="36">
        <f t="shared" ca="1" si="55"/>
        <v>0</v>
      </c>
      <c r="W151" s="36">
        <f t="shared" ca="1" si="55"/>
        <v>0</v>
      </c>
      <c r="X151" s="36">
        <f t="shared" ca="1" si="55"/>
        <v>0</v>
      </c>
      <c r="Y151" s="36">
        <f t="shared" ca="1" si="55"/>
        <v>0</v>
      </c>
      <c r="Z151" s="9"/>
      <c r="AA151" s="9"/>
      <c r="AB151" s="9"/>
    </row>
    <row r="152" spans="1:28" customFormat="1">
      <c r="A152" s="9"/>
      <c r="B152" s="9"/>
      <c r="C152" s="9"/>
      <c r="D152" s="9" t="s">
        <v>1168</v>
      </c>
      <c r="E152" s="36">
        <f t="shared" ref="E152:Y152" ca="1" si="56">E115-E114</f>
        <v>0</v>
      </c>
      <c r="F152" s="36">
        <f t="shared" ca="1" si="56"/>
        <v>0</v>
      </c>
      <c r="G152" s="36">
        <f t="shared" ca="1" si="56"/>
        <v>0</v>
      </c>
      <c r="H152" s="36">
        <f t="shared" ca="1" si="56"/>
        <v>0</v>
      </c>
      <c r="I152" s="36">
        <f t="shared" ca="1" si="56"/>
        <v>0</v>
      </c>
      <c r="J152" s="36">
        <f t="shared" ca="1" si="56"/>
        <v>0</v>
      </c>
      <c r="K152" s="36">
        <f t="shared" ca="1" si="56"/>
        <v>0</v>
      </c>
      <c r="L152" s="36">
        <f t="shared" ca="1" si="56"/>
        <v>0</v>
      </c>
      <c r="M152" s="36">
        <f t="shared" ca="1" si="56"/>
        <v>0</v>
      </c>
      <c r="N152" s="36">
        <f t="shared" ca="1" si="56"/>
        <v>0</v>
      </c>
      <c r="O152" s="36">
        <f t="shared" ca="1" si="56"/>
        <v>0</v>
      </c>
      <c r="P152" s="36">
        <f t="shared" ca="1" si="56"/>
        <v>0</v>
      </c>
      <c r="Q152" s="36">
        <f t="shared" ca="1" si="56"/>
        <v>0</v>
      </c>
      <c r="R152" s="36">
        <f t="shared" ca="1" si="56"/>
        <v>0</v>
      </c>
      <c r="S152" s="36">
        <f t="shared" ca="1" si="56"/>
        <v>0</v>
      </c>
      <c r="T152" s="36">
        <f t="shared" ca="1" si="56"/>
        <v>0</v>
      </c>
      <c r="U152" s="36">
        <f t="shared" ca="1" si="56"/>
        <v>0</v>
      </c>
      <c r="V152" s="36">
        <f t="shared" ca="1" si="56"/>
        <v>0</v>
      </c>
      <c r="W152" s="36">
        <f t="shared" ca="1" si="56"/>
        <v>0</v>
      </c>
      <c r="X152" s="36">
        <f t="shared" ca="1" si="56"/>
        <v>0</v>
      </c>
      <c r="Y152" s="36">
        <f t="shared" ca="1" si="56"/>
        <v>0</v>
      </c>
      <c r="Z152" s="9"/>
      <c r="AA152" s="9"/>
      <c r="AB152" s="9"/>
    </row>
    <row r="153" spans="1:28" customFormat="1">
      <c r="A153" s="9"/>
      <c r="B153" s="9"/>
      <c r="C153" s="9"/>
      <c r="D153" s="9" t="s">
        <v>1169</v>
      </c>
      <c r="E153" s="36">
        <f t="shared" ref="E153:Y153" ca="1" si="57">E116-E115</f>
        <v>0</v>
      </c>
      <c r="F153" s="36">
        <f t="shared" ca="1" si="57"/>
        <v>0</v>
      </c>
      <c r="G153" s="36">
        <f t="shared" ca="1" si="57"/>
        <v>0</v>
      </c>
      <c r="H153" s="36">
        <f t="shared" ca="1" si="57"/>
        <v>0</v>
      </c>
      <c r="I153" s="36">
        <f t="shared" ca="1" si="57"/>
        <v>0</v>
      </c>
      <c r="J153" s="36">
        <f t="shared" ca="1" si="57"/>
        <v>0</v>
      </c>
      <c r="K153" s="36">
        <f t="shared" ca="1" si="57"/>
        <v>0</v>
      </c>
      <c r="L153" s="36">
        <f t="shared" ca="1" si="57"/>
        <v>0</v>
      </c>
      <c r="M153" s="36">
        <f t="shared" ca="1" si="57"/>
        <v>0</v>
      </c>
      <c r="N153" s="36">
        <f t="shared" ca="1" si="57"/>
        <v>0</v>
      </c>
      <c r="O153" s="36">
        <f t="shared" ca="1" si="57"/>
        <v>0</v>
      </c>
      <c r="P153" s="36">
        <f t="shared" ca="1" si="57"/>
        <v>0</v>
      </c>
      <c r="Q153" s="36">
        <f t="shared" ca="1" si="57"/>
        <v>0</v>
      </c>
      <c r="R153" s="36">
        <f t="shared" ca="1" si="57"/>
        <v>0</v>
      </c>
      <c r="S153" s="36">
        <f t="shared" ca="1" si="57"/>
        <v>0</v>
      </c>
      <c r="T153" s="36">
        <f t="shared" ca="1" si="57"/>
        <v>0</v>
      </c>
      <c r="U153" s="36">
        <f t="shared" ca="1" si="57"/>
        <v>0</v>
      </c>
      <c r="V153" s="36">
        <f t="shared" ca="1" si="57"/>
        <v>0</v>
      </c>
      <c r="W153" s="36">
        <f t="shared" ca="1" si="57"/>
        <v>0</v>
      </c>
      <c r="X153" s="36">
        <f t="shared" ca="1" si="57"/>
        <v>0</v>
      </c>
      <c r="Y153" s="36">
        <f t="shared" ca="1" si="57"/>
        <v>0</v>
      </c>
      <c r="Z153" s="9"/>
      <c r="AA153" s="9"/>
      <c r="AB153" s="9"/>
    </row>
    <row r="154" spans="1:28" customFormat="1">
      <c r="A154" s="9"/>
      <c r="B154" s="9"/>
      <c r="C154" s="9"/>
      <c r="D154" s="9" t="s">
        <v>1170</v>
      </c>
      <c r="E154" s="36">
        <f t="shared" ref="E154:Y154" ca="1" si="58">E117-E116</f>
        <v>0</v>
      </c>
      <c r="F154" s="36">
        <f t="shared" ca="1" si="58"/>
        <v>0</v>
      </c>
      <c r="G154" s="36">
        <f t="shared" ca="1" si="58"/>
        <v>0</v>
      </c>
      <c r="H154" s="36">
        <f t="shared" ca="1" si="58"/>
        <v>0</v>
      </c>
      <c r="I154" s="36">
        <f t="shared" ca="1" si="58"/>
        <v>0</v>
      </c>
      <c r="J154" s="36">
        <f t="shared" ca="1" si="58"/>
        <v>0</v>
      </c>
      <c r="K154" s="36">
        <f t="shared" ca="1" si="58"/>
        <v>0</v>
      </c>
      <c r="L154" s="36">
        <f t="shared" ca="1" si="58"/>
        <v>0</v>
      </c>
      <c r="M154" s="36">
        <f t="shared" ca="1" si="58"/>
        <v>0</v>
      </c>
      <c r="N154" s="36">
        <f t="shared" ca="1" si="58"/>
        <v>0</v>
      </c>
      <c r="O154" s="36">
        <f t="shared" ca="1" si="58"/>
        <v>0</v>
      </c>
      <c r="P154" s="36">
        <f t="shared" ca="1" si="58"/>
        <v>0</v>
      </c>
      <c r="Q154" s="36">
        <f t="shared" ca="1" si="58"/>
        <v>0</v>
      </c>
      <c r="R154" s="36">
        <f t="shared" ca="1" si="58"/>
        <v>0</v>
      </c>
      <c r="S154" s="36">
        <f t="shared" ca="1" si="58"/>
        <v>0</v>
      </c>
      <c r="T154" s="36">
        <f t="shared" ca="1" si="58"/>
        <v>0</v>
      </c>
      <c r="U154" s="36">
        <f t="shared" ca="1" si="58"/>
        <v>0</v>
      </c>
      <c r="V154" s="36">
        <f t="shared" ca="1" si="58"/>
        <v>0</v>
      </c>
      <c r="W154" s="36">
        <f t="shared" ca="1" si="58"/>
        <v>0</v>
      </c>
      <c r="X154" s="36">
        <f t="shared" ca="1" si="58"/>
        <v>0</v>
      </c>
      <c r="Y154" s="36">
        <f t="shared" ca="1" si="58"/>
        <v>0</v>
      </c>
      <c r="Z154" s="9"/>
      <c r="AA154" s="9"/>
      <c r="AB154" s="9"/>
    </row>
    <row r="155" spans="1:28" customFormat="1">
      <c r="A155" s="9"/>
      <c r="B155" s="9"/>
      <c r="C155" s="9"/>
      <c r="D155" s="9" t="s">
        <v>1171</v>
      </c>
      <c r="E155" s="36">
        <f t="shared" ref="E155:Y155" ca="1" si="59">E118-E117</f>
        <v>0</v>
      </c>
      <c r="F155" s="36">
        <f t="shared" ca="1" si="59"/>
        <v>0</v>
      </c>
      <c r="G155" s="36">
        <f t="shared" ca="1" si="59"/>
        <v>0</v>
      </c>
      <c r="H155" s="36">
        <f t="shared" ca="1" si="59"/>
        <v>0</v>
      </c>
      <c r="I155" s="36">
        <f t="shared" ca="1" si="59"/>
        <v>0</v>
      </c>
      <c r="J155" s="36">
        <f t="shared" ca="1" si="59"/>
        <v>0</v>
      </c>
      <c r="K155" s="36">
        <f t="shared" ca="1" si="59"/>
        <v>0</v>
      </c>
      <c r="L155" s="36">
        <f t="shared" ca="1" si="59"/>
        <v>0</v>
      </c>
      <c r="M155" s="36">
        <f t="shared" ca="1" si="59"/>
        <v>0</v>
      </c>
      <c r="N155" s="36">
        <f t="shared" ca="1" si="59"/>
        <v>0</v>
      </c>
      <c r="O155" s="36">
        <f t="shared" ca="1" si="59"/>
        <v>0</v>
      </c>
      <c r="P155" s="36">
        <f t="shared" ca="1" si="59"/>
        <v>0</v>
      </c>
      <c r="Q155" s="36">
        <f t="shared" ca="1" si="59"/>
        <v>0</v>
      </c>
      <c r="R155" s="36">
        <f t="shared" ca="1" si="59"/>
        <v>0</v>
      </c>
      <c r="S155" s="36">
        <f t="shared" ca="1" si="59"/>
        <v>0</v>
      </c>
      <c r="T155" s="36">
        <f t="shared" ca="1" si="59"/>
        <v>0</v>
      </c>
      <c r="U155" s="36">
        <f t="shared" ca="1" si="59"/>
        <v>0</v>
      </c>
      <c r="V155" s="36">
        <f t="shared" ca="1" si="59"/>
        <v>0</v>
      </c>
      <c r="W155" s="36">
        <f t="shared" ca="1" si="59"/>
        <v>0</v>
      </c>
      <c r="X155" s="36">
        <f t="shared" ca="1" si="59"/>
        <v>0</v>
      </c>
      <c r="Y155" s="36">
        <f t="shared" ca="1" si="59"/>
        <v>0</v>
      </c>
      <c r="Z155" s="9"/>
      <c r="AA155" s="9"/>
      <c r="AB155" s="9"/>
    </row>
    <row r="156" spans="1:28" customFormat="1">
      <c r="A156" s="9"/>
      <c r="B156" s="9"/>
      <c r="C156" s="9"/>
      <c r="D156" s="9" t="s">
        <v>1172</v>
      </c>
      <c r="E156" s="36">
        <f t="shared" ref="E156:Y156" ca="1" si="60">E119-E118</f>
        <v>0</v>
      </c>
      <c r="F156" s="36">
        <f t="shared" ca="1" si="60"/>
        <v>0</v>
      </c>
      <c r="G156" s="36">
        <f t="shared" ca="1" si="60"/>
        <v>0</v>
      </c>
      <c r="H156" s="36">
        <f t="shared" ca="1" si="60"/>
        <v>0</v>
      </c>
      <c r="I156" s="36">
        <f t="shared" ca="1" si="60"/>
        <v>0</v>
      </c>
      <c r="J156" s="36">
        <f t="shared" ca="1" si="60"/>
        <v>0</v>
      </c>
      <c r="K156" s="36">
        <f t="shared" ca="1" si="60"/>
        <v>0</v>
      </c>
      <c r="L156" s="36">
        <f t="shared" ca="1" si="60"/>
        <v>0</v>
      </c>
      <c r="M156" s="36">
        <f t="shared" ca="1" si="60"/>
        <v>0</v>
      </c>
      <c r="N156" s="36">
        <f t="shared" ca="1" si="60"/>
        <v>0</v>
      </c>
      <c r="O156" s="36">
        <f t="shared" ca="1" si="60"/>
        <v>0</v>
      </c>
      <c r="P156" s="36">
        <f t="shared" ca="1" si="60"/>
        <v>0</v>
      </c>
      <c r="Q156" s="36">
        <f t="shared" ca="1" si="60"/>
        <v>0</v>
      </c>
      <c r="R156" s="36">
        <f t="shared" ca="1" si="60"/>
        <v>0</v>
      </c>
      <c r="S156" s="36">
        <f t="shared" ca="1" si="60"/>
        <v>0</v>
      </c>
      <c r="T156" s="36">
        <f t="shared" ca="1" si="60"/>
        <v>0</v>
      </c>
      <c r="U156" s="36">
        <f t="shared" ca="1" si="60"/>
        <v>0</v>
      </c>
      <c r="V156" s="36">
        <f t="shared" ca="1" si="60"/>
        <v>0</v>
      </c>
      <c r="W156" s="36">
        <f t="shared" ca="1" si="60"/>
        <v>0</v>
      </c>
      <c r="X156" s="36">
        <f t="shared" ca="1" si="60"/>
        <v>0</v>
      </c>
      <c r="Y156" s="36">
        <f t="shared" ca="1" si="60"/>
        <v>0</v>
      </c>
      <c r="Z156" s="9"/>
      <c r="AA156" s="9"/>
      <c r="AB156" s="9"/>
    </row>
    <row r="157" spans="1:28" customFormat="1">
      <c r="A157" s="9"/>
      <c r="B157" s="9"/>
      <c r="C157" s="9"/>
      <c r="D157" s="9" t="s">
        <v>1173</v>
      </c>
      <c r="E157" s="36">
        <f t="shared" ref="E157:Y157" ca="1" si="61">E120-E119</f>
        <v>0</v>
      </c>
      <c r="F157" s="36">
        <f t="shared" ca="1" si="61"/>
        <v>0</v>
      </c>
      <c r="G157" s="36">
        <f t="shared" ca="1" si="61"/>
        <v>0</v>
      </c>
      <c r="H157" s="36">
        <f t="shared" ca="1" si="61"/>
        <v>0</v>
      </c>
      <c r="I157" s="36">
        <f t="shared" ca="1" si="61"/>
        <v>0</v>
      </c>
      <c r="J157" s="36">
        <f t="shared" ca="1" si="61"/>
        <v>0</v>
      </c>
      <c r="K157" s="36">
        <f t="shared" ca="1" si="61"/>
        <v>0</v>
      </c>
      <c r="L157" s="36">
        <f t="shared" ca="1" si="61"/>
        <v>0</v>
      </c>
      <c r="M157" s="36">
        <f t="shared" ca="1" si="61"/>
        <v>0</v>
      </c>
      <c r="N157" s="36">
        <f t="shared" ca="1" si="61"/>
        <v>0</v>
      </c>
      <c r="O157" s="36">
        <f t="shared" ca="1" si="61"/>
        <v>0</v>
      </c>
      <c r="P157" s="36">
        <f t="shared" ca="1" si="61"/>
        <v>0</v>
      </c>
      <c r="Q157" s="36">
        <f t="shared" ca="1" si="61"/>
        <v>0</v>
      </c>
      <c r="R157" s="36">
        <f t="shared" ca="1" si="61"/>
        <v>0</v>
      </c>
      <c r="S157" s="36">
        <f t="shared" ca="1" si="61"/>
        <v>0</v>
      </c>
      <c r="T157" s="36">
        <f t="shared" ca="1" si="61"/>
        <v>0</v>
      </c>
      <c r="U157" s="36">
        <f t="shared" ca="1" si="61"/>
        <v>0</v>
      </c>
      <c r="V157" s="36">
        <f t="shared" ca="1" si="61"/>
        <v>0</v>
      </c>
      <c r="W157" s="36">
        <f t="shared" ca="1" si="61"/>
        <v>0</v>
      </c>
      <c r="X157" s="36">
        <f t="shared" ca="1" si="61"/>
        <v>0</v>
      </c>
      <c r="Y157" s="36">
        <f t="shared" ca="1" si="61"/>
        <v>0</v>
      </c>
      <c r="Z157" s="9"/>
      <c r="AA157" s="9"/>
      <c r="AB157" s="9"/>
    </row>
    <row r="158" spans="1:28" customFormat="1">
      <c r="A158" s="9"/>
      <c r="B158" s="9"/>
      <c r="C158" s="9"/>
      <c r="D158" s="9" t="s">
        <v>1174</v>
      </c>
      <c r="E158" s="36">
        <f t="shared" ref="E158:Y158" ca="1" si="62">E121-E120</f>
        <v>0</v>
      </c>
      <c r="F158" s="36">
        <f t="shared" ca="1" si="62"/>
        <v>0</v>
      </c>
      <c r="G158" s="36">
        <f t="shared" ca="1" si="62"/>
        <v>0</v>
      </c>
      <c r="H158" s="36">
        <f t="shared" ca="1" si="62"/>
        <v>0</v>
      </c>
      <c r="I158" s="36">
        <f t="shared" ca="1" si="62"/>
        <v>0</v>
      </c>
      <c r="J158" s="36">
        <f t="shared" ca="1" si="62"/>
        <v>0</v>
      </c>
      <c r="K158" s="36">
        <f t="shared" ca="1" si="62"/>
        <v>0</v>
      </c>
      <c r="L158" s="36">
        <f t="shared" ca="1" si="62"/>
        <v>0</v>
      </c>
      <c r="M158" s="36">
        <f t="shared" ca="1" si="62"/>
        <v>0</v>
      </c>
      <c r="N158" s="36">
        <f t="shared" ca="1" si="62"/>
        <v>0</v>
      </c>
      <c r="O158" s="36">
        <f t="shared" ca="1" si="62"/>
        <v>0</v>
      </c>
      <c r="P158" s="36">
        <f t="shared" ca="1" si="62"/>
        <v>0</v>
      </c>
      <c r="Q158" s="36">
        <f t="shared" ca="1" si="62"/>
        <v>0</v>
      </c>
      <c r="R158" s="36">
        <f t="shared" ca="1" si="62"/>
        <v>0</v>
      </c>
      <c r="S158" s="36">
        <f t="shared" ca="1" si="62"/>
        <v>0</v>
      </c>
      <c r="T158" s="36">
        <f t="shared" ca="1" si="62"/>
        <v>0</v>
      </c>
      <c r="U158" s="36">
        <f t="shared" ca="1" si="62"/>
        <v>0</v>
      </c>
      <c r="V158" s="36">
        <f t="shared" ca="1" si="62"/>
        <v>0</v>
      </c>
      <c r="W158" s="36">
        <f t="shared" ca="1" si="62"/>
        <v>0</v>
      </c>
      <c r="X158" s="36">
        <f t="shared" ca="1" si="62"/>
        <v>0</v>
      </c>
      <c r="Y158" s="36">
        <f t="shared" ca="1" si="62"/>
        <v>0</v>
      </c>
      <c r="Z158" s="9"/>
      <c r="AA158" s="9"/>
      <c r="AB158" s="9"/>
    </row>
    <row r="159" spans="1:28" customFormat="1">
      <c r="A159" s="9"/>
      <c r="B159" s="9"/>
      <c r="C159" s="9"/>
      <c r="D159" s="9" t="s">
        <v>1175</v>
      </c>
      <c r="E159" s="36">
        <f t="shared" ref="E159:Y159" ca="1" si="63">E122-E121</f>
        <v>0</v>
      </c>
      <c r="F159" s="36">
        <f t="shared" ca="1" si="63"/>
        <v>0</v>
      </c>
      <c r="G159" s="36">
        <f t="shared" ca="1" si="63"/>
        <v>0</v>
      </c>
      <c r="H159" s="36">
        <f t="shared" ca="1" si="63"/>
        <v>0</v>
      </c>
      <c r="I159" s="36">
        <f t="shared" ca="1" si="63"/>
        <v>0</v>
      </c>
      <c r="J159" s="36">
        <f t="shared" ca="1" si="63"/>
        <v>0</v>
      </c>
      <c r="K159" s="36">
        <f t="shared" ca="1" si="63"/>
        <v>0</v>
      </c>
      <c r="L159" s="36">
        <f t="shared" ca="1" si="63"/>
        <v>0</v>
      </c>
      <c r="M159" s="36">
        <f t="shared" ca="1" si="63"/>
        <v>0</v>
      </c>
      <c r="N159" s="36">
        <f t="shared" ca="1" si="63"/>
        <v>0</v>
      </c>
      <c r="O159" s="36">
        <f t="shared" ca="1" si="63"/>
        <v>0</v>
      </c>
      <c r="P159" s="36">
        <f t="shared" ca="1" si="63"/>
        <v>0</v>
      </c>
      <c r="Q159" s="36">
        <f t="shared" ca="1" si="63"/>
        <v>0</v>
      </c>
      <c r="R159" s="36">
        <f t="shared" ca="1" si="63"/>
        <v>0</v>
      </c>
      <c r="S159" s="36">
        <f t="shared" ca="1" si="63"/>
        <v>0</v>
      </c>
      <c r="T159" s="36">
        <f t="shared" ca="1" si="63"/>
        <v>0</v>
      </c>
      <c r="U159" s="36">
        <f t="shared" ca="1" si="63"/>
        <v>0</v>
      </c>
      <c r="V159" s="36">
        <f t="shared" ca="1" si="63"/>
        <v>0</v>
      </c>
      <c r="W159" s="36">
        <f t="shared" ca="1" si="63"/>
        <v>0</v>
      </c>
      <c r="X159" s="36">
        <f t="shared" ca="1" si="63"/>
        <v>0</v>
      </c>
      <c r="Y159" s="36">
        <f t="shared" ca="1" si="63"/>
        <v>0</v>
      </c>
      <c r="Z159" s="9"/>
      <c r="AA159" s="9"/>
      <c r="AB159" s="9"/>
    </row>
    <row r="160" spans="1:28" customFormat="1">
      <c r="A160" s="9"/>
      <c r="B160" s="9"/>
      <c r="C160" s="9"/>
      <c r="D160" s="9" t="s">
        <v>1176</v>
      </c>
      <c r="E160" s="36">
        <f t="shared" ref="E160:Y160" ca="1" si="64">E123-E122</f>
        <v>0</v>
      </c>
      <c r="F160" s="36">
        <f t="shared" ca="1" si="64"/>
        <v>0</v>
      </c>
      <c r="G160" s="36">
        <f t="shared" ca="1" si="64"/>
        <v>0</v>
      </c>
      <c r="H160" s="36">
        <f t="shared" ca="1" si="64"/>
        <v>0</v>
      </c>
      <c r="I160" s="36">
        <f t="shared" ca="1" si="64"/>
        <v>0</v>
      </c>
      <c r="J160" s="36">
        <f t="shared" ca="1" si="64"/>
        <v>0</v>
      </c>
      <c r="K160" s="36">
        <f t="shared" ca="1" si="64"/>
        <v>0</v>
      </c>
      <c r="L160" s="36">
        <f t="shared" ca="1" si="64"/>
        <v>0</v>
      </c>
      <c r="M160" s="36">
        <f t="shared" ca="1" si="64"/>
        <v>0</v>
      </c>
      <c r="N160" s="36">
        <f t="shared" ca="1" si="64"/>
        <v>0</v>
      </c>
      <c r="O160" s="36">
        <f t="shared" ca="1" si="64"/>
        <v>0</v>
      </c>
      <c r="P160" s="36">
        <f t="shared" ca="1" si="64"/>
        <v>0</v>
      </c>
      <c r="Q160" s="36">
        <f t="shared" ca="1" si="64"/>
        <v>0</v>
      </c>
      <c r="R160" s="36">
        <f t="shared" ca="1" si="64"/>
        <v>0</v>
      </c>
      <c r="S160" s="36">
        <f t="shared" ca="1" si="64"/>
        <v>0</v>
      </c>
      <c r="T160" s="36">
        <f t="shared" ca="1" si="64"/>
        <v>0</v>
      </c>
      <c r="U160" s="36">
        <f t="shared" ca="1" si="64"/>
        <v>0</v>
      </c>
      <c r="V160" s="36">
        <f t="shared" ca="1" si="64"/>
        <v>0</v>
      </c>
      <c r="W160" s="36">
        <f t="shared" ca="1" si="64"/>
        <v>0</v>
      </c>
      <c r="X160" s="36">
        <f t="shared" ca="1" si="64"/>
        <v>0</v>
      </c>
      <c r="Y160" s="36">
        <f t="shared" ca="1" si="64"/>
        <v>0</v>
      </c>
      <c r="Z160" s="9"/>
      <c r="AA160" s="9"/>
      <c r="AB160" s="9"/>
    </row>
    <row r="161" spans="1:28" customFormat="1">
      <c r="A161" s="9"/>
      <c r="B161" s="9"/>
      <c r="C161" s="9"/>
      <c r="D161" s="9" t="s">
        <v>1177</v>
      </c>
      <c r="E161" s="36">
        <f t="shared" ref="E161:Y161" ca="1" si="65">E124-E123</f>
        <v>0</v>
      </c>
      <c r="F161" s="36">
        <f t="shared" ca="1" si="65"/>
        <v>0</v>
      </c>
      <c r="G161" s="36">
        <f t="shared" ca="1" si="65"/>
        <v>0</v>
      </c>
      <c r="H161" s="36">
        <f t="shared" ca="1" si="65"/>
        <v>0</v>
      </c>
      <c r="I161" s="36">
        <f t="shared" ca="1" si="65"/>
        <v>0</v>
      </c>
      <c r="J161" s="36">
        <f t="shared" ca="1" si="65"/>
        <v>0</v>
      </c>
      <c r="K161" s="36">
        <f t="shared" ca="1" si="65"/>
        <v>0</v>
      </c>
      <c r="L161" s="36">
        <f t="shared" ca="1" si="65"/>
        <v>0</v>
      </c>
      <c r="M161" s="36">
        <f t="shared" ca="1" si="65"/>
        <v>0</v>
      </c>
      <c r="N161" s="36">
        <f t="shared" ca="1" si="65"/>
        <v>0</v>
      </c>
      <c r="O161" s="36">
        <f t="shared" ca="1" si="65"/>
        <v>0</v>
      </c>
      <c r="P161" s="36">
        <f t="shared" ca="1" si="65"/>
        <v>0</v>
      </c>
      <c r="Q161" s="36">
        <f t="shared" ca="1" si="65"/>
        <v>0</v>
      </c>
      <c r="R161" s="36">
        <f t="shared" ca="1" si="65"/>
        <v>0</v>
      </c>
      <c r="S161" s="36">
        <f t="shared" ca="1" si="65"/>
        <v>0</v>
      </c>
      <c r="T161" s="36">
        <f t="shared" ca="1" si="65"/>
        <v>0</v>
      </c>
      <c r="U161" s="36">
        <f t="shared" ca="1" si="65"/>
        <v>0</v>
      </c>
      <c r="V161" s="36">
        <f t="shared" ca="1" si="65"/>
        <v>0</v>
      </c>
      <c r="W161" s="36">
        <f t="shared" ca="1" si="65"/>
        <v>0</v>
      </c>
      <c r="X161" s="36">
        <f t="shared" ca="1" si="65"/>
        <v>0</v>
      </c>
      <c r="Y161" s="36">
        <f t="shared" ca="1" si="65"/>
        <v>0</v>
      </c>
      <c r="Z161" s="9"/>
      <c r="AA161" s="9"/>
      <c r="AB161" s="9"/>
    </row>
    <row r="162" spans="1:28" customForma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row>
    <row r="163" spans="1:28" customFormat="1" ht="15">
      <c r="A163" s="9"/>
      <c r="B163" s="9"/>
      <c r="C163" s="9"/>
      <c r="D163" s="76" t="s">
        <v>141</v>
      </c>
      <c r="E163" s="77">
        <f t="shared" ref="E163:Y163" ca="1" si="66">SUM(E130:E161)</f>
        <v>0.39135639309450682</v>
      </c>
      <c r="F163" s="77">
        <f t="shared" ca="1" si="66"/>
        <v>0.78023303323938531</v>
      </c>
      <c r="G163" s="77">
        <f t="shared" ca="1" si="66"/>
        <v>1.1666496264105659</v>
      </c>
      <c r="H163" s="77">
        <f t="shared" ca="1" si="66"/>
        <v>1.5506256584798044</v>
      </c>
      <c r="I163" s="77">
        <f t="shared" ca="1" si="66"/>
        <v>1.9321803979827208</v>
      </c>
      <c r="J163" s="77">
        <f t="shared" ca="1" si="66"/>
        <v>2.2728106838709423</v>
      </c>
      <c r="K163" s="77">
        <f t="shared" ca="1" si="66"/>
        <v>2.5421764658028931</v>
      </c>
      <c r="L163" s="77">
        <f t="shared" ca="1" si="66"/>
        <v>2.7547244560314557</v>
      </c>
      <c r="M163" s="77">
        <f t="shared" ca="1" si="66"/>
        <v>2.921974698580601</v>
      </c>
      <c r="N163" s="77">
        <f t="shared" ca="1" si="66"/>
        <v>3.0531135114811865</v>
      </c>
      <c r="O163" s="77">
        <f t="shared" ca="1" si="66"/>
        <v>3.155466285615542</v>
      </c>
      <c r="P163" s="77">
        <f t="shared" ca="1" si="66"/>
        <v>3.2348744867455475</v>
      </c>
      <c r="Q163" s="77">
        <f t="shared" ca="1" si="66"/>
        <v>3.2959962729752807</v>
      </c>
      <c r="R163" s="77">
        <f t="shared" ca="1" si="66"/>
        <v>3.342546205737972</v>
      </c>
      <c r="S163" s="77">
        <f t="shared" ca="1" si="66"/>
        <v>4.027070895956105</v>
      </c>
      <c r="T163" s="77">
        <f t="shared" ca="1" si="66"/>
        <v>3.9601404559777937</v>
      </c>
      <c r="U163" s="77">
        <f t="shared" ca="1" si="66"/>
        <v>3.8542206623910196</v>
      </c>
      <c r="V163" s="77">
        <f t="shared" ca="1" si="66"/>
        <v>3.7594427106901969</v>
      </c>
      <c r="W163" s="77">
        <f t="shared" ca="1" si="66"/>
        <v>3.6687977465405863</v>
      </c>
      <c r="X163" s="77">
        <f t="shared" ca="1" si="66"/>
        <v>3.5872560807866307</v>
      </c>
      <c r="Y163" s="77">
        <f t="shared" ca="1" si="66"/>
        <v>49.766395138584762</v>
      </c>
      <c r="Z163" s="77"/>
      <c r="AA163" s="9"/>
      <c r="AB163" s="9"/>
    </row>
    <row r="164" spans="1:28" ht="15">
      <c r="D164" s="76" t="s">
        <v>142</v>
      </c>
      <c r="E164" s="77">
        <f ca="1">E163</f>
        <v>0.39135639309450682</v>
      </c>
      <c r="F164" s="77">
        <f t="shared" ref="F164:X164" ca="1" si="67">E164+F163</f>
        <v>1.1715894263338922</v>
      </c>
      <c r="G164" s="77">
        <f t="shared" ca="1" si="67"/>
        <v>2.3382390527444583</v>
      </c>
      <c r="H164" s="77">
        <f t="shared" ca="1" si="67"/>
        <v>3.8888647112242625</v>
      </c>
      <c r="I164" s="77">
        <f t="shared" ca="1" si="67"/>
        <v>5.8210451092069828</v>
      </c>
      <c r="J164" s="77">
        <f t="shared" ca="1" si="67"/>
        <v>8.0938557930779247</v>
      </c>
      <c r="K164" s="77">
        <f t="shared" ca="1" si="67"/>
        <v>10.636032258880817</v>
      </c>
      <c r="L164" s="77">
        <f t="shared" ca="1" si="67"/>
        <v>13.390756714912273</v>
      </c>
      <c r="M164" s="77">
        <f t="shared" ca="1" si="67"/>
        <v>16.312731413492873</v>
      </c>
      <c r="N164" s="77">
        <f t="shared" ca="1" si="67"/>
        <v>19.365844924974059</v>
      </c>
      <c r="O164" s="77">
        <f t="shared" ca="1" si="67"/>
        <v>22.521311210589602</v>
      </c>
      <c r="P164" s="77">
        <f t="shared" ca="1" si="67"/>
        <v>25.756185697335148</v>
      </c>
      <c r="Q164" s="77">
        <f t="shared" ca="1" si="67"/>
        <v>29.052181970310428</v>
      </c>
      <c r="R164" s="77">
        <f t="shared" ca="1" si="67"/>
        <v>32.394728176048403</v>
      </c>
      <c r="S164" s="77">
        <f t="shared" ca="1" si="67"/>
        <v>36.421799072004511</v>
      </c>
      <c r="T164" s="77">
        <f t="shared" ca="1" si="67"/>
        <v>40.381939527982304</v>
      </c>
      <c r="U164" s="77">
        <f t="shared" ca="1" si="67"/>
        <v>44.236160190373326</v>
      </c>
      <c r="V164" s="77">
        <f t="shared" ca="1" si="67"/>
        <v>47.995602901063521</v>
      </c>
      <c r="W164" s="77">
        <f t="shared" ca="1" si="67"/>
        <v>51.664400647604104</v>
      </c>
      <c r="X164" s="77">
        <f t="shared" ca="1" si="67"/>
        <v>55.251656728390735</v>
      </c>
      <c r="Y164" s="77"/>
      <c r="Z164" s="77"/>
    </row>
    <row r="165" spans="1:28">
      <c r="E165" s="54"/>
      <c r="F165" s="61"/>
      <c r="G165" s="61"/>
      <c r="H165" s="61"/>
      <c r="I165" s="61"/>
      <c r="J165" s="61"/>
      <c r="K165" s="61"/>
      <c r="L165" s="61"/>
      <c r="M165" s="61"/>
      <c r="N165" s="61"/>
      <c r="O165" s="61"/>
      <c r="P165" s="61"/>
      <c r="Q165" s="61"/>
      <c r="R165" s="61"/>
      <c r="S165" s="61"/>
      <c r="T165" s="61"/>
      <c r="U165" s="61"/>
      <c r="V165" s="61"/>
      <c r="W165" s="61"/>
      <c r="X165" s="61"/>
      <c r="Y165" s="61"/>
      <c r="Z165" s="61"/>
    </row>
    <row r="166" spans="1:28">
      <c r="E166" s="54"/>
      <c r="F166" s="61"/>
      <c r="G166" s="61"/>
      <c r="H166" s="61"/>
      <c r="I166" s="61"/>
      <c r="J166" s="61"/>
      <c r="K166" s="61"/>
      <c r="L166" s="61"/>
      <c r="M166" s="61"/>
      <c r="N166" s="61"/>
      <c r="O166" s="61"/>
      <c r="P166" s="61"/>
      <c r="Q166" s="61"/>
      <c r="R166" s="61"/>
      <c r="S166" s="61"/>
      <c r="T166" s="61"/>
      <c r="U166" s="61"/>
      <c r="V166" s="61"/>
      <c r="W166" s="61"/>
      <c r="X166" s="61"/>
      <c r="Y166" s="61"/>
      <c r="Z166" s="61"/>
    </row>
    <row r="167" spans="1:28" ht="15">
      <c r="A167" s="81" t="str">
        <f>CONCATENATE("ACHIEVABLE SAVINGS - CUMULATIVE BY MILL BIN - FOR MEASURE - ",D168)</f>
        <v>ACHIEVABLE SAVINGS - CUMULATIVE BY MILL BIN - FOR MEASURE - Clothes Washer</v>
      </c>
      <c r="D167" s="9" t="s">
        <v>1164</v>
      </c>
      <c r="E167" s="74">
        <v>2015</v>
      </c>
      <c r="F167" s="68">
        <v>2016</v>
      </c>
      <c r="G167" s="68">
        <v>2017</v>
      </c>
      <c r="H167" s="68">
        <v>2018</v>
      </c>
      <c r="I167" s="68">
        <v>2019</v>
      </c>
      <c r="J167" s="68">
        <v>2020</v>
      </c>
      <c r="K167" s="68">
        <v>2021</v>
      </c>
      <c r="L167" s="68">
        <v>2022</v>
      </c>
      <c r="M167" s="68">
        <v>2023</v>
      </c>
      <c r="N167" s="68">
        <v>2024</v>
      </c>
      <c r="O167" s="68">
        <v>2025</v>
      </c>
      <c r="P167" s="68">
        <v>2026</v>
      </c>
      <c r="Q167" s="68">
        <v>2027</v>
      </c>
      <c r="R167" s="68">
        <v>2028</v>
      </c>
      <c r="S167" s="68">
        <v>2029</v>
      </c>
      <c r="T167" s="68">
        <v>2030</v>
      </c>
      <c r="U167" s="68">
        <v>2031</v>
      </c>
      <c r="V167" s="68">
        <v>2032</v>
      </c>
      <c r="W167" s="68">
        <v>2033</v>
      </c>
      <c r="X167" s="68">
        <v>2034</v>
      </c>
      <c r="Y167" s="69" t="s">
        <v>153</v>
      </c>
    </row>
    <row r="168" spans="1:28" ht="15">
      <c r="D168" s="67" t="str">
        <f>$C$8</f>
        <v>Clothes Washer</v>
      </c>
      <c r="E168" s="75" t="str">
        <f>CONCATENATE("aMW_",E$11)</f>
        <v>aMW_2016</v>
      </c>
      <c r="F168" s="70" t="str">
        <f t="shared" ref="F168:X168" si="68">CONCATENATE("aMW_",F$11)</f>
        <v>aMW_2017</v>
      </c>
      <c r="G168" s="70" t="str">
        <f t="shared" si="68"/>
        <v>aMW_2018</v>
      </c>
      <c r="H168" s="70" t="str">
        <f t="shared" si="68"/>
        <v>aMW_2019</v>
      </c>
      <c r="I168" s="70" t="str">
        <f t="shared" si="68"/>
        <v>aMW_2020</v>
      </c>
      <c r="J168" s="70" t="str">
        <f t="shared" si="68"/>
        <v>aMW_2021</v>
      </c>
      <c r="K168" s="70" t="str">
        <f t="shared" si="68"/>
        <v>aMW_2022</v>
      </c>
      <c r="L168" s="70" t="str">
        <f t="shared" si="68"/>
        <v>aMW_2023</v>
      </c>
      <c r="M168" s="70" t="str">
        <f t="shared" si="68"/>
        <v>aMW_2024</v>
      </c>
      <c r="N168" s="70" t="str">
        <f t="shared" si="68"/>
        <v>aMW_2025</v>
      </c>
      <c r="O168" s="70" t="str">
        <f t="shared" si="68"/>
        <v>aMW_2026</v>
      </c>
      <c r="P168" s="70" t="str">
        <f t="shared" si="68"/>
        <v>aMW_2027</v>
      </c>
      <c r="Q168" s="70" t="str">
        <f t="shared" si="68"/>
        <v>aMW_2028</v>
      </c>
      <c r="R168" s="70" t="str">
        <f t="shared" si="68"/>
        <v>aMW_2029</v>
      </c>
      <c r="S168" s="70" t="str">
        <f t="shared" si="68"/>
        <v>aMW_2030</v>
      </c>
      <c r="T168" s="70" t="str">
        <f t="shared" si="68"/>
        <v>aMW_2031</v>
      </c>
      <c r="U168" s="70" t="str">
        <f t="shared" si="68"/>
        <v>aMW_2032</v>
      </c>
      <c r="V168" s="70" t="str">
        <f t="shared" si="68"/>
        <v>aMW_2033</v>
      </c>
      <c r="W168" s="70" t="str">
        <f t="shared" si="68"/>
        <v>aMW_2034</v>
      </c>
      <c r="X168" s="70" t="str">
        <f t="shared" si="68"/>
        <v>aMW_2035</v>
      </c>
      <c r="Y168" s="71" t="s">
        <v>153</v>
      </c>
    </row>
    <row r="169" spans="1:28">
      <c r="D169" s="9" t="s">
        <v>75</v>
      </c>
      <c r="E169" s="523">
        <f t="shared" ref="E169:E189" ca="1" si="69">E130</f>
        <v>0.39135639309450682</v>
      </c>
      <c r="F169" s="524">
        <f t="shared" ref="F169:X169" ca="1" si="70">E169+F130</f>
        <v>1.1715894263338922</v>
      </c>
      <c r="G169" s="524">
        <f t="shared" ca="1" si="70"/>
        <v>2.3382390527444583</v>
      </c>
      <c r="H169" s="524">
        <f t="shared" ca="1" si="70"/>
        <v>3.8888647112242625</v>
      </c>
      <c r="I169" s="524">
        <f t="shared" ca="1" si="70"/>
        <v>5.8210451092069828</v>
      </c>
      <c r="J169" s="524">
        <f t="shared" ca="1" si="70"/>
        <v>8.0938557930779247</v>
      </c>
      <c r="K169" s="524">
        <f t="shared" ca="1" si="70"/>
        <v>10.636032258880817</v>
      </c>
      <c r="L169" s="524">
        <f t="shared" ca="1" si="70"/>
        <v>13.390756714912273</v>
      </c>
      <c r="M169" s="524">
        <f t="shared" ca="1" si="70"/>
        <v>16.312731413492873</v>
      </c>
      <c r="N169" s="524">
        <f t="shared" ca="1" si="70"/>
        <v>19.365844924974059</v>
      </c>
      <c r="O169" s="524">
        <f t="shared" ca="1" si="70"/>
        <v>22.521311210589602</v>
      </c>
      <c r="P169" s="524">
        <f t="shared" ca="1" si="70"/>
        <v>25.756185697335148</v>
      </c>
      <c r="Q169" s="524">
        <f t="shared" ca="1" si="70"/>
        <v>29.052181970310428</v>
      </c>
      <c r="R169" s="524">
        <f t="shared" ca="1" si="70"/>
        <v>32.394728176048403</v>
      </c>
      <c r="S169" s="524">
        <f t="shared" ca="1" si="70"/>
        <v>36.421799072004511</v>
      </c>
      <c r="T169" s="524">
        <f t="shared" ca="1" si="70"/>
        <v>40.381939527982304</v>
      </c>
      <c r="U169" s="524">
        <f t="shared" ca="1" si="70"/>
        <v>44.236160190373326</v>
      </c>
      <c r="V169" s="524">
        <f t="shared" ca="1" si="70"/>
        <v>47.995602901063521</v>
      </c>
      <c r="W169" s="524">
        <f t="shared" ca="1" si="70"/>
        <v>51.664400647604104</v>
      </c>
      <c r="X169" s="524">
        <f t="shared" ca="1" si="70"/>
        <v>55.251656728390735</v>
      </c>
      <c r="Y169" s="524">
        <f ca="1">Y130</f>
        <v>49.766395138584762</v>
      </c>
    </row>
    <row r="170" spans="1:28">
      <c r="D170" s="9" t="s">
        <v>1199</v>
      </c>
      <c r="E170" s="523">
        <f t="shared" ca="1" si="69"/>
        <v>0</v>
      </c>
      <c r="F170" s="524">
        <f t="shared" ref="F170:X170" ca="1" si="71">E170+F131</f>
        <v>0</v>
      </c>
      <c r="G170" s="524">
        <f t="shared" ca="1" si="71"/>
        <v>0</v>
      </c>
      <c r="H170" s="524">
        <f t="shared" ca="1" si="71"/>
        <v>0</v>
      </c>
      <c r="I170" s="524">
        <f t="shared" ca="1" si="71"/>
        <v>0</v>
      </c>
      <c r="J170" s="524">
        <f t="shared" ca="1" si="71"/>
        <v>0</v>
      </c>
      <c r="K170" s="524">
        <f t="shared" ca="1" si="71"/>
        <v>0</v>
      </c>
      <c r="L170" s="524">
        <f t="shared" ca="1" si="71"/>
        <v>0</v>
      </c>
      <c r="M170" s="524">
        <f t="shared" ca="1" si="71"/>
        <v>0</v>
      </c>
      <c r="N170" s="524">
        <f t="shared" ca="1" si="71"/>
        <v>0</v>
      </c>
      <c r="O170" s="524">
        <f t="shared" ca="1" si="71"/>
        <v>0</v>
      </c>
      <c r="P170" s="524">
        <f t="shared" ca="1" si="71"/>
        <v>0</v>
      </c>
      <c r="Q170" s="524">
        <f t="shared" ca="1" si="71"/>
        <v>0</v>
      </c>
      <c r="R170" s="524">
        <f t="shared" ca="1" si="71"/>
        <v>0</v>
      </c>
      <c r="S170" s="524">
        <f t="shared" ca="1" si="71"/>
        <v>0</v>
      </c>
      <c r="T170" s="524">
        <f t="shared" ca="1" si="71"/>
        <v>0</v>
      </c>
      <c r="U170" s="524">
        <f t="shared" ca="1" si="71"/>
        <v>0</v>
      </c>
      <c r="V170" s="524">
        <f t="shared" ca="1" si="71"/>
        <v>0</v>
      </c>
      <c r="W170" s="524">
        <f t="shared" ca="1" si="71"/>
        <v>0</v>
      </c>
      <c r="X170" s="524">
        <f t="shared" ca="1" si="71"/>
        <v>0</v>
      </c>
      <c r="Y170" s="524">
        <f t="shared" ref="Y170:Y200" ca="1" si="72">Y131</f>
        <v>0</v>
      </c>
    </row>
    <row r="171" spans="1:28">
      <c r="D171" s="9" t="s">
        <v>80</v>
      </c>
      <c r="E171" s="523">
        <f t="shared" ca="1" si="69"/>
        <v>0</v>
      </c>
      <c r="F171" s="524">
        <f t="shared" ref="F171:X171" ca="1" si="73">E171+F132</f>
        <v>0</v>
      </c>
      <c r="G171" s="524">
        <f t="shared" ca="1" si="73"/>
        <v>0</v>
      </c>
      <c r="H171" s="524">
        <f t="shared" ca="1" si="73"/>
        <v>0</v>
      </c>
      <c r="I171" s="524">
        <f t="shared" ca="1" si="73"/>
        <v>0</v>
      </c>
      <c r="J171" s="524">
        <f t="shared" ca="1" si="73"/>
        <v>0</v>
      </c>
      <c r="K171" s="524">
        <f t="shared" ca="1" si="73"/>
        <v>0</v>
      </c>
      <c r="L171" s="524">
        <f t="shared" ca="1" si="73"/>
        <v>0</v>
      </c>
      <c r="M171" s="524">
        <f t="shared" ca="1" si="73"/>
        <v>0</v>
      </c>
      <c r="N171" s="524">
        <f t="shared" ca="1" si="73"/>
        <v>0</v>
      </c>
      <c r="O171" s="524">
        <f t="shared" ca="1" si="73"/>
        <v>0</v>
      </c>
      <c r="P171" s="524">
        <f t="shared" ca="1" si="73"/>
        <v>0</v>
      </c>
      <c r="Q171" s="524">
        <f t="shared" ca="1" si="73"/>
        <v>0</v>
      </c>
      <c r="R171" s="524">
        <f t="shared" ca="1" si="73"/>
        <v>0</v>
      </c>
      <c r="S171" s="524">
        <f t="shared" ca="1" si="73"/>
        <v>0</v>
      </c>
      <c r="T171" s="524">
        <f t="shared" ca="1" si="73"/>
        <v>0</v>
      </c>
      <c r="U171" s="524">
        <f t="shared" ca="1" si="73"/>
        <v>0</v>
      </c>
      <c r="V171" s="524">
        <f t="shared" ca="1" si="73"/>
        <v>0</v>
      </c>
      <c r="W171" s="524">
        <f t="shared" ca="1" si="73"/>
        <v>0</v>
      </c>
      <c r="X171" s="524">
        <f t="shared" ca="1" si="73"/>
        <v>0</v>
      </c>
      <c r="Y171" s="524">
        <f t="shared" ca="1" si="72"/>
        <v>0</v>
      </c>
    </row>
    <row r="172" spans="1:28">
      <c r="D172" s="9" t="s">
        <v>83</v>
      </c>
      <c r="E172" s="523">
        <f t="shared" ca="1" si="69"/>
        <v>0</v>
      </c>
      <c r="F172" s="524">
        <f t="shared" ref="F172:X172" ca="1" si="74">E172+F133</f>
        <v>0</v>
      </c>
      <c r="G172" s="524">
        <f t="shared" ca="1" si="74"/>
        <v>0</v>
      </c>
      <c r="H172" s="524">
        <f t="shared" ca="1" si="74"/>
        <v>0</v>
      </c>
      <c r="I172" s="524">
        <f t="shared" ca="1" si="74"/>
        <v>0</v>
      </c>
      <c r="J172" s="524">
        <f t="shared" ca="1" si="74"/>
        <v>0</v>
      </c>
      <c r="K172" s="524">
        <f t="shared" ca="1" si="74"/>
        <v>0</v>
      </c>
      <c r="L172" s="524">
        <f t="shared" ca="1" si="74"/>
        <v>0</v>
      </c>
      <c r="M172" s="524">
        <f t="shared" ca="1" si="74"/>
        <v>0</v>
      </c>
      <c r="N172" s="524">
        <f t="shared" ca="1" si="74"/>
        <v>0</v>
      </c>
      <c r="O172" s="524">
        <f t="shared" ca="1" si="74"/>
        <v>0</v>
      </c>
      <c r="P172" s="524">
        <f t="shared" ca="1" si="74"/>
        <v>0</v>
      </c>
      <c r="Q172" s="524">
        <f t="shared" ca="1" si="74"/>
        <v>0</v>
      </c>
      <c r="R172" s="524">
        <f t="shared" ca="1" si="74"/>
        <v>0</v>
      </c>
      <c r="S172" s="524">
        <f t="shared" ca="1" si="74"/>
        <v>0</v>
      </c>
      <c r="T172" s="524">
        <f t="shared" ca="1" si="74"/>
        <v>0</v>
      </c>
      <c r="U172" s="524">
        <f t="shared" ca="1" si="74"/>
        <v>0</v>
      </c>
      <c r="V172" s="524">
        <f t="shared" ca="1" si="74"/>
        <v>0</v>
      </c>
      <c r="W172" s="524">
        <f t="shared" ca="1" si="74"/>
        <v>0</v>
      </c>
      <c r="X172" s="524">
        <f t="shared" ca="1" si="74"/>
        <v>0</v>
      </c>
      <c r="Y172" s="524">
        <f t="shared" ca="1" si="72"/>
        <v>0</v>
      </c>
    </row>
    <row r="173" spans="1:28">
      <c r="D173" s="9" t="s">
        <v>86</v>
      </c>
      <c r="E173" s="523">
        <f t="shared" ca="1" si="69"/>
        <v>0</v>
      </c>
      <c r="F173" s="524">
        <f t="shared" ref="F173:X173" ca="1" si="75">E173+F134</f>
        <v>0</v>
      </c>
      <c r="G173" s="524">
        <f t="shared" ca="1" si="75"/>
        <v>0</v>
      </c>
      <c r="H173" s="524">
        <f t="shared" ca="1" si="75"/>
        <v>0</v>
      </c>
      <c r="I173" s="524">
        <f t="shared" ca="1" si="75"/>
        <v>0</v>
      </c>
      <c r="J173" s="524">
        <f t="shared" ca="1" si="75"/>
        <v>0</v>
      </c>
      <c r="K173" s="524">
        <f t="shared" ca="1" si="75"/>
        <v>0</v>
      </c>
      <c r="L173" s="524">
        <f t="shared" ca="1" si="75"/>
        <v>0</v>
      </c>
      <c r="M173" s="524">
        <f t="shared" ca="1" si="75"/>
        <v>0</v>
      </c>
      <c r="N173" s="524">
        <f t="shared" ca="1" si="75"/>
        <v>0</v>
      </c>
      <c r="O173" s="524">
        <f t="shared" ca="1" si="75"/>
        <v>0</v>
      </c>
      <c r="P173" s="524">
        <f t="shared" ca="1" si="75"/>
        <v>0</v>
      </c>
      <c r="Q173" s="524">
        <f t="shared" ca="1" si="75"/>
        <v>0</v>
      </c>
      <c r="R173" s="524">
        <f t="shared" ca="1" si="75"/>
        <v>0</v>
      </c>
      <c r="S173" s="524">
        <f t="shared" ca="1" si="75"/>
        <v>0</v>
      </c>
      <c r="T173" s="524">
        <f t="shared" ca="1" si="75"/>
        <v>0</v>
      </c>
      <c r="U173" s="524">
        <f t="shared" ca="1" si="75"/>
        <v>0</v>
      </c>
      <c r="V173" s="524">
        <f t="shared" ca="1" si="75"/>
        <v>0</v>
      </c>
      <c r="W173" s="524">
        <f t="shared" ca="1" si="75"/>
        <v>0</v>
      </c>
      <c r="X173" s="524">
        <f t="shared" ca="1" si="75"/>
        <v>0</v>
      </c>
      <c r="Y173" s="524">
        <f t="shared" ca="1" si="72"/>
        <v>0</v>
      </c>
    </row>
    <row r="174" spans="1:28">
      <c r="D174" s="9" t="s">
        <v>89</v>
      </c>
      <c r="E174" s="523">
        <f t="shared" ca="1" si="69"/>
        <v>0</v>
      </c>
      <c r="F174" s="524">
        <f t="shared" ref="F174:X174" ca="1" si="76">E174+F135</f>
        <v>0</v>
      </c>
      <c r="G174" s="524">
        <f t="shared" ca="1" si="76"/>
        <v>0</v>
      </c>
      <c r="H174" s="524">
        <f t="shared" ca="1" si="76"/>
        <v>0</v>
      </c>
      <c r="I174" s="524">
        <f t="shared" ca="1" si="76"/>
        <v>0</v>
      </c>
      <c r="J174" s="524">
        <f t="shared" ca="1" si="76"/>
        <v>0</v>
      </c>
      <c r="K174" s="524">
        <f t="shared" ca="1" si="76"/>
        <v>0</v>
      </c>
      <c r="L174" s="524">
        <f t="shared" ca="1" si="76"/>
        <v>0</v>
      </c>
      <c r="M174" s="524">
        <f t="shared" ca="1" si="76"/>
        <v>0</v>
      </c>
      <c r="N174" s="524">
        <f t="shared" ca="1" si="76"/>
        <v>0</v>
      </c>
      <c r="O174" s="524">
        <f t="shared" ca="1" si="76"/>
        <v>0</v>
      </c>
      <c r="P174" s="524">
        <f t="shared" ca="1" si="76"/>
        <v>0</v>
      </c>
      <c r="Q174" s="524">
        <f t="shared" ca="1" si="76"/>
        <v>0</v>
      </c>
      <c r="R174" s="524">
        <f t="shared" ca="1" si="76"/>
        <v>0</v>
      </c>
      <c r="S174" s="524">
        <f t="shared" ca="1" si="76"/>
        <v>0</v>
      </c>
      <c r="T174" s="524">
        <f t="shared" ca="1" si="76"/>
        <v>0</v>
      </c>
      <c r="U174" s="524">
        <f t="shared" ca="1" si="76"/>
        <v>0</v>
      </c>
      <c r="V174" s="524">
        <f t="shared" ca="1" si="76"/>
        <v>0</v>
      </c>
      <c r="W174" s="524">
        <f t="shared" ca="1" si="76"/>
        <v>0</v>
      </c>
      <c r="X174" s="524">
        <f t="shared" ca="1" si="76"/>
        <v>0</v>
      </c>
      <c r="Y174" s="524">
        <f t="shared" ca="1" si="72"/>
        <v>0</v>
      </c>
    </row>
    <row r="175" spans="1:28">
      <c r="D175" s="9" t="s">
        <v>92</v>
      </c>
      <c r="E175" s="523">
        <f t="shared" ca="1" si="69"/>
        <v>0</v>
      </c>
      <c r="F175" s="524">
        <f t="shared" ref="F175:X175" ca="1" si="77">E175+F136</f>
        <v>0</v>
      </c>
      <c r="G175" s="524">
        <f t="shared" ca="1" si="77"/>
        <v>0</v>
      </c>
      <c r="H175" s="524">
        <f t="shared" ca="1" si="77"/>
        <v>0</v>
      </c>
      <c r="I175" s="524">
        <f t="shared" ca="1" si="77"/>
        <v>0</v>
      </c>
      <c r="J175" s="524">
        <f t="shared" ca="1" si="77"/>
        <v>0</v>
      </c>
      <c r="K175" s="524">
        <f t="shared" ca="1" si="77"/>
        <v>0</v>
      </c>
      <c r="L175" s="524">
        <f t="shared" ca="1" si="77"/>
        <v>0</v>
      </c>
      <c r="M175" s="524">
        <f t="shared" ca="1" si="77"/>
        <v>0</v>
      </c>
      <c r="N175" s="524">
        <f t="shared" ca="1" si="77"/>
        <v>0</v>
      </c>
      <c r="O175" s="524">
        <f t="shared" ca="1" si="77"/>
        <v>0</v>
      </c>
      <c r="P175" s="524">
        <f t="shared" ca="1" si="77"/>
        <v>0</v>
      </c>
      <c r="Q175" s="524">
        <f t="shared" ca="1" si="77"/>
        <v>0</v>
      </c>
      <c r="R175" s="524">
        <f t="shared" ca="1" si="77"/>
        <v>0</v>
      </c>
      <c r="S175" s="524">
        <f t="shared" ca="1" si="77"/>
        <v>0</v>
      </c>
      <c r="T175" s="524">
        <f t="shared" ca="1" si="77"/>
        <v>0</v>
      </c>
      <c r="U175" s="524">
        <f t="shared" ca="1" si="77"/>
        <v>0</v>
      </c>
      <c r="V175" s="524">
        <f t="shared" ca="1" si="77"/>
        <v>0</v>
      </c>
      <c r="W175" s="524">
        <f t="shared" ca="1" si="77"/>
        <v>0</v>
      </c>
      <c r="X175" s="524">
        <f t="shared" ca="1" si="77"/>
        <v>0</v>
      </c>
      <c r="Y175" s="524">
        <f t="shared" ca="1" si="72"/>
        <v>0</v>
      </c>
    </row>
    <row r="176" spans="1:28">
      <c r="D176" s="9" t="s">
        <v>95</v>
      </c>
      <c r="E176" s="523">
        <f t="shared" ca="1" si="69"/>
        <v>0</v>
      </c>
      <c r="F176" s="524">
        <f t="shared" ref="F176:X176" ca="1" si="78">E176+F137</f>
        <v>0</v>
      </c>
      <c r="G176" s="524">
        <f t="shared" ca="1" si="78"/>
        <v>0</v>
      </c>
      <c r="H176" s="524">
        <f t="shared" ca="1" si="78"/>
        <v>0</v>
      </c>
      <c r="I176" s="524">
        <f t="shared" ca="1" si="78"/>
        <v>0</v>
      </c>
      <c r="J176" s="524">
        <f t="shared" ca="1" si="78"/>
        <v>0</v>
      </c>
      <c r="K176" s="524">
        <f t="shared" ca="1" si="78"/>
        <v>0</v>
      </c>
      <c r="L176" s="524">
        <f t="shared" ca="1" si="78"/>
        <v>0</v>
      </c>
      <c r="M176" s="524">
        <f t="shared" ca="1" si="78"/>
        <v>0</v>
      </c>
      <c r="N176" s="524">
        <f t="shared" ca="1" si="78"/>
        <v>0</v>
      </c>
      <c r="O176" s="524">
        <f t="shared" ca="1" si="78"/>
        <v>0</v>
      </c>
      <c r="P176" s="524">
        <f t="shared" ca="1" si="78"/>
        <v>0</v>
      </c>
      <c r="Q176" s="524">
        <f t="shared" ca="1" si="78"/>
        <v>0</v>
      </c>
      <c r="R176" s="524">
        <f t="shared" ca="1" si="78"/>
        <v>0</v>
      </c>
      <c r="S176" s="524">
        <f t="shared" ca="1" si="78"/>
        <v>0</v>
      </c>
      <c r="T176" s="524">
        <f t="shared" ca="1" si="78"/>
        <v>0</v>
      </c>
      <c r="U176" s="524">
        <f t="shared" ca="1" si="78"/>
        <v>0</v>
      </c>
      <c r="V176" s="524">
        <f t="shared" ca="1" si="78"/>
        <v>0</v>
      </c>
      <c r="W176" s="524">
        <f t="shared" ca="1" si="78"/>
        <v>0</v>
      </c>
      <c r="X176" s="524">
        <f t="shared" ca="1" si="78"/>
        <v>0</v>
      </c>
      <c r="Y176" s="524">
        <f t="shared" ca="1" si="72"/>
        <v>0</v>
      </c>
    </row>
    <row r="177" spans="4:25">
      <c r="D177" s="9" t="s">
        <v>98</v>
      </c>
      <c r="E177" s="523">
        <f t="shared" ca="1" si="69"/>
        <v>0</v>
      </c>
      <c r="F177" s="524">
        <f t="shared" ref="F177:X177" ca="1" si="79">E177+F138</f>
        <v>0</v>
      </c>
      <c r="G177" s="524">
        <f t="shared" ca="1" si="79"/>
        <v>0</v>
      </c>
      <c r="H177" s="524">
        <f t="shared" ca="1" si="79"/>
        <v>0</v>
      </c>
      <c r="I177" s="524">
        <f t="shared" ca="1" si="79"/>
        <v>0</v>
      </c>
      <c r="J177" s="524">
        <f t="shared" ca="1" si="79"/>
        <v>0</v>
      </c>
      <c r="K177" s="524">
        <f t="shared" ca="1" si="79"/>
        <v>0</v>
      </c>
      <c r="L177" s="524">
        <f t="shared" ca="1" si="79"/>
        <v>0</v>
      </c>
      <c r="M177" s="524">
        <f t="shared" ca="1" si="79"/>
        <v>0</v>
      </c>
      <c r="N177" s="524">
        <f t="shared" ca="1" si="79"/>
        <v>0</v>
      </c>
      <c r="O177" s="524">
        <f t="shared" ca="1" si="79"/>
        <v>0</v>
      </c>
      <c r="P177" s="524">
        <f t="shared" ca="1" si="79"/>
        <v>0</v>
      </c>
      <c r="Q177" s="524">
        <f t="shared" ca="1" si="79"/>
        <v>0</v>
      </c>
      <c r="R177" s="524">
        <f t="shared" ca="1" si="79"/>
        <v>0</v>
      </c>
      <c r="S177" s="524">
        <f t="shared" ca="1" si="79"/>
        <v>0</v>
      </c>
      <c r="T177" s="524">
        <f t="shared" ca="1" si="79"/>
        <v>0</v>
      </c>
      <c r="U177" s="524">
        <f t="shared" ca="1" si="79"/>
        <v>0</v>
      </c>
      <c r="V177" s="524">
        <f t="shared" ca="1" si="79"/>
        <v>0</v>
      </c>
      <c r="W177" s="524">
        <f t="shared" ca="1" si="79"/>
        <v>0</v>
      </c>
      <c r="X177" s="524">
        <f t="shared" ca="1" si="79"/>
        <v>0</v>
      </c>
      <c r="Y177" s="524">
        <f t="shared" ca="1" si="72"/>
        <v>0</v>
      </c>
    </row>
    <row r="178" spans="4:25">
      <c r="D178" s="9" t="s">
        <v>101</v>
      </c>
      <c r="E178" s="523">
        <f t="shared" ca="1" si="69"/>
        <v>0</v>
      </c>
      <c r="F178" s="524">
        <f t="shared" ref="F178:X178" ca="1" si="80">E178+F139</f>
        <v>0</v>
      </c>
      <c r="G178" s="524">
        <f t="shared" ca="1" si="80"/>
        <v>0</v>
      </c>
      <c r="H178" s="524">
        <f t="shared" ca="1" si="80"/>
        <v>0</v>
      </c>
      <c r="I178" s="524">
        <f t="shared" ca="1" si="80"/>
        <v>0</v>
      </c>
      <c r="J178" s="524">
        <f t="shared" ca="1" si="80"/>
        <v>0</v>
      </c>
      <c r="K178" s="524">
        <f t="shared" ca="1" si="80"/>
        <v>0</v>
      </c>
      <c r="L178" s="524">
        <f t="shared" ca="1" si="80"/>
        <v>0</v>
      </c>
      <c r="M178" s="524">
        <f t="shared" ca="1" si="80"/>
        <v>0</v>
      </c>
      <c r="N178" s="524">
        <f t="shared" ca="1" si="80"/>
        <v>0</v>
      </c>
      <c r="O178" s="524">
        <f t="shared" ca="1" si="80"/>
        <v>0</v>
      </c>
      <c r="P178" s="524">
        <f t="shared" ca="1" si="80"/>
        <v>0</v>
      </c>
      <c r="Q178" s="524">
        <f t="shared" ca="1" si="80"/>
        <v>0</v>
      </c>
      <c r="R178" s="524">
        <f t="shared" ca="1" si="80"/>
        <v>0</v>
      </c>
      <c r="S178" s="524">
        <f t="shared" ca="1" si="80"/>
        <v>0</v>
      </c>
      <c r="T178" s="524">
        <f t="shared" ca="1" si="80"/>
        <v>0</v>
      </c>
      <c r="U178" s="524">
        <f t="shared" ca="1" si="80"/>
        <v>0</v>
      </c>
      <c r="V178" s="524">
        <f t="shared" ca="1" si="80"/>
        <v>0</v>
      </c>
      <c r="W178" s="524">
        <f t="shared" ca="1" si="80"/>
        <v>0</v>
      </c>
      <c r="X178" s="524">
        <f t="shared" ca="1" si="80"/>
        <v>0</v>
      </c>
      <c r="Y178" s="524">
        <f t="shared" ca="1" si="72"/>
        <v>0</v>
      </c>
    </row>
    <row r="179" spans="4:25">
      <c r="D179" s="9" t="s">
        <v>104</v>
      </c>
      <c r="E179" s="523">
        <f t="shared" ca="1" si="69"/>
        <v>0</v>
      </c>
      <c r="F179" s="524">
        <f t="shared" ref="F179:X179" ca="1" si="81">E179+F140</f>
        <v>0</v>
      </c>
      <c r="G179" s="524">
        <f t="shared" ca="1" si="81"/>
        <v>0</v>
      </c>
      <c r="H179" s="524">
        <f t="shared" ca="1" si="81"/>
        <v>0</v>
      </c>
      <c r="I179" s="524">
        <f t="shared" ca="1" si="81"/>
        <v>0</v>
      </c>
      <c r="J179" s="524">
        <f t="shared" ca="1" si="81"/>
        <v>0</v>
      </c>
      <c r="K179" s="524">
        <f t="shared" ca="1" si="81"/>
        <v>0</v>
      </c>
      <c r="L179" s="524">
        <f t="shared" ca="1" si="81"/>
        <v>0</v>
      </c>
      <c r="M179" s="524">
        <f t="shared" ca="1" si="81"/>
        <v>0</v>
      </c>
      <c r="N179" s="524">
        <f t="shared" ca="1" si="81"/>
        <v>0</v>
      </c>
      <c r="O179" s="524">
        <f t="shared" ca="1" si="81"/>
        <v>0</v>
      </c>
      <c r="P179" s="524">
        <f t="shared" ca="1" si="81"/>
        <v>0</v>
      </c>
      <c r="Q179" s="524">
        <f t="shared" ca="1" si="81"/>
        <v>0</v>
      </c>
      <c r="R179" s="524">
        <f t="shared" ca="1" si="81"/>
        <v>0</v>
      </c>
      <c r="S179" s="524">
        <f t="shared" ca="1" si="81"/>
        <v>0</v>
      </c>
      <c r="T179" s="524">
        <f t="shared" ca="1" si="81"/>
        <v>0</v>
      </c>
      <c r="U179" s="524">
        <f t="shared" ca="1" si="81"/>
        <v>0</v>
      </c>
      <c r="V179" s="524">
        <f t="shared" ca="1" si="81"/>
        <v>0</v>
      </c>
      <c r="W179" s="524">
        <f t="shared" ca="1" si="81"/>
        <v>0</v>
      </c>
      <c r="X179" s="524">
        <f t="shared" ca="1" si="81"/>
        <v>0</v>
      </c>
      <c r="Y179" s="524">
        <f t="shared" ca="1" si="72"/>
        <v>0</v>
      </c>
    </row>
    <row r="180" spans="4:25">
      <c r="D180" s="9" t="s">
        <v>107</v>
      </c>
      <c r="E180" s="523">
        <f t="shared" ca="1" si="69"/>
        <v>0</v>
      </c>
      <c r="F180" s="524">
        <f t="shared" ref="F180:X180" ca="1" si="82">E180+F141</f>
        <v>0</v>
      </c>
      <c r="G180" s="524">
        <f t="shared" ca="1" si="82"/>
        <v>0</v>
      </c>
      <c r="H180" s="524">
        <f t="shared" ca="1" si="82"/>
        <v>0</v>
      </c>
      <c r="I180" s="524">
        <f t="shared" ca="1" si="82"/>
        <v>0</v>
      </c>
      <c r="J180" s="524">
        <f t="shared" ca="1" si="82"/>
        <v>0</v>
      </c>
      <c r="K180" s="524">
        <f t="shared" ca="1" si="82"/>
        <v>0</v>
      </c>
      <c r="L180" s="524">
        <f t="shared" ca="1" si="82"/>
        <v>0</v>
      </c>
      <c r="M180" s="524">
        <f t="shared" ca="1" si="82"/>
        <v>0</v>
      </c>
      <c r="N180" s="524">
        <f t="shared" ca="1" si="82"/>
        <v>0</v>
      </c>
      <c r="O180" s="524">
        <f t="shared" ca="1" si="82"/>
        <v>0</v>
      </c>
      <c r="P180" s="524">
        <f t="shared" ca="1" si="82"/>
        <v>0</v>
      </c>
      <c r="Q180" s="524">
        <f t="shared" ca="1" si="82"/>
        <v>0</v>
      </c>
      <c r="R180" s="524">
        <f t="shared" ca="1" si="82"/>
        <v>0</v>
      </c>
      <c r="S180" s="524">
        <f t="shared" ca="1" si="82"/>
        <v>0</v>
      </c>
      <c r="T180" s="524">
        <f t="shared" ca="1" si="82"/>
        <v>0</v>
      </c>
      <c r="U180" s="524">
        <f t="shared" ca="1" si="82"/>
        <v>0</v>
      </c>
      <c r="V180" s="524">
        <f t="shared" ca="1" si="82"/>
        <v>0</v>
      </c>
      <c r="W180" s="524">
        <f t="shared" ca="1" si="82"/>
        <v>0</v>
      </c>
      <c r="X180" s="524">
        <f t="shared" ca="1" si="82"/>
        <v>0</v>
      </c>
      <c r="Y180" s="524">
        <f t="shared" ca="1" si="72"/>
        <v>0</v>
      </c>
    </row>
    <row r="181" spans="4:25">
      <c r="D181" s="9" t="s">
        <v>110</v>
      </c>
      <c r="E181" s="523">
        <f t="shared" ca="1" si="69"/>
        <v>0</v>
      </c>
      <c r="F181" s="524">
        <f t="shared" ref="F181:X181" ca="1" si="83">E181+F142</f>
        <v>0</v>
      </c>
      <c r="G181" s="524">
        <f t="shared" ca="1" si="83"/>
        <v>0</v>
      </c>
      <c r="H181" s="524">
        <f t="shared" ca="1" si="83"/>
        <v>0</v>
      </c>
      <c r="I181" s="524">
        <f t="shared" ca="1" si="83"/>
        <v>0</v>
      </c>
      <c r="J181" s="524">
        <f t="shared" ca="1" si="83"/>
        <v>0</v>
      </c>
      <c r="K181" s="524">
        <f t="shared" ca="1" si="83"/>
        <v>0</v>
      </c>
      <c r="L181" s="524">
        <f t="shared" ca="1" si="83"/>
        <v>0</v>
      </c>
      <c r="M181" s="524">
        <f t="shared" ca="1" si="83"/>
        <v>0</v>
      </c>
      <c r="N181" s="524">
        <f t="shared" ca="1" si="83"/>
        <v>0</v>
      </c>
      <c r="O181" s="524">
        <f t="shared" ca="1" si="83"/>
        <v>0</v>
      </c>
      <c r="P181" s="524">
        <f t="shared" ca="1" si="83"/>
        <v>0</v>
      </c>
      <c r="Q181" s="524">
        <f t="shared" ca="1" si="83"/>
        <v>0</v>
      </c>
      <c r="R181" s="524">
        <f t="shared" ca="1" si="83"/>
        <v>0</v>
      </c>
      <c r="S181" s="524">
        <f t="shared" ca="1" si="83"/>
        <v>0</v>
      </c>
      <c r="T181" s="524">
        <f t="shared" ca="1" si="83"/>
        <v>0</v>
      </c>
      <c r="U181" s="524">
        <f t="shared" ca="1" si="83"/>
        <v>0</v>
      </c>
      <c r="V181" s="524">
        <f t="shared" ca="1" si="83"/>
        <v>0</v>
      </c>
      <c r="W181" s="524">
        <f t="shared" ca="1" si="83"/>
        <v>0</v>
      </c>
      <c r="X181" s="524">
        <f t="shared" ca="1" si="83"/>
        <v>0</v>
      </c>
      <c r="Y181" s="524">
        <f t="shared" ca="1" si="72"/>
        <v>0</v>
      </c>
    </row>
    <row r="182" spans="4:25">
      <c r="D182" s="9" t="s">
        <v>113</v>
      </c>
      <c r="E182" s="523">
        <f t="shared" ca="1" si="69"/>
        <v>0</v>
      </c>
      <c r="F182" s="524">
        <f t="shared" ref="F182:X182" ca="1" si="84">E182+F143</f>
        <v>0</v>
      </c>
      <c r="G182" s="524">
        <f t="shared" ca="1" si="84"/>
        <v>0</v>
      </c>
      <c r="H182" s="524">
        <f t="shared" ca="1" si="84"/>
        <v>0</v>
      </c>
      <c r="I182" s="524">
        <f t="shared" ca="1" si="84"/>
        <v>0</v>
      </c>
      <c r="J182" s="524">
        <f t="shared" ca="1" si="84"/>
        <v>0</v>
      </c>
      <c r="K182" s="524">
        <f t="shared" ca="1" si="84"/>
        <v>0</v>
      </c>
      <c r="L182" s="524">
        <f t="shared" ca="1" si="84"/>
        <v>0</v>
      </c>
      <c r="M182" s="524">
        <f t="shared" ca="1" si="84"/>
        <v>0</v>
      </c>
      <c r="N182" s="524">
        <f t="shared" ca="1" si="84"/>
        <v>0</v>
      </c>
      <c r="O182" s="524">
        <f t="shared" ca="1" si="84"/>
        <v>0</v>
      </c>
      <c r="P182" s="524">
        <f t="shared" ca="1" si="84"/>
        <v>0</v>
      </c>
      <c r="Q182" s="524">
        <f t="shared" ca="1" si="84"/>
        <v>0</v>
      </c>
      <c r="R182" s="524">
        <f t="shared" ca="1" si="84"/>
        <v>0</v>
      </c>
      <c r="S182" s="524">
        <f t="shared" ca="1" si="84"/>
        <v>0</v>
      </c>
      <c r="T182" s="524">
        <f t="shared" ca="1" si="84"/>
        <v>0</v>
      </c>
      <c r="U182" s="524">
        <f t="shared" ca="1" si="84"/>
        <v>0</v>
      </c>
      <c r="V182" s="524">
        <f t="shared" ca="1" si="84"/>
        <v>0</v>
      </c>
      <c r="W182" s="524">
        <f t="shared" ca="1" si="84"/>
        <v>0</v>
      </c>
      <c r="X182" s="524">
        <f t="shared" ca="1" si="84"/>
        <v>0</v>
      </c>
      <c r="Y182" s="524">
        <f t="shared" ca="1" si="72"/>
        <v>0</v>
      </c>
    </row>
    <row r="183" spans="4:25">
      <c r="D183" s="9" t="s">
        <v>116</v>
      </c>
      <c r="E183" s="523">
        <f t="shared" ca="1" si="69"/>
        <v>0</v>
      </c>
      <c r="F183" s="524">
        <f t="shared" ref="F183:X183" ca="1" si="85">E183+F144</f>
        <v>0</v>
      </c>
      <c r="G183" s="524">
        <f t="shared" ca="1" si="85"/>
        <v>0</v>
      </c>
      <c r="H183" s="524">
        <f t="shared" ca="1" si="85"/>
        <v>0</v>
      </c>
      <c r="I183" s="524">
        <f t="shared" ca="1" si="85"/>
        <v>0</v>
      </c>
      <c r="J183" s="524">
        <f t="shared" ca="1" si="85"/>
        <v>0</v>
      </c>
      <c r="K183" s="524">
        <f t="shared" ca="1" si="85"/>
        <v>0</v>
      </c>
      <c r="L183" s="524">
        <f t="shared" ca="1" si="85"/>
        <v>0</v>
      </c>
      <c r="M183" s="524">
        <f t="shared" ca="1" si="85"/>
        <v>0</v>
      </c>
      <c r="N183" s="524">
        <f t="shared" ca="1" si="85"/>
        <v>0</v>
      </c>
      <c r="O183" s="524">
        <f t="shared" ca="1" si="85"/>
        <v>0</v>
      </c>
      <c r="P183" s="524">
        <f t="shared" ca="1" si="85"/>
        <v>0</v>
      </c>
      <c r="Q183" s="524">
        <f t="shared" ca="1" si="85"/>
        <v>0</v>
      </c>
      <c r="R183" s="524">
        <f t="shared" ca="1" si="85"/>
        <v>0</v>
      </c>
      <c r="S183" s="524">
        <f t="shared" ca="1" si="85"/>
        <v>0</v>
      </c>
      <c r="T183" s="524">
        <f t="shared" ca="1" si="85"/>
        <v>0</v>
      </c>
      <c r="U183" s="524">
        <f t="shared" ca="1" si="85"/>
        <v>0</v>
      </c>
      <c r="V183" s="524">
        <f t="shared" ca="1" si="85"/>
        <v>0</v>
      </c>
      <c r="W183" s="524">
        <f t="shared" ca="1" si="85"/>
        <v>0</v>
      </c>
      <c r="X183" s="524">
        <f t="shared" ca="1" si="85"/>
        <v>0</v>
      </c>
      <c r="Y183" s="524">
        <f t="shared" ca="1" si="72"/>
        <v>0</v>
      </c>
    </row>
    <row r="184" spans="4:25">
      <c r="D184" s="9" t="s">
        <v>119</v>
      </c>
      <c r="E184" s="523">
        <f t="shared" ca="1" si="69"/>
        <v>0</v>
      </c>
      <c r="F184" s="524">
        <f t="shared" ref="F184:X184" ca="1" si="86">E184+F145</f>
        <v>0</v>
      </c>
      <c r="G184" s="524">
        <f t="shared" ca="1" si="86"/>
        <v>0</v>
      </c>
      <c r="H184" s="524">
        <f t="shared" ca="1" si="86"/>
        <v>0</v>
      </c>
      <c r="I184" s="524">
        <f t="shared" ca="1" si="86"/>
        <v>0</v>
      </c>
      <c r="J184" s="524">
        <f t="shared" ca="1" si="86"/>
        <v>0</v>
      </c>
      <c r="K184" s="524">
        <f t="shared" ca="1" si="86"/>
        <v>0</v>
      </c>
      <c r="L184" s="524">
        <f t="shared" ca="1" si="86"/>
        <v>0</v>
      </c>
      <c r="M184" s="524">
        <f t="shared" ca="1" si="86"/>
        <v>0</v>
      </c>
      <c r="N184" s="524">
        <f t="shared" ca="1" si="86"/>
        <v>0</v>
      </c>
      <c r="O184" s="524">
        <f t="shared" ca="1" si="86"/>
        <v>0</v>
      </c>
      <c r="P184" s="524">
        <f t="shared" ca="1" si="86"/>
        <v>0</v>
      </c>
      <c r="Q184" s="524">
        <f t="shared" ca="1" si="86"/>
        <v>0</v>
      </c>
      <c r="R184" s="524">
        <f t="shared" ca="1" si="86"/>
        <v>0</v>
      </c>
      <c r="S184" s="524">
        <f t="shared" ca="1" si="86"/>
        <v>0</v>
      </c>
      <c r="T184" s="524">
        <f t="shared" ca="1" si="86"/>
        <v>0</v>
      </c>
      <c r="U184" s="524">
        <f t="shared" ca="1" si="86"/>
        <v>0</v>
      </c>
      <c r="V184" s="524">
        <f t="shared" ca="1" si="86"/>
        <v>0</v>
      </c>
      <c r="W184" s="524">
        <f t="shared" ca="1" si="86"/>
        <v>0</v>
      </c>
      <c r="X184" s="524">
        <f t="shared" ca="1" si="86"/>
        <v>0</v>
      </c>
      <c r="Y184" s="524">
        <f t="shared" ca="1" si="72"/>
        <v>0</v>
      </c>
    </row>
    <row r="185" spans="4:25">
      <c r="D185" s="9" t="s">
        <v>122</v>
      </c>
      <c r="E185" s="523">
        <f t="shared" ca="1" si="69"/>
        <v>0</v>
      </c>
      <c r="F185" s="524">
        <f t="shared" ref="F185:X185" ca="1" si="87">E185+F146</f>
        <v>0</v>
      </c>
      <c r="G185" s="524">
        <f t="shared" ca="1" si="87"/>
        <v>0</v>
      </c>
      <c r="H185" s="524">
        <f t="shared" ca="1" si="87"/>
        <v>0</v>
      </c>
      <c r="I185" s="524">
        <f t="shared" ca="1" si="87"/>
        <v>0</v>
      </c>
      <c r="J185" s="524">
        <f t="shared" ca="1" si="87"/>
        <v>0</v>
      </c>
      <c r="K185" s="524">
        <f t="shared" ca="1" si="87"/>
        <v>0</v>
      </c>
      <c r="L185" s="524">
        <f t="shared" ca="1" si="87"/>
        <v>0</v>
      </c>
      <c r="M185" s="524">
        <f t="shared" ca="1" si="87"/>
        <v>0</v>
      </c>
      <c r="N185" s="524">
        <f t="shared" ca="1" si="87"/>
        <v>0</v>
      </c>
      <c r="O185" s="524">
        <f t="shared" ca="1" si="87"/>
        <v>0</v>
      </c>
      <c r="P185" s="524">
        <f t="shared" ca="1" si="87"/>
        <v>0</v>
      </c>
      <c r="Q185" s="524">
        <f t="shared" ca="1" si="87"/>
        <v>0</v>
      </c>
      <c r="R185" s="524">
        <f t="shared" ca="1" si="87"/>
        <v>0</v>
      </c>
      <c r="S185" s="524">
        <f t="shared" ca="1" si="87"/>
        <v>0</v>
      </c>
      <c r="T185" s="524">
        <f t="shared" ca="1" si="87"/>
        <v>0</v>
      </c>
      <c r="U185" s="524">
        <f t="shared" ca="1" si="87"/>
        <v>0</v>
      </c>
      <c r="V185" s="524">
        <f t="shared" ca="1" si="87"/>
        <v>0</v>
      </c>
      <c r="W185" s="524">
        <f t="shared" ca="1" si="87"/>
        <v>0</v>
      </c>
      <c r="X185" s="524">
        <f t="shared" ca="1" si="87"/>
        <v>0</v>
      </c>
      <c r="Y185" s="524">
        <f t="shared" ca="1" si="72"/>
        <v>0</v>
      </c>
    </row>
    <row r="186" spans="4:25">
      <c r="D186" s="9" t="s">
        <v>125</v>
      </c>
      <c r="E186" s="523">
        <f t="shared" ca="1" si="69"/>
        <v>0</v>
      </c>
      <c r="F186" s="524">
        <f t="shared" ref="F186:X186" ca="1" si="88">E186+F147</f>
        <v>0</v>
      </c>
      <c r="G186" s="524">
        <f t="shared" ca="1" si="88"/>
        <v>0</v>
      </c>
      <c r="H186" s="524">
        <f t="shared" ca="1" si="88"/>
        <v>0</v>
      </c>
      <c r="I186" s="524">
        <f t="shared" ca="1" si="88"/>
        <v>0</v>
      </c>
      <c r="J186" s="524">
        <f t="shared" ca="1" si="88"/>
        <v>0</v>
      </c>
      <c r="K186" s="524">
        <f t="shared" ca="1" si="88"/>
        <v>0</v>
      </c>
      <c r="L186" s="524">
        <f t="shared" ca="1" si="88"/>
        <v>0</v>
      </c>
      <c r="M186" s="524">
        <f t="shared" ca="1" si="88"/>
        <v>0</v>
      </c>
      <c r="N186" s="524">
        <f t="shared" ca="1" si="88"/>
        <v>0</v>
      </c>
      <c r="O186" s="524">
        <f t="shared" ca="1" si="88"/>
        <v>0</v>
      </c>
      <c r="P186" s="524">
        <f t="shared" ca="1" si="88"/>
        <v>0</v>
      </c>
      <c r="Q186" s="524">
        <f t="shared" ca="1" si="88"/>
        <v>0</v>
      </c>
      <c r="R186" s="524">
        <f t="shared" ca="1" si="88"/>
        <v>0</v>
      </c>
      <c r="S186" s="524">
        <f t="shared" ca="1" si="88"/>
        <v>0</v>
      </c>
      <c r="T186" s="524">
        <f t="shared" ca="1" si="88"/>
        <v>0</v>
      </c>
      <c r="U186" s="524">
        <f t="shared" ca="1" si="88"/>
        <v>0</v>
      </c>
      <c r="V186" s="524">
        <f t="shared" ca="1" si="88"/>
        <v>0</v>
      </c>
      <c r="W186" s="524">
        <f t="shared" ca="1" si="88"/>
        <v>0</v>
      </c>
      <c r="X186" s="524">
        <f t="shared" ca="1" si="88"/>
        <v>0</v>
      </c>
      <c r="Y186" s="524">
        <f t="shared" ca="1" si="72"/>
        <v>0</v>
      </c>
    </row>
    <row r="187" spans="4:25">
      <c r="D187" s="9" t="s">
        <v>128</v>
      </c>
      <c r="E187" s="523">
        <f t="shared" ca="1" si="69"/>
        <v>0</v>
      </c>
      <c r="F187" s="524">
        <f t="shared" ref="F187:X187" ca="1" si="89">E187+F148</f>
        <v>0</v>
      </c>
      <c r="G187" s="524">
        <f t="shared" ca="1" si="89"/>
        <v>0</v>
      </c>
      <c r="H187" s="524">
        <f t="shared" ca="1" si="89"/>
        <v>0</v>
      </c>
      <c r="I187" s="524">
        <f t="shared" ca="1" si="89"/>
        <v>0</v>
      </c>
      <c r="J187" s="524">
        <f t="shared" ca="1" si="89"/>
        <v>0</v>
      </c>
      <c r="K187" s="524">
        <f t="shared" ca="1" si="89"/>
        <v>0</v>
      </c>
      <c r="L187" s="524">
        <f t="shared" ca="1" si="89"/>
        <v>0</v>
      </c>
      <c r="M187" s="524">
        <f t="shared" ca="1" si="89"/>
        <v>0</v>
      </c>
      <c r="N187" s="524">
        <f t="shared" ca="1" si="89"/>
        <v>0</v>
      </c>
      <c r="O187" s="524">
        <f t="shared" ca="1" si="89"/>
        <v>0</v>
      </c>
      <c r="P187" s="524">
        <f t="shared" ca="1" si="89"/>
        <v>0</v>
      </c>
      <c r="Q187" s="524">
        <f t="shared" ca="1" si="89"/>
        <v>0</v>
      </c>
      <c r="R187" s="524">
        <f t="shared" ca="1" si="89"/>
        <v>0</v>
      </c>
      <c r="S187" s="524">
        <f t="shared" ca="1" si="89"/>
        <v>0</v>
      </c>
      <c r="T187" s="524">
        <f t="shared" ca="1" si="89"/>
        <v>0</v>
      </c>
      <c r="U187" s="524">
        <f t="shared" ca="1" si="89"/>
        <v>0</v>
      </c>
      <c r="V187" s="524">
        <f t="shared" ca="1" si="89"/>
        <v>0</v>
      </c>
      <c r="W187" s="524">
        <f t="shared" ca="1" si="89"/>
        <v>0</v>
      </c>
      <c r="X187" s="524">
        <f t="shared" ca="1" si="89"/>
        <v>0</v>
      </c>
      <c r="Y187" s="524">
        <f t="shared" ca="1" si="72"/>
        <v>0</v>
      </c>
    </row>
    <row r="188" spans="4:25">
      <c r="D188" s="9" t="s">
        <v>131</v>
      </c>
      <c r="E188" s="523">
        <f t="shared" ca="1" si="69"/>
        <v>0</v>
      </c>
      <c r="F188" s="524">
        <f t="shared" ref="F188:X188" ca="1" si="90">E188+F149</f>
        <v>0</v>
      </c>
      <c r="G188" s="524">
        <f t="shared" ca="1" si="90"/>
        <v>0</v>
      </c>
      <c r="H188" s="524">
        <f t="shared" ca="1" si="90"/>
        <v>0</v>
      </c>
      <c r="I188" s="524">
        <f t="shared" ca="1" si="90"/>
        <v>0</v>
      </c>
      <c r="J188" s="524">
        <f t="shared" ca="1" si="90"/>
        <v>0</v>
      </c>
      <c r="K188" s="524">
        <f t="shared" ca="1" si="90"/>
        <v>0</v>
      </c>
      <c r="L188" s="524">
        <f t="shared" ca="1" si="90"/>
        <v>0</v>
      </c>
      <c r="M188" s="524">
        <f t="shared" ca="1" si="90"/>
        <v>0</v>
      </c>
      <c r="N188" s="524">
        <f t="shared" ca="1" si="90"/>
        <v>0</v>
      </c>
      <c r="O188" s="524">
        <f t="shared" ca="1" si="90"/>
        <v>0</v>
      </c>
      <c r="P188" s="524">
        <f t="shared" ca="1" si="90"/>
        <v>0</v>
      </c>
      <c r="Q188" s="524">
        <f t="shared" ca="1" si="90"/>
        <v>0</v>
      </c>
      <c r="R188" s="524">
        <f t="shared" ca="1" si="90"/>
        <v>0</v>
      </c>
      <c r="S188" s="524">
        <f t="shared" ca="1" si="90"/>
        <v>0</v>
      </c>
      <c r="T188" s="524">
        <f t="shared" ca="1" si="90"/>
        <v>0</v>
      </c>
      <c r="U188" s="524">
        <f t="shared" ca="1" si="90"/>
        <v>0</v>
      </c>
      <c r="V188" s="524">
        <f t="shared" ca="1" si="90"/>
        <v>0</v>
      </c>
      <c r="W188" s="524">
        <f t="shared" ca="1" si="90"/>
        <v>0</v>
      </c>
      <c r="X188" s="524">
        <f t="shared" ca="1" si="90"/>
        <v>0</v>
      </c>
      <c r="Y188" s="524">
        <f t="shared" ca="1" si="72"/>
        <v>0</v>
      </c>
    </row>
    <row r="189" spans="4:25">
      <c r="D189" s="9" t="s">
        <v>134</v>
      </c>
      <c r="E189" s="523">
        <f t="shared" ca="1" si="69"/>
        <v>0</v>
      </c>
      <c r="F189" s="524">
        <f t="shared" ref="F189:X189" ca="1" si="91">E189+F150</f>
        <v>0</v>
      </c>
      <c r="G189" s="524">
        <f t="shared" ca="1" si="91"/>
        <v>0</v>
      </c>
      <c r="H189" s="524">
        <f t="shared" ca="1" si="91"/>
        <v>0</v>
      </c>
      <c r="I189" s="524">
        <f t="shared" ca="1" si="91"/>
        <v>0</v>
      </c>
      <c r="J189" s="524">
        <f t="shared" ca="1" si="91"/>
        <v>0</v>
      </c>
      <c r="K189" s="524">
        <f t="shared" ca="1" si="91"/>
        <v>0</v>
      </c>
      <c r="L189" s="524">
        <f t="shared" ca="1" si="91"/>
        <v>0</v>
      </c>
      <c r="M189" s="524">
        <f t="shared" ca="1" si="91"/>
        <v>0</v>
      </c>
      <c r="N189" s="524">
        <f t="shared" ca="1" si="91"/>
        <v>0</v>
      </c>
      <c r="O189" s="524">
        <f t="shared" ca="1" si="91"/>
        <v>0</v>
      </c>
      <c r="P189" s="524">
        <f t="shared" ca="1" si="91"/>
        <v>0</v>
      </c>
      <c r="Q189" s="524">
        <f t="shared" ca="1" si="91"/>
        <v>0</v>
      </c>
      <c r="R189" s="524">
        <f t="shared" ca="1" si="91"/>
        <v>0</v>
      </c>
      <c r="S189" s="524">
        <f t="shared" ca="1" si="91"/>
        <v>0</v>
      </c>
      <c r="T189" s="524">
        <f t="shared" ca="1" si="91"/>
        <v>0</v>
      </c>
      <c r="U189" s="524">
        <f t="shared" ca="1" si="91"/>
        <v>0</v>
      </c>
      <c r="V189" s="524">
        <f t="shared" ca="1" si="91"/>
        <v>0</v>
      </c>
      <c r="W189" s="524">
        <f t="shared" ca="1" si="91"/>
        <v>0</v>
      </c>
      <c r="X189" s="524">
        <f t="shared" ca="1" si="91"/>
        <v>0</v>
      </c>
      <c r="Y189" s="524">
        <f t="shared" ca="1" si="72"/>
        <v>0</v>
      </c>
    </row>
    <row r="190" spans="4:25">
      <c r="D190" s="9" t="s">
        <v>1167</v>
      </c>
      <c r="E190" s="523">
        <f t="shared" ref="E190:E200" ca="1" si="92">E151</f>
        <v>0</v>
      </c>
      <c r="F190" s="524">
        <f t="shared" ref="F190:X190" ca="1" si="93">E190+F151</f>
        <v>0</v>
      </c>
      <c r="G190" s="524">
        <f t="shared" ca="1" si="93"/>
        <v>0</v>
      </c>
      <c r="H190" s="524">
        <f t="shared" ca="1" si="93"/>
        <v>0</v>
      </c>
      <c r="I190" s="524">
        <f t="shared" ca="1" si="93"/>
        <v>0</v>
      </c>
      <c r="J190" s="524">
        <f t="shared" ca="1" si="93"/>
        <v>0</v>
      </c>
      <c r="K190" s="524">
        <f t="shared" ca="1" si="93"/>
        <v>0</v>
      </c>
      <c r="L190" s="524">
        <f t="shared" ca="1" si="93"/>
        <v>0</v>
      </c>
      <c r="M190" s="524">
        <f t="shared" ca="1" si="93"/>
        <v>0</v>
      </c>
      <c r="N190" s="524">
        <f t="shared" ca="1" si="93"/>
        <v>0</v>
      </c>
      <c r="O190" s="524">
        <f t="shared" ca="1" si="93"/>
        <v>0</v>
      </c>
      <c r="P190" s="524">
        <f t="shared" ca="1" si="93"/>
        <v>0</v>
      </c>
      <c r="Q190" s="524">
        <f t="shared" ca="1" si="93"/>
        <v>0</v>
      </c>
      <c r="R190" s="524">
        <f t="shared" ca="1" si="93"/>
        <v>0</v>
      </c>
      <c r="S190" s="524">
        <f t="shared" ca="1" si="93"/>
        <v>0</v>
      </c>
      <c r="T190" s="524">
        <f t="shared" ca="1" si="93"/>
        <v>0</v>
      </c>
      <c r="U190" s="524">
        <f t="shared" ca="1" si="93"/>
        <v>0</v>
      </c>
      <c r="V190" s="524">
        <f t="shared" ca="1" si="93"/>
        <v>0</v>
      </c>
      <c r="W190" s="524">
        <f t="shared" ca="1" si="93"/>
        <v>0</v>
      </c>
      <c r="X190" s="524">
        <f t="shared" ca="1" si="93"/>
        <v>0</v>
      </c>
      <c r="Y190" s="524">
        <f t="shared" ca="1" si="72"/>
        <v>0</v>
      </c>
    </row>
    <row r="191" spans="4:25">
      <c r="D191" s="9" t="s">
        <v>1168</v>
      </c>
      <c r="E191" s="523">
        <f t="shared" ca="1" si="92"/>
        <v>0</v>
      </c>
      <c r="F191" s="524">
        <f t="shared" ref="F191:X191" ca="1" si="94">E191+F152</f>
        <v>0</v>
      </c>
      <c r="G191" s="524">
        <f t="shared" ca="1" si="94"/>
        <v>0</v>
      </c>
      <c r="H191" s="524">
        <f t="shared" ca="1" si="94"/>
        <v>0</v>
      </c>
      <c r="I191" s="524">
        <f t="shared" ca="1" si="94"/>
        <v>0</v>
      </c>
      <c r="J191" s="524">
        <f t="shared" ca="1" si="94"/>
        <v>0</v>
      </c>
      <c r="K191" s="524">
        <f t="shared" ca="1" si="94"/>
        <v>0</v>
      </c>
      <c r="L191" s="524">
        <f t="shared" ca="1" si="94"/>
        <v>0</v>
      </c>
      <c r="M191" s="524">
        <f t="shared" ca="1" si="94"/>
        <v>0</v>
      </c>
      <c r="N191" s="524">
        <f t="shared" ca="1" si="94"/>
        <v>0</v>
      </c>
      <c r="O191" s="524">
        <f t="shared" ca="1" si="94"/>
        <v>0</v>
      </c>
      <c r="P191" s="524">
        <f t="shared" ca="1" si="94"/>
        <v>0</v>
      </c>
      <c r="Q191" s="524">
        <f t="shared" ca="1" si="94"/>
        <v>0</v>
      </c>
      <c r="R191" s="524">
        <f t="shared" ca="1" si="94"/>
        <v>0</v>
      </c>
      <c r="S191" s="524">
        <f t="shared" ca="1" si="94"/>
        <v>0</v>
      </c>
      <c r="T191" s="524">
        <f t="shared" ca="1" si="94"/>
        <v>0</v>
      </c>
      <c r="U191" s="524">
        <f t="shared" ca="1" si="94"/>
        <v>0</v>
      </c>
      <c r="V191" s="524">
        <f t="shared" ca="1" si="94"/>
        <v>0</v>
      </c>
      <c r="W191" s="524">
        <f t="shared" ca="1" si="94"/>
        <v>0</v>
      </c>
      <c r="X191" s="524">
        <f t="shared" ca="1" si="94"/>
        <v>0</v>
      </c>
      <c r="Y191" s="524">
        <f t="shared" ca="1" si="72"/>
        <v>0</v>
      </c>
    </row>
    <row r="192" spans="4:25">
      <c r="D192" s="9" t="s">
        <v>1169</v>
      </c>
      <c r="E192" s="523">
        <f t="shared" ca="1" si="92"/>
        <v>0</v>
      </c>
      <c r="F192" s="524">
        <f t="shared" ref="F192:X192" ca="1" si="95">E192+F153</f>
        <v>0</v>
      </c>
      <c r="G192" s="524">
        <f t="shared" ca="1" si="95"/>
        <v>0</v>
      </c>
      <c r="H192" s="524">
        <f t="shared" ca="1" si="95"/>
        <v>0</v>
      </c>
      <c r="I192" s="524">
        <f t="shared" ca="1" si="95"/>
        <v>0</v>
      </c>
      <c r="J192" s="524">
        <f t="shared" ca="1" si="95"/>
        <v>0</v>
      </c>
      <c r="K192" s="524">
        <f t="shared" ca="1" si="95"/>
        <v>0</v>
      </c>
      <c r="L192" s="524">
        <f t="shared" ca="1" si="95"/>
        <v>0</v>
      </c>
      <c r="M192" s="524">
        <f t="shared" ca="1" si="95"/>
        <v>0</v>
      </c>
      <c r="N192" s="524">
        <f t="shared" ca="1" si="95"/>
        <v>0</v>
      </c>
      <c r="O192" s="524">
        <f t="shared" ca="1" si="95"/>
        <v>0</v>
      </c>
      <c r="P192" s="524">
        <f t="shared" ca="1" si="95"/>
        <v>0</v>
      </c>
      <c r="Q192" s="524">
        <f t="shared" ca="1" si="95"/>
        <v>0</v>
      </c>
      <c r="R192" s="524">
        <f t="shared" ca="1" si="95"/>
        <v>0</v>
      </c>
      <c r="S192" s="524">
        <f t="shared" ca="1" si="95"/>
        <v>0</v>
      </c>
      <c r="T192" s="524">
        <f t="shared" ca="1" si="95"/>
        <v>0</v>
      </c>
      <c r="U192" s="524">
        <f t="shared" ca="1" si="95"/>
        <v>0</v>
      </c>
      <c r="V192" s="524">
        <f t="shared" ca="1" si="95"/>
        <v>0</v>
      </c>
      <c r="W192" s="524">
        <f t="shared" ca="1" si="95"/>
        <v>0</v>
      </c>
      <c r="X192" s="524">
        <f t="shared" ca="1" si="95"/>
        <v>0</v>
      </c>
      <c r="Y192" s="524">
        <f t="shared" ca="1" si="72"/>
        <v>0</v>
      </c>
    </row>
    <row r="193" spans="4:78">
      <c r="D193" s="9" t="s">
        <v>1170</v>
      </c>
      <c r="E193" s="523">
        <f t="shared" ca="1" si="92"/>
        <v>0</v>
      </c>
      <c r="F193" s="524">
        <f t="shared" ref="F193:X193" ca="1" si="96">E193+F154</f>
        <v>0</v>
      </c>
      <c r="G193" s="524">
        <f t="shared" ca="1" si="96"/>
        <v>0</v>
      </c>
      <c r="H193" s="524">
        <f t="shared" ca="1" si="96"/>
        <v>0</v>
      </c>
      <c r="I193" s="524">
        <f t="shared" ca="1" si="96"/>
        <v>0</v>
      </c>
      <c r="J193" s="524">
        <f t="shared" ca="1" si="96"/>
        <v>0</v>
      </c>
      <c r="K193" s="524">
        <f t="shared" ca="1" si="96"/>
        <v>0</v>
      </c>
      <c r="L193" s="524">
        <f t="shared" ca="1" si="96"/>
        <v>0</v>
      </c>
      <c r="M193" s="524">
        <f t="shared" ca="1" si="96"/>
        <v>0</v>
      </c>
      <c r="N193" s="524">
        <f t="shared" ca="1" si="96"/>
        <v>0</v>
      </c>
      <c r="O193" s="524">
        <f t="shared" ca="1" si="96"/>
        <v>0</v>
      </c>
      <c r="P193" s="524">
        <f t="shared" ca="1" si="96"/>
        <v>0</v>
      </c>
      <c r="Q193" s="524">
        <f t="shared" ca="1" si="96"/>
        <v>0</v>
      </c>
      <c r="R193" s="524">
        <f t="shared" ca="1" si="96"/>
        <v>0</v>
      </c>
      <c r="S193" s="524">
        <f t="shared" ca="1" si="96"/>
        <v>0</v>
      </c>
      <c r="T193" s="524">
        <f t="shared" ca="1" si="96"/>
        <v>0</v>
      </c>
      <c r="U193" s="524">
        <f t="shared" ca="1" si="96"/>
        <v>0</v>
      </c>
      <c r="V193" s="524">
        <f t="shared" ca="1" si="96"/>
        <v>0</v>
      </c>
      <c r="W193" s="524">
        <f t="shared" ca="1" si="96"/>
        <v>0</v>
      </c>
      <c r="X193" s="524">
        <f t="shared" ca="1" si="96"/>
        <v>0</v>
      </c>
      <c r="Y193" s="524">
        <f t="shared" ca="1" si="72"/>
        <v>0</v>
      </c>
    </row>
    <row r="194" spans="4:78">
      <c r="D194" s="9" t="s">
        <v>1171</v>
      </c>
      <c r="E194" s="523">
        <f t="shared" ca="1" si="92"/>
        <v>0</v>
      </c>
      <c r="F194" s="524">
        <f t="shared" ref="F194:X194" ca="1" si="97">E194+F155</f>
        <v>0</v>
      </c>
      <c r="G194" s="524">
        <f t="shared" ca="1" si="97"/>
        <v>0</v>
      </c>
      <c r="H194" s="524">
        <f t="shared" ca="1" si="97"/>
        <v>0</v>
      </c>
      <c r="I194" s="524">
        <f t="shared" ca="1" si="97"/>
        <v>0</v>
      </c>
      <c r="J194" s="524">
        <f t="shared" ca="1" si="97"/>
        <v>0</v>
      </c>
      <c r="K194" s="524">
        <f t="shared" ca="1" si="97"/>
        <v>0</v>
      </c>
      <c r="L194" s="524">
        <f t="shared" ca="1" si="97"/>
        <v>0</v>
      </c>
      <c r="M194" s="524">
        <f t="shared" ca="1" si="97"/>
        <v>0</v>
      </c>
      <c r="N194" s="524">
        <f t="shared" ca="1" si="97"/>
        <v>0</v>
      </c>
      <c r="O194" s="524">
        <f t="shared" ca="1" si="97"/>
        <v>0</v>
      </c>
      <c r="P194" s="524">
        <f t="shared" ca="1" si="97"/>
        <v>0</v>
      </c>
      <c r="Q194" s="524">
        <f t="shared" ca="1" si="97"/>
        <v>0</v>
      </c>
      <c r="R194" s="524">
        <f t="shared" ca="1" si="97"/>
        <v>0</v>
      </c>
      <c r="S194" s="524">
        <f t="shared" ca="1" si="97"/>
        <v>0</v>
      </c>
      <c r="T194" s="524">
        <f t="shared" ca="1" si="97"/>
        <v>0</v>
      </c>
      <c r="U194" s="524">
        <f t="shared" ca="1" si="97"/>
        <v>0</v>
      </c>
      <c r="V194" s="524">
        <f t="shared" ca="1" si="97"/>
        <v>0</v>
      </c>
      <c r="W194" s="524">
        <f t="shared" ca="1" si="97"/>
        <v>0</v>
      </c>
      <c r="X194" s="524">
        <f t="shared" ca="1" si="97"/>
        <v>0</v>
      </c>
      <c r="Y194" s="524">
        <f t="shared" ca="1" si="72"/>
        <v>0</v>
      </c>
    </row>
    <row r="195" spans="4:78">
      <c r="D195" s="9" t="s">
        <v>1172</v>
      </c>
      <c r="E195" s="523">
        <f t="shared" ca="1" si="92"/>
        <v>0</v>
      </c>
      <c r="F195" s="524">
        <f t="shared" ref="F195:X195" ca="1" si="98">E195+F156</f>
        <v>0</v>
      </c>
      <c r="G195" s="524">
        <f t="shared" ca="1" si="98"/>
        <v>0</v>
      </c>
      <c r="H195" s="524">
        <f t="shared" ca="1" si="98"/>
        <v>0</v>
      </c>
      <c r="I195" s="524">
        <f t="shared" ca="1" si="98"/>
        <v>0</v>
      </c>
      <c r="J195" s="524">
        <f t="shared" ca="1" si="98"/>
        <v>0</v>
      </c>
      <c r="K195" s="524">
        <f t="shared" ca="1" si="98"/>
        <v>0</v>
      </c>
      <c r="L195" s="524">
        <f t="shared" ca="1" si="98"/>
        <v>0</v>
      </c>
      <c r="M195" s="524">
        <f t="shared" ca="1" si="98"/>
        <v>0</v>
      </c>
      <c r="N195" s="524">
        <f t="shared" ca="1" si="98"/>
        <v>0</v>
      </c>
      <c r="O195" s="524">
        <f t="shared" ca="1" si="98"/>
        <v>0</v>
      </c>
      <c r="P195" s="524">
        <f t="shared" ca="1" si="98"/>
        <v>0</v>
      </c>
      <c r="Q195" s="524">
        <f t="shared" ca="1" si="98"/>
        <v>0</v>
      </c>
      <c r="R195" s="524">
        <f t="shared" ca="1" si="98"/>
        <v>0</v>
      </c>
      <c r="S195" s="524">
        <f t="shared" ca="1" si="98"/>
        <v>0</v>
      </c>
      <c r="T195" s="524">
        <f t="shared" ca="1" si="98"/>
        <v>0</v>
      </c>
      <c r="U195" s="524">
        <f t="shared" ca="1" si="98"/>
        <v>0</v>
      </c>
      <c r="V195" s="524">
        <f t="shared" ca="1" si="98"/>
        <v>0</v>
      </c>
      <c r="W195" s="524">
        <f t="shared" ca="1" si="98"/>
        <v>0</v>
      </c>
      <c r="X195" s="524">
        <f t="shared" ca="1" si="98"/>
        <v>0</v>
      </c>
      <c r="Y195" s="524">
        <f t="shared" ca="1" si="72"/>
        <v>0</v>
      </c>
    </row>
    <row r="196" spans="4:78">
      <c r="D196" s="9" t="s">
        <v>1173</v>
      </c>
      <c r="E196" s="523">
        <f t="shared" ca="1" si="92"/>
        <v>0</v>
      </c>
      <c r="F196" s="524">
        <f t="shared" ref="F196:X196" ca="1" si="99">E196+F157</f>
        <v>0</v>
      </c>
      <c r="G196" s="524">
        <f t="shared" ca="1" si="99"/>
        <v>0</v>
      </c>
      <c r="H196" s="524">
        <f t="shared" ca="1" si="99"/>
        <v>0</v>
      </c>
      <c r="I196" s="524">
        <f t="shared" ca="1" si="99"/>
        <v>0</v>
      </c>
      <c r="J196" s="524">
        <f t="shared" ca="1" si="99"/>
        <v>0</v>
      </c>
      <c r="K196" s="524">
        <f t="shared" ca="1" si="99"/>
        <v>0</v>
      </c>
      <c r="L196" s="524">
        <f t="shared" ca="1" si="99"/>
        <v>0</v>
      </c>
      <c r="M196" s="524">
        <f t="shared" ca="1" si="99"/>
        <v>0</v>
      </c>
      <c r="N196" s="524">
        <f t="shared" ca="1" si="99"/>
        <v>0</v>
      </c>
      <c r="O196" s="524">
        <f t="shared" ca="1" si="99"/>
        <v>0</v>
      </c>
      <c r="P196" s="524">
        <f t="shared" ca="1" si="99"/>
        <v>0</v>
      </c>
      <c r="Q196" s="524">
        <f t="shared" ca="1" si="99"/>
        <v>0</v>
      </c>
      <c r="R196" s="524">
        <f t="shared" ca="1" si="99"/>
        <v>0</v>
      </c>
      <c r="S196" s="524">
        <f t="shared" ca="1" si="99"/>
        <v>0</v>
      </c>
      <c r="T196" s="524">
        <f t="shared" ca="1" si="99"/>
        <v>0</v>
      </c>
      <c r="U196" s="524">
        <f t="shared" ca="1" si="99"/>
        <v>0</v>
      </c>
      <c r="V196" s="524">
        <f t="shared" ca="1" si="99"/>
        <v>0</v>
      </c>
      <c r="W196" s="524">
        <f t="shared" ca="1" si="99"/>
        <v>0</v>
      </c>
      <c r="X196" s="524">
        <f t="shared" ca="1" si="99"/>
        <v>0</v>
      </c>
      <c r="Y196" s="524">
        <f t="shared" ca="1" si="72"/>
        <v>0</v>
      </c>
    </row>
    <row r="197" spans="4:78">
      <c r="D197" s="9" t="s">
        <v>1174</v>
      </c>
      <c r="E197" s="523">
        <f t="shared" ca="1" si="92"/>
        <v>0</v>
      </c>
      <c r="F197" s="524">
        <f t="shared" ref="F197:X197" ca="1" si="100">E197+F158</f>
        <v>0</v>
      </c>
      <c r="G197" s="524">
        <f t="shared" ca="1" si="100"/>
        <v>0</v>
      </c>
      <c r="H197" s="524">
        <f t="shared" ca="1" si="100"/>
        <v>0</v>
      </c>
      <c r="I197" s="524">
        <f t="shared" ca="1" si="100"/>
        <v>0</v>
      </c>
      <c r="J197" s="524">
        <f t="shared" ca="1" si="100"/>
        <v>0</v>
      </c>
      <c r="K197" s="524">
        <f t="shared" ca="1" si="100"/>
        <v>0</v>
      </c>
      <c r="L197" s="524">
        <f t="shared" ca="1" si="100"/>
        <v>0</v>
      </c>
      <c r="M197" s="524">
        <f t="shared" ca="1" si="100"/>
        <v>0</v>
      </c>
      <c r="N197" s="524">
        <f t="shared" ca="1" si="100"/>
        <v>0</v>
      </c>
      <c r="O197" s="524">
        <f t="shared" ca="1" si="100"/>
        <v>0</v>
      </c>
      <c r="P197" s="524">
        <f t="shared" ca="1" si="100"/>
        <v>0</v>
      </c>
      <c r="Q197" s="524">
        <f t="shared" ca="1" si="100"/>
        <v>0</v>
      </c>
      <c r="R197" s="524">
        <f t="shared" ca="1" si="100"/>
        <v>0</v>
      </c>
      <c r="S197" s="524">
        <f t="shared" ca="1" si="100"/>
        <v>0</v>
      </c>
      <c r="T197" s="524">
        <f t="shared" ca="1" si="100"/>
        <v>0</v>
      </c>
      <c r="U197" s="524">
        <f t="shared" ca="1" si="100"/>
        <v>0</v>
      </c>
      <c r="V197" s="524">
        <f t="shared" ca="1" si="100"/>
        <v>0</v>
      </c>
      <c r="W197" s="524">
        <f t="shared" ca="1" si="100"/>
        <v>0</v>
      </c>
      <c r="X197" s="524">
        <f t="shared" ca="1" si="100"/>
        <v>0</v>
      </c>
      <c r="Y197" s="524">
        <f t="shared" ca="1" si="72"/>
        <v>0</v>
      </c>
    </row>
    <row r="198" spans="4:78">
      <c r="D198" s="9" t="s">
        <v>1175</v>
      </c>
      <c r="E198" s="523">
        <f t="shared" ca="1" si="92"/>
        <v>0</v>
      </c>
      <c r="F198" s="524">
        <f t="shared" ref="F198:X198" ca="1" si="101">E198+F159</f>
        <v>0</v>
      </c>
      <c r="G198" s="524">
        <f t="shared" ca="1" si="101"/>
        <v>0</v>
      </c>
      <c r="H198" s="524">
        <f t="shared" ca="1" si="101"/>
        <v>0</v>
      </c>
      <c r="I198" s="524">
        <f t="shared" ca="1" si="101"/>
        <v>0</v>
      </c>
      <c r="J198" s="524">
        <f t="shared" ca="1" si="101"/>
        <v>0</v>
      </c>
      <c r="K198" s="524">
        <f t="shared" ca="1" si="101"/>
        <v>0</v>
      </c>
      <c r="L198" s="524">
        <f t="shared" ca="1" si="101"/>
        <v>0</v>
      </c>
      <c r="M198" s="524">
        <f t="shared" ca="1" si="101"/>
        <v>0</v>
      </c>
      <c r="N198" s="524">
        <f t="shared" ca="1" si="101"/>
        <v>0</v>
      </c>
      <c r="O198" s="524">
        <f t="shared" ca="1" si="101"/>
        <v>0</v>
      </c>
      <c r="P198" s="524">
        <f t="shared" ca="1" si="101"/>
        <v>0</v>
      </c>
      <c r="Q198" s="524">
        <f t="shared" ca="1" si="101"/>
        <v>0</v>
      </c>
      <c r="R198" s="524">
        <f t="shared" ca="1" si="101"/>
        <v>0</v>
      </c>
      <c r="S198" s="524">
        <f t="shared" ca="1" si="101"/>
        <v>0</v>
      </c>
      <c r="T198" s="524">
        <f t="shared" ca="1" si="101"/>
        <v>0</v>
      </c>
      <c r="U198" s="524">
        <f t="shared" ca="1" si="101"/>
        <v>0</v>
      </c>
      <c r="V198" s="524">
        <f t="shared" ca="1" si="101"/>
        <v>0</v>
      </c>
      <c r="W198" s="524">
        <f t="shared" ca="1" si="101"/>
        <v>0</v>
      </c>
      <c r="X198" s="524">
        <f t="shared" ca="1" si="101"/>
        <v>0</v>
      </c>
      <c r="Y198" s="524">
        <f t="shared" ca="1" si="72"/>
        <v>0</v>
      </c>
    </row>
    <row r="199" spans="4:78">
      <c r="D199" s="9" t="s">
        <v>1176</v>
      </c>
      <c r="E199" s="523">
        <f t="shared" ca="1" si="92"/>
        <v>0</v>
      </c>
      <c r="F199" s="524">
        <f t="shared" ref="F199:X199" ca="1" si="102">E199+F160</f>
        <v>0</v>
      </c>
      <c r="G199" s="524">
        <f t="shared" ca="1" si="102"/>
        <v>0</v>
      </c>
      <c r="H199" s="524">
        <f t="shared" ca="1" si="102"/>
        <v>0</v>
      </c>
      <c r="I199" s="524">
        <f t="shared" ca="1" si="102"/>
        <v>0</v>
      </c>
      <c r="J199" s="524">
        <f t="shared" ca="1" si="102"/>
        <v>0</v>
      </c>
      <c r="K199" s="524">
        <f t="shared" ca="1" si="102"/>
        <v>0</v>
      </c>
      <c r="L199" s="524">
        <f t="shared" ca="1" si="102"/>
        <v>0</v>
      </c>
      <c r="M199" s="524">
        <f t="shared" ca="1" si="102"/>
        <v>0</v>
      </c>
      <c r="N199" s="524">
        <f t="shared" ca="1" si="102"/>
        <v>0</v>
      </c>
      <c r="O199" s="524">
        <f t="shared" ca="1" si="102"/>
        <v>0</v>
      </c>
      <c r="P199" s="524">
        <f t="shared" ca="1" si="102"/>
        <v>0</v>
      </c>
      <c r="Q199" s="524">
        <f t="shared" ca="1" si="102"/>
        <v>0</v>
      </c>
      <c r="R199" s="524">
        <f t="shared" ca="1" si="102"/>
        <v>0</v>
      </c>
      <c r="S199" s="524">
        <f t="shared" ca="1" si="102"/>
        <v>0</v>
      </c>
      <c r="T199" s="524">
        <f t="shared" ca="1" si="102"/>
        <v>0</v>
      </c>
      <c r="U199" s="524">
        <f t="shared" ca="1" si="102"/>
        <v>0</v>
      </c>
      <c r="V199" s="524">
        <f t="shared" ca="1" si="102"/>
        <v>0</v>
      </c>
      <c r="W199" s="524">
        <f t="shared" ca="1" si="102"/>
        <v>0</v>
      </c>
      <c r="X199" s="524">
        <f t="shared" ca="1" si="102"/>
        <v>0</v>
      </c>
      <c r="Y199" s="524">
        <f t="shared" ca="1" si="72"/>
        <v>0</v>
      </c>
    </row>
    <row r="200" spans="4:78">
      <c r="D200" s="9" t="s">
        <v>1177</v>
      </c>
      <c r="E200" s="523">
        <f t="shared" ca="1" si="92"/>
        <v>0</v>
      </c>
      <c r="F200" s="524">
        <f t="shared" ref="F200:X200" ca="1" si="103">E200+F161</f>
        <v>0</v>
      </c>
      <c r="G200" s="524">
        <f t="shared" ca="1" si="103"/>
        <v>0</v>
      </c>
      <c r="H200" s="524">
        <f t="shared" ca="1" si="103"/>
        <v>0</v>
      </c>
      <c r="I200" s="524">
        <f t="shared" ca="1" si="103"/>
        <v>0</v>
      </c>
      <c r="J200" s="524">
        <f t="shared" ca="1" si="103"/>
        <v>0</v>
      </c>
      <c r="K200" s="524">
        <f t="shared" ca="1" si="103"/>
        <v>0</v>
      </c>
      <c r="L200" s="524">
        <f t="shared" ca="1" si="103"/>
        <v>0</v>
      </c>
      <c r="M200" s="524">
        <f t="shared" ca="1" si="103"/>
        <v>0</v>
      </c>
      <c r="N200" s="524">
        <f t="shared" ca="1" si="103"/>
        <v>0</v>
      </c>
      <c r="O200" s="524">
        <f t="shared" ca="1" si="103"/>
        <v>0</v>
      </c>
      <c r="P200" s="524">
        <f t="shared" ca="1" si="103"/>
        <v>0</v>
      </c>
      <c r="Q200" s="524">
        <f t="shared" ca="1" si="103"/>
        <v>0</v>
      </c>
      <c r="R200" s="524">
        <f t="shared" ca="1" si="103"/>
        <v>0</v>
      </c>
      <c r="S200" s="524">
        <f t="shared" ca="1" si="103"/>
        <v>0</v>
      </c>
      <c r="T200" s="524">
        <f t="shared" ca="1" si="103"/>
        <v>0</v>
      </c>
      <c r="U200" s="524">
        <f t="shared" ca="1" si="103"/>
        <v>0</v>
      </c>
      <c r="V200" s="524">
        <f t="shared" ca="1" si="103"/>
        <v>0</v>
      </c>
      <c r="W200" s="524">
        <f t="shared" ca="1" si="103"/>
        <v>0</v>
      </c>
      <c r="X200" s="524">
        <f t="shared" ca="1" si="103"/>
        <v>0</v>
      </c>
      <c r="Y200" s="524">
        <f t="shared" ca="1" si="72"/>
        <v>0</v>
      </c>
    </row>
    <row r="202" spans="4:78" ht="15">
      <c r="D202" s="77" t="s">
        <v>141</v>
      </c>
      <c r="E202" s="77">
        <f t="shared" ref="E202:Y202" ca="1" si="104">SUM(E169:E200)</f>
        <v>0.39135639309450682</v>
      </c>
      <c r="F202" s="77">
        <f t="shared" ca="1" si="104"/>
        <v>1.1715894263338922</v>
      </c>
      <c r="G202" s="77">
        <f t="shared" ca="1" si="104"/>
        <v>2.3382390527444583</v>
      </c>
      <c r="H202" s="77">
        <f t="shared" ca="1" si="104"/>
        <v>3.8888647112242625</v>
      </c>
      <c r="I202" s="77">
        <f t="shared" ca="1" si="104"/>
        <v>5.8210451092069828</v>
      </c>
      <c r="J202" s="77">
        <f t="shared" ca="1" si="104"/>
        <v>8.0938557930779247</v>
      </c>
      <c r="K202" s="77">
        <f t="shared" ca="1" si="104"/>
        <v>10.636032258880817</v>
      </c>
      <c r="L202" s="77">
        <f t="shared" ca="1" si="104"/>
        <v>13.390756714912273</v>
      </c>
      <c r="M202" s="77">
        <f t="shared" ca="1" si="104"/>
        <v>16.312731413492873</v>
      </c>
      <c r="N202" s="77">
        <f t="shared" ca="1" si="104"/>
        <v>19.365844924974059</v>
      </c>
      <c r="O202" s="77">
        <f t="shared" ca="1" si="104"/>
        <v>22.521311210589602</v>
      </c>
      <c r="P202" s="77">
        <f t="shared" ca="1" si="104"/>
        <v>25.756185697335148</v>
      </c>
      <c r="Q202" s="77">
        <f t="shared" ca="1" si="104"/>
        <v>29.052181970310428</v>
      </c>
      <c r="R202" s="77">
        <f t="shared" ca="1" si="104"/>
        <v>32.394728176048403</v>
      </c>
      <c r="S202" s="77">
        <f t="shared" ca="1" si="104"/>
        <v>36.421799072004511</v>
      </c>
      <c r="T202" s="77">
        <f t="shared" ca="1" si="104"/>
        <v>40.381939527982304</v>
      </c>
      <c r="U202" s="77">
        <f t="shared" ca="1" si="104"/>
        <v>44.236160190373326</v>
      </c>
      <c r="V202" s="77">
        <f t="shared" ca="1" si="104"/>
        <v>47.995602901063521</v>
      </c>
      <c r="W202" s="77">
        <f t="shared" ca="1" si="104"/>
        <v>51.664400647604104</v>
      </c>
      <c r="X202" s="77">
        <f t="shared" ca="1" si="104"/>
        <v>55.251656728390735</v>
      </c>
      <c r="Y202" s="77">
        <f t="shared" ca="1" si="104"/>
        <v>49.766395138584762</v>
      </c>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row>
    <row r="203" spans="4:78">
      <c r="E203" s="36"/>
      <c r="F203" s="42"/>
      <c r="G203" s="42"/>
      <c r="H203" s="42"/>
      <c r="I203" s="42"/>
      <c r="J203" s="42"/>
      <c r="K203" s="42"/>
      <c r="L203" s="42"/>
      <c r="M203" s="42"/>
      <c r="N203" s="42"/>
      <c r="O203" s="42"/>
      <c r="P203" s="42"/>
      <c r="Q203" s="42"/>
      <c r="R203" s="42"/>
      <c r="S203" s="42"/>
      <c r="T203" s="42"/>
      <c r="U203" s="42"/>
      <c r="V203" s="42"/>
      <c r="W203" s="42"/>
      <c r="X203" s="42"/>
      <c r="Y203" s="42"/>
    </row>
    <row r="206" spans="4:78" customFormat="1"/>
    <row r="207" spans="4:78" customFormat="1"/>
    <row r="208" spans="4:7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sheetData>
  <mergeCells count="2">
    <mergeCell ref="B1:T6"/>
    <mergeCell ref="U1:U6"/>
  </mergeCells>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dimension ref="A1:D9"/>
  <sheetViews>
    <sheetView workbookViewId="0">
      <selection activeCell="B10" sqref="B10"/>
    </sheetView>
  </sheetViews>
  <sheetFormatPr defaultRowHeight="12.75"/>
  <cols>
    <col min="1" max="1" width="33.140625" customWidth="1"/>
  </cols>
  <sheetData>
    <row r="1" spans="1:4">
      <c r="A1" t="s">
        <v>1210</v>
      </c>
    </row>
    <row r="2" spans="1:4" ht="13.5" thickBot="1">
      <c r="A2" s="525" t="s">
        <v>1200</v>
      </c>
    </row>
    <row r="3" spans="1:4" ht="13.5" thickTop="1">
      <c r="A3" s="889" t="s">
        <v>1201</v>
      </c>
      <c r="B3" s="891" t="s">
        <v>1202</v>
      </c>
      <c r="C3" s="892">
        <v>0</v>
      </c>
      <c r="D3" s="893">
        <v>0</v>
      </c>
    </row>
    <row r="4" spans="1:4" ht="13.5" thickBot="1">
      <c r="A4" s="890">
        <v>0</v>
      </c>
      <c r="B4" s="526" t="s">
        <v>1203</v>
      </c>
      <c r="C4" s="527" t="s">
        <v>1204</v>
      </c>
      <c r="D4" s="528" t="s">
        <v>1205</v>
      </c>
    </row>
    <row r="5" spans="1:4" ht="13.5" thickTop="1">
      <c r="A5" s="529" t="s">
        <v>1206</v>
      </c>
      <c r="B5" s="530">
        <v>6.1114351590697197E-2</v>
      </c>
      <c r="C5" s="531">
        <v>1.12267767789146E-2</v>
      </c>
      <c r="D5" s="532">
        <v>151</v>
      </c>
    </row>
    <row r="6" spans="1:4">
      <c r="A6" s="533" t="s">
        <v>1207</v>
      </c>
      <c r="B6" s="534">
        <v>2.8767061996774899E-2</v>
      </c>
      <c r="C6" s="535">
        <v>6.64184716921991E-3</v>
      </c>
      <c r="D6" s="536">
        <v>55</v>
      </c>
    </row>
    <row r="7" spans="1:4" ht="13.5" thickBot="1">
      <c r="A7" s="537" t="s">
        <v>1208</v>
      </c>
      <c r="B7" s="538">
        <v>4.1105193392999E-2</v>
      </c>
      <c r="C7" s="539">
        <v>1.31750473195554E-2</v>
      </c>
      <c r="D7" s="540">
        <v>24</v>
      </c>
    </row>
    <row r="8" spans="1:4" ht="14.25" thickTop="1" thickBot="1">
      <c r="A8" s="541" t="s">
        <v>1209</v>
      </c>
      <c r="B8" s="542">
        <v>5.59750509351283E-2</v>
      </c>
      <c r="C8" s="543">
        <v>9.31860711108215E-3</v>
      </c>
      <c r="D8" s="544">
        <v>230</v>
      </c>
    </row>
    <row r="9" spans="1:4" ht="13.5" thickTop="1"/>
  </sheetData>
  <mergeCells count="2">
    <mergeCell ref="A3:A4"/>
    <mergeCell ref="B3:D3"/>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G8"/>
  <sheetViews>
    <sheetView workbookViewId="0">
      <selection activeCell="F9" sqref="F9"/>
    </sheetView>
  </sheetViews>
  <sheetFormatPr defaultRowHeight="12.75"/>
  <cols>
    <col min="6" max="6" width="15.28515625" bestFit="1" customWidth="1"/>
  </cols>
  <sheetData>
    <row r="1" spans="1:7">
      <c r="A1" s="799" t="s">
        <v>1556</v>
      </c>
      <c r="B1" s="800" t="s">
        <v>1557</v>
      </c>
      <c r="C1" s="800" t="s">
        <v>1558</v>
      </c>
      <c r="D1" s="800" t="s">
        <v>1559</v>
      </c>
      <c r="E1" s="800" t="s">
        <v>1560</v>
      </c>
      <c r="F1" s="800" t="s">
        <v>1561</v>
      </c>
      <c r="G1" s="801" t="s">
        <v>1562</v>
      </c>
    </row>
    <row r="2" spans="1:7">
      <c r="A2" s="791">
        <v>2010</v>
      </c>
      <c r="B2" s="792" t="s">
        <v>389</v>
      </c>
      <c r="C2" s="792" t="s">
        <v>1553</v>
      </c>
      <c r="D2" s="792" t="s">
        <v>1554</v>
      </c>
      <c r="E2" s="792" t="s">
        <v>1555</v>
      </c>
      <c r="F2" s="793">
        <v>18055144.965201952</v>
      </c>
      <c r="G2" s="794">
        <v>2.0610896038489273</v>
      </c>
    </row>
    <row r="3" spans="1:7">
      <c r="A3" s="795">
        <v>2011</v>
      </c>
      <c r="B3" s="796" t="s">
        <v>389</v>
      </c>
      <c r="C3" s="796" t="s">
        <v>1553</v>
      </c>
      <c r="D3" s="796" t="s">
        <v>1554</v>
      </c>
      <c r="E3" s="796" t="s">
        <v>1555</v>
      </c>
      <c r="F3" s="797">
        <v>17678613.24529288</v>
      </c>
      <c r="G3" s="798">
        <v>2.0181065277886319</v>
      </c>
    </row>
    <row r="4" spans="1:7">
      <c r="A4" s="791">
        <v>2012</v>
      </c>
      <c r="B4" s="792" t="s">
        <v>389</v>
      </c>
      <c r="C4" s="792" t="s">
        <v>1553</v>
      </c>
      <c r="D4" s="792" t="s">
        <v>1554</v>
      </c>
      <c r="E4" s="792" t="s">
        <v>1555</v>
      </c>
      <c r="F4" s="793">
        <v>12102081.217144273</v>
      </c>
      <c r="G4" s="794">
        <v>1.3815161069171609</v>
      </c>
    </row>
    <row r="5" spans="1:7">
      <c r="A5" s="795">
        <v>2013</v>
      </c>
      <c r="B5" s="796" t="s">
        <v>389</v>
      </c>
      <c r="C5" s="796" t="s">
        <v>1553</v>
      </c>
      <c r="D5" s="796" t="s">
        <v>1554</v>
      </c>
      <c r="E5" s="796" t="s">
        <v>1555</v>
      </c>
      <c r="F5" s="797">
        <v>32931693.680169102</v>
      </c>
      <c r="G5" s="798">
        <v>3.759325784457701</v>
      </c>
    </row>
    <row r="8" spans="1:7">
      <c r="F8" t="s">
        <v>1654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EA16"/>
  <sheetViews>
    <sheetView workbookViewId="0">
      <selection sqref="A1:EA16"/>
    </sheetView>
  </sheetViews>
  <sheetFormatPr defaultRowHeight="12.75"/>
  <cols>
    <col min="1" max="1" width="92.28515625" bestFit="1" customWidth="1"/>
  </cols>
  <sheetData>
    <row r="1" spans="1:131" ht="13.5" thickBot="1">
      <c r="A1" s="34" t="s">
        <v>48</v>
      </c>
      <c r="B1" s="35"/>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row>
    <row r="2" spans="1:131" ht="13.5" thickBot="1">
      <c r="A2" s="43"/>
      <c r="B2" s="44"/>
      <c r="C2" s="45"/>
      <c r="D2" s="45"/>
      <c r="E2" s="45"/>
      <c r="F2" s="45"/>
      <c r="G2" s="45"/>
      <c r="H2" s="45"/>
      <c r="I2" s="45"/>
      <c r="J2" s="45"/>
      <c r="K2" s="45"/>
      <c r="L2" s="45"/>
      <c r="M2" s="45"/>
      <c r="N2" s="45"/>
      <c r="O2" s="46" t="s">
        <v>1220</v>
      </c>
      <c r="P2" s="47"/>
      <c r="Q2" s="47"/>
      <c r="R2" s="47"/>
      <c r="S2" s="47"/>
      <c r="T2" s="47"/>
      <c r="U2" s="47"/>
      <c r="V2" s="47"/>
      <c r="W2" s="47"/>
      <c r="X2" s="47"/>
      <c r="Y2" s="47"/>
      <c r="Z2" s="41"/>
      <c r="AA2" s="45"/>
      <c r="AB2" s="46" t="s">
        <v>1221</v>
      </c>
      <c r="AC2" s="47"/>
      <c r="AD2" s="47"/>
      <c r="AE2" s="47"/>
      <c r="AF2" s="47"/>
      <c r="AG2" s="47"/>
      <c r="AH2" s="47"/>
      <c r="AI2" s="47"/>
      <c r="AJ2" s="47"/>
      <c r="AK2" s="47"/>
      <c r="AL2" s="47"/>
      <c r="AM2" s="41"/>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row>
    <row r="3" spans="1:131" ht="191.25">
      <c r="A3" s="37" t="s">
        <v>21</v>
      </c>
      <c r="B3" s="38" t="s">
        <v>22</v>
      </c>
      <c r="C3" s="39" t="s">
        <v>49</v>
      </c>
      <c r="D3" s="39" t="s">
        <v>28</v>
      </c>
      <c r="E3" s="39" t="s">
        <v>29</v>
      </c>
      <c r="F3" s="39" t="s">
        <v>30</v>
      </c>
      <c r="G3" s="39" t="s">
        <v>31</v>
      </c>
      <c r="H3" s="39" t="s">
        <v>32</v>
      </c>
      <c r="I3" s="39" t="s">
        <v>33</v>
      </c>
      <c r="J3" s="39" t="s">
        <v>34</v>
      </c>
      <c r="K3" s="39" t="s">
        <v>24</v>
      </c>
      <c r="L3" s="39" t="s">
        <v>23</v>
      </c>
      <c r="M3" s="39" t="s">
        <v>35</v>
      </c>
      <c r="N3" s="39" t="s">
        <v>1222</v>
      </c>
      <c r="O3" s="39" t="s">
        <v>36</v>
      </c>
      <c r="P3" s="39" t="s">
        <v>37</v>
      </c>
      <c r="Q3" s="39" t="s">
        <v>38</v>
      </c>
      <c r="R3" s="39" t="s">
        <v>39</v>
      </c>
      <c r="S3" s="39" t="s">
        <v>40</v>
      </c>
      <c r="T3" s="39" t="s">
        <v>41</v>
      </c>
      <c r="U3" s="39" t="s">
        <v>42</v>
      </c>
      <c r="V3" s="39" t="s">
        <v>43</v>
      </c>
      <c r="W3" s="39" t="s">
        <v>44</v>
      </c>
      <c r="X3" s="39" t="s">
        <v>45</v>
      </c>
      <c r="Y3" s="39" t="s">
        <v>46</v>
      </c>
      <c r="Z3" s="39" t="s">
        <v>47</v>
      </c>
      <c r="AA3" s="39"/>
      <c r="AB3" s="39" t="s">
        <v>36</v>
      </c>
      <c r="AC3" s="39" t="s">
        <v>37</v>
      </c>
      <c r="AD3" s="39" t="s">
        <v>38</v>
      </c>
      <c r="AE3" s="39" t="s">
        <v>39</v>
      </c>
      <c r="AF3" s="39" t="s">
        <v>40</v>
      </c>
      <c r="AG3" s="39" t="s">
        <v>41</v>
      </c>
      <c r="AH3" s="39" t="s">
        <v>42</v>
      </c>
      <c r="AI3" s="39" t="s">
        <v>43</v>
      </c>
      <c r="AJ3" s="39" t="s">
        <v>44</v>
      </c>
      <c r="AK3" s="39" t="s">
        <v>45</v>
      </c>
      <c r="AL3" s="39" t="s">
        <v>46</v>
      </c>
      <c r="AM3" s="39" t="s">
        <v>47</v>
      </c>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row>
    <row r="4" spans="1:131">
      <c r="A4" s="9" t="s">
        <v>1638</v>
      </c>
      <c r="B4" s="9"/>
      <c r="C4" s="42">
        <v>14.998309672390386</v>
      </c>
      <c r="D4" s="42">
        <v>0</v>
      </c>
      <c r="E4" s="42">
        <v>0</v>
      </c>
      <c r="F4" s="42">
        <v>0</v>
      </c>
      <c r="G4" s="42">
        <v>0</v>
      </c>
      <c r="H4" s="42">
        <v>20.402913295888641</v>
      </c>
      <c r="I4" s="42">
        <v>0</v>
      </c>
      <c r="J4" s="42">
        <v>-37.001060932280311</v>
      </c>
      <c r="K4" s="42">
        <v>-62.378126923104922</v>
      </c>
      <c r="L4" s="40">
        <v>9999</v>
      </c>
      <c r="M4" s="42">
        <v>0.14248083724610328</v>
      </c>
      <c r="N4" s="42">
        <v>9.7743917990938227E-3</v>
      </c>
      <c r="O4" s="42">
        <v>2.0043536646570304</v>
      </c>
      <c r="P4" s="42">
        <v>1.7400435141763051</v>
      </c>
      <c r="Q4" s="42">
        <v>0.95457981513566481</v>
      </c>
      <c r="R4" s="42">
        <v>0.50517623352145247</v>
      </c>
      <c r="S4" s="42">
        <v>0.52275015849873541</v>
      </c>
      <c r="T4" s="42">
        <v>0.52651184492696823</v>
      </c>
      <c r="U4" s="42">
        <v>0.50102349908255317</v>
      </c>
      <c r="V4" s="42">
        <v>0.54046901920467905</v>
      </c>
      <c r="W4" s="42">
        <v>0.47934073400759369</v>
      </c>
      <c r="X4" s="42">
        <v>0.54047834670084061</v>
      </c>
      <c r="Y4" s="42">
        <v>0.43247560179576144</v>
      </c>
      <c r="Z4" s="42">
        <v>0.4391206415141613</v>
      </c>
      <c r="AA4" s="42"/>
      <c r="AB4" s="42">
        <v>0.94050196087602767</v>
      </c>
      <c r="AC4" s="42">
        <v>0.77230034715877971</v>
      </c>
      <c r="AD4" s="42">
        <v>0.464442206446464</v>
      </c>
      <c r="AE4" s="42">
        <v>0.39895536322769604</v>
      </c>
      <c r="AF4" s="42">
        <v>0.40628895374643298</v>
      </c>
      <c r="AG4" s="42">
        <v>0.37813827672209793</v>
      </c>
      <c r="AH4" s="42">
        <v>0.423165979690861</v>
      </c>
      <c r="AI4" s="42">
        <v>0.38397994372011524</v>
      </c>
      <c r="AJ4" s="42">
        <v>0.41139615555888098</v>
      </c>
      <c r="AK4" s="42">
        <v>0.38524172810272278</v>
      </c>
      <c r="AL4" s="42">
        <v>0.42401342736778996</v>
      </c>
      <c r="AM4" s="36">
        <v>0.42356225655077046</v>
      </c>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row>
    <row r="5" spans="1:131">
      <c r="A5" s="9" t="s">
        <v>1639</v>
      </c>
      <c r="B5" s="9"/>
      <c r="C5" s="42">
        <v>16.359662309730922</v>
      </c>
      <c r="D5" s="42">
        <v>0</v>
      </c>
      <c r="E5" s="42">
        <v>0</v>
      </c>
      <c r="F5" s="42">
        <v>0</v>
      </c>
      <c r="G5" s="42">
        <v>0</v>
      </c>
      <c r="H5" s="42">
        <v>25.56258577940801</v>
      </c>
      <c r="I5" s="42">
        <v>0</v>
      </c>
      <c r="J5" s="42">
        <v>-34.355818009500574</v>
      </c>
      <c r="K5" s="42">
        <v>-77.253113419871809</v>
      </c>
      <c r="L5" s="40">
        <v>9999</v>
      </c>
      <c r="M5" s="42">
        <v>0.16199470665415522</v>
      </c>
      <c r="N5" s="42">
        <v>9.8993773379950703E-3</v>
      </c>
      <c r="O5" s="42">
        <v>2.0586098901860663</v>
      </c>
      <c r="P5" s="42">
        <v>1.7888089211438662</v>
      </c>
      <c r="Q5" s="42">
        <v>1.0286007718507246</v>
      </c>
      <c r="R5" s="42">
        <v>0.58840670343869783</v>
      </c>
      <c r="S5" s="42">
        <v>0.60287040276109127</v>
      </c>
      <c r="T5" s="42">
        <v>0.61348901652268306</v>
      </c>
      <c r="U5" s="42">
        <v>0.59954976734147236</v>
      </c>
      <c r="V5" s="42">
        <v>0.63697788085495644</v>
      </c>
      <c r="W5" s="42">
        <v>0.56335160235329529</v>
      </c>
      <c r="X5" s="42">
        <v>0.62890004674454969</v>
      </c>
      <c r="Y5" s="42">
        <v>0.50292270409131545</v>
      </c>
      <c r="Z5" s="42">
        <v>0.51386482991957649</v>
      </c>
      <c r="AA5" s="42"/>
      <c r="AB5" s="42">
        <v>0.96781433718616583</v>
      </c>
      <c r="AC5" s="42">
        <v>0.79420167230860206</v>
      </c>
      <c r="AD5" s="42">
        <v>0.48828040856735105</v>
      </c>
      <c r="AE5" s="42">
        <v>0.43677115588243731</v>
      </c>
      <c r="AF5" s="42">
        <v>0.44545508756200969</v>
      </c>
      <c r="AG5" s="42">
        <v>0.4151039324567582</v>
      </c>
      <c r="AH5" s="42">
        <v>0.48235901848165452</v>
      </c>
      <c r="AI5" s="42">
        <v>0.41944456401722263</v>
      </c>
      <c r="AJ5" s="42">
        <v>0.45176630201527668</v>
      </c>
      <c r="AK5" s="42">
        <v>0.41292881831538814</v>
      </c>
      <c r="AL5" s="42">
        <v>0.45918776054619831</v>
      </c>
      <c r="AM5" s="36">
        <v>0.45999671518356283</v>
      </c>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row>
    <row r="6" spans="1:131">
      <c r="A6" s="9" t="s">
        <v>1640</v>
      </c>
      <c r="B6" s="9"/>
      <c r="C6" s="42">
        <v>16.365081135408719</v>
      </c>
      <c r="D6" s="42">
        <v>0</v>
      </c>
      <c r="E6" s="42">
        <v>0</v>
      </c>
      <c r="F6" s="42">
        <v>0</v>
      </c>
      <c r="G6" s="42">
        <v>0</v>
      </c>
      <c r="H6" s="42">
        <v>25.605400243691083</v>
      </c>
      <c r="I6" s="42">
        <v>0</v>
      </c>
      <c r="J6" s="42">
        <v>-34.371710066390001</v>
      </c>
      <c r="K6" s="42">
        <v>-77.407564903665772</v>
      </c>
      <c r="L6" s="40">
        <v>9999</v>
      </c>
      <c r="M6" s="42">
        <v>0.16201862743870832</v>
      </c>
      <c r="N6" s="42">
        <v>9.907237014229936E-3</v>
      </c>
      <c r="O6" s="42">
        <v>2.0600590625643087</v>
      </c>
      <c r="P6" s="42">
        <v>1.7900572920215869</v>
      </c>
      <c r="Q6" s="42">
        <v>1.029017152922479</v>
      </c>
      <c r="R6" s="42">
        <v>0.5883772469787335</v>
      </c>
      <c r="S6" s="42">
        <v>0.60287332028154139</v>
      </c>
      <c r="T6" s="42">
        <v>0.61345606371055572</v>
      </c>
      <c r="U6" s="42">
        <v>0.59942918534424461</v>
      </c>
      <c r="V6" s="42">
        <v>0.63690278272372136</v>
      </c>
      <c r="W6" s="42">
        <v>0.563294114070511</v>
      </c>
      <c r="X6" s="42">
        <v>0.62887153342389013</v>
      </c>
      <c r="Y6" s="42">
        <v>0.50290164594816456</v>
      </c>
      <c r="Z6" s="42">
        <v>0.5138254919452292</v>
      </c>
      <c r="AA6" s="42"/>
      <c r="AB6" s="42">
        <v>0.968484306429504</v>
      </c>
      <c r="AC6" s="42">
        <v>0.79475471028403721</v>
      </c>
      <c r="AD6" s="42">
        <v>0.48855235178591555</v>
      </c>
      <c r="AE6" s="42">
        <v>0.43690674794708434</v>
      </c>
      <c r="AF6" s="42">
        <v>0.44558930678222142</v>
      </c>
      <c r="AG6" s="42">
        <v>0.4152255895031266</v>
      </c>
      <c r="AH6" s="42">
        <v>0.48239467889396442</v>
      </c>
      <c r="AI6" s="42">
        <v>0.41957945883876901</v>
      </c>
      <c r="AJ6" s="42">
        <v>0.45189761227415909</v>
      </c>
      <c r="AK6" s="42">
        <v>0.41310919117723133</v>
      </c>
      <c r="AL6" s="42">
        <v>0.45936045637521916</v>
      </c>
      <c r="AM6" s="36">
        <v>0.4601618331825188</v>
      </c>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row>
    <row r="7" spans="1:131">
      <c r="A7" s="9" t="s">
        <v>1641</v>
      </c>
      <c r="B7" s="9"/>
      <c r="C7" s="42">
        <v>16.359662309730922</v>
      </c>
      <c r="D7" s="42">
        <v>0</v>
      </c>
      <c r="E7" s="42">
        <v>0</v>
      </c>
      <c r="F7" s="42">
        <v>0</v>
      </c>
      <c r="G7" s="42">
        <v>0</v>
      </c>
      <c r="H7" s="42">
        <v>25.56258577940801</v>
      </c>
      <c r="I7" s="42">
        <v>0</v>
      </c>
      <c r="J7" s="42">
        <v>-34.355818009500574</v>
      </c>
      <c r="K7" s="42">
        <v>-77.253113419871809</v>
      </c>
      <c r="L7" s="40">
        <v>9999</v>
      </c>
      <c r="M7" s="42">
        <v>0.16199470665415522</v>
      </c>
      <c r="N7" s="42">
        <v>9.8993773379950703E-3</v>
      </c>
      <c r="O7" s="42">
        <v>2.0586098901860663</v>
      </c>
      <c r="P7" s="42">
        <v>1.7888089211438662</v>
      </c>
      <c r="Q7" s="42">
        <v>1.0286007718507246</v>
      </c>
      <c r="R7" s="42">
        <v>0.58840670343869783</v>
      </c>
      <c r="S7" s="42">
        <v>0.60287040276109127</v>
      </c>
      <c r="T7" s="42">
        <v>0.61348901652268306</v>
      </c>
      <c r="U7" s="42">
        <v>0.59954976734147236</v>
      </c>
      <c r="V7" s="42">
        <v>0.63697788085495644</v>
      </c>
      <c r="W7" s="42">
        <v>0.56335160235329529</v>
      </c>
      <c r="X7" s="42">
        <v>0.62890004674454969</v>
      </c>
      <c r="Y7" s="42">
        <v>0.50292270409131545</v>
      </c>
      <c r="Z7" s="42">
        <v>0.51386482991957649</v>
      </c>
      <c r="AA7" s="42"/>
      <c r="AB7" s="42">
        <v>0.96781433718616583</v>
      </c>
      <c r="AC7" s="42">
        <v>0.79420167230860206</v>
      </c>
      <c r="AD7" s="42">
        <v>0.48828040856735105</v>
      </c>
      <c r="AE7" s="42">
        <v>0.43677115588243731</v>
      </c>
      <c r="AF7" s="42">
        <v>0.44545508756200969</v>
      </c>
      <c r="AG7" s="42">
        <v>0.4151039324567582</v>
      </c>
      <c r="AH7" s="42">
        <v>0.48235901848165452</v>
      </c>
      <c r="AI7" s="42">
        <v>0.41944456401722263</v>
      </c>
      <c r="AJ7" s="42">
        <v>0.45176630201527668</v>
      </c>
      <c r="AK7" s="42">
        <v>0.41292881831538814</v>
      </c>
      <c r="AL7" s="42">
        <v>0.45918776054619831</v>
      </c>
      <c r="AM7" s="36">
        <v>0.45999671518356283</v>
      </c>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row>
    <row r="8" spans="1:131">
      <c r="A8" s="9" t="s">
        <v>1642</v>
      </c>
      <c r="B8" s="9"/>
      <c r="C8" s="42">
        <v>31.749218306330086</v>
      </c>
      <c r="D8" s="42">
        <v>54.906335711206673</v>
      </c>
      <c r="E8" s="42">
        <v>10.981267142241336</v>
      </c>
      <c r="F8" s="42">
        <v>65.887602853448016</v>
      </c>
      <c r="G8" s="42">
        <v>82.81508602091705</v>
      </c>
      <c r="H8" s="42">
        <v>139.86160968557135</v>
      </c>
      <c r="I8" s="42">
        <v>18179.200364159158</v>
      </c>
      <c r="J8" s="42">
        <v>80.375452162718759</v>
      </c>
      <c r="K8" s="42">
        <v>-94.474849641527626</v>
      </c>
      <c r="L8" s="40">
        <v>1.6888421712228343</v>
      </c>
      <c r="M8" s="42">
        <v>0.30664368222763794</v>
      </c>
      <c r="N8" s="42">
        <v>1.6266486882292062E-2</v>
      </c>
      <c r="O8" s="42">
        <v>3.5016869515497917</v>
      </c>
      <c r="P8" s="42">
        <v>3.0524760599943646</v>
      </c>
      <c r="Q8" s="42">
        <v>1.9495640554948743</v>
      </c>
      <c r="R8" s="42">
        <v>1.2832391761368578</v>
      </c>
      <c r="S8" s="42">
        <v>1.301044569346204</v>
      </c>
      <c r="T8" s="42">
        <v>1.3494591343985891</v>
      </c>
      <c r="U8" s="42">
        <v>1.3725667817754588</v>
      </c>
      <c r="V8" s="42">
        <v>1.4298934106133483</v>
      </c>
      <c r="W8" s="42">
        <v>1.2575116772417851</v>
      </c>
      <c r="X8" s="42">
        <v>1.3755211810437871</v>
      </c>
      <c r="Y8" s="42">
        <v>1.0986200302237816</v>
      </c>
      <c r="Z8" s="42">
        <v>1.1307624596601558</v>
      </c>
      <c r="AA8" s="42"/>
      <c r="AB8" s="42">
        <v>1.6481439965665836</v>
      </c>
      <c r="AC8" s="42">
        <v>1.3514897037524884</v>
      </c>
      <c r="AD8" s="42">
        <v>0.87541831021863514</v>
      </c>
      <c r="AE8" s="42">
        <v>0.8474788073620626</v>
      </c>
      <c r="AF8" s="42">
        <v>0.86850834486653794</v>
      </c>
      <c r="AG8" s="42">
        <v>0.8152758352478745</v>
      </c>
      <c r="AH8" s="42">
        <v>1.0073969404971916</v>
      </c>
      <c r="AI8" s="42">
        <v>0.82049227778064882</v>
      </c>
      <c r="AJ8" s="42">
        <v>0.88987783379899688</v>
      </c>
      <c r="AK8" s="42">
        <v>0.77499617630606032</v>
      </c>
      <c r="AL8" s="42">
        <v>0.87044707137840316</v>
      </c>
      <c r="AM8" s="36">
        <v>0.87734752107560576</v>
      </c>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row>
    <row r="9" spans="1:131">
      <c r="A9" s="9" t="s">
        <v>1643</v>
      </c>
      <c r="B9" s="9"/>
      <c r="C9" s="42">
        <v>31.45855370122467</v>
      </c>
      <c r="D9" s="42">
        <v>54.906335711206673</v>
      </c>
      <c r="E9" s="42">
        <v>10.981267142241336</v>
      </c>
      <c r="F9" s="42">
        <v>65.887602853448016</v>
      </c>
      <c r="G9" s="42">
        <v>82.81508602091705</v>
      </c>
      <c r="H9" s="42">
        <v>136.20722461528126</v>
      </c>
      <c r="I9" s="42">
        <v>18347.168991870574</v>
      </c>
      <c r="J9" s="42">
        <v>81.741478524014369</v>
      </c>
      <c r="K9" s="42">
        <v>-87.148332348686608</v>
      </c>
      <c r="L9" s="40">
        <v>1.6447151257064283</v>
      </c>
      <c r="M9" s="42">
        <v>0.3265233705340308</v>
      </c>
      <c r="N9" s="42">
        <v>1.5921079911198444E-2</v>
      </c>
      <c r="O9" s="42">
        <v>3.4367149821705034</v>
      </c>
      <c r="P9" s="42">
        <v>2.9964232980461158</v>
      </c>
      <c r="Q9" s="42">
        <v>1.9284892700517446</v>
      </c>
      <c r="R9" s="42">
        <v>1.2810861161574745</v>
      </c>
      <c r="S9" s="42">
        <v>1.2976180953751943</v>
      </c>
      <c r="T9" s="42">
        <v>1.3473031100463664</v>
      </c>
      <c r="U9" s="42">
        <v>1.3737286646235267</v>
      </c>
      <c r="V9" s="42">
        <v>1.4291693167171768</v>
      </c>
      <c r="W9" s="42">
        <v>1.2565400179134882</v>
      </c>
      <c r="X9" s="42">
        <v>1.3731134631059452</v>
      </c>
      <c r="Y9" s="42">
        <v>1.0966299423567938</v>
      </c>
      <c r="Z9" s="42">
        <v>1.1293867389951278</v>
      </c>
      <c r="AA9" s="42"/>
      <c r="AB9" s="42">
        <v>1.6180148827681655</v>
      </c>
      <c r="AC9" s="42">
        <v>1.3266456263187516</v>
      </c>
      <c r="AD9" s="42">
        <v>0.86266352391765577</v>
      </c>
      <c r="AE9" s="42">
        <v>0.84005115523035656</v>
      </c>
      <c r="AF9" s="42">
        <v>0.86108450467872455</v>
      </c>
      <c r="AG9" s="42">
        <v>0.80848647114355943</v>
      </c>
      <c r="AH9" s="42">
        <v>1.0034149668351826</v>
      </c>
      <c r="AI9" s="42">
        <v>0.81319165577077235</v>
      </c>
      <c r="AJ9" s="42">
        <v>0.88253033397781966</v>
      </c>
      <c r="AK9" s="42">
        <v>0.76604709044090846</v>
      </c>
      <c r="AL9" s="42">
        <v>0.86152193626326334</v>
      </c>
      <c r="AM9" s="36">
        <v>0.86869853832004962</v>
      </c>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row>
    <row r="10" spans="1:131">
      <c r="A10" s="9" t="s">
        <v>1644</v>
      </c>
      <c r="B10" s="9"/>
      <c r="C10" s="42">
        <v>31.430585206391111</v>
      </c>
      <c r="D10" s="42">
        <v>54.906335711206673</v>
      </c>
      <c r="E10" s="42">
        <v>10.981267142241336</v>
      </c>
      <c r="F10" s="42">
        <v>65.887602853448016</v>
      </c>
      <c r="G10" s="42">
        <v>82.81508602091705</v>
      </c>
      <c r="H10" s="42">
        <v>135.76286944850889</v>
      </c>
      <c r="I10" s="42">
        <v>18363.495213536189</v>
      </c>
      <c r="J10" s="42">
        <v>81.874271967604116</v>
      </c>
      <c r="K10" s="42">
        <v>-86.219141575020686</v>
      </c>
      <c r="L10" s="40">
        <v>1.6393494950209742</v>
      </c>
      <c r="M10" s="42">
        <v>0.32639946930714314</v>
      </c>
      <c r="N10" s="42">
        <v>1.58878338034051E-2</v>
      </c>
      <c r="O10" s="42">
        <v>3.4304615102273446</v>
      </c>
      <c r="P10" s="42">
        <v>2.9910283021455695</v>
      </c>
      <c r="Q10" s="42">
        <v>1.9264612320290428</v>
      </c>
      <c r="R10" s="42">
        <v>1.2808794411387199</v>
      </c>
      <c r="S10" s="42">
        <v>1.2972888274180658</v>
      </c>
      <c r="T10" s="42">
        <v>1.3470961751990971</v>
      </c>
      <c r="U10" s="42">
        <v>1.3738411717348933</v>
      </c>
      <c r="V10" s="42">
        <v>1.4291002764375971</v>
      </c>
      <c r="W10" s="42">
        <v>1.2564470632792268</v>
      </c>
      <c r="X10" s="42">
        <v>1.3728823114641737</v>
      </c>
      <c r="Y10" s="42">
        <v>1.0964388671069452</v>
      </c>
      <c r="Z10" s="42">
        <v>1.1292548285757638</v>
      </c>
      <c r="AA10" s="42"/>
      <c r="AB10" s="42">
        <v>1.6151150073664062</v>
      </c>
      <c r="AC10" s="42">
        <v>1.3242544223591068</v>
      </c>
      <c r="AD10" s="42">
        <v>0.86143598123312626</v>
      </c>
      <c r="AE10" s="42">
        <v>0.83933646807668316</v>
      </c>
      <c r="AF10" s="42">
        <v>0.86037019363403067</v>
      </c>
      <c r="AG10" s="42">
        <v>0.80783321626672966</v>
      </c>
      <c r="AH10" s="42">
        <v>1.0030320870984848</v>
      </c>
      <c r="AI10" s="42">
        <v>0.81248917982628921</v>
      </c>
      <c r="AJ10" s="42">
        <v>0.88182337922954457</v>
      </c>
      <c r="AK10" s="42">
        <v>0.76518588956650591</v>
      </c>
      <c r="AL10" s="42">
        <v>0.86066309172437105</v>
      </c>
      <c r="AM10" s="36">
        <v>0.86786628325339421</v>
      </c>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row>
    <row r="11" spans="1:131">
      <c r="A11" s="9" t="s">
        <v>1645</v>
      </c>
      <c r="B11" s="9"/>
      <c r="C11" s="42">
        <v>31.430585206391111</v>
      </c>
      <c r="D11" s="42">
        <v>54.906335711206673</v>
      </c>
      <c r="E11" s="42">
        <v>10.981267142241336</v>
      </c>
      <c r="F11" s="42">
        <v>65.887602853448016</v>
      </c>
      <c r="G11" s="42">
        <v>82.81508602091705</v>
      </c>
      <c r="H11" s="42">
        <v>135.76286944850889</v>
      </c>
      <c r="I11" s="42">
        <v>18363.495213536189</v>
      </c>
      <c r="J11" s="42">
        <v>81.874271967604116</v>
      </c>
      <c r="K11" s="42">
        <v>-86.219141575020686</v>
      </c>
      <c r="L11" s="40">
        <v>1.6393494950209742</v>
      </c>
      <c r="M11" s="42">
        <v>0.32639946930714314</v>
      </c>
      <c r="N11" s="42">
        <v>1.58878338034051E-2</v>
      </c>
      <c r="O11" s="42">
        <v>3.4304615102273446</v>
      </c>
      <c r="P11" s="42">
        <v>2.9910283021455695</v>
      </c>
      <c r="Q11" s="42">
        <v>1.9264612320290428</v>
      </c>
      <c r="R11" s="42">
        <v>1.2808794411387199</v>
      </c>
      <c r="S11" s="42">
        <v>1.2972888274180658</v>
      </c>
      <c r="T11" s="42">
        <v>1.3470961751990971</v>
      </c>
      <c r="U11" s="42">
        <v>1.3738411717348933</v>
      </c>
      <c r="V11" s="42">
        <v>1.4291002764375971</v>
      </c>
      <c r="W11" s="42">
        <v>1.2564470632792268</v>
      </c>
      <c r="X11" s="42">
        <v>1.3728823114641737</v>
      </c>
      <c r="Y11" s="42">
        <v>1.0964388671069452</v>
      </c>
      <c r="Z11" s="42">
        <v>1.1292548285757638</v>
      </c>
      <c r="AA11" s="42"/>
      <c r="AB11" s="42">
        <v>1.6151150073664062</v>
      </c>
      <c r="AC11" s="42">
        <v>1.3242544223591068</v>
      </c>
      <c r="AD11" s="42">
        <v>0.86143598123312626</v>
      </c>
      <c r="AE11" s="42">
        <v>0.83933646807668316</v>
      </c>
      <c r="AF11" s="42">
        <v>0.86037019363403067</v>
      </c>
      <c r="AG11" s="42">
        <v>0.80783321626672966</v>
      </c>
      <c r="AH11" s="42">
        <v>1.0030320870984848</v>
      </c>
      <c r="AI11" s="42">
        <v>0.81248917982628921</v>
      </c>
      <c r="AJ11" s="42">
        <v>0.88182337922954457</v>
      </c>
      <c r="AK11" s="42">
        <v>0.76518588956650591</v>
      </c>
      <c r="AL11" s="42">
        <v>0.86066309172437105</v>
      </c>
      <c r="AM11" s="36">
        <v>0.86786628325339421</v>
      </c>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row>
    <row r="12" spans="1:131">
      <c r="A12" s="9" t="s">
        <v>1646</v>
      </c>
      <c r="B12" s="9"/>
      <c r="C12" s="42">
        <v>53.638909577706116</v>
      </c>
      <c r="D12" s="42">
        <v>139.81935250031893</v>
      </c>
      <c r="E12" s="42">
        <v>27.963870500063788</v>
      </c>
      <c r="F12" s="42">
        <v>167.78322300038272</v>
      </c>
      <c r="G12" s="42">
        <v>210.88917252839857</v>
      </c>
      <c r="H12" s="42">
        <v>286.32501654224825</v>
      </c>
      <c r="I12" s="42">
        <v>27401.396580482244</v>
      </c>
      <c r="J12" s="42">
        <v>136.44602279067192</v>
      </c>
      <c r="K12" s="42">
        <v>-65.743456849320339</v>
      </c>
      <c r="L12" s="40">
        <v>1.357703731820046</v>
      </c>
      <c r="M12" s="42">
        <v>0.52208823186575859</v>
      </c>
      <c r="N12" s="42">
        <v>2.6971379118686991E-2</v>
      </c>
      <c r="O12" s="42">
        <v>5.8304335502900972</v>
      </c>
      <c r="P12" s="42">
        <v>5.0854379494908093</v>
      </c>
      <c r="Q12" s="42">
        <v>3.2863889299323001</v>
      </c>
      <c r="R12" s="42">
        <v>2.1913387899008927</v>
      </c>
      <c r="S12" s="42">
        <v>2.2224784769538051</v>
      </c>
      <c r="T12" s="42">
        <v>2.310031348121163</v>
      </c>
      <c r="U12" s="42">
        <v>2.3565382967323965</v>
      </c>
      <c r="V12" s="42">
        <v>2.4530011798723321</v>
      </c>
      <c r="W12" s="42">
        <v>2.1557149539710005</v>
      </c>
      <c r="X12" s="42">
        <v>2.3517734042919631</v>
      </c>
      <c r="Y12" s="42">
        <v>1.8780449596984787</v>
      </c>
      <c r="Z12" s="42">
        <v>1.9330313941040786</v>
      </c>
      <c r="AA12" s="42"/>
      <c r="AB12" s="42">
        <v>2.74254726859599</v>
      </c>
      <c r="AC12" s="42">
        <v>2.2491237517992979</v>
      </c>
      <c r="AD12" s="42">
        <v>1.4659736868482389</v>
      </c>
      <c r="AE12" s="42">
        <v>1.4294714735724559</v>
      </c>
      <c r="AF12" s="42">
        <v>1.4662717374729366</v>
      </c>
      <c r="AG12" s="42">
        <v>1.3788599176845415</v>
      </c>
      <c r="AH12" s="42">
        <v>1.7110657783150203</v>
      </c>
      <c r="AI12" s="42">
        <v>1.3887799390803002</v>
      </c>
      <c r="AJ12" s="42">
        <v>1.5061968003116013</v>
      </c>
      <c r="AK12" s="42">
        <v>1.3053826198113117</v>
      </c>
      <c r="AL12" s="42">
        <v>1.4641667728116774</v>
      </c>
      <c r="AM12" s="36">
        <v>1.4768565980434212</v>
      </c>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row>
    <row r="13" spans="1:131">
      <c r="A13" s="9" t="s">
        <v>1647</v>
      </c>
      <c r="B13" s="9"/>
      <c r="C13" s="42">
        <v>53.082689723506611</v>
      </c>
      <c r="D13" s="42">
        <v>139.81935250031893</v>
      </c>
      <c r="E13" s="42">
        <v>27.963870500063788</v>
      </c>
      <c r="F13" s="42">
        <v>167.78322300038272</v>
      </c>
      <c r="G13" s="42">
        <v>210.88917252839857</v>
      </c>
      <c r="H13" s="42">
        <v>278.09453572012194</v>
      </c>
      <c r="I13" s="42">
        <v>27688.518444318568</v>
      </c>
      <c r="J13" s="42">
        <v>138.59103093593242</v>
      </c>
      <c r="K13" s="42">
        <v>-55.418353719020054</v>
      </c>
      <c r="L13" s="40">
        <v>1.3186762145537529</v>
      </c>
      <c r="M13" s="42">
        <v>0.55750611684647966</v>
      </c>
      <c r="N13" s="42">
        <v>2.6302634511923328E-2</v>
      </c>
      <c r="O13" s="42">
        <v>5.7048009290563169</v>
      </c>
      <c r="P13" s="42">
        <v>4.9770620820143003</v>
      </c>
      <c r="Q13" s="42">
        <v>3.2459314556802914</v>
      </c>
      <c r="R13" s="42">
        <v>2.1875993517550825</v>
      </c>
      <c r="S13" s="42">
        <v>2.2162549888022469</v>
      </c>
      <c r="T13" s="42">
        <v>2.3063056646050577</v>
      </c>
      <c r="U13" s="42">
        <v>2.3593027893798868</v>
      </c>
      <c r="V13" s="42">
        <v>2.4521001698528004</v>
      </c>
      <c r="W13" s="42">
        <v>2.1542691194526364</v>
      </c>
      <c r="X13" s="42">
        <v>2.3475674592339093</v>
      </c>
      <c r="Y13" s="42">
        <v>1.874554829292356</v>
      </c>
      <c r="Z13" s="42">
        <v>1.9307542649005522</v>
      </c>
      <c r="AA13" s="42"/>
      <c r="AB13" s="42">
        <v>2.6842995080493344</v>
      </c>
      <c r="AC13" s="42">
        <v>2.2010901747293041</v>
      </c>
      <c r="AD13" s="42">
        <v>1.4413791096477107</v>
      </c>
      <c r="AE13" s="42">
        <v>1.4152735723325411</v>
      </c>
      <c r="AF13" s="42">
        <v>1.4520882515347799</v>
      </c>
      <c r="AG13" s="42">
        <v>1.3658945874477633</v>
      </c>
      <c r="AH13" s="42">
        <v>1.7036568228148041</v>
      </c>
      <c r="AI13" s="42">
        <v>1.3748159843059031</v>
      </c>
      <c r="AJ13" s="42">
        <v>1.492167527437406</v>
      </c>
      <c r="AK13" s="42">
        <v>1.2881834815354045</v>
      </c>
      <c r="AL13" s="42">
        <v>1.4470530178830796</v>
      </c>
      <c r="AM13" s="36">
        <v>1.4602845817631371</v>
      </c>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row>
    <row r="14" spans="1:131">
      <c r="A14" s="9" t="s">
        <v>1648</v>
      </c>
      <c r="B14" s="9"/>
      <c r="C14" s="42">
        <v>53.029340362257024</v>
      </c>
      <c r="D14" s="42">
        <v>139.81935250031893</v>
      </c>
      <c r="E14" s="42">
        <v>27.963870500063788</v>
      </c>
      <c r="F14" s="42">
        <v>167.78322300038272</v>
      </c>
      <c r="G14" s="42">
        <v>210.88917252839857</v>
      </c>
      <c r="H14" s="42">
        <v>277.14919413794377</v>
      </c>
      <c r="I14" s="42">
        <v>27716.374057133304</v>
      </c>
      <c r="J14" s="42">
        <v>138.79916067265927</v>
      </c>
      <c r="K14" s="42">
        <v>-54.200294301150457</v>
      </c>
      <c r="L14" s="40">
        <v>1.3141935681910011</v>
      </c>
      <c r="M14" s="42">
        <v>0.55726982260760904</v>
      </c>
      <c r="N14" s="42">
        <v>2.6238466144087595E-2</v>
      </c>
      <c r="O14" s="42">
        <v>5.6927465778617261</v>
      </c>
      <c r="P14" s="42">
        <v>4.9666635368841865</v>
      </c>
      <c r="Q14" s="42">
        <v>3.2420505762121823</v>
      </c>
      <c r="R14" s="42">
        <v>2.1872419748738947</v>
      </c>
      <c r="S14" s="42">
        <v>2.215659196535793</v>
      </c>
      <c r="T14" s="42">
        <v>2.3059496727269946</v>
      </c>
      <c r="U14" s="42">
        <v>2.3595697743761739</v>
      </c>
      <c r="V14" s="42">
        <v>2.452015390141296</v>
      </c>
      <c r="W14" s="42">
        <v>2.1541318428313199</v>
      </c>
      <c r="X14" s="42">
        <v>2.3471654081517594</v>
      </c>
      <c r="Y14" s="42">
        <v>1.8742211528663881</v>
      </c>
      <c r="Z14" s="42">
        <v>1.9305370588204658</v>
      </c>
      <c r="AA14" s="42"/>
      <c r="AB14" s="42">
        <v>2.6787107187520052</v>
      </c>
      <c r="AC14" s="42">
        <v>2.196481410914747</v>
      </c>
      <c r="AD14" s="42">
        <v>1.4390195091433664</v>
      </c>
      <c r="AE14" s="42">
        <v>1.4139118458539688</v>
      </c>
      <c r="AF14" s="42">
        <v>1.4507279317833262</v>
      </c>
      <c r="AG14" s="42">
        <v>1.3646511196604731</v>
      </c>
      <c r="AH14" s="42">
        <v>1.7029469130685011</v>
      </c>
      <c r="AI14" s="42">
        <v>1.3734766656775019</v>
      </c>
      <c r="AJ14" s="42">
        <v>1.4908220264036729</v>
      </c>
      <c r="AK14" s="42">
        <v>1.2865335900496975</v>
      </c>
      <c r="AL14" s="42">
        <v>1.4454114497043424</v>
      </c>
      <c r="AM14" s="36">
        <v>1.4586950189632339</v>
      </c>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row>
    <row r="15" spans="1:131">
      <c r="A15" s="9" t="s">
        <v>1649</v>
      </c>
      <c r="B15" s="9"/>
      <c r="C15" s="42">
        <v>53.029340362257024</v>
      </c>
      <c r="D15" s="42">
        <v>139.81935250031893</v>
      </c>
      <c r="E15" s="42">
        <v>27.963870500063788</v>
      </c>
      <c r="F15" s="42">
        <v>167.78322300038272</v>
      </c>
      <c r="G15" s="42">
        <v>210.88917252839857</v>
      </c>
      <c r="H15" s="42">
        <v>277.14919413794377</v>
      </c>
      <c r="I15" s="42">
        <v>27716.374057133304</v>
      </c>
      <c r="J15" s="42">
        <v>138.79916067265927</v>
      </c>
      <c r="K15" s="42">
        <v>-54.200294301150457</v>
      </c>
      <c r="L15" s="40">
        <v>1.3141935681910011</v>
      </c>
      <c r="M15" s="42">
        <v>0.55726982260760904</v>
      </c>
      <c r="N15" s="42">
        <v>2.6238466144087595E-2</v>
      </c>
      <c r="O15" s="42">
        <v>5.6927465778617261</v>
      </c>
      <c r="P15" s="42">
        <v>4.9666635368841865</v>
      </c>
      <c r="Q15" s="42">
        <v>3.2420505762121823</v>
      </c>
      <c r="R15" s="42">
        <v>2.1872419748738947</v>
      </c>
      <c r="S15" s="42">
        <v>2.215659196535793</v>
      </c>
      <c r="T15" s="42">
        <v>2.3059496727269946</v>
      </c>
      <c r="U15" s="42">
        <v>2.3595697743761739</v>
      </c>
      <c r="V15" s="42">
        <v>2.452015390141296</v>
      </c>
      <c r="W15" s="42">
        <v>2.1541318428313199</v>
      </c>
      <c r="X15" s="42">
        <v>2.3471654081517594</v>
      </c>
      <c r="Y15" s="42">
        <v>1.8742211528663881</v>
      </c>
      <c r="Z15" s="42">
        <v>1.9305370588204658</v>
      </c>
      <c r="AA15" s="42"/>
      <c r="AB15" s="42">
        <v>2.6787107187520052</v>
      </c>
      <c r="AC15" s="42">
        <v>2.196481410914747</v>
      </c>
      <c r="AD15" s="42">
        <v>1.4390195091433664</v>
      </c>
      <c r="AE15" s="42">
        <v>1.4139118458539688</v>
      </c>
      <c r="AF15" s="42">
        <v>1.4507279317833262</v>
      </c>
      <c r="AG15" s="42">
        <v>1.3646511196604731</v>
      </c>
      <c r="AH15" s="42">
        <v>1.7029469130685011</v>
      </c>
      <c r="AI15" s="42">
        <v>1.3734766656775019</v>
      </c>
      <c r="AJ15" s="42">
        <v>1.4908220264036729</v>
      </c>
      <c r="AK15" s="42">
        <v>1.2865335900496975</v>
      </c>
      <c r="AL15" s="42">
        <v>1.4454114497043424</v>
      </c>
      <c r="AM15" s="36">
        <v>1.4586950189632339</v>
      </c>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row>
    <row r="16" spans="1:131">
      <c r="A16" s="9"/>
      <c r="B16" s="9"/>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EA173"/>
  <sheetViews>
    <sheetView topLeftCell="A27" workbookViewId="0">
      <selection activeCell="A47" sqref="A47:EA173"/>
    </sheetView>
  </sheetViews>
  <sheetFormatPr defaultRowHeight="12.75"/>
  <cols>
    <col min="1" max="1" width="71.42578125" bestFit="1" customWidth="1"/>
    <col min="2" max="2" width="18.7109375" customWidth="1"/>
    <col min="3" max="3" width="18" customWidth="1"/>
    <col min="15" max="15" width="11.140625" customWidth="1"/>
    <col min="17" max="17" width="10.42578125" customWidth="1"/>
    <col min="19" max="19" width="9.7109375" customWidth="1"/>
  </cols>
  <sheetData>
    <row r="1" spans="1:20">
      <c r="A1" s="1" t="s">
        <v>0</v>
      </c>
      <c r="B1" s="2"/>
      <c r="C1" s="2"/>
      <c r="D1" s="2"/>
      <c r="E1" s="2"/>
      <c r="F1" s="2"/>
      <c r="G1" s="2"/>
      <c r="H1" s="3"/>
      <c r="I1" s="4"/>
      <c r="J1" s="4"/>
      <c r="K1" s="4"/>
      <c r="L1" s="4"/>
      <c r="M1" s="4"/>
      <c r="N1" s="5"/>
      <c r="O1" s="6"/>
      <c r="P1" s="5"/>
    </row>
    <row r="2" spans="1:20">
      <c r="A2" s="10" t="s">
        <v>1</v>
      </c>
      <c r="B2" s="3"/>
      <c r="C2" s="3"/>
      <c r="D2" s="3"/>
      <c r="E2" s="3"/>
      <c r="F2" s="3"/>
      <c r="G2" s="3"/>
      <c r="H2" s="3"/>
      <c r="I2" s="4"/>
      <c r="J2" s="4"/>
      <c r="K2" s="4"/>
      <c r="L2" s="4"/>
      <c r="M2" s="4"/>
      <c r="N2" s="5"/>
      <c r="O2" s="5"/>
      <c r="P2" s="5"/>
    </row>
    <row r="3" spans="1:20">
      <c r="A3" s="10" t="s">
        <v>2</v>
      </c>
      <c r="B3" s="9"/>
      <c r="C3" s="10">
        <v>2012</v>
      </c>
      <c r="D3" s="9"/>
      <c r="E3" s="9"/>
      <c r="F3" s="9"/>
      <c r="G3" s="9"/>
      <c r="H3" s="9"/>
      <c r="I3" s="9"/>
      <c r="J3" s="11"/>
      <c r="K3" s="12"/>
      <c r="L3" s="9"/>
      <c r="M3" s="9"/>
      <c r="N3" s="9"/>
      <c r="O3" s="9"/>
      <c r="P3" s="9"/>
    </row>
    <row r="4" spans="1:20">
      <c r="A4" s="9"/>
      <c r="B4" s="9"/>
      <c r="C4" s="9"/>
      <c r="D4" s="9"/>
      <c r="E4" s="9" t="s">
        <v>1650</v>
      </c>
      <c r="F4" s="9"/>
      <c r="G4" s="9"/>
      <c r="H4" s="9" t="s">
        <v>1650</v>
      </c>
      <c r="I4" s="9"/>
      <c r="J4" s="9"/>
      <c r="K4" s="9"/>
      <c r="L4" s="9"/>
      <c r="M4" s="9"/>
      <c r="N4" s="9"/>
      <c r="O4" s="9"/>
      <c r="P4" s="9"/>
    </row>
    <row r="5" spans="1:20">
      <c r="A5" s="13">
        <v>1</v>
      </c>
      <c r="B5" s="13">
        <v>2</v>
      </c>
      <c r="C5" s="13">
        <v>3</v>
      </c>
      <c r="D5" s="13">
        <v>4</v>
      </c>
      <c r="E5" s="13">
        <v>5</v>
      </c>
      <c r="F5" s="13">
        <v>6</v>
      </c>
      <c r="G5" s="13">
        <v>7</v>
      </c>
      <c r="H5" s="13">
        <v>8</v>
      </c>
      <c r="I5" s="13">
        <v>9</v>
      </c>
      <c r="J5" s="13">
        <v>10</v>
      </c>
      <c r="K5" s="13">
        <v>11</v>
      </c>
      <c r="L5" s="13">
        <v>12</v>
      </c>
      <c r="M5" s="13">
        <v>13</v>
      </c>
      <c r="N5" s="13">
        <v>14</v>
      </c>
      <c r="O5" s="13">
        <v>15</v>
      </c>
      <c r="P5" s="13">
        <v>16</v>
      </c>
    </row>
    <row r="6" spans="1:20">
      <c r="A6" s="14" t="s">
        <v>3</v>
      </c>
      <c r="B6" s="15"/>
      <c r="C6" s="15"/>
      <c r="D6" s="15"/>
      <c r="E6" s="15"/>
      <c r="F6" s="15"/>
      <c r="G6" s="16"/>
      <c r="H6" s="17"/>
      <c r="I6" s="894" t="s">
        <v>4</v>
      </c>
      <c r="J6" s="895"/>
      <c r="K6" s="895"/>
      <c r="L6" s="895"/>
      <c r="M6" s="895"/>
      <c r="N6" s="896"/>
      <c r="O6" s="897" t="s">
        <v>5</v>
      </c>
      <c r="P6" s="898"/>
      <c r="Q6" s="518" t="s">
        <v>1158</v>
      </c>
      <c r="R6" s="899" t="s">
        <v>1159</v>
      </c>
      <c r="S6" s="899"/>
      <c r="T6" s="899"/>
    </row>
    <row r="7" spans="1:20" ht="25.5">
      <c r="A7" s="23" t="s">
        <v>6</v>
      </c>
      <c r="B7" s="23" t="s">
        <v>7</v>
      </c>
      <c r="C7" s="23" t="s">
        <v>8</v>
      </c>
      <c r="D7" s="23" t="s">
        <v>9</v>
      </c>
      <c r="E7" s="23" t="s">
        <v>10</v>
      </c>
      <c r="F7" s="23" t="s">
        <v>11</v>
      </c>
      <c r="G7" s="23" t="s">
        <v>12</v>
      </c>
      <c r="H7" s="23" t="s">
        <v>13</v>
      </c>
      <c r="I7" s="23" t="s">
        <v>14</v>
      </c>
      <c r="J7" s="23" t="s">
        <v>15</v>
      </c>
      <c r="K7" s="23" t="s">
        <v>16</v>
      </c>
      <c r="L7" s="23" t="s">
        <v>17</v>
      </c>
      <c r="M7" s="23" t="s">
        <v>18</v>
      </c>
      <c r="N7" s="23" t="s">
        <v>19</v>
      </c>
      <c r="O7" s="24" t="s">
        <v>20</v>
      </c>
      <c r="P7" s="23" t="s">
        <v>12</v>
      </c>
      <c r="Q7" s="519" t="s">
        <v>1160</v>
      </c>
      <c r="R7" s="520" t="s">
        <v>1161</v>
      </c>
      <c r="S7" s="520" t="s">
        <v>1162</v>
      </c>
      <c r="T7" s="520" t="s">
        <v>1163</v>
      </c>
    </row>
    <row r="8" spans="1:20">
      <c r="A8" t="str">
        <f>CONCATENATE(Segmented!A6," ",Segmented!C6)</f>
        <v>Single Family CEE Tier 1 Clothes Washer - Any DHW, Any Dryer - 54% ENERGY STAR Baseline</v>
      </c>
      <c r="B8" t="str">
        <f>Segmented!D6</f>
        <v>Washer Savings</v>
      </c>
      <c r="C8" s="48">
        <f ca="1">Segmented!E6</f>
        <v>12.805498538080862</v>
      </c>
      <c r="D8">
        <f>Segmented!F6</f>
        <v>14</v>
      </c>
      <c r="E8" s="505">
        <f ca="1">Segmented!G6*Deflator</f>
        <v>139.81935250031893</v>
      </c>
      <c r="F8">
        <f>Segmented!H6*Deflator</f>
        <v>0</v>
      </c>
      <c r="G8" t="str">
        <f>IF(Segmented!I6="ResWASH","R-All-WH-Cwash-All-All-R",IF(Segmented!I6="ResDRY","R-All-Plug-Dryer-All-All-R","C-W-Ref-Vent-All-All-C"))</f>
        <v>R-All-WH-Cwash-All-All-R</v>
      </c>
      <c r="H8">
        <f ca="1">Segmented!J6*Deflator</f>
        <v>8.0126914121290831</v>
      </c>
      <c r="I8">
        <f>Segmented!K6*Deflator</f>
        <v>0</v>
      </c>
      <c r="J8">
        <f>Segmented!L6</f>
        <v>0</v>
      </c>
      <c r="K8">
        <f>Segmented!M6*Deflator</f>
        <v>0</v>
      </c>
      <c r="L8">
        <f>Segmented!N6</f>
        <v>0</v>
      </c>
      <c r="M8">
        <f>Segmented!O6*Deflator</f>
        <v>0</v>
      </c>
      <c r="N8">
        <f>Segmented!P6</f>
        <v>0</v>
      </c>
      <c r="O8">
        <f ca="1">Segmented!Q6</f>
        <v>0.10598060677717332</v>
      </c>
      <c r="P8" t="str">
        <f>IF(Segmented!R6="ResDHW","R-All-WH-ERWH-All-All-R",IF(Segmented!R6="ResDRY","R-All-Plug-Dryer-All-All-R",""))</f>
        <v>R-All-Plug-Dryer-All-All-R</v>
      </c>
      <c r="Q8" t="s">
        <v>233</v>
      </c>
    </row>
    <row r="9" spans="1:20">
      <c r="A9" t="str">
        <f>CONCATENATE(Segmented!A7," ",Segmented!C7)</f>
        <v>Single Family CEE Tier 2 Clothes Washer - Any DHW, Any Dryer - 54% ENERGY STAR Baseline</v>
      </c>
      <c r="B9" t="str">
        <f>Segmented!D7</f>
        <v>Washer Savings</v>
      </c>
      <c r="C9" s="48">
        <f ca="1">Segmented!E7</f>
        <v>7.3028563144274017</v>
      </c>
      <c r="D9">
        <f>Segmented!F7</f>
        <v>14</v>
      </c>
      <c r="E9" s="505">
        <f ca="1">Segmented!G7*Deflator</f>
        <v>54.906335711206673</v>
      </c>
      <c r="F9">
        <f>Segmented!H7*Deflator</f>
        <v>0</v>
      </c>
      <c r="G9" t="str">
        <f>IF(Segmented!I7="ResWASH","R-All-WH-Cwash-All-All-R",IF(Segmented!I7="ResDRY","R-All-Plug-Dryer-All-All-R","C-W-Ref-Vent-All-All-C"))</f>
        <v>R-All-WH-Cwash-All-All-R</v>
      </c>
      <c r="H9">
        <f ca="1">Segmented!J7*Deflator</f>
        <v>3.739639397323467</v>
      </c>
      <c r="I9">
        <f>Segmented!K7*Deflator</f>
        <v>0</v>
      </c>
      <c r="J9">
        <f>Segmented!L7</f>
        <v>0</v>
      </c>
      <c r="K9">
        <f>Segmented!M7*Deflator</f>
        <v>0</v>
      </c>
      <c r="L9">
        <f>Segmented!N7</f>
        <v>0</v>
      </c>
      <c r="M9">
        <f>Segmented!O7*Deflator</f>
        <v>0</v>
      </c>
      <c r="N9">
        <f>Segmented!P7</f>
        <v>0</v>
      </c>
      <c r="O9">
        <f ca="1">Segmented!Q7</f>
        <v>4.2560361622744333E-2</v>
      </c>
      <c r="P9" t="str">
        <f>IF(Segmented!R7="ResDHW","R-All-WH-ERWH-All-All-R",IF(Segmented!R7="ResDRY","R-All-Plug-Dryer-All-All-R",""))</f>
        <v>R-All-Plug-Dryer-All-All-R</v>
      </c>
      <c r="Q9" t="s">
        <v>233</v>
      </c>
    </row>
    <row r="10" spans="1:20">
      <c r="A10" t="str">
        <f>CONCATENATE(Segmented!A8," ",Segmented!C8)</f>
        <v>Single Family CEE Tier 2 Clothes Washer - Any DHW, Any Dryer - 54% ENERGY STAR Baseline</v>
      </c>
      <c r="B10" t="str">
        <f>Segmented!D8</f>
        <v>Washer Savings</v>
      </c>
      <c r="C10" s="48">
        <f ca="1">Segmented!E8</f>
        <v>0</v>
      </c>
      <c r="D10">
        <f>Segmented!F8</f>
        <v>14</v>
      </c>
      <c r="E10" s="505">
        <f ca="1">Segmented!G8*Deflator</f>
        <v>0</v>
      </c>
      <c r="F10">
        <f>Segmented!H8*Deflator</f>
        <v>0</v>
      </c>
      <c r="G10" t="str">
        <f>IF(Segmented!I8="ResWASH","R-All-WH-Cwash-All-All-R",IF(Segmented!I8="ResDRY","R-All-Plug-Dryer-All-All-R","C-W-Ref-Vent-All-All-C"))</f>
        <v>R-All-WH-Cwash-All-All-R</v>
      </c>
      <c r="H10">
        <f ca="1">Segmented!J8*Deflator</f>
        <v>0</v>
      </c>
      <c r="I10">
        <f>Segmented!K8*Deflator</f>
        <v>0</v>
      </c>
      <c r="J10">
        <f>Segmented!L8</f>
        <v>0</v>
      </c>
      <c r="K10">
        <f>Segmented!M8*Deflator</f>
        <v>0</v>
      </c>
      <c r="L10">
        <f>Segmented!N8</f>
        <v>0</v>
      </c>
      <c r="M10">
        <f>Segmented!O8*Deflator</f>
        <v>0</v>
      </c>
      <c r="N10">
        <f>Segmented!P8</f>
        <v>0</v>
      </c>
      <c r="O10">
        <f ca="1">Segmented!Q8</f>
        <v>0</v>
      </c>
      <c r="P10" t="str">
        <f>IF(Segmented!R8="ResDHW","R-All-WH-ERWH-All-All-R",IF(Segmented!R8="ResDRY","R-All-Plug-Dryer-All-All-R",""))</f>
        <v>R-All-Plug-Dryer-All-All-R</v>
      </c>
      <c r="Q10" t="s">
        <v>233</v>
      </c>
    </row>
    <row r="11" spans="1:20">
      <c r="A11" t="str">
        <f>CONCATENATE(Segmented!A9," ",Segmented!C9)</f>
        <v>Single Family CEE Tier 1 Clothes Washer - Any DHW, Any Dryer - 54% ENERGY STAR Baseline</v>
      </c>
      <c r="B11" t="str">
        <f>Segmented!D9</f>
        <v>Dryer Savings</v>
      </c>
      <c r="C11" s="48">
        <f ca="1">Segmented!E9</f>
        <v>34.794737894235141</v>
      </c>
      <c r="D11">
        <f>Segmented!F9</f>
        <v>14</v>
      </c>
      <c r="E11" s="505">
        <f>Segmented!G9*Deflator</f>
        <v>0</v>
      </c>
      <c r="F11">
        <f>Segmented!H9*Deflator</f>
        <v>0</v>
      </c>
      <c r="G11" t="str">
        <f>IF(Segmented!I9="ResWASH","R-All-WH-Cwash-All-All-R",IF(Segmented!I9="ResDRY","R-All-Plug-Dryer-All-All-R","C-W-Ref-Vent-All-All-C"))</f>
        <v>R-All-Plug-Dryer-All-All-R</v>
      </c>
      <c r="H11">
        <f>Segmented!J9*Deflator</f>
        <v>0</v>
      </c>
      <c r="I11">
        <f>Segmented!K9*Deflator</f>
        <v>0</v>
      </c>
      <c r="J11">
        <f>Segmented!L9</f>
        <v>0</v>
      </c>
      <c r="K11">
        <f>Segmented!M9*Deflator</f>
        <v>0</v>
      </c>
      <c r="L11">
        <f>Segmented!N9</f>
        <v>0</v>
      </c>
      <c r="M11">
        <f>Segmented!O9*Deflator</f>
        <v>0</v>
      </c>
      <c r="N11">
        <f>Segmented!P9</f>
        <v>0</v>
      </c>
      <c r="O11">
        <f>Segmented!Q9</f>
        <v>0</v>
      </c>
      <c r="P11" t="str">
        <f>IF(Segmented!R9="ResDHW","R-All-WH-ERWH-All-All-R",IF(Segmented!R9="ResDRY","R-All-Plug-Dryer-All-All-R",""))</f>
        <v/>
      </c>
      <c r="Q11" t="s">
        <v>233</v>
      </c>
    </row>
    <row r="12" spans="1:20">
      <c r="A12" t="str">
        <f>CONCATENATE(Segmented!A10," ",Segmented!C10)</f>
        <v>Single Family CEE Tier 2 Clothes Washer - Any DHW, Any Dryer - 54% ENERGY STAR Baseline</v>
      </c>
      <c r="B12" t="str">
        <f>Segmented!D10</f>
        <v>Dryer Savings</v>
      </c>
      <c r="C12" s="48">
        <f ca="1">Segmented!E10</f>
        <v>21.15458935457243</v>
      </c>
      <c r="D12">
        <f>Segmented!F10</f>
        <v>14</v>
      </c>
      <c r="E12" s="505">
        <f>Segmented!G10*Deflator</f>
        <v>0</v>
      </c>
      <c r="F12">
        <f>Segmented!H10*Deflator</f>
        <v>0</v>
      </c>
      <c r="G12" t="str">
        <f>IF(Segmented!I10="ResWASH","R-All-WH-Cwash-All-All-R",IF(Segmented!I10="ResDRY","R-All-Plug-Dryer-All-All-R","C-W-Ref-Vent-All-All-C"))</f>
        <v>R-All-Plug-Dryer-All-All-R</v>
      </c>
      <c r="H12">
        <f>Segmented!J10*Deflator</f>
        <v>0</v>
      </c>
      <c r="I12">
        <f>Segmented!K10*Deflator</f>
        <v>0</v>
      </c>
      <c r="J12">
        <f>Segmented!L10</f>
        <v>0</v>
      </c>
      <c r="K12">
        <f>Segmented!M10*Deflator</f>
        <v>0</v>
      </c>
      <c r="L12">
        <f>Segmented!N10</f>
        <v>0</v>
      </c>
      <c r="M12">
        <f>Segmented!O10*Deflator</f>
        <v>0</v>
      </c>
      <c r="N12">
        <f>Segmented!P10</f>
        <v>0</v>
      </c>
      <c r="O12">
        <f>Segmented!Q10</f>
        <v>0</v>
      </c>
      <c r="P12" t="str">
        <f>IF(Segmented!R10="ResDHW","R-All-WH-ERWH-All-All-R",IF(Segmented!R10="ResDRY","R-All-Plug-Dryer-All-All-R",""))</f>
        <v/>
      </c>
      <c r="Q12" t="s">
        <v>233</v>
      </c>
    </row>
    <row r="13" spans="1:20">
      <c r="A13" t="str">
        <f>CONCATENATE(Segmented!A11," ",Segmented!C11)</f>
        <v>Single Family CEE Tier 3 Clothes Washer - Any DHW, Any Dryer - 54% ENERGY STAR Baseline</v>
      </c>
      <c r="B13" t="str">
        <f>Segmented!D11</f>
        <v>Dryer Savings</v>
      </c>
      <c r="C13" s="48">
        <f ca="1">Segmented!E11</f>
        <v>13.842437772863455</v>
      </c>
      <c r="D13">
        <f>Segmented!F11</f>
        <v>14</v>
      </c>
      <c r="E13" s="505">
        <f>Segmented!G11*Deflator</f>
        <v>0</v>
      </c>
      <c r="F13">
        <f>Segmented!H11*Deflator</f>
        <v>0</v>
      </c>
      <c r="G13" t="str">
        <f>IF(Segmented!I11="ResWASH","R-All-WH-Cwash-All-All-R",IF(Segmented!I11="ResDRY","R-All-Plug-Dryer-All-All-R","C-W-Ref-Vent-All-All-C"))</f>
        <v>R-All-Plug-Dryer-All-All-R</v>
      </c>
      <c r="H13">
        <f>Segmented!J11*Deflator</f>
        <v>0</v>
      </c>
      <c r="I13">
        <f>Segmented!K11*Deflator</f>
        <v>0</v>
      </c>
      <c r="J13">
        <f>Segmented!L11</f>
        <v>0</v>
      </c>
      <c r="K13">
        <f>Segmented!M11*Deflator</f>
        <v>0</v>
      </c>
      <c r="L13">
        <f>Segmented!N11</f>
        <v>0</v>
      </c>
      <c r="M13">
        <f>Segmented!O11*Deflator</f>
        <v>0</v>
      </c>
      <c r="N13">
        <f>Segmented!P11</f>
        <v>0</v>
      </c>
      <c r="O13">
        <f>Segmented!Q11</f>
        <v>0</v>
      </c>
      <c r="P13" t="str">
        <f>IF(Segmented!R11="ResDHW","R-All-WH-ERWH-All-All-R",IF(Segmented!R11="ResDRY","R-All-Plug-Dryer-All-All-R",""))</f>
        <v/>
      </c>
      <c r="Q13" t="s">
        <v>233</v>
      </c>
    </row>
    <row r="14" spans="1:20">
      <c r="A14" t="str">
        <f>CONCATENATE(Segmented!A12," ",Segmented!C12)</f>
        <v>Single Family CEE Tier 1 Clothes Washer - Any DHW, Any Dryer - 54% ENERGY STAR Baseline</v>
      </c>
      <c r="B14" t="str">
        <f>Segmented!D12</f>
        <v>Waste Water Energy</v>
      </c>
      <c r="C14" s="48">
        <f ca="1">Segmented!E12</f>
        <v>2.2689844676199051</v>
      </c>
      <c r="D14">
        <f>Segmented!F12</f>
        <v>14</v>
      </c>
      <c r="E14" s="505">
        <f>Segmented!G12*Deflator</f>
        <v>0</v>
      </c>
      <c r="F14">
        <f>Segmented!H12*Deflator</f>
        <v>0</v>
      </c>
      <c r="G14" t="str">
        <f>IF(Segmented!I12="ResWASH","R-All-WH-Cwash-All-All-R",IF(Segmented!I12="ResDRY","R-All-Plug-Dryer-All-All-R","C-W-Ref-Vent-All-All-C"))</f>
        <v>C-W-Ref-Vent-All-All-C</v>
      </c>
      <c r="H14">
        <f ca="1">Segmented!J12*Deflator</f>
        <v>9.441861503191058</v>
      </c>
      <c r="I14">
        <f>Segmented!K12*Deflator</f>
        <v>0</v>
      </c>
      <c r="J14">
        <f>Segmented!L12</f>
        <v>0</v>
      </c>
      <c r="K14">
        <f>Segmented!M12*Deflator</f>
        <v>0</v>
      </c>
      <c r="L14">
        <f>Segmented!N12</f>
        <v>0</v>
      </c>
      <c r="M14">
        <f>Segmented!O12*Deflator</f>
        <v>0</v>
      </c>
      <c r="N14">
        <f>Segmented!P12</f>
        <v>0</v>
      </c>
      <c r="O14">
        <f>Segmented!Q12</f>
        <v>0</v>
      </c>
      <c r="P14" t="str">
        <f>IF(Segmented!R12="ResDHW","R-All-WH-ERWH-All-All-R",IF(Segmented!R12="ResDRY","R-All-Plug-Dryer-All-All-R",""))</f>
        <v/>
      </c>
      <c r="Q14" t="s">
        <v>233</v>
      </c>
    </row>
    <row r="15" spans="1:20">
      <c r="A15" t="str">
        <f>CONCATENATE(Segmented!A13," ",Segmented!C13)</f>
        <v>Single Family CEE Tier 2 Clothes Washer - Any DHW, Any Dryer - 54% ENERGY STAR Baseline</v>
      </c>
      <c r="B15" t="str">
        <f>Segmented!D13</f>
        <v>Waste Water Energy</v>
      </c>
      <c r="C15" s="48">
        <f ca="1">Segmented!E13</f>
        <v>1.0589679884816285</v>
      </c>
      <c r="D15">
        <f>Segmented!F13</f>
        <v>14</v>
      </c>
      <c r="E15" s="505">
        <f>Segmented!G13*Deflator</f>
        <v>0</v>
      </c>
      <c r="F15">
        <f>Segmented!H13*Deflator</f>
        <v>0</v>
      </c>
      <c r="G15" t="str">
        <f>IF(Segmented!I13="ResWASH","R-All-WH-Cwash-All-All-R",IF(Segmented!I13="ResDRY","R-All-Plug-Dryer-All-All-R","C-W-Ref-Vent-All-All-C"))</f>
        <v>C-W-Ref-Vent-All-All-C</v>
      </c>
      <c r="H15">
        <f ca="1">Segmented!J13*Deflator</f>
        <v>4.4066538251998795</v>
      </c>
      <c r="I15">
        <f>Segmented!K13*Deflator</f>
        <v>0</v>
      </c>
      <c r="J15">
        <f>Segmented!L13</f>
        <v>0</v>
      </c>
      <c r="K15">
        <f>Segmented!M13*Deflator</f>
        <v>0</v>
      </c>
      <c r="L15">
        <f>Segmented!N13</f>
        <v>0</v>
      </c>
      <c r="M15">
        <f>Segmented!O13*Deflator</f>
        <v>0</v>
      </c>
      <c r="N15">
        <f>Segmented!P13</f>
        <v>0</v>
      </c>
      <c r="O15">
        <f>Segmented!Q13</f>
        <v>0</v>
      </c>
      <c r="P15" t="str">
        <f>IF(Segmented!R13="ResDHW","R-All-WH-ERWH-All-All-R",IF(Segmented!R13="ResDRY","R-All-Plug-Dryer-All-All-R",""))</f>
        <v/>
      </c>
      <c r="Q15" t="s">
        <v>233</v>
      </c>
    </row>
    <row r="16" spans="1:20">
      <c r="A16" t="str">
        <f>CONCATENATE(Segmented!A14," ",Segmented!C14)</f>
        <v>Single Family CEE Tier 3 Clothes Washer - Any DHW, Any Dryer - 54% ENERGY STAR Baseline</v>
      </c>
      <c r="B16" t="str">
        <f>Segmented!D14</f>
        <v>Waste Water Energy</v>
      </c>
      <c r="C16" s="48">
        <f ca="1">Segmented!E14</f>
        <v>9.1465565223937784E-2</v>
      </c>
      <c r="D16">
        <f>Segmented!F14</f>
        <v>14</v>
      </c>
      <c r="E16" s="505">
        <f>Segmented!G14*Deflator</f>
        <v>0</v>
      </c>
      <c r="F16">
        <f>Segmented!H14*Deflator</f>
        <v>0</v>
      </c>
      <c r="G16" t="str">
        <f>IF(Segmented!I14="ResWASH","R-All-WH-Cwash-All-All-R",IF(Segmented!I14="ResDRY","R-All-Plug-Dryer-All-All-R","C-W-Ref-Vent-All-All-C"))</f>
        <v>C-W-Ref-Vent-All-All-C</v>
      </c>
      <c r="H16">
        <f ca="1">Segmented!J14*Deflator</f>
        <v>0.38061309430707385</v>
      </c>
      <c r="I16">
        <f>Segmented!K14*Deflator</f>
        <v>0</v>
      </c>
      <c r="J16">
        <f>Segmented!L14</f>
        <v>0</v>
      </c>
      <c r="K16">
        <f>Segmented!M14*Deflator</f>
        <v>0</v>
      </c>
      <c r="L16">
        <f>Segmented!N14</f>
        <v>0</v>
      </c>
      <c r="M16">
        <f>Segmented!O14*Deflator</f>
        <v>0</v>
      </c>
      <c r="N16">
        <f>Segmented!P14</f>
        <v>0</v>
      </c>
      <c r="O16">
        <f>Segmented!Q14</f>
        <v>0</v>
      </c>
      <c r="P16" t="str">
        <f>IF(Segmented!R14="ResDHW","R-All-WH-ERWH-All-All-R",IF(Segmented!R14="ResDRY","R-All-Plug-Dryer-All-All-R",""))</f>
        <v/>
      </c>
      <c r="Q16" t="s">
        <v>233</v>
      </c>
    </row>
    <row r="17" spans="1:17">
      <c r="A17" t="str">
        <f>CONCATENATE(Segmented!A15," ",Segmented!C15)</f>
        <v>Multifamily - Low Rise CEE Tier 1 Clothes Washer - Any DHW, Any Dryer - 54% ENERGY STAR Baseline</v>
      </c>
      <c r="B17" t="str">
        <f>Segmented!D15</f>
        <v>Washer Savings</v>
      </c>
      <c r="C17" s="48">
        <f ca="1">Segmented!E15</f>
        <v>13.420513804370698</v>
      </c>
      <c r="D17">
        <f>Segmented!F15</f>
        <v>14</v>
      </c>
      <c r="E17" s="505">
        <f ca="1">Segmented!G15*Deflator</f>
        <v>139.81935250031893</v>
      </c>
      <c r="F17">
        <f>Segmented!H15*Deflator</f>
        <v>0</v>
      </c>
      <c r="G17" t="str">
        <f>IF(Segmented!I15="ResWASH","R-All-WH-Cwash-All-All-R",IF(Segmented!I15="ResDRY","R-All-Plug-Dryer-All-All-R","C-W-Ref-Vent-All-All-C"))</f>
        <v>R-All-WH-Cwash-All-All-R</v>
      </c>
      <c r="H17">
        <f ca="1">Segmented!J15*Deflator</f>
        <v>7.2146794625471244</v>
      </c>
      <c r="I17">
        <f>Segmented!K15*Deflator</f>
        <v>0</v>
      </c>
      <c r="J17">
        <f>Segmented!L15</f>
        <v>0</v>
      </c>
      <c r="K17">
        <f>Segmented!M15*Deflator</f>
        <v>0</v>
      </c>
      <c r="L17">
        <f>Segmented!N15</f>
        <v>0</v>
      </c>
      <c r="M17">
        <f>Segmented!O15*Deflator</f>
        <v>0</v>
      </c>
      <c r="N17">
        <f>Segmented!P15</f>
        <v>0</v>
      </c>
      <c r="O17">
        <f ca="1">Segmented!Q15</f>
        <v>0.38507341368346421</v>
      </c>
      <c r="P17" t="str">
        <f>IF(Segmented!R15="ResDHW","R-All-WH-ERWH-All-All-R",IF(Segmented!R15="ResDRY","R-All-Plug-Dryer-All-All-R",""))</f>
        <v>R-All-WH-ERWH-All-All-R</v>
      </c>
      <c r="Q17" t="s">
        <v>233</v>
      </c>
    </row>
    <row r="18" spans="1:17">
      <c r="A18" t="str">
        <f>CONCATENATE(Segmented!A16," ",Segmented!C16)</f>
        <v>Multifamily - Low Rise CEE Tier 2 Clothes Washer - Any DHW, Any Dryer - 54% ENERGY STAR Baseline</v>
      </c>
      <c r="B18" t="str">
        <f>Segmented!D16</f>
        <v>Washer Savings</v>
      </c>
      <c r="C18" s="48">
        <f ca="1">Segmented!E16</f>
        <v>7.6161264854408284</v>
      </c>
      <c r="D18">
        <f>Segmented!F16</f>
        <v>14</v>
      </c>
      <c r="E18" s="505">
        <f ca="1">Segmented!G16*Deflator</f>
        <v>54.906335711206673</v>
      </c>
      <c r="F18">
        <f>Segmented!H16*Deflator</f>
        <v>0</v>
      </c>
      <c r="G18" t="str">
        <f>IF(Segmented!I16="ResWASH","R-All-WH-Cwash-All-All-R",IF(Segmented!I16="ResDRY","R-All-Plug-Dryer-All-All-R","C-W-Ref-Vent-All-All-C"))</f>
        <v>R-All-WH-Cwash-All-All-R</v>
      </c>
      <c r="H18">
        <f ca="1">Segmented!J16*Deflator</f>
        <v>3.3671956362079096</v>
      </c>
      <c r="I18">
        <f>Segmented!K16*Deflator</f>
        <v>0</v>
      </c>
      <c r="J18">
        <f>Segmented!L16</f>
        <v>0</v>
      </c>
      <c r="K18">
        <f>Segmented!M16*Deflator</f>
        <v>0</v>
      </c>
      <c r="L18">
        <f>Segmented!N16</f>
        <v>0</v>
      </c>
      <c r="M18">
        <f>Segmented!O16*Deflator</f>
        <v>0</v>
      </c>
      <c r="N18">
        <f>Segmented!P16</f>
        <v>0</v>
      </c>
      <c r="O18">
        <f ca="1">Segmented!Q16</f>
        <v>0.19401942602722239</v>
      </c>
      <c r="P18" t="str">
        <f>IF(Segmented!R16="ResDHW","R-All-WH-ERWH-All-All-R",IF(Segmented!R16="ResDRY","R-All-Plug-Dryer-All-All-R",""))</f>
        <v>R-All-WH-ERWH-All-All-R</v>
      </c>
      <c r="Q18" t="s">
        <v>233</v>
      </c>
    </row>
    <row r="19" spans="1:17">
      <c r="A19" t="str">
        <f>CONCATENATE(Segmented!A17," ",Segmented!C17)</f>
        <v>Multifamily - Low Rise CEE Tier 3 Clothes Washer - Any DHW, Any Dryer - 54% ENERGY STAR Baseline</v>
      </c>
      <c r="B19" t="str">
        <f>Segmented!D17</f>
        <v>Washer Savings</v>
      </c>
      <c r="C19" s="48">
        <f ca="1">Segmented!E17</f>
        <v>1.4130617083715187</v>
      </c>
      <c r="D19">
        <f>Segmented!F17</f>
        <v>14</v>
      </c>
      <c r="E19" s="505">
        <f ca="1">Segmented!G17*Deflator</f>
        <v>0</v>
      </c>
      <c r="F19">
        <f>Segmented!H17*Deflator</f>
        <v>0</v>
      </c>
      <c r="G19" t="str">
        <f>IF(Segmented!I17="ResWASH","R-All-WH-Cwash-All-All-R",IF(Segmented!I17="ResDRY","R-All-Plug-Dryer-All-All-R","C-W-Ref-Vent-All-All-C"))</f>
        <v>R-All-WH-Cwash-All-All-R</v>
      </c>
      <c r="H19">
        <f ca="1">Segmented!J17*Deflator</f>
        <v>0.29083263652467056</v>
      </c>
      <c r="I19">
        <f>Segmented!K17*Deflator</f>
        <v>0</v>
      </c>
      <c r="J19">
        <f>Segmented!L17</f>
        <v>0</v>
      </c>
      <c r="K19">
        <f>Segmented!M17*Deflator</f>
        <v>0</v>
      </c>
      <c r="L19">
        <f>Segmented!N17</f>
        <v>0</v>
      </c>
      <c r="M19">
        <f>Segmented!O17*Deflator</f>
        <v>0</v>
      </c>
      <c r="N19">
        <f>Segmented!P17</f>
        <v>0</v>
      </c>
      <c r="O19">
        <f ca="1">Segmented!Q17</f>
        <v>2.8130810286325469E-2</v>
      </c>
      <c r="P19" t="str">
        <f>IF(Segmented!R17="ResDHW","R-All-WH-ERWH-All-All-R",IF(Segmented!R17="ResDRY","R-All-Plug-Dryer-All-All-R",""))</f>
        <v>R-All-WH-ERWH-All-All-R</v>
      </c>
      <c r="Q19" t="s">
        <v>233</v>
      </c>
    </row>
    <row r="20" spans="1:17">
      <c r="A20" t="str">
        <f>CONCATENATE(Segmented!A18," ",Segmented!C18)</f>
        <v>Multifamily - Low Rise CEE Tier 1 Clothes Washer - Any DHW, Any Dryer - 54% ENERGY STAR Baseline</v>
      </c>
      <c r="B20" t="str">
        <f>Segmented!D18</f>
        <v>Dryer Savings</v>
      </c>
      <c r="C20" s="48">
        <f ca="1">Segmented!E18</f>
        <v>33.614929913688762</v>
      </c>
      <c r="D20">
        <f>Segmented!F18</f>
        <v>14</v>
      </c>
      <c r="E20" s="505">
        <f>Segmented!G18*Deflator</f>
        <v>0</v>
      </c>
      <c r="F20">
        <f>Segmented!H18*Deflator</f>
        <v>0</v>
      </c>
      <c r="G20" t="str">
        <f>IF(Segmented!I18="ResWASH","R-All-WH-Cwash-All-All-R",IF(Segmented!I18="ResDRY","R-All-Plug-Dryer-All-All-R","C-W-Ref-Vent-All-All-C"))</f>
        <v>R-All-Plug-Dryer-All-All-R</v>
      </c>
      <c r="H20">
        <f>Segmented!J18*Deflator</f>
        <v>0</v>
      </c>
      <c r="I20">
        <f>Segmented!K18*Deflator</f>
        <v>0</v>
      </c>
      <c r="J20">
        <f>Segmented!L18</f>
        <v>0</v>
      </c>
      <c r="K20">
        <f>Segmented!M18*Deflator</f>
        <v>0</v>
      </c>
      <c r="L20">
        <f>Segmented!N18</f>
        <v>0</v>
      </c>
      <c r="M20">
        <f>Segmented!O18*Deflator</f>
        <v>0</v>
      </c>
      <c r="N20">
        <f>Segmented!P18</f>
        <v>0</v>
      </c>
      <c r="O20">
        <f ca="1">Segmented!Q18</f>
        <v>6.762899288993178E-2</v>
      </c>
      <c r="P20" t="str">
        <f>IF(Segmented!R18="ResDHW","R-All-WH-ERWH-All-All-R",IF(Segmented!R18="ResDRY","R-All-Plug-Dryer-All-All-R",""))</f>
        <v>R-All-Plug-Dryer-All-All-R</v>
      </c>
      <c r="Q20" t="s">
        <v>233</v>
      </c>
    </row>
    <row r="21" spans="1:17">
      <c r="A21" t="str">
        <f>CONCATENATE(Segmented!A19," ",Segmented!C19)</f>
        <v>Multifamily - Low Rise CEE Tier 2 Clothes Washer - Any DHW, Any Dryer - 54% ENERGY STAR Baseline</v>
      </c>
      <c r="B21" t="str">
        <f>Segmented!D19</f>
        <v>Dryer Savings</v>
      </c>
      <c r="C21" s="48">
        <f ca="1">Segmented!E19</f>
        <v>20.546071491444344</v>
      </c>
      <c r="D21">
        <f>Segmented!F19</f>
        <v>14</v>
      </c>
      <c r="E21" s="505">
        <f>Segmented!G19*Deflator</f>
        <v>0</v>
      </c>
      <c r="F21">
        <f>Segmented!H19*Deflator</f>
        <v>0</v>
      </c>
      <c r="G21" t="str">
        <f>IF(Segmented!I19="ResWASH","R-All-WH-Cwash-All-All-R",IF(Segmented!I19="ResDRY","R-All-Plug-Dryer-All-All-R","C-W-Ref-Vent-All-All-C"))</f>
        <v>R-All-Plug-Dryer-All-All-R</v>
      </c>
      <c r="H21">
        <f>Segmented!J19*Deflator</f>
        <v>0</v>
      </c>
      <c r="I21">
        <f>Segmented!K19*Deflator</f>
        <v>0</v>
      </c>
      <c r="J21">
        <f>Segmented!L19</f>
        <v>0</v>
      </c>
      <c r="K21">
        <f>Segmented!M19*Deflator</f>
        <v>0</v>
      </c>
      <c r="L21">
        <f>Segmented!N19</f>
        <v>0</v>
      </c>
      <c r="M21">
        <f>Segmented!O19*Deflator</f>
        <v>0</v>
      </c>
      <c r="N21">
        <f>Segmented!P19</f>
        <v>0</v>
      </c>
      <c r="O21">
        <f ca="1">Segmented!Q19</f>
        <v>4.1336100547544982E-2</v>
      </c>
      <c r="P21" t="str">
        <f>IF(Segmented!R19="ResDHW","R-All-WH-ERWH-All-All-R",IF(Segmented!R19="ResDRY","R-All-Plug-Dryer-All-All-R",""))</f>
        <v>R-All-Plug-Dryer-All-All-R</v>
      </c>
      <c r="Q21" t="s">
        <v>233</v>
      </c>
    </row>
    <row r="22" spans="1:17">
      <c r="A22" t="str">
        <f>CONCATENATE(Segmented!A20," ",Segmented!C20)</f>
        <v>Multifamily - Low Rise CEE Tier 3 Clothes Washer - Any DHW, Any Dryer - 54% ENERGY STAR Baseline</v>
      </c>
      <c r="B22" t="str">
        <f>Segmented!D20</f>
        <v>Dryer Savings</v>
      </c>
      <c r="C22" s="48">
        <f ca="1">Segmented!E20</f>
        <v>13.697550748450809</v>
      </c>
      <c r="D22">
        <f>Segmented!F20</f>
        <v>14</v>
      </c>
      <c r="E22" s="505">
        <f>Segmented!G20*Deflator</f>
        <v>0</v>
      </c>
      <c r="F22">
        <f>Segmented!H20*Deflator</f>
        <v>0</v>
      </c>
      <c r="G22" t="str">
        <f>IF(Segmented!I20="ResWASH","R-All-WH-Cwash-All-All-R",IF(Segmented!I20="ResDRY","R-All-Plug-Dryer-All-All-R","C-W-Ref-Vent-All-All-C"))</f>
        <v>R-All-Plug-Dryer-All-All-R</v>
      </c>
      <c r="H22">
        <f>Segmented!J20*Deflator</f>
        <v>0</v>
      </c>
      <c r="I22">
        <f>Segmented!K20*Deflator</f>
        <v>0</v>
      </c>
      <c r="J22">
        <f>Segmented!L20</f>
        <v>0</v>
      </c>
      <c r="K22">
        <f>Segmented!M20*Deflator</f>
        <v>0</v>
      </c>
      <c r="L22">
        <f>Segmented!N20</f>
        <v>0</v>
      </c>
      <c r="M22">
        <f>Segmented!O20*Deflator</f>
        <v>0</v>
      </c>
      <c r="N22">
        <f>Segmented!P20</f>
        <v>0</v>
      </c>
      <c r="O22">
        <f ca="1">Segmented!Q20</f>
        <v>2.7557741888946413E-2</v>
      </c>
      <c r="P22" t="str">
        <f>IF(Segmented!R20="ResDHW","R-All-WH-ERWH-All-All-R",IF(Segmented!R20="ResDRY","R-All-Plug-Dryer-All-All-R",""))</f>
        <v>R-All-Plug-Dryer-All-All-R</v>
      </c>
      <c r="Q22" t="s">
        <v>233</v>
      </c>
    </row>
    <row r="23" spans="1:17">
      <c r="A23" t="str">
        <f>CONCATENATE(Segmented!A21," ",Segmented!C21)</f>
        <v>Multifamily - Low Rise CEE Tier 1 Clothes Washer - Any DHW, Any Dryer - 54% ENERGY STAR Baseline</v>
      </c>
      <c r="B23" t="str">
        <f>Segmented!D21</f>
        <v>Waste Water Energy</v>
      </c>
      <c r="C23" s="48">
        <f ca="1">Segmented!E21</f>
        <v>2.2689844676199051</v>
      </c>
      <c r="D23">
        <f>Segmented!F21</f>
        <v>14</v>
      </c>
      <c r="E23" s="505">
        <f>Segmented!G21*Deflator</f>
        <v>0</v>
      </c>
      <c r="F23">
        <f>Segmented!H21*Deflator</f>
        <v>0</v>
      </c>
      <c r="G23" t="str">
        <f>IF(Segmented!I21="ResWASH","R-All-WH-Cwash-All-All-R",IF(Segmented!I21="ResDRY","R-All-Plug-Dryer-All-All-R","C-W-Ref-Vent-All-All-C"))</f>
        <v>C-W-Ref-Vent-All-All-C</v>
      </c>
      <c r="H23">
        <f ca="1">Segmented!J21*Deflator</f>
        <v>9.441861503191058</v>
      </c>
      <c r="I23">
        <f>Segmented!K21*Deflator</f>
        <v>0</v>
      </c>
      <c r="J23">
        <f>Segmented!L21</f>
        <v>0</v>
      </c>
      <c r="K23">
        <f>Segmented!M21*Deflator</f>
        <v>0</v>
      </c>
      <c r="L23">
        <f>Segmented!N21</f>
        <v>0</v>
      </c>
      <c r="M23">
        <f>Segmented!O21*Deflator</f>
        <v>0</v>
      </c>
      <c r="N23">
        <f>Segmented!P21</f>
        <v>0</v>
      </c>
      <c r="O23">
        <f>Segmented!Q21</f>
        <v>0</v>
      </c>
      <c r="P23" t="str">
        <f>IF(Segmented!R21="ResDHW","R-All-WH-ERWH-All-All-R",IF(Segmented!R21="ResDRY","R-All-Plug-Dryer-All-All-R",""))</f>
        <v/>
      </c>
      <c r="Q23" t="s">
        <v>233</v>
      </c>
    </row>
    <row r="24" spans="1:17">
      <c r="A24" t="str">
        <f>CONCATENATE(Segmented!A22," ",Segmented!C22)</f>
        <v>Multifamily - Low Rise CEE Tier 2 Clothes Washer - Any DHW, Any Dryer - 54% ENERGY STAR Baseline</v>
      </c>
      <c r="B24" t="str">
        <f>Segmented!D22</f>
        <v>Waste Water Energy</v>
      </c>
      <c r="C24" s="48">
        <f ca="1">Segmented!E22</f>
        <v>1.0589679884816285</v>
      </c>
      <c r="D24">
        <f>Segmented!F22</f>
        <v>14</v>
      </c>
      <c r="E24" s="505">
        <f>Segmented!G22*Deflator</f>
        <v>0</v>
      </c>
      <c r="F24">
        <f>Segmented!H22*Deflator</f>
        <v>0</v>
      </c>
      <c r="G24" t="str">
        <f>IF(Segmented!I22="ResWASH","R-All-WH-Cwash-All-All-R",IF(Segmented!I22="ResDRY","R-All-Plug-Dryer-All-All-R","C-W-Ref-Vent-All-All-C"))</f>
        <v>C-W-Ref-Vent-All-All-C</v>
      </c>
      <c r="H24">
        <f ca="1">Segmented!J22*Deflator</f>
        <v>4.4066538251998795</v>
      </c>
      <c r="I24">
        <f>Segmented!K22*Deflator</f>
        <v>0</v>
      </c>
      <c r="J24">
        <f>Segmented!L22</f>
        <v>0</v>
      </c>
      <c r="K24">
        <f>Segmented!M22*Deflator</f>
        <v>0</v>
      </c>
      <c r="L24">
        <f>Segmented!N22</f>
        <v>0</v>
      </c>
      <c r="M24">
        <f>Segmented!O22*Deflator</f>
        <v>0</v>
      </c>
      <c r="N24">
        <f>Segmented!P22</f>
        <v>0</v>
      </c>
      <c r="O24">
        <f>Segmented!Q22</f>
        <v>0</v>
      </c>
      <c r="P24" t="str">
        <f>IF(Segmented!R22="ResDHW","R-All-WH-ERWH-All-All-R",IF(Segmented!R22="ResDRY","R-All-Plug-Dryer-All-All-R",""))</f>
        <v/>
      </c>
      <c r="Q24" t="s">
        <v>233</v>
      </c>
    </row>
    <row r="25" spans="1:17">
      <c r="A25" t="str">
        <f>CONCATENATE(Segmented!A23," ",Segmented!C23)</f>
        <v>Multifamily - Low Rise CEE Tier 3 Clothes Washer - Any DHW, Any Dryer - 54% ENERGY STAR Baseline</v>
      </c>
      <c r="B25" t="str">
        <f>Segmented!D23</f>
        <v>Waste Water Energy</v>
      </c>
      <c r="C25" s="48">
        <f ca="1">Segmented!E23</f>
        <v>9.1465565223937784E-2</v>
      </c>
      <c r="D25">
        <f>Segmented!F23</f>
        <v>14</v>
      </c>
      <c r="E25" s="505">
        <f>Segmented!G23*Deflator</f>
        <v>0</v>
      </c>
      <c r="F25">
        <f>Segmented!H23*Deflator</f>
        <v>0</v>
      </c>
      <c r="G25" t="str">
        <f>IF(Segmented!I23="ResWASH","R-All-WH-Cwash-All-All-R",IF(Segmented!I23="ResDRY","R-All-Plug-Dryer-All-All-R","C-W-Ref-Vent-All-All-C"))</f>
        <v>C-W-Ref-Vent-All-All-C</v>
      </c>
      <c r="H25">
        <f ca="1">Segmented!J23*Deflator</f>
        <v>0.38061309430707385</v>
      </c>
      <c r="I25">
        <f>Segmented!K23*Deflator</f>
        <v>0</v>
      </c>
      <c r="J25">
        <f>Segmented!L23</f>
        <v>0</v>
      </c>
      <c r="K25">
        <f>Segmented!M23*Deflator</f>
        <v>0</v>
      </c>
      <c r="L25">
        <f>Segmented!N23</f>
        <v>0</v>
      </c>
      <c r="M25">
        <f>Segmented!O23*Deflator</f>
        <v>0</v>
      </c>
      <c r="N25">
        <f>Segmented!P23</f>
        <v>0</v>
      </c>
      <c r="O25">
        <f>Segmented!Q23</f>
        <v>0</v>
      </c>
      <c r="P25" t="str">
        <f>IF(Segmented!R23="ResDHW","R-All-WH-ERWH-All-All-R",IF(Segmented!R23="ResDRY","R-All-Plug-Dryer-All-All-R",""))</f>
        <v/>
      </c>
      <c r="Q25" t="s">
        <v>233</v>
      </c>
    </row>
    <row r="26" spans="1:17">
      <c r="A26" t="str">
        <f>CONCATENATE(Segmented!A24," ",Segmented!C24)</f>
        <v>Manufactured CEE Tier 1 Clothes Washer - Any DHW, Any Dryer - 54% ENERGY STAR Baseline</v>
      </c>
      <c r="B26" t="str">
        <f>Segmented!D24</f>
        <v>Washer Savings</v>
      </c>
      <c r="C26" s="48">
        <f ca="1">Segmented!E24</f>
        <v>13.366643591022726</v>
      </c>
      <c r="D26">
        <f>Segmented!F24</f>
        <v>14</v>
      </c>
      <c r="E26" s="505">
        <f ca="1">Segmented!G24*Deflator</f>
        <v>139.81935250031893</v>
      </c>
      <c r="F26">
        <f>Segmented!H24*Deflator</f>
        <v>0</v>
      </c>
      <c r="G26" t="str">
        <f>IF(Segmented!I24="ResWASH","R-All-WH-Cwash-All-All-R",IF(Segmented!I24="ResDRY","R-All-Plug-Dryer-All-All-R","C-W-Ref-Vent-All-All-C"))</f>
        <v>R-All-WH-Cwash-All-All-R</v>
      </c>
      <c r="H26">
        <f ca="1">Segmented!J24*Deflator</f>
        <v>7.2798232951660555</v>
      </c>
      <c r="I26">
        <f>Segmented!K24*Deflator</f>
        <v>0</v>
      </c>
      <c r="J26">
        <f>Segmented!L24</f>
        <v>0</v>
      </c>
      <c r="K26">
        <f>Segmented!M24*Deflator</f>
        <v>0</v>
      </c>
      <c r="L26">
        <f>Segmented!N24</f>
        <v>0</v>
      </c>
      <c r="M26">
        <f>Segmented!O24*Deflator</f>
        <v>0</v>
      </c>
      <c r="N26">
        <f>Segmented!P24</f>
        <v>0</v>
      </c>
      <c r="O26">
        <f ca="1">Segmented!Q24</f>
        <v>0.38257658578402781</v>
      </c>
      <c r="P26" t="str">
        <f>IF(Segmented!R24="ResDHW","R-All-WH-ERWH-All-All-R",IF(Segmented!R24="ResDRY","R-All-Plug-Dryer-All-All-R",""))</f>
        <v>R-All-WH-ERWH-All-All-R</v>
      </c>
      <c r="Q26" t="s">
        <v>233</v>
      </c>
    </row>
    <row r="27" spans="1:17">
      <c r="A27" t="str">
        <f>CONCATENATE(Segmented!A25," ",Segmented!C25)</f>
        <v>Manufactured CEE Tier 2 Clothes Washer - Any DHW, Any Dryer - 54% ENERGY STAR Baseline</v>
      </c>
      <c r="B27" t="str">
        <f>Segmented!D25</f>
        <v>Washer Savings</v>
      </c>
      <c r="C27" s="48">
        <f ca="1">Segmented!E25</f>
        <v>7.5886116435286617</v>
      </c>
      <c r="D27">
        <f>Segmented!F25</f>
        <v>14</v>
      </c>
      <c r="E27" s="505">
        <f ca="1">Segmented!G25*Deflator</f>
        <v>54.906335711206673</v>
      </c>
      <c r="F27">
        <f>Segmented!H25*Deflator</f>
        <v>0</v>
      </c>
      <c r="G27" t="str">
        <f>IF(Segmented!I25="ResWASH","R-All-WH-Cwash-All-All-R",IF(Segmented!I25="ResDRY","R-All-Plug-Dryer-All-All-R","C-W-Ref-Vent-All-All-C"))</f>
        <v>R-All-WH-Cwash-All-All-R</v>
      </c>
      <c r="H27">
        <f ca="1">Segmented!J25*Deflator</f>
        <v>3.397599208543876</v>
      </c>
      <c r="I27">
        <f>Segmented!K25*Deflator</f>
        <v>0</v>
      </c>
      <c r="J27">
        <f>Segmented!L25</f>
        <v>0</v>
      </c>
      <c r="K27">
        <f>Segmented!M25*Deflator</f>
        <v>0</v>
      </c>
      <c r="L27">
        <f>Segmented!N25</f>
        <v>0</v>
      </c>
      <c r="M27">
        <f>Segmented!O25*Deflator</f>
        <v>0</v>
      </c>
      <c r="N27">
        <f>Segmented!P25</f>
        <v>0</v>
      </c>
      <c r="O27">
        <f ca="1">Segmented!Q25</f>
        <v>0.19271211500487778</v>
      </c>
      <c r="P27" t="str">
        <f>IF(Segmented!R25="ResDHW","R-All-WH-ERWH-All-All-R",IF(Segmented!R25="ResDRY","R-All-Plug-Dryer-All-All-R",""))</f>
        <v>R-All-WH-ERWH-All-All-R</v>
      </c>
      <c r="Q27" t="s">
        <v>233</v>
      </c>
    </row>
    <row r="28" spans="1:17">
      <c r="A28" t="str">
        <f>CONCATENATE(Segmented!A26," ",Segmented!C26)</f>
        <v>Manufactured CEE Tier 3 Clothes Washer - Any DHW, Any Dryer - 54% ENERGY STAR Baseline</v>
      </c>
      <c r="B28" t="str">
        <f>Segmented!D26</f>
        <v>Washer Savings</v>
      </c>
      <c r="C28" s="48">
        <f ca="1">Segmented!E26</f>
        <v>1.4051165459187303</v>
      </c>
      <c r="D28">
        <f>Segmented!F26</f>
        <v>14</v>
      </c>
      <c r="E28" s="505">
        <f ca="1">Segmented!G26*Deflator</f>
        <v>0</v>
      </c>
      <c r="F28">
        <f>Segmented!H26*Deflator</f>
        <v>0</v>
      </c>
      <c r="G28" t="str">
        <f>IF(Segmented!I26="ResWASH","R-All-WH-Cwash-All-All-R",IF(Segmented!I26="ResDRY","R-All-Plug-Dryer-All-All-R","C-W-Ref-Vent-All-All-C"))</f>
        <v>R-All-WH-Cwash-All-All-R</v>
      </c>
      <c r="H28">
        <f ca="1">Segmented!J26*Deflator</f>
        <v>0.2934586648454342</v>
      </c>
      <c r="I28">
        <f>Segmented!K26*Deflator</f>
        <v>0</v>
      </c>
      <c r="J28">
        <f>Segmented!L26</f>
        <v>0</v>
      </c>
      <c r="K28">
        <f>Segmented!M26*Deflator</f>
        <v>0</v>
      </c>
      <c r="L28">
        <f>Segmented!N26</f>
        <v>0</v>
      </c>
      <c r="M28">
        <f>Segmented!O26*Deflator</f>
        <v>0</v>
      </c>
      <c r="N28">
        <f>Segmented!P26</f>
        <v>0</v>
      </c>
      <c r="O28">
        <f ca="1">Segmented!Q26</f>
        <v>2.7871567298051736E-2</v>
      </c>
      <c r="P28" t="str">
        <f>IF(Segmented!R26="ResDHW","R-All-WH-ERWH-All-All-R",IF(Segmented!R26="ResDRY","R-All-Plug-Dryer-All-All-R",""))</f>
        <v>R-All-WH-ERWH-All-All-R</v>
      </c>
      <c r="Q28" t="s">
        <v>233</v>
      </c>
    </row>
    <row r="29" spans="1:17">
      <c r="A29" t="str">
        <f>CONCATENATE(Segmented!A27," ",Segmented!C27)</f>
        <v>Manufactured CEE Tier 1 Clothes Washer - Any DHW, Any Dryer - 54% ENERGY STAR Baseline</v>
      </c>
      <c r="B29" t="str">
        <f>Segmented!D27</f>
        <v>Dryer Savings</v>
      </c>
      <c r="C29" s="48">
        <f ca="1">Segmented!E27</f>
        <v>33.71823055068964</v>
      </c>
      <c r="D29">
        <f>Segmented!F27</f>
        <v>14</v>
      </c>
      <c r="E29" s="505">
        <f>Segmented!G27*Deflator</f>
        <v>0</v>
      </c>
      <c r="F29">
        <f>Segmented!H27*Deflator</f>
        <v>0</v>
      </c>
      <c r="G29" t="str">
        <f>IF(Segmented!I27="ResWASH","R-All-WH-Cwash-All-All-R",IF(Segmented!I27="ResDRY","R-All-Plug-Dryer-All-All-R","C-W-Ref-Vent-All-All-C"))</f>
        <v>R-All-Plug-Dryer-All-All-R</v>
      </c>
      <c r="H29">
        <f>Segmented!J27*Deflator</f>
        <v>0</v>
      </c>
      <c r="I29">
        <f>Segmented!K27*Deflator</f>
        <v>0</v>
      </c>
      <c r="J29">
        <f>Segmented!L27</f>
        <v>0</v>
      </c>
      <c r="K29">
        <f>Segmented!M27*Deflator</f>
        <v>0</v>
      </c>
      <c r="L29">
        <f>Segmented!N27</f>
        <v>0</v>
      </c>
      <c r="M29">
        <f>Segmented!O27*Deflator</f>
        <v>0</v>
      </c>
      <c r="N29">
        <f>Segmented!P27</f>
        <v>0</v>
      </c>
      <c r="O29">
        <f ca="1">Segmented!Q27</f>
        <v>6.7836820723076105E-2</v>
      </c>
      <c r="P29" t="str">
        <f>IF(Segmented!R27="ResDHW","R-All-WH-ERWH-All-All-R",IF(Segmented!R27="ResDRY","R-All-Plug-Dryer-All-All-R",""))</f>
        <v>R-All-Plug-Dryer-All-All-R</v>
      </c>
      <c r="Q29" t="s">
        <v>233</v>
      </c>
    </row>
    <row r="30" spans="1:17">
      <c r="A30" t="str">
        <f>CONCATENATE(Segmented!A28," ",Segmented!C28)</f>
        <v>Manufactured CEE Tier 2 Clothes Washer - Any DHW, Any Dryer - 54% ENERGY STAR Baseline</v>
      </c>
      <c r="B30" t="str">
        <f>Segmented!D28</f>
        <v>Dryer Savings</v>
      </c>
      <c r="C30" s="48">
        <f ca="1">Segmented!E28</f>
        <v>20.599502097367505</v>
      </c>
      <c r="D30">
        <f>Segmented!F28</f>
        <v>14</v>
      </c>
      <c r="E30" s="505">
        <f>Segmented!G28*Deflator</f>
        <v>0</v>
      </c>
      <c r="F30">
        <f>Segmented!H28*Deflator</f>
        <v>0</v>
      </c>
      <c r="G30" t="str">
        <f>IF(Segmented!I28="ResWASH","R-All-WH-Cwash-All-All-R",IF(Segmented!I28="ResDRY","R-All-Plug-Dryer-All-All-R","C-W-Ref-Vent-All-All-C"))</f>
        <v>R-All-Plug-Dryer-All-All-R</v>
      </c>
      <c r="H30">
        <f>Segmented!J28*Deflator</f>
        <v>0</v>
      </c>
      <c r="I30">
        <f>Segmented!K28*Deflator</f>
        <v>0</v>
      </c>
      <c r="J30">
        <f>Segmented!L28</f>
        <v>0</v>
      </c>
      <c r="K30">
        <f>Segmented!M28*Deflator</f>
        <v>0</v>
      </c>
      <c r="L30">
        <f>Segmented!N28</f>
        <v>0</v>
      </c>
      <c r="M30">
        <f>Segmented!O28*Deflator</f>
        <v>0</v>
      </c>
      <c r="N30">
        <f>Segmented!P28</f>
        <v>0</v>
      </c>
      <c r="O30">
        <f ca="1">Segmented!Q28</f>
        <v>4.1443596177533265E-2</v>
      </c>
      <c r="P30" t="str">
        <f>IF(Segmented!R28="ResDHW","R-All-WH-ERWH-All-All-R",IF(Segmented!R28="ResDRY","R-All-Plug-Dryer-All-All-R",""))</f>
        <v>R-All-Plug-Dryer-All-All-R</v>
      </c>
      <c r="Q30" t="s">
        <v>233</v>
      </c>
    </row>
    <row r="31" spans="1:17">
      <c r="A31" t="str">
        <f>CONCATENATE(Segmented!A29," ",Segmented!C29)</f>
        <v>Manufactured CEE Tier 3 Clothes Washer - Any DHW, Any Dryer - 54% ENERGY STAR Baseline</v>
      </c>
      <c r="B31" t="str">
        <f>Segmented!D29</f>
        <v>Dryer Savings</v>
      </c>
      <c r="C31" s="48">
        <f ca="1">Segmented!E29</f>
        <v>13.710510625507126</v>
      </c>
      <c r="D31">
        <f>Segmented!F29</f>
        <v>14</v>
      </c>
      <c r="E31" s="505">
        <f>Segmented!G29*Deflator</f>
        <v>0</v>
      </c>
      <c r="F31">
        <f>Segmented!H29*Deflator</f>
        <v>0</v>
      </c>
      <c r="G31" t="str">
        <f>IF(Segmented!I29="ResWASH","R-All-WH-Cwash-All-All-R",IF(Segmented!I29="ResDRY","R-All-Plug-Dryer-All-All-R","C-W-Ref-Vent-All-All-C"))</f>
        <v>R-All-Plug-Dryer-All-All-R</v>
      </c>
      <c r="H31">
        <f>Segmented!J29*Deflator</f>
        <v>0</v>
      </c>
      <c r="I31">
        <f>Segmented!K29*Deflator</f>
        <v>0</v>
      </c>
      <c r="J31">
        <f>Segmented!L29</f>
        <v>0</v>
      </c>
      <c r="K31">
        <f>Segmented!M29*Deflator</f>
        <v>0</v>
      </c>
      <c r="L31">
        <f>Segmented!N29</f>
        <v>0</v>
      </c>
      <c r="M31">
        <f>Segmented!O29*Deflator</f>
        <v>0</v>
      </c>
      <c r="N31">
        <f>Segmented!P29</f>
        <v>0</v>
      </c>
      <c r="O31">
        <f ca="1">Segmented!Q29</f>
        <v>2.7583815524546598E-2</v>
      </c>
      <c r="P31" t="str">
        <f>IF(Segmented!R29="ResDHW","R-All-WH-ERWH-All-All-R",IF(Segmented!R29="ResDRY","R-All-Plug-Dryer-All-All-R",""))</f>
        <v>R-All-Plug-Dryer-All-All-R</v>
      </c>
      <c r="Q31" t="s">
        <v>233</v>
      </c>
    </row>
    <row r="32" spans="1:17">
      <c r="A32" t="str">
        <f>CONCATENATE(Segmented!A30," ",Segmented!C30)</f>
        <v>Manufactured CEE Tier 1 Clothes Washer - Any DHW, Any Dryer - 54% ENERGY STAR Baseline</v>
      </c>
      <c r="B32" t="str">
        <f>Segmented!D30</f>
        <v>Waste Water Energy</v>
      </c>
      <c r="C32" s="48">
        <f ca="1">Segmented!E30</f>
        <v>2.2689844676199051</v>
      </c>
      <c r="D32">
        <f>Segmented!F30</f>
        <v>14</v>
      </c>
      <c r="E32" s="505">
        <f>Segmented!G30*Deflator</f>
        <v>0</v>
      </c>
      <c r="F32">
        <f>Segmented!H30*Deflator</f>
        <v>0</v>
      </c>
      <c r="G32" t="str">
        <f>IF(Segmented!I30="ResWASH","R-All-WH-Cwash-All-All-R",IF(Segmented!I30="ResDRY","R-All-Plug-Dryer-All-All-R","C-W-Ref-Vent-All-All-C"))</f>
        <v>C-W-Ref-Vent-All-All-C</v>
      </c>
      <c r="H32">
        <f ca="1">Segmented!J30*Deflator</f>
        <v>9.441861503191058</v>
      </c>
      <c r="I32">
        <f>Segmented!K30*Deflator</f>
        <v>0</v>
      </c>
      <c r="J32">
        <f>Segmented!L30</f>
        <v>0</v>
      </c>
      <c r="K32">
        <f>Segmented!M30*Deflator</f>
        <v>0</v>
      </c>
      <c r="L32">
        <f>Segmented!N30</f>
        <v>0</v>
      </c>
      <c r="M32">
        <f>Segmented!O30*Deflator</f>
        <v>0</v>
      </c>
      <c r="N32">
        <f>Segmented!P30</f>
        <v>0</v>
      </c>
      <c r="O32">
        <f>Segmented!Q30</f>
        <v>0</v>
      </c>
      <c r="P32" t="str">
        <f>IF(Segmented!R30="ResDHW","R-All-WH-ERWH-All-All-R",IF(Segmented!R30="ResDRY","R-All-Plug-Dryer-All-All-R",""))</f>
        <v/>
      </c>
      <c r="Q32" t="s">
        <v>233</v>
      </c>
    </row>
    <row r="33" spans="1:131">
      <c r="A33" t="str">
        <f>CONCATENATE(Segmented!A31," ",Segmented!C31)</f>
        <v>Manufactured CEE Tier 2 Clothes Washer - Any DHW, Any Dryer - 54% ENERGY STAR Baseline</v>
      </c>
      <c r="B33" t="str">
        <f>Segmented!D31</f>
        <v>Waste Water Energy</v>
      </c>
      <c r="C33" s="48">
        <f ca="1">Segmented!E31</f>
        <v>1.0589679884816285</v>
      </c>
      <c r="D33">
        <f>Segmented!F31</f>
        <v>14</v>
      </c>
      <c r="E33" s="505">
        <f>Segmented!G31*Deflator</f>
        <v>0</v>
      </c>
      <c r="F33">
        <f>Segmented!H31*Deflator</f>
        <v>0</v>
      </c>
      <c r="G33" t="str">
        <f>IF(Segmented!I31="ResWASH","R-All-WH-Cwash-All-All-R",IF(Segmented!I31="ResDRY","R-All-Plug-Dryer-All-All-R","C-W-Ref-Vent-All-All-C"))</f>
        <v>C-W-Ref-Vent-All-All-C</v>
      </c>
      <c r="H33">
        <f ca="1">Segmented!J31*Deflator</f>
        <v>4.4066538251998795</v>
      </c>
      <c r="I33">
        <f>Segmented!K31*Deflator</f>
        <v>0</v>
      </c>
      <c r="J33">
        <f>Segmented!L31</f>
        <v>0</v>
      </c>
      <c r="K33">
        <f>Segmented!M31*Deflator</f>
        <v>0</v>
      </c>
      <c r="L33">
        <f>Segmented!N31</f>
        <v>0</v>
      </c>
      <c r="M33">
        <f>Segmented!O31*Deflator</f>
        <v>0</v>
      </c>
      <c r="N33">
        <f>Segmented!P31</f>
        <v>0</v>
      </c>
      <c r="O33">
        <f>Segmented!Q31</f>
        <v>0</v>
      </c>
      <c r="P33" t="str">
        <f>IF(Segmented!R31="ResDHW","R-All-WH-ERWH-All-All-R",IF(Segmented!R31="ResDRY","R-All-Plug-Dryer-All-All-R",""))</f>
        <v/>
      </c>
      <c r="Q33" t="s">
        <v>233</v>
      </c>
    </row>
    <row r="34" spans="1:131">
      <c r="A34" t="str">
        <f>CONCATENATE(Segmented!A32," ",Segmented!C32)</f>
        <v>Manufactured CEE Tier 3 Clothes Washer - Any DHW, Any Dryer - 54% ENERGY STAR Baseline</v>
      </c>
      <c r="B34" t="str">
        <f>Segmented!D32</f>
        <v>Waste Water Energy</v>
      </c>
      <c r="C34" s="48">
        <f ca="1">Segmented!E32</f>
        <v>9.1465565223937784E-2</v>
      </c>
      <c r="D34">
        <f>Segmented!F32</f>
        <v>14</v>
      </c>
      <c r="E34" s="505">
        <f>Segmented!G32*Deflator</f>
        <v>0</v>
      </c>
      <c r="F34">
        <f>Segmented!H32*Deflator</f>
        <v>0</v>
      </c>
      <c r="G34" t="str">
        <f>IF(Segmented!I32="ResWASH","R-All-WH-Cwash-All-All-R",IF(Segmented!I32="ResDRY","R-All-Plug-Dryer-All-All-R","C-W-Ref-Vent-All-All-C"))</f>
        <v>C-W-Ref-Vent-All-All-C</v>
      </c>
      <c r="H34">
        <f ca="1">Segmented!J32*Deflator</f>
        <v>0.38061309430707385</v>
      </c>
      <c r="I34">
        <f>Segmented!K32*Deflator</f>
        <v>0</v>
      </c>
      <c r="J34">
        <f>Segmented!L32</f>
        <v>0</v>
      </c>
      <c r="K34">
        <f>Segmented!M32*Deflator</f>
        <v>0</v>
      </c>
      <c r="L34">
        <f>Segmented!N32</f>
        <v>0</v>
      </c>
      <c r="M34">
        <f>Segmented!O32*Deflator</f>
        <v>0</v>
      </c>
      <c r="N34">
        <f>Segmented!P32</f>
        <v>0</v>
      </c>
      <c r="O34">
        <f>Segmented!Q32</f>
        <v>0</v>
      </c>
      <c r="P34" t="str">
        <f>IF(Segmented!R32="ResDHW","R-All-WH-ERWH-All-All-R",IF(Segmented!R32="ResDRY","R-All-Plug-Dryer-All-All-R",""))</f>
        <v/>
      </c>
      <c r="Q34" t="s">
        <v>233</v>
      </c>
    </row>
    <row r="35" spans="1:131">
      <c r="A35" t="str">
        <f>CONCATENATE(Segmented!A33," ",Segmented!C33)</f>
        <v>Multifamily - High Rise CEE Tier 1 Clothes Washer - Any DHW, Any Dryer - 54% ENERGY STAR Baseline</v>
      </c>
      <c r="B35" t="str">
        <f>Segmented!D33</f>
        <v>Washer Savings</v>
      </c>
      <c r="C35" s="48">
        <f ca="1">Segmented!E33</f>
        <v>13.420513804370698</v>
      </c>
      <c r="D35">
        <f>Segmented!F33</f>
        <v>14</v>
      </c>
      <c r="E35" s="505">
        <f ca="1">Segmented!G33*Deflator</f>
        <v>139.81935250031893</v>
      </c>
      <c r="F35">
        <f>Segmented!H33*Deflator</f>
        <v>0</v>
      </c>
      <c r="G35" t="str">
        <f>IF(Segmented!I33="ResWASH","R-All-WH-Cwash-All-All-R",IF(Segmented!I33="ResDRY","R-All-Plug-Dryer-All-All-R","C-W-Ref-Vent-All-All-C"))</f>
        <v>R-All-WH-Cwash-All-All-R</v>
      </c>
      <c r="H35">
        <f ca="1">Segmented!J33*Deflator</f>
        <v>7.2146794625471244</v>
      </c>
      <c r="I35">
        <f>Segmented!K33*Deflator</f>
        <v>0</v>
      </c>
      <c r="J35">
        <f>Segmented!L33</f>
        <v>0</v>
      </c>
      <c r="K35">
        <f>Segmented!M33*Deflator</f>
        <v>0</v>
      </c>
      <c r="L35">
        <f>Segmented!N33</f>
        <v>0</v>
      </c>
      <c r="M35">
        <f>Segmented!O33*Deflator</f>
        <v>0</v>
      </c>
      <c r="N35">
        <f>Segmented!P33</f>
        <v>0</v>
      </c>
      <c r="O35">
        <f ca="1">Segmented!Q33</f>
        <v>0.38507341368346421</v>
      </c>
      <c r="P35" t="str">
        <f>IF(Segmented!R33="ResDHW","R-All-WH-ERWH-All-All-R",IF(Segmented!R33="ResDRY","R-All-Plug-Dryer-All-All-R",""))</f>
        <v>R-All-WH-ERWH-All-All-R</v>
      </c>
      <c r="Q35" t="s">
        <v>233</v>
      </c>
    </row>
    <row r="36" spans="1:131">
      <c r="A36" t="str">
        <f>CONCATENATE(Segmented!A34," ",Segmented!C34)</f>
        <v>Multifamily - High Rise CEE Tier 2 Clothes Washer - Any DHW, Any Dryer - 54% ENERGY STAR Baseline</v>
      </c>
      <c r="B36" t="str">
        <f>Segmented!D34</f>
        <v>Washer Savings</v>
      </c>
      <c r="C36" s="48">
        <f ca="1">Segmented!E34</f>
        <v>7.6161264854408284</v>
      </c>
      <c r="D36">
        <f>Segmented!F34</f>
        <v>14</v>
      </c>
      <c r="E36" s="505">
        <f ca="1">Segmented!G34*Deflator</f>
        <v>54.906335711206673</v>
      </c>
      <c r="F36">
        <f>Segmented!H34*Deflator</f>
        <v>0</v>
      </c>
      <c r="G36" t="str">
        <f>IF(Segmented!I34="ResWASH","R-All-WH-Cwash-All-All-R",IF(Segmented!I34="ResDRY","R-All-Plug-Dryer-All-All-R","C-W-Ref-Vent-All-All-C"))</f>
        <v>R-All-WH-Cwash-All-All-R</v>
      </c>
      <c r="H36">
        <f ca="1">Segmented!J34*Deflator</f>
        <v>3.3671956362079096</v>
      </c>
      <c r="I36">
        <f>Segmented!K34*Deflator</f>
        <v>0</v>
      </c>
      <c r="J36">
        <f>Segmented!L34</f>
        <v>0</v>
      </c>
      <c r="K36">
        <f>Segmented!M34*Deflator</f>
        <v>0</v>
      </c>
      <c r="L36">
        <f>Segmented!N34</f>
        <v>0</v>
      </c>
      <c r="M36">
        <f>Segmented!O34*Deflator</f>
        <v>0</v>
      </c>
      <c r="N36">
        <f>Segmented!P34</f>
        <v>0</v>
      </c>
      <c r="O36">
        <f ca="1">Segmented!Q34</f>
        <v>0.19401942602722239</v>
      </c>
      <c r="P36" t="str">
        <f>IF(Segmented!R34="ResDHW","R-All-WH-ERWH-All-All-R",IF(Segmented!R34="ResDRY","R-All-Plug-Dryer-All-All-R",""))</f>
        <v>R-All-WH-ERWH-All-All-R</v>
      </c>
      <c r="Q36" t="s">
        <v>233</v>
      </c>
    </row>
    <row r="37" spans="1:131">
      <c r="A37" t="str">
        <f>CONCATENATE(Segmented!A35," ",Segmented!C35)</f>
        <v>Multifamily - High Rise CEE Tier 3 Clothes Washer - Any DHW, Any Dryer - 54% ENERGY STAR Baseline</v>
      </c>
      <c r="B37" t="str">
        <f>Segmented!D35</f>
        <v>Washer Savings</v>
      </c>
      <c r="C37" s="48">
        <f ca="1">Segmented!E35</f>
        <v>1.4130617083715187</v>
      </c>
      <c r="D37">
        <f>Segmented!F35</f>
        <v>14</v>
      </c>
      <c r="E37" s="505">
        <f ca="1">Segmented!G35*Deflator</f>
        <v>0</v>
      </c>
      <c r="F37">
        <f>Segmented!H35*Deflator</f>
        <v>0</v>
      </c>
      <c r="G37" t="str">
        <f>IF(Segmented!I35="ResWASH","R-All-WH-Cwash-All-All-R",IF(Segmented!I35="ResDRY","R-All-Plug-Dryer-All-All-R","C-W-Ref-Vent-All-All-C"))</f>
        <v>R-All-WH-Cwash-All-All-R</v>
      </c>
      <c r="H37">
        <f ca="1">Segmented!J35*Deflator</f>
        <v>0.29083263652467056</v>
      </c>
      <c r="I37">
        <f>Segmented!K35*Deflator</f>
        <v>0</v>
      </c>
      <c r="J37">
        <f>Segmented!L35</f>
        <v>0</v>
      </c>
      <c r="K37">
        <f>Segmented!M35*Deflator</f>
        <v>0</v>
      </c>
      <c r="L37">
        <f>Segmented!N35</f>
        <v>0</v>
      </c>
      <c r="M37">
        <f>Segmented!O35*Deflator</f>
        <v>0</v>
      </c>
      <c r="N37">
        <f>Segmented!P35</f>
        <v>0</v>
      </c>
      <c r="O37">
        <f ca="1">Segmented!Q35</f>
        <v>2.8130810286325469E-2</v>
      </c>
      <c r="P37" t="str">
        <f>IF(Segmented!R35="ResDHW","R-All-WH-ERWH-All-All-R",IF(Segmented!R35="ResDRY","R-All-Plug-Dryer-All-All-R",""))</f>
        <v>R-All-WH-ERWH-All-All-R</v>
      </c>
      <c r="Q37" t="s">
        <v>233</v>
      </c>
    </row>
    <row r="38" spans="1:131">
      <c r="A38" t="str">
        <f>CONCATENATE(Segmented!A36," ",Segmented!C36)</f>
        <v>Multifamily - High Rise CEE Tier 1 Clothes Washer - Any DHW, Any Dryer - 54% ENERGY STAR Baseline</v>
      </c>
      <c r="B38" t="str">
        <f>Segmented!D36</f>
        <v>Dryer Savings</v>
      </c>
      <c r="C38" s="48">
        <f ca="1">Segmented!E36</f>
        <v>33.614929913688762</v>
      </c>
      <c r="D38">
        <f>Segmented!F36</f>
        <v>14</v>
      </c>
      <c r="E38" s="505">
        <f>Segmented!G36*Deflator</f>
        <v>0</v>
      </c>
      <c r="F38">
        <f>Segmented!H36*Deflator</f>
        <v>0</v>
      </c>
      <c r="G38" t="str">
        <f>IF(Segmented!I36="ResWASH","R-All-WH-Cwash-All-All-R",IF(Segmented!I36="ResDRY","R-All-Plug-Dryer-All-All-R","C-W-Ref-Vent-All-All-C"))</f>
        <v>R-All-Plug-Dryer-All-All-R</v>
      </c>
      <c r="H38">
        <f>Segmented!J36*Deflator</f>
        <v>0</v>
      </c>
      <c r="I38">
        <f>Segmented!K36*Deflator</f>
        <v>0</v>
      </c>
      <c r="J38">
        <f>Segmented!L36</f>
        <v>0</v>
      </c>
      <c r="K38">
        <f>Segmented!M36*Deflator</f>
        <v>0</v>
      </c>
      <c r="L38">
        <f>Segmented!N36</f>
        <v>0</v>
      </c>
      <c r="M38">
        <f>Segmented!O36*Deflator</f>
        <v>0</v>
      </c>
      <c r="N38">
        <f>Segmented!P36</f>
        <v>0</v>
      </c>
      <c r="O38">
        <f ca="1">Segmented!Q36</f>
        <v>6.762899288993178E-2</v>
      </c>
      <c r="P38" t="str">
        <f>IF(Segmented!R36="ResDHW","R-All-WH-ERWH-All-All-R",IF(Segmented!R36="ResDRY","R-All-Plug-Dryer-All-All-R",""))</f>
        <v>R-All-Plug-Dryer-All-All-R</v>
      </c>
      <c r="Q38" t="s">
        <v>233</v>
      </c>
    </row>
    <row r="39" spans="1:131">
      <c r="A39" t="str">
        <f>CONCATENATE(Segmented!A37," ",Segmented!C37)</f>
        <v>Multifamily - High Rise CEE Tier 2 Clothes Washer - Any DHW, Any Dryer - 54% ENERGY STAR Baseline</v>
      </c>
      <c r="B39" t="str">
        <f>Segmented!D37</f>
        <v>Dryer Savings</v>
      </c>
      <c r="C39" s="48">
        <f ca="1">Segmented!E37</f>
        <v>20.546071491444344</v>
      </c>
      <c r="D39">
        <f>Segmented!F37</f>
        <v>14</v>
      </c>
      <c r="E39" s="505">
        <f>Segmented!G37*Deflator</f>
        <v>0</v>
      </c>
      <c r="F39">
        <f>Segmented!H37*Deflator</f>
        <v>0</v>
      </c>
      <c r="G39" t="str">
        <f>IF(Segmented!I37="ResWASH","R-All-WH-Cwash-All-All-R",IF(Segmented!I37="ResDRY","R-All-Plug-Dryer-All-All-R","C-W-Ref-Vent-All-All-C"))</f>
        <v>R-All-Plug-Dryer-All-All-R</v>
      </c>
      <c r="H39">
        <f>Segmented!J37*Deflator</f>
        <v>0</v>
      </c>
      <c r="I39">
        <f>Segmented!K37*Deflator</f>
        <v>0</v>
      </c>
      <c r="J39">
        <f>Segmented!L37</f>
        <v>0</v>
      </c>
      <c r="K39">
        <f>Segmented!M37*Deflator</f>
        <v>0</v>
      </c>
      <c r="L39">
        <f>Segmented!N37</f>
        <v>0</v>
      </c>
      <c r="M39">
        <f>Segmented!O37*Deflator</f>
        <v>0</v>
      </c>
      <c r="N39">
        <f>Segmented!P37</f>
        <v>0</v>
      </c>
      <c r="O39">
        <f ca="1">Segmented!Q37</f>
        <v>4.1336100547544982E-2</v>
      </c>
      <c r="P39" t="str">
        <f>IF(Segmented!R37="ResDHW","R-All-WH-ERWH-All-All-R",IF(Segmented!R37="ResDRY","R-All-Plug-Dryer-All-All-R",""))</f>
        <v>R-All-Plug-Dryer-All-All-R</v>
      </c>
      <c r="Q39" t="s">
        <v>233</v>
      </c>
    </row>
    <row r="40" spans="1:131">
      <c r="A40" t="str">
        <f>CONCATENATE(Segmented!A38," ",Segmented!C38)</f>
        <v>Multifamily - High Rise CEE Tier 3 Clothes Washer - Any DHW, Any Dryer - 54% ENERGY STAR Baseline</v>
      </c>
      <c r="B40" t="str">
        <f>Segmented!D38</f>
        <v>Dryer Savings</v>
      </c>
      <c r="C40" s="48">
        <f ca="1">Segmented!E38</f>
        <v>13.697550748450809</v>
      </c>
      <c r="D40">
        <f>Segmented!F38</f>
        <v>14</v>
      </c>
      <c r="E40" s="505">
        <f>Segmented!G38*Deflator</f>
        <v>0</v>
      </c>
      <c r="F40">
        <f>Segmented!H38*Deflator</f>
        <v>0</v>
      </c>
      <c r="G40" t="str">
        <f>IF(Segmented!I38="ResWASH","R-All-WH-Cwash-All-All-R",IF(Segmented!I38="ResDRY","R-All-Plug-Dryer-All-All-R","C-W-Ref-Vent-All-All-C"))</f>
        <v>R-All-Plug-Dryer-All-All-R</v>
      </c>
      <c r="H40">
        <f>Segmented!J38*Deflator</f>
        <v>0</v>
      </c>
      <c r="I40">
        <f>Segmented!K38*Deflator</f>
        <v>0</v>
      </c>
      <c r="J40">
        <f>Segmented!L38</f>
        <v>0</v>
      </c>
      <c r="K40">
        <f>Segmented!M38*Deflator</f>
        <v>0</v>
      </c>
      <c r="L40">
        <f>Segmented!N38</f>
        <v>0</v>
      </c>
      <c r="M40">
        <f>Segmented!O38*Deflator</f>
        <v>0</v>
      </c>
      <c r="N40">
        <f>Segmented!P38</f>
        <v>0</v>
      </c>
      <c r="O40">
        <f ca="1">Segmented!Q38</f>
        <v>2.7557741888946413E-2</v>
      </c>
      <c r="P40" t="str">
        <f>IF(Segmented!R38="ResDHW","R-All-WH-ERWH-All-All-R",IF(Segmented!R38="ResDRY","R-All-Plug-Dryer-All-All-R",""))</f>
        <v>R-All-Plug-Dryer-All-All-R</v>
      </c>
      <c r="Q40" t="s">
        <v>233</v>
      </c>
    </row>
    <row r="41" spans="1:131">
      <c r="A41" t="str">
        <f>CONCATENATE(Segmented!A39," ",Segmented!C39)</f>
        <v>Multifamily - High Rise CEE Tier 1 Clothes Washer - Any DHW, Any Dryer - 54% ENERGY STAR Baseline</v>
      </c>
      <c r="B41" t="str">
        <f>Segmented!D39</f>
        <v>Waste Water Energy</v>
      </c>
      <c r="C41" s="48">
        <f ca="1">Segmented!E39</f>
        <v>2.2689844676199051</v>
      </c>
      <c r="D41">
        <f>Segmented!F39</f>
        <v>14</v>
      </c>
      <c r="E41" s="505">
        <f>Segmented!G39*Deflator</f>
        <v>0</v>
      </c>
      <c r="F41">
        <f>Segmented!H39*Deflator</f>
        <v>0</v>
      </c>
      <c r="G41" t="str">
        <f>IF(Segmented!I39="ResWASH","R-All-WH-Cwash-All-All-R",IF(Segmented!I39="ResDRY","R-All-Plug-Dryer-All-All-R","C-W-Ref-Vent-All-All-C"))</f>
        <v>C-W-Ref-Vent-All-All-C</v>
      </c>
      <c r="H41">
        <f ca="1">Segmented!J39*Deflator</f>
        <v>9.441861503191058</v>
      </c>
      <c r="I41">
        <f>Segmented!K39*Deflator</f>
        <v>0</v>
      </c>
      <c r="J41">
        <f>Segmented!L39</f>
        <v>0</v>
      </c>
      <c r="K41">
        <f>Segmented!M39*Deflator</f>
        <v>0</v>
      </c>
      <c r="L41">
        <f>Segmented!N39</f>
        <v>0</v>
      </c>
      <c r="M41">
        <f>Segmented!O39*Deflator</f>
        <v>0</v>
      </c>
      <c r="N41">
        <f>Segmented!P39</f>
        <v>0</v>
      </c>
      <c r="O41">
        <f>Segmented!Q39</f>
        <v>0</v>
      </c>
      <c r="P41" t="str">
        <f>IF(Segmented!R39="ResDHW","R-All-WH-ERWH-All-All-R",IF(Segmented!R39="ResDRY","R-All-Plug-Dryer-All-All-R",""))</f>
        <v/>
      </c>
      <c r="Q41" t="s">
        <v>233</v>
      </c>
    </row>
    <row r="42" spans="1:131">
      <c r="A42" t="str">
        <f>CONCATENATE(Segmented!A40," ",Segmented!C40)</f>
        <v>Multifamily - High Rise CEE Tier 2 Clothes Washer - Any DHW, Any Dryer - 54% ENERGY STAR Baseline</v>
      </c>
      <c r="B42" t="str">
        <f>Segmented!D40</f>
        <v>Waste Water Energy</v>
      </c>
      <c r="C42" s="48">
        <f ca="1">Segmented!E40</f>
        <v>1.0589679884816285</v>
      </c>
      <c r="D42">
        <f>Segmented!F40</f>
        <v>14</v>
      </c>
      <c r="E42" s="505">
        <f>Segmented!G40*Deflator</f>
        <v>0</v>
      </c>
      <c r="F42">
        <f>Segmented!H40*Deflator</f>
        <v>0</v>
      </c>
      <c r="G42" t="str">
        <f>IF(Segmented!I40="ResWASH","R-All-WH-Cwash-All-All-R",IF(Segmented!I40="ResDRY","R-All-Plug-Dryer-All-All-R","C-W-Ref-Vent-All-All-C"))</f>
        <v>C-W-Ref-Vent-All-All-C</v>
      </c>
      <c r="H42">
        <f ca="1">Segmented!J40*Deflator</f>
        <v>4.4066538251998795</v>
      </c>
      <c r="I42">
        <f>Segmented!K40*Deflator</f>
        <v>0</v>
      </c>
      <c r="J42">
        <f>Segmented!L40</f>
        <v>0</v>
      </c>
      <c r="K42">
        <f>Segmented!M40*Deflator</f>
        <v>0</v>
      </c>
      <c r="L42">
        <f>Segmented!N40</f>
        <v>0</v>
      </c>
      <c r="M42">
        <f>Segmented!O40*Deflator</f>
        <v>0</v>
      </c>
      <c r="N42">
        <f>Segmented!P40</f>
        <v>0</v>
      </c>
      <c r="O42">
        <f>Segmented!Q40</f>
        <v>0</v>
      </c>
      <c r="P42" t="str">
        <f>IF(Segmented!R40="ResDHW","R-All-WH-ERWH-All-All-R",IF(Segmented!R40="ResDRY","R-All-Plug-Dryer-All-All-R",""))</f>
        <v/>
      </c>
      <c r="Q42" t="s">
        <v>233</v>
      </c>
    </row>
    <row r="43" spans="1:131">
      <c r="A43" t="str">
        <f>CONCATENATE(Segmented!A41," ",Segmented!C41)</f>
        <v>Multifamily - High Rise CEE Tier 3 Clothes Washer - Any DHW, Any Dryer - 54% ENERGY STAR Baseline</v>
      </c>
      <c r="B43" t="str">
        <f>Segmented!D41</f>
        <v>Waste Water Energy</v>
      </c>
      <c r="C43" s="48">
        <f ca="1">Segmented!E41</f>
        <v>9.1465565223937784E-2</v>
      </c>
      <c r="D43">
        <f>Segmented!F41</f>
        <v>14</v>
      </c>
      <c r="E43" s="505">
        <f>Segmented!G41*Deflator</f>
        <v>0</v>
      </c>
      <c r="F43">
        <f>Segmented!H41*Deflator</f>
        <v>0</v>
      </c>
      <c r="G43" t="str">
        <f>IF(Segmented!I41="ResWASH","R-All-WH-Cwash-All-All-R",IF(Segmented!I41="ResDRY","R-All-Plug-Dryer-All-All-R","C-W-Ref-Vent-All-All-C"))</f>
        <v>C-W-Ref-Vent-All-All-C</v>
      </c>
      <c r="H43">
        <f ca="1">Segmented!J41*Deflator</f>
        <v>0.38061309430707385</v>
      </c>
      <c r="I43">
        <f>Segmented!K41*Deflator</f>
        <v>0</v>
      </c>
      <c r="J43">
        <f>Segmented!L41</f>
        <v>0</v>
      </c>
      <c r="K43">
        <f>Segmented!M41*Deflator</f>
        <v>0</v>
      </c>
      <c r="L43">
        <f>Segmented!N41</f>
        <v>0</v>
      </c>
      <c r="M43">
        <f>Segmented!O41*Deflator</f>
        <v>0</v>
      </c>
      <c r="N43">
        <f>Segmented!P41</f>
        <v>0</v>
      </c>
      <c r="O43">
        <f>Segmented!Q41</f>
        <v>0</v>
      </c>
      <c r="P43" t="str">
        <f>IF(Segmented!R41="ResDHW","R-All-WH-ERWH-All-All-R",IF(Segmented!R41="ResDRY","R-All-Plug-Dryer-All-All-R",""))</f>
        <v/>
      </c>
      <c r="Q43" t="s">
        <v>233</v>
      </c>
    </row>
    <row r="44" spans="1:131">
      <c r="A44" t="str">
        <f>CONCATENATE(Segmented!A42," ",Segmented!C42)</f>
        <v xml:space="preserve"> </v>
      </c>
    </row>
    <row r="47" spans="1:13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row>
    <row r="48" spans="1:131" s="9" customFormat="1">
      <c r="A48" s="762" t="s">
        <v>1363</v>
      </c>
      <c r="B48" s="763"/>
    </row>
    <row r="49" spans="1:131" s="9" customFormat="1">
      <c r="A49" s="9" t="s">
        <v>1364</v>
      </c>
      <c r="B49" s="9" t="s">
        <v>1365</v>
      </c>
    </row>
    <row r="50" spans="1:131" s="9" customFormat="1">
      <c r="A50" s="9" t="s">
        <v>1366</v>
      </c>
      <c r="B50" s="9" t="s">
        <v>1652</v>
      </c>
    </row>
    <row r="51" spans="1:131" s="9" customFormat="1"/>
    <row r="52" spans="1:131" s="9" customFormat="1" ht="13.5" thickBot="1">
      <c r="A52" s="34" t="s">
        <v>1367</v>
      </c>
      <c r="B52" s="764"/>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35"/>
    </row>
    <row r="53" spans="1:131" s="9" customFormat="1">
      <c r="B53" s="765" t="s">
        <v>1368</v>
      </c>
      <c r="C53" s="766"/>
      <c r="D53" s="766" t="s">
        <v>1368</v>
      </c>
      <c r="E53" s="767"/>
      <c r="G53" s="765" t="s">
        <v>1369</v>
      </c>
      <c r="H53" s="766"/>
      <c r="I53" s="766"/>
      <c r="J53" s="766"/>
      <c r="K53" s="766"/>
      <c r="L53" s="766"/>
      <c r="M53" s="766"/>
      <c r="N53" s="766"/>
      <c r="O53" s="767"/>
      <c r="Q53" s="765" t="s">
        <v>1370</v>
      </c>
      <c r="R53" s="766"/>
      <c r="S53" s="766"/>
      <c r="T53" s="766"/>
      <c r="U53" s="767"/>
      <c r="W53" s="765" t="s">
        <v>1371</v>
      </c>
      <c r="X53" s="767"/>
      <c r="Z53" s="765" t="s">
        <v>1372</v>
      </c>
      <c r="AA53" s="766"/>
      <c r="AB53" s="767"/>
    </row>
    <row r="54" spans="1:131">
      <c r="A54" s="9"/>
      <c r="B54" s="768" t="s">
        <v>1373</v>
      </c>
      <c r="C54" s="769" t="s">
        <v>1374</v>
      </c>
      <c r="D54" s="769" t="s">
        <v>1373</v>
      </c>
      <c r="E54" s="770" t="s">
        <v>1374</v>
      </c>
      <c r="F54" s="9"/>
      <c r="G54" s="768" t="s">
        <v>1375</v>
      </c>
      <c r="H54" s="769" t="s">
        <v>1376</v>
      </c>
      <c r="I54" s="769"/>
      <c r="J54" s="769"/>
      <c r="K54" s="769" t="s">
        <v>1377</v>
      </c>
      <c r="L54" s="769"/>
      <c r="M54" s="769"/>
      <c r="N54" s="769"/>
      <c r="O54" s="770"/>
      <c r="P54" s="9"/>
      <c r="Q54" s="768"/>
      <c r="R54" s="769" t="s">
        <v>1378</v>
      </c>
      <c r="S54" s="769" t="s">
        <v>1379</v>
      </c>
      <c r="T54" s="769" t="s">
        <v>1380</v>
      </c>
      <c r="U54" s="770" t="s">
        <v>1381</v>
      </c>
      <c r="V54" s="9"/>
      <c r="W54" s="768" t="s">
        <v>1382</v>
      </c>
      <c r="X54" s="770">
        <v>20</v>
      </c>
      <c r="Y54" s="9"/>
      <c r="Z54" s="768"/>
      <c r="AA54" s="769" t="s">
        <v>1374</v>
      </c>
      <c r="AB54" s="770" t="s">
        <v>1383</v>
      </c>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row>
    <row r="55" spans="1:131">
      <c r="A55" s="9"/>
      <c r="B55" s="768" t="s">
        <v>1384</v>
      </c>
      <c r="C55" s="769" t="s">
        <v>1385</v>
      </c>
      <c r="D55" s="769" t="s">
        <v>1384</v>
      </c>
      <c r="E55" s="770" t="s">
        <v>1385</v>
      </c>
      <c r="F55" s="9"/>
      <c r="G55" s="768" t="s">
        <v>1386</v>
      </c>
      <c r="H55" s="769" t="s">
        <v>1387</v>
      </c>
      <c r="I55" s="769"/>
      <c r="J55" s="769"/>
      <c r="K55" s="769" t="s">
        <v>1388</v>
      </c>
      <c r="L55" s="769"/>
      <c r="M55" s="769"/>
      <c r="N55" s="769"/>
      <c r="O55" s="770"/>
      <c r="P55" s="9"/>
      <c r="Q55" s="768" t="s">
        <v>1389</v>
      </c>
      <c r="R55" s="769">
        <v>4.3096045197740109E-2</v>
      </c>
      <c r="S55" s="769">
        <v>4.387844424080023E-2</v>
      </c>
      <c r="T55" s="769">
        <v>5.3289007766645871E-2</v>
      </c>
      <c r="U55" s="770">
        <v>5.447903102274565E-2</v>
      </c>
      <c r="V55" s="9"/>
      <c r="W55" s="768" t="s">
        <v>1390</v>
      </c>
      <c r="X55" s="770">
        <v>2016</v>
      </c>
      <c r="Y55" s="9"/>
      <c r="Z55" s="768" t="s">
        <v>1391</v>
      </c>
      <c r="AA55" s="769">
        <v>4.03890184699085E-3</v>
      </c>
      <c r="AB55" s="770">
        <v>0.01</v>
      </c>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row>
    <row r="56" spans="1:131">
      <c r="A56" s="9"/>
      <c r="B56" s="768" t="s">
        <v>1392</v>
      </c>
      <c r="C56" s="769" t="s">
        <v>1393</v>
      </c>
      <c r="D56" s="769" t="s">
        <v>1392</v>
      </c>
      <c r="E56" s="770" t="s">
        <v>1393</v>
      </c>
      <c r="F56" s="9"/>
      <c r="G56" s="768" t="s">
        <v>1394</v>
      </c>
      <c r="H56" s="769" t="s">
        <v>1395</v>
      </c>
      <c r="I56" s="769"/>
      <c r="J56" s="769"/>
      <c r="K56" s="769" t="s">
        <v>1396</v>
      </c>
      <c r="L56" s="769"/>
      <c r="M56" s="769"/>
      <c r="N56" s="769"/>
      <c r="O56" s="770"/>
      <c r="P56" s="9"/>
      <c r="Q56" s="768" t="s">
        <v>1397</v>
      </c>
      <c r="R56" s="769">
        <v>12</v>
      </c>
      <c r="S56" s="769">
        <v>12</v>
      </c>
      <c r="T56" s="769">
        <v>1</v>
      </c>
      <c r="U56" s="770">
        <v>1</v>
      </c>
      <c r="V56" s="9"/>
      <c r="W56" s="768" t="s">
        <v>1398</v>
      </c>
      <c r="X56" s="770">
        <v>2016</v>
      </c>
      <c r="Y56" s="9"/>
      <c r="Z56" s="768" t="s">
        <v>1399</v>
      </c>
      <c r="AA56" s="769">
        <v>26</v>
      </c>
      <c r="AB56" s="770">
        <v>0</v>
      </c>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row>
    <row r="57" spans="1:131" ht="13.5" thickBot="1">
      <c r="A57" s="9"/>
      <c r="B57" s="771" t="s">
        <v>1400</v>
      </c>
      <c r="C57" s="772" t="s">
        <v>1393</v>
      </c>
      <c r="D57" s="772" t="s">
        <v>1400</v>
      </c>
      <c r="E57" s="773" t="s">
        <v>1393</v>
      </c>
      <c r="F57" s="9"/>
      <c r="G57" s="768" t="s">
        <v>1401</v>
      </c>
      <c r="H57" s="769" t="s">
        <v>1402</v>
      </c>
      <c r="I57" s="769"/>
      <c r="J57" s="769"/>
      <c r="K57" s="769" t="s">
        <v>1388</v>
      </c>
      <c r="L57" s="769"/>
      <c r="M57" s="769"/>
      <c r="N57" s="769"/>
      <c r="O57" s="770"/>
      <c r="P57" s="9"/>
      <c r="Q57" s="768"/>
      <c r="R57" s="769" t="s">
        <v>1378</v>
      </c>
      <c r="S57" s="769" t="s">
        <v>1379</v>
      </c>
      <c r="T57" s="769" t="s">
        <v>1380</v>
      </c>
      <c r="U57" s="770" t="s">
        <v>1381</v>
      </c>
      <c r="V57" s="9"/>
      <c r="W57" s="768" t="s">
        <v>1403</v>
      </c>
      <c r="X57" s="770">
        <v>2012</v>
      </c>
      <c r="Y57" s="9"/>
      <c r="Z57" s="768" t="s">
        <v>1404</v>
      </c>
      <c r="AA57" s="769">
        <v>0.9</v>
      </c>
      <c r="AB57" s="770" t="s">
        <v>1405</v>
      </c>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row>
    <row r="58" spans="1:131">
      <c r="A58" s="9"/>
      <c r="B58" s="9"/>
      <c r="C58" s="9"/>
      <c r="D58" s="9"/>
      <c r="E58" s="9"/>
      <c r="F58" s="9"/>
      <c r="G58" s="768" t="s">
        <v>1406</v>
      </c>
      <c r="H58" s="769" t="s">
        <v>1395</v>
      </c>
      <c r="I58" s="769"/>
      <c r="J58" s="769"/>
      <c r="K58" s="769"/>
      <c r="L58" s="769"/>
      <c r="M58" s="769"/>
      <c r="N58" s="769"/>
      <c r="O58" s="770"/>
      <c r="P58" s="9"/>
      <c r="Q58" s="768" t="s">
        <v>1407</v>
      </c>
      <c r="R58" s="769">
        <v>0.35</v>
      </c>
      <c r="S58" s="769">
        <v>0.19500000000000001</v>
      </c>
      <c r="T58" s="769">
        <v>0.45499999999999996</v>
      </c>
      <c r="U58" s="770">
        <v>0</v>
      </c>
      <c r="V58" s="9"/>
      <c r="W58" s="768" t="s">
        <v>1408</v>
      </c>
      <c r="X58" s="770">
        <v>0.04</v>
      </c>
      <c r="Y58" s="9"/>
      <c r="Z58" s="768" t="s">
        <v>1409</v>
      </c>
      <c r="AA58" s="769">
        <v>4.7399348199455904E-2</v>
      </c>
      <c r="AB58" s="770">
        <v>0</v>
      </c>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row>
    <row r="59" spans="1:131">
      <c r="A59" s="9"/>
      <c r="B59" s="9" t="s">
        <v>1410</v>
      </c>
      <c r="C59" s="9" t="s">
        <v>1374</v>
      </c>
      <c r="D59" s="9"/>
      <c r="E59" s="9"/>
      <c r="F59" s="9"/>
      <c r="G59" s="768" t="s">
        <v>1411</v>
      </c>
      <c r="H59" s="769" t="s">
        <v>1412</v>
      </c>
      <c r="I59" s="769"/>
      <c r="J59" s="769"/>
      <c r="K59" s="769" t="s">
        <v>1413</v>
      </c>
      <c r="L59" s="769"/>
      <c r="M59" s="769"/>
      <c r="N59" s="769"/>
      <c r="O59" s="770"/>
      <c r="P59" s="9"/>
      <c r="Q59" s="768" t="s">
        <v>1414</v>
      </c>
      <c r="R59" s="769">
        <v>1</v>
      </c>
      <c r="S59" s="769">
        <v>0</v>
      </c>
      <c r="T59" s="769">
        <v>0</v>
      </c>
      <c r="U59" s="770">
        <v>0</v>
      </c>
      <c r="V59" s="9"/>
      <c r="W59" s="768" t="s">
        <v>1415</v>
      </c>
      <c r="X59" s="770">
        <v>0</v>
      </c>
      <c r="Y59" s="9"/>
      <c r="Z59" s="768" t="s">
        <v>1416</v>
      </c>
      <c r="AA59" s="769">
        <v>31</v>
      </c>
      <c r="AB59" s="770">
        <v>0</v>
      </c>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row>
    <row r="60" spans="1:131">
      <c r="A60" s="9"/>
      <c r="B60" s="9" t="s">
        <v>1417</v>
      </c>
      <c r="C60" s="9" t="s">
        <v>1418</v>
      </c>
      <c r="D60" s="9"/>
      <c r="E60" s="9"/>
      <c r="F60" s="9"/>
      <c r="G60" s="768" t="s">
        <v>1419</v>
      </c>
      <c r="H60" s="769" t="s">
        <v>1413</v>
      </c>
      <c r="I60" s="769"/>
      <c r="J60" s="769"/>
      <c r="K60" s="769" t="s">
        <v>1420</v>
      </c>
      <c r="L60" s="769"/>
      <c r="M60" s="769"/>
      <c r="N60" s="769"/>
      <c r="O60" s="770"/>
      <c r="P60" s="9"/>
      <c r="Q60" s="768" t="s">
        <v>1421</v>
      </c>
      <c r="R60" s="769">
        <v>1</v>
      </c>
      <c r="S60" s="769">
        <v>0</v>
      </c>
      <c r="T60" s="769">
        <v>0</v>
      </c>
      <c r="U60" s="770">
        <v>0</v>
      </c>
      <c r="V60" s="9"/>
      <c r="W60" s="768" t="s">
        <v>1422</v>
      </c>
      <c r="X60" s="770">
        <v>0.2</v>
      </c>
      <c r="Y60" s="9"/>
      <c r="Z60" s="768" t="s">
        <v>1423</v>
      </c>
      <c r="AA60" s="769">
        <v>0.7</v>
      </c>
      <c r="AB60" s="770" t="s">
        <v>1405</v>
      </c>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row>
    <row r="61" spans="1:131">
      <c r="A61" s="9"/>
      <c r="B61" s="9" t="s">
        <v>1424</v>
      </c>
      <c r="C61" s="9" t="s">
        <v>1425</v>
      </c>
      <c r="D61" s="9"/>
      <c r="E61" s="9"/>
      <c r="F61" s="9"/>
      <c r="G61" s="768" t="s">
        <v>1426</v>
      </c>
      <c r="H61" s="769" t="s">
        <v>1420</v>
      </c>
      <c r="I61" s="769"/>
      <c r="J61" s="769"/>
      <c r="K61" s="769" t="s">
        <v>1427</v>
      </c>
      <c r="L61" s="769"/>
      <c r="M61" s="769"/>
      <c r="N61" s="769"/>
      <c r="O61" s="770"/>
      <c r="P61" s="9"/>
      <c r="Q61" s="768" t="s">
        <v>1428</v>
      </c>
      <c r="R61" s="769"/>
      <c r="S61" s="769">
        <v>0.3</v>
      </c>
      <c r="T61" s="769">
        <v>0.7</v>
      </c>
      <c r="U61" s="770">
        <v>0</v>
      </c>
      <c r="V61" s="9"/>
      <c r="W61" s="768" t="s">
        <v>1429</v>
      </c>
      <c r="X61" s="770">
        <v>0</v>
      </c>
      <c r="Y61" s="9"/>
      <c r="Z61" s="768" t="s">
        <v>1430</v>
      </c>
      <c r="AA61" s="769">
        <v>0</v>
      </c>
      <c r="AB61" s="770">
        <v>0</v>
      </c>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row>
    <row r="62" spans="1:131" ht="13.5" thickBot="1">
      <c r="A62" s="9"/>
      <c r="B62" s="9" t="s">
        <v>1431</v>
      </c>
      <c r="C62" s="9" t="s">
        <v>1432</v>
      </c>
      <c r="D62" s="9"/>
      <c r="E62" s="9"/>
      <c r="F62" s="9"/>
      <c r="G62" s="771" t="s">
        <v>1433</v>
      </c>
      <c r="H62" s="772" t="s">
        <v>1427</v>
      </c>
      <c r="I62" s="772"/>
      <c r="J62" s="772"/>
      <c r="K62" s="772"/>
      <c r="L62" s="772"/>
      <c r="M62" s="772"/>
      <c r="N62" s="772"/>
      <c r="O62" s="773"/>
      <c r="P62" s="9"/>
      <c r="Q62" s="771" t="s">
        <v>1434</v>
      </c>
      <c r="R62" s="772"/>
      <c r="S62" s="772">
        <v>20</v>
      </c>
      <c r="T62" s="772"/>
      <c r="U62" s="773"/>
      <c r="V62" s="9"/>
      <c r="W62" s="771" t="s">
        <v>1435</v>
      </c>
      <c r="X62" s="773">
        <v>2018</v>
      </c>
      <c r="Y62" s="9"/>
      <c r="Z62" s="771" t="s">
        <v>1436</v>
      </c>
      <c r="AA62" s="772">
        <v>0</v>
      </c>
      <c r="AB62" s="773">
        <v>0</v>
      </c>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row>
    <row r="63" spans="1:13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row>
    <row r="64" spans="1:13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row>
    <row r="65" spans="1:13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row>
    <row r="66" spans="1:13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row>
    <row r="67" spans="1:13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row>
    <row r="68" spans="1:13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row>
    <row r="69" spans="1:13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row>
    <row r="70" spans="1:131" ht="13.5" thickBot="1">
      <c r="A70" s="34" t="s">
        <v>1437</v>
      </c>
      <c r="B70" s="35"/>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row>
    <row r="71" spans="1:131" ht="26.25" thickBot="1">
      <c r="A71" s="774" t="s">
        <v>1438</v>
      </c>
      <c r="B71" s="775"/>
      <c r="C71" s="776" t="s">
        <v>1439</v>
      </c>
      <c r="D71" s="777"/>
      <c r="E71" s="777"/>
      <c r="F71" s="777"/>
      <c r="G71" s="777"/>
      <c r="H71" s="777"/>
      <c r="I71" s="777"/>
      <c r="J71" s="777"/>
      <c r="K71" s="778"/>
      <c r="L71" s="776" t="s">
        <v>1102</v>
      </c>
      <c r="M71" s="777"/>
      <c r="N71" s="777"/>
      <c r="O71" s="777"/>
      <c r="P71" s="777"/>
      <c r="Q71" s="778"/>
      <c r="R71" s="776" t="s">
        <v>1440</v>
      </c>
      <c r="S71" s="777"/>
      <c r="T71" s="777"/>
      <c r="U71" s="778"/>
      <c r="V71" s="776" t="s">
        <v>1441</v>
      </c>
      <c r="W71" s="777"/>
      <c r="X71" s="777"/>
      <c r="Y71" s="778"/>
      <c r="Z71" s="776" t="s">
        <v>1442</v>
      </c>
      <c r="AA71" s="777"/>
      <c r="AB71" s="777"/>
      <c r="AC71" s="778"/>
      <c r="AD71" s="776" t="s">
        <v>1443</v>
      </c>
      <c r="AE71" s="777"/>
      <c r="AF71" s="777"/>
      <c r="AG71" s="778"/>
      <c r="AH71" s="776" t="s">
        <v>1444</v>
      </c>
      <c r="AI71" s="777"/>
      <c r="AJ71" s="777"/>
      <c r="AK71" s="777"/>
      <c r="AL71" s="778"/>
      <c r="AM71" s="776" t="s">
        <v>1445</v>
      </c>
      <c r="AN71" s="777"/>
      <c r="AO71" s="777"/>
      <c r="AP71" s="777"/>
      <c r="AQ71" s="777"/>
      <c r="AR71" s="777"/>
      <c r="AS71" s="778"/>
      <c r="AT71" s="776" t="s">
        <v>1446</v>
      </c>
      <c r="AU71" s="777"/>
      <c r="AV71" s="777"/>
      <c r="AW71" s="777"/>
      <c r="AX71" s="777"/>
      <c r="AY71" s="777"/>
      <c r="AZ71" s="778"/>
      <c r="BA71" s="776" t="s">
        <v>1447</v>
      </c>
      <c r="BB71" s="777"/>
      <c r="BC71" s="777"/>
      <c r="BD71" s="777"/>
      <c r="BE71" s="777"/>
      <c r="BF71" s="778"/>
      <c r="BG71" s="776" t="s">
        <v>1448</v>
      </c>
      <c r="BH71" s="778"/>
      <c r="BI71" s="776" t="s">
        <v>1449</v>
      </c>
      <c r="BJ71" s="777"/>
      <c r="BK71" s="777"/>
      <c r="BL71" s="777"/>
      <c r="BM71" s="778"/>
      <c r="BN71" s="776" t="s">
        <v>1450</v>
      </c>
      <c r="BO71" s="777"/>
      <c r="BP71" s="777"/>
      <c r="BQ71" s="777"/>
      <c r="BR71" s="777"/>
      <c r="BS71" s="777"/>
      <c r="BT71" s="777"/>
      <c r="BU71" s="777"/>
      <c r="BV71" s="777"/>
      <c r="BW71" s="777"/>
      <c r="BX71" s="777"/>
      <c r="BY71" s="777"/>
      <c r="BZ71" s="777"/>
      <c r="CA71" s="777"/>
      <c r="CB71" s="777"/>
      <c r="CC71" s="778"/>
      <c r="CD71" s="776" t="s">
        <v>1451</v>
      </c>
      <c r="CE71" s="778"/>
      <c r="CF71" s="776" t="s">
        <v>1452</v>
      </c>
      <c r="CG71" s="777"/>
      <c r="CH71" s="777"/>
      <c r="CI71" s="777"/>
      <c r="CJ71" s="777"/>
      <c r="CK71" s="778"/>
      <c r="CL71" s="779"/>
      <c r="CM71" s="776" t="s">
        <v>5</v>
      </c>
      <c r="CN71" s="777"/>
      <c r="CO71" s="777"/>
      <c r="CP71" s="778"/>
      <c r="CQ71" s="776" t="s">
        <v>1453</v>
      </c>
      <c r="CR71" s="777"/>
      <c r="CS71" s="777"/>
      <c r="CT71" s="777"/>
      <c r="CU71" s="778"/>
      <c r="CV71" s="776" t="s">
        <v>1454</v>
      </c>
      <c r="CW71" s="778"/>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row>
    <row r="72" spans="1:131" ht="204">
      <c r="A72" s="37" t="s">
        <v>21</v>
      </c>
      <c r="B72" s="38" t="s">
        <v>22</v>
      </c>
      <c r="C72" s="39" t="s">
        <v>1149</v>
      </c>
      <c r="D72" s="39" t="s">
        <v>1455</v>
      </c>
      <c r="E72" s="39" t="s">
        <v>1456</v>
      </c>
      <c r="F72" s="39" t="s">
        <v>1457</v>
      </c>
      <c r="G72" s="39" t="s">
        <v>1458</v>
      </c>
      <c r="H72" s="39" t="s">
        <v>1459</v>
      </c>
      <c r="I72" s="39" t="s">
        <v>1460</v>
      </c>
      <c r="J72" s="39" t="s">
        <v>1461</v>
      </c>
      <c r="K72" s="39" t="s">
        <v>1462</v>
      </c>
      <c r="L72" s="39" t="s">
        <v>1463</v>
      </c>
      <c r="M72" s="39" t="s">
        <v>1464</v>
      </c>
      <c r="N72" s="39" t="s">
        <v>1465</v>
      </c>
      <c r="O72" s="39" t="s">
        <v>1466</v>
      </c>
      <c r="P72" s="39" t="s">
        <v>1467</v>
      </c>
      <c r="Q72" s="39" t="s">
        <v>1468</v>
      </c>
      <c r="R72" s="39" t="s">
        <v>1469</v>
      </c>
      <c r="S72" s="39" t="s">
        <v>1470</v>
      </c>
      <c r="T72" s="39" t="s">
        <v>1471</v>
      </c>
      <c r="U72" s="39" t="s">
        <v>1378</v>
      </c>
      <c r="V72" s="39" t="s">
        <v>1469</v>
      </c>
      <c r="W72" s="39" t="s">
        <v>1470</v>
      </c>
      <c r="X72" s="39" t="s">
        <v>1471</v>
      </c>
      <c r="Y72" s="39" t="s">
        <v>1378</v>
      </c>
      <c r="Z72" s="39" t="s">
        <v>1469</v>
      </c>
      <c r="AA72" s="39" t="s">
        <v>1470</v>
      </c>
      <c r="AB72" s="39" t="s">
        <v>1471</v>
      </c>
      <c r="AC72" s="39" t="s">
        <v>1378</v>
      </c>
      <c r="AD72" s="39" t="s">
        <v>1469</v>
      </c>
      <c r="AE72" s="39" t="s">
        <v>1470</v>
      </c>
      <c r="AF72" s="39" t="s">
        <v>1471</v>
      </c>
      <c r="AG72" s="39" t="s">
        <v>1378</v>
      </c>
      <c r="AH72" s="39" t="s">
        <v>1469</v>
      </c>
      <c r="AI72" s="39" t="s">
        <v>1470</v>
      </c>
      <c r="AJ72" s="39" t="s">
        <v>1471</v>
      </c>
      <c r="AK72" s="39" t="s">
        <v>1378</v>
      </c>
      <c r="AL72" s="39" t="s">
        <v>1209</v>
      </c>
      <c r="AM72" s="39" t="s">
        <v>1472</v>
      </c>
      <c r="AN72" s="39" t="s">
        <v>1473</v>
      </c>
      <c r="AO72" s="39" t="s">
        <v>1474</v>
      </c>
      <c r="AP72" s="39" t="s">
        <v>1475</v>
      </c>
      <c r="AQ72" s="39" t="s">
        <v>1476</v>
      </c>
      <c r="AR72" s="39" t="s">
        <v>1477</v>
      </c>
      <c r="AS72" s="39" t="s">
        <v>1478</v>
      </c>
      <c r="AT72" s="39" t="s">
        <v>1479</v>
      </c>
      <c r="AU72" s="39" t="s">
        <v>1480</v>
      </c>
      <c r="AV72" s="39" t="s">
        <v>1481</v>
      </c>
      <c r="AW72" s="39" t="s">
        <v>1482</v>
      </c>
      <c r="AX72" s="39" t="s">
        <v>1483</v>
      </c>
      <c r="AY72" s="39" t="s">
        <v>1484</v>
      </c>
      <c r="AZ72" s="39" t="s">
        <v>1485</v>
      </c>
      <c r="BA72" s="39" t="s">
        <v>1486</v>
      </c>
      <c r="BB72" s="39" t="s">
        <v>1487</v>
      </c>
      <c r="BC72" s="39" t="s">
        <v>1488</v>
      </c>
      <c r="BD72" s="39" t="s">
        <v>1489</v>
      </c>
      <c r="BE72" s="39" t="s">
        <v>1490</v>
      </c>
      <c r="BF72" s="39" t="s">
        <v>1491</v>
      </c>
      <c r="BG72" s="39" t="s">
        <v>1492</v>
      </c>
      <c r="BH72" s="39" t="s">
        <v>1493</v>
      </c>
      <c r="BI72" s="39" t="s">
        <v>1494</v>
      </c>
      <c r="BJ72" s="39" t="s">
        <v>1495</v>
      </c>
      <c r="BK72" s="39" t="s">
        <v>1496</v>
      </c>
      <c r="BL72" s="39" t="s">
        <v>1497</v>
      </c>
      <c r="BM72" s="39" t="s">
        <v>1498</v>
      </c>
      <c r="BN72" s="39" t="s">
        <v>1499</v>
      </c>
      <c r="BO72" s="39" t="s">
        <v>1500</v>
      </c>
      <c r="BP72" s="39" t="s">
        <v>1501</v>
      </c>
      <c r="BQ72" s="39" t="s">
        <v>1502</v>
      </c>
      <c r="BR72" s="39" t="s">
        <v>1503</v>
      </c>
      <c r="BS72" s="39" t="s">
        <v>1504</v>
      </c>
      <c r="BT72" s="39" t="s">
        <v>1505</v>
      </c>
      <c r="BU72" s="39" t="s">
        <v>1506</v>
      </c>
      <c r="BV72" s="39" t="s">
        <v>1507</v>
      </c>
      <c r="BW72" s="39" t="s">
        <v>1508</v>
      </c>
      <c r="BX72" s="39" t="s">
        <v>1509</v>
      </c>
      <c r="BY72" s="39" t="s">
        <v>1510</v>
      </c>
      <c r="BZ72" s="39" t="s">
        <v>1511</v>
      </c>
      <c r="CA72" s="39" t="s">
        <v>1512</v>
      </c>
      <c r="CB72" s="39" t="s">
        <v>1513</v>
      </c>
      <c r="CC72" s="39" t="s">
        <v>1514</v>
      </c>
      <c r="CD72" s="39" t="s">
        <v>23</v>
      </c>
      <c r="CE72" s="39" t="s">
        <v>24</v>
      </c>
      <c r="CF72" s="39" t="s">
        <v>1515</v>
      </c>
      <c r="CG72" s="39" t="s">
        <v>1516</v>
      </c>
      <c r="CH72" s="39" t="s">
        <v>1517</v>
      </c>
      <c r="CI72" s="39" t="s">
        <v>1518</v>
      </c>
      <c r="CJ72" s="39" t="s">
        <v>1519</v>
      </c>
      <c r="CK72" s="39" t="s">
        <v>1520</v>
      </c>
      <c r="CL72" s="39"/>
      <c r="CM72" s="39" t="s">
        <v>1521</v>
      </c>
      <c r="CN72" s="39" t="s">
        <v>1522</v>
      </c>
      <c r="CO72" s="39" t="s">
        <v>1523</v>
      </c>
      <c r="CP72" s="39" t="s">
        <v>1524</v>
      </c>
      <c r="CQ72" s="39" t="s">
        <v>1525</v>
      </c>
      <c r="CR72" s="39" t="s">
        <v>1526</v>
      </c>
      <c r="CS72" s="39" t="s">
        <v>1527</v>
      </c>
      <c r="CT72" s="39" t="s">
        <v>1528</v>
      </c>
      <c r="CU72" s="39" t="s">
        <v>1529</v>
      </c>
      <c r="CV72" s="39" t="s">
        <v>1530</v>
      </c>
      <c r="CW72" s="780" t="s">
        <v>1531</v>
      </c>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row>
    <row r="73" spans="1:131">
      <c r="A73" s="9" t="s">
        <v>1646</v>
      </c>
      <c r="B73" s="9" t="s">
        <v>25</v>
      </c>
      <c r="C73" s="36">
        <v>14</v>
      </c>
      <c r="D73" s="36">
        <v>12.805498538080862</v>
      </c>
      <c r="E73" s="36">
        <v>0.10598060677717332</v>
      </c>
      <c r="F73" s="36">
        <v>139.81935250031893</v>
      </c>
      <c r="G73" s="36">
        <v>0</v>
      </c>
      <c r="H73" s="36">
        <v>0</v>
      </c>
      <c r="I73" s="36" t="s">
        <v>1532</v>
      </c>
      <c r="J73" s="36"/>
      <c r="K73" s="36"/>
      <c r="L73" s="36">
        <v>13.750225712038798</v>
      </c>
      <c r="M73" s="36">
        <v>2.0583182757396294E-3</v>
      </c>
      <c r="N73" s="36">
        <v>2.0434622574649532E-3</v>
      </c>
      <c r="O73" s="36">
        <v>0.10704041244618842</v>
      </c>
      <c r="P73" s="36">
        <v>0</v>
      </c>
      <c r="Q73" s="36">
        <v>0</v>
      </c>
      <c r="R73" s="36">
        <v>27.881846665687689</v>
      </c>
      <c r="S73" s="36">
        <v>64.430706839465685</v>
      </c>
      <c r="T73" s="36">
        <v>0</v>
      </c>
      <c r="U73" s="36">
        <v>90.612748523181409</v>
      </c>
      <c r="V73" s="36" t="s">
        <v>1533</v>
      </c>
      <c r="W73" s="36" t="s">
        <v>1533</v>
      </c>
      <c r="X73" s="36" t="s">
        <v>1533</v>
      </c>
      <c r="Y73" s="36" t="s">
        <v>1533</v>
      </c>
      <c r="Z73" s="36">
        <v>0</v>
      </c>
      <c r="AA73" s="36">
        <v>0</v>
      </c>
      <c r="AB73" s="36">
        <v>0</v>
      </c>
      <c r="AC73" s="36">
        <v>0</v>
      </c>
      <c r="AD73" s="36">
        <v>0</v>
      </c>
      <c r="AE73" s="36">
        <v>0</v>
      </c>
      <c r="AF73" s="36">
        <v>0</v>
      </c>
      <c r="AG73" s="36">
        <v>0</v>
      </c>
      <c r="AH73" s="36">
        <v>27.881846665687689</v>
      </c>
      <c r="AI73" s="36">
        <v>64.430706839465685</v>
      </c>
      <c r="AJ73" s="36">
        <v>0</v>
      </c>
      <c r="AK73" s="36">
        <v>90.612748523181409</v>
      </c>
      <c r="AL73" s="36">
        <v>182.92530202833478</v>
      </c>
      <c r="AM73" s="36">
        <v>7.0534881473035256</v>
      </c>
      <c r="AN73" s="36">
        <v>0.7273036443169314</v>
      </c>
      <c r="AO73" s="36">
        <v>0</v>
      </c>
      <c r="AP73" s="36">
        <v>0</v>
      </c>
      <c r="AQ73" s="36">
        <v>7.780791791620457</v>
      </c>
      <c r="AR73" s="36">
        <v>27.881846665687689</v>
      </c>
      <c r="AS73" s="781">
        <v>0.27906300055784156</v>
      </c>
      <c r="AT73" s="36">
        <v>7.0534881473035256</v>
      </c>
      <c r="AU73" s="36">
        <v>0.86091088752976586</v>
      </c>
      <c r="AV73" s="36">
        <v>0</v>
      </c>
      <c r="AW73" s="36">
        <v>0</v>
      </c>
      <c r="AX73" s="36">
        <v>7.9143990348332913</v>
      </c>
      <c r="AY73" s="36">
        <v>64.430706839465685</v>
      </c>
      <c r="AZ73" s="781">
        <v>0.12283582507565308</v>
      </c>
      <c r="BA73" s="36">
        <v>7.0534881473035256</v>
      </c>
      <c r="BB73" s="36">
        <v>1.5882145318466971</v>
      </c>
      <c r="BC73" s="36">
        <v>0</v>
      </c>
      <c r="BD73" s="36">
        <v>0</v>
      </c>
      <c r="BE73" s="36">
        <v>8.6417026791502227</v>
      </c>
      <c r="BF73" s="36">
        <v>92.312553505153375</v>
      </c>
      <c r="BG73" s="36">
        <v>485.49426015741517</v>
      </c>
      <c r="BH73" s="781">
        <v>9.3613515724790319E-2</v>
      </c>
      <c r="BI73" s="36">
        <v>149.20446565902563</v>
      </c>
      <c r="BJ73" s="36">
        <v>344.78882626688812</v>
      </c>
      <c r="BK73" s="36">
        <v>0</v>
      </c>
      <c r="BL73" s="36">
        <v>484.89710482250399</v>
      </c>
      <c r="BM73" s="36">
        <v>978.89039674841774</v>
      </c>
      <c r="BN73" s="36">
        <v>7.0534881473035256</v>
      </c>
      <c r="BO73" s="36">
        <v>0.78980098756666617</v>
      </c>
      <c r="BP73" s="36">
        <v>1.5882145318466971</v>
      </c>
      <c r="BQ73" s="36">
        <v>0</v>
      </c>
      <c r="BR73" s="36">
        <v>0</v>
      </c>
      <c r="BS73" s="36">
        <v>0</v>
      </c>
      <c r="BT73" s="36">
        <v>0</v>
      </c>
      <c r="BU73" s="36">
        <v>0</v>
      </c>
      <c r="BV73" s="36">
        <v>108.89509119235422</v>
      </c>
      <c r="BW73" s="36">
        <v>0</v>
      </c>
      <c r="BX73" s="36">
        <v>182.92530202833478</v>
      </c>
      <c r="BY73" s="36"/>
      <c r="BZ73" s="36">
        <v>0</v>
      </c>
      <c r="CA73" s="36">
        <v>0</v>
      </c>
      <c r="CB73" s="36">
        <v>118.32659485907111</v>
      </c>
      <c r="CC73" s="36">
        <v>182.92530202833478</v>
      </c>
      <c r="CD73" s="781">
        <v>0.64685745245205362</v>
      </c>
      <c r="CE73" s="36">
        <v>383.43326551110516</v>
      </c>
      <c r="CF73" s="36">
        <v>0.13062959612677846</v>
      </c>
      <c r="CG73" s="36">
        <v>1.2523728256204061E-2</v>
      </c>
      <c r="CH73" s="36">
        <v>0.14315332438298253</v>
      </c>
      <c r="CI73" s="36">
        <v>6.5313572132184279E-3</v>
      </c>
      <c r="CJ73" s="36">
        <v>6.2618641281020218E-4</v>
      </c>
      <c r="CK73" s="36">
        <v>7.1575436260286306E-3</v>
      </c>
      <c r="CL73" s="36"/>
      <c r="CM73" s="36">
        <v>0.10598060677717332</v>
      </c>
      <c r="CN73" s="36" t="s">
        <v>1535</v>
      </c>
      <c r="CO73" s="36">
        <v>0</v>
      </c>
      <c r="CP73" s="36">
        <v>0</v>
      </c>
      <c r="CQ73" s="36">
        <v>0.78980098756666617</v>
      </c>
      <c r="CR73" s="36">
        <v>0</v>
      </c>
      <c r="CS73" s="36">
        <v>0</v>
      </c>
      <c r="CT73" s="36">
        <v>0.78980098756666617</v>
      </c>
      <c r="CU73" s="36">
        <v>0</v>
      </c>
      <c r="CV73" s="36">
        <v>0</v>
      </c>
      <c r="CW73" s="40">
        <v>9999</v>
      </c>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row>
    <row r="74" spans="1:131">
      <c r="A74" s="9" t="s">
        <v>1642</v>
      </c>
      <c r="B74" s="9" t="s">
        <v>25</v>
      </c>
      <c r="C74" s="36">
        <v>14</v>
      </c>
      <c r="D74" s="36">
        <v>7.3028563144274017</v>
      </c>
      <c r="E74" s="36">
        <v>4.2560361622744333E-2</v>
      </c>
      <c r="F74" s="36">
        <v>54.906335711206673</v>
      </c>
      <c r="G74" s="36">
        <v>0</v>
      </c>
      <c r="H74" s="36">
        <v>0</v>
      </c>
      <c r="I74" s="36" t="s">
        <v>1532</v>
      </c>
      <c r="J74" s="36"/>
      <c r="K74" s="36"/>
      <c r="L74" s="36">
        <v>7.84162540547318</v>
      </c>
      <c r="M74" s="36">
        <v>1.1738397042790367E-3</v>
      </c>
      <c r="N74" s="36">
        <v>1.1653674556944278E-3</v>
      </c>
      <c r="O74" s="36">
        <v>4.298596507883657E-2</v>
      </c>
      <c r="P74" s="36">
        <v>0</v>
      </c>
      <c r="Q74" s="36">
        <v>0</v>
      </c>
      <c r="R74" s="36">
        <v>10.949056807219478</v>
      </c>
      <c r="S74" s="36">
        <v>25.301604939344664</v>
      </c>
      <c r="T74" s="36">
        <v>0</v>
      </c>
      <c r="U74" s="36">
        <v>35.583157132111566</v>
      </c>
      <c r="V74" s="36" t="s">
        <v>1533</v>
      </c>
      <c r="W74" s="36" t="s">
        <v>1533</v>
      </c>
      <c r="X74" s="36" t="s">
        <v>1533</v>
      </c>
      <c r="Y74" s="36" t="s">
        <v>1533</v>
      </c>
      <c r="Z74" s="36">
        <v>0</v>
      </c>
      <c r="AA74" s="36">
        <v>0</v>
      </c>
      <c r="AB74" s="36">
        <v>0</v>
      </c>
      <c r="AC74" s="36">
        <v>0</v>
      </c>
      <c r="AD74" s="36">
        <v>0</v>
      </c>
      <c r="AE74" s="36">
        <v>0</v>
      </c>
      <c r="AF74" s="36">
        <v>0</v>
      </c>
      <c r="AG74" s="36">
        <v>0</v>
      </c>
      <c r="AH74" s="36">
        <v>10.949056807219478</v>
      </c>
      <c r="AI74" s="36">
        <v>25.301604939344664</v>
      </c>
      <c r="AJ74" s="36">
        <v>0</v>
      </c>
      <c r="AK74" s="36">
        <v>35.583157132111566</v>
      </c>
      <c r="AL74" s="36">
        <v>71.833818878675714</v>
      </c>
      <c r="AM74" s="36">
        <v>4.0225384667447921</v>
      </c>
      <c r="AN74" s="36">
        <v>0.41477448110364418</v>
      </c>
      <c r="AO74" s="36">
        <v>0</v>
      </c>
      <c r="AP74" s="36">
        <v>0</v>
      </c>
      <c r="AQ74" s="36">
        <v>4.4373129478484366</v>
      </c>
      <c r="AR74" s="36">
        <v>10.949056807219478</v>
      </c>
      <c r="AS74" s="781">
        <v>0.40526896754454744</v>
      </c>
      <c r="AT74" s="36">
        <v>4.0225384667447921</v>
      </c>
      <c r="AU74" s="36">
        <v>0.49096944507545032</v>
      </c>
      <c r="AV74" s="36">
        <v>0</v>
      </c>
      <c r="AW74" s="36">
        <v>0</v>
      </c>
      <c r="AX74" s="36">
        <v>4.5135079118202421</v>
      </c>
      <c r="AY74" s="36">
        <v>25.301604939344664</v>
      </c>
      <c r="AZ74" s="781">
        <v>0.17838820591185575</v>
      </c>
      <c r="BA74" s="36">
        <v>4.0225384667447921</v>
      </c>
      <c r="BB74" s="36">
        <v>0.90574392617909449</v>
      </c>
      <c r="BC74" s="36">
        <v>0</v>
      </c>
      <c r="BD74" s="36">
        <v>0</v>
      </c>
      <c r="BE74" s="36">
        <v>4.9282823929238866</v>
      </c>
      <c r="BF74" s="36">
        <v>36.250661746564141</v>
      </c>
      <c r="BG74" s="36">
        <v>331.65839784061234</v>
      </c>
      <c r="BH74" s="781">
        <v>0.13595013595554548</v>
      </c>
      <c r="BI74" s="36">
        <v>102.74027674931803</v>
      </c>
      <c r="BJ74" s="36">
        <v>237.41715285979288</v>
      </c>
      <c r="BK74" s="36">
        <v>0</v>
      </c>
      <c r="BL74" s="36">
        <v>333.89391211826319</v>
      </c>
      <c r="BM74" s="36">
        <v>674.05134172737417</v>
      </c>
      <c r="BN74" s="36">
        <v>4.0225384667447921</v>
      </c>
      <c r="BO74" s="36">
        <v>0.31717327030890252</v>
      </c>
      <c r="BP74" s="36">
        <v>0.90574392617909449</v>
      </c>
      <c r="BQ74" s="36">
        <v>0</v>
      </c>
      <c r="BR74" s="36">
        <v>0</v>
      </c>
      <c r="BS74" s="36">
        <v>0</v>
      </c>
      <c r="BT74" s="36">
        <v>0</v>
      </c>
      <c r="BU74" s="36">
        <v>0</v>
      </c>
      <c r="BV74" s="36">
        <v>50.822919822124192</v>
      </c>
      <c r="BW74" s="36">
        <v>0</v>
      </c>
      <c r="BX74" s="36">
        <v>71.833818878675714</v>
      </c>
      <c r="BY74" s="36"/>
      <c r="BZ74" s="36">
        <v>0</v>
      </c>
      <c r="CA74" s="36">
        <v>0</v>
      </c>
      <c r="CB74" s="36">
        <v>56.068375485356981</v>
      </c>
      <c r="CC74" s="36">
        <v>71.833818878675714</v>
      </c>
      <c r="CD74" s="781">
        <v>0.78052895364026376</v>
      </c>
      <c r="CE74" s="36">
        <v>185.68017030223987</v>
      </c>
      <c r="CF74" s="36">
        <v>7.4496839626246619E-2</v>
      </c>
      <c r="CG74" s="36">
        <v>5.029357914223884E-3</v>
      </c>
      <c r="CH74" s="36">
        <v>7.9526197540470508E-2</v>
      </c>
      <c r="CI74" s="36">
        <v>3.7247720675997603E-3</v>
      </c>
      <c r="CJ74" s="36">
        <v>2.5146789571119392E-4</v>
      </c>
      <c r="CK74" s="36">
        <v>3.9762399633109539E-3</v>
      </c>
      <c r="CL74" s="36"/>
      <c r="CM74" s="36">
        <v>4.2560361622744333E-2</v>
      </c>
      <c r="CN74" s="36" t="s">
        <v>1535</v>
      </c>
      <c r="CO74" s="36">
        <v>0</v>
      </c>
      <c r="CP74" s="36">
        <v>0</v>
      </c>
      <c r="CQ74" s="36">
        <v>0.31717327030890252</v>
      </c>
      <c r="CR74" s="36">
        <v>0</v>
      </c>
      <c r="CS74" s="36">
        <v>0</v>
      </c>
      <c r="CT74" s="36">
        <v>0.31717327030890252</v>
      </c>
      <c r="CU74" s="36">
        <v>0</v>
      </c>
      <c r="CV74" s="36">
        <v>0</v>
      </c>
      <c r="CW74" s="40">
        <v>9999</v>
      </c>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row>
    <row r="75" spans="1:131">
      <c r="A75" s="9" t="s">
        <v>1642</v>
      </c>
      <c r="B75" s="9" t="s">
        <v>25</v>
      </c>
      <c r="C75" s="36">
        <v>14</v>
      </c>
      <c r="D75" s="36">
        <v>0</v>
      </c>
      <c r="E75" s="36">
        <v>0</v>
      </c>
      <c r="F75" s="36">
        <v>0</v>
      </c>
      <c r="G75" s="36">
        <v>0</v>
      </c>
      <c r="H75" s="36">
        <v>0</v>
      </c>
      <c r="I75" s="36" t="s">
        <v>1532</v>
      </c>
      <c r="J75" s="36"/>
      <c r="K75" s="36"/>
      <c r="L75" s="36">
        <v>0</v>
      </c>
      <c r="M75" s="36">
        <v>0</v>
      </c>
      <c r="N75" s="36">
        <v>0</v>
      </c>
      <c r="O75" s="36">
        <v>0</v>
      </c>
      <c r="P75" s="36">
        <v>0</v>
      </c>
      <c r="Q75" s="36">
        <v>0</v>
      </c>
      <c r="R75" s="36">
        <v>0</v>
      </c>
      <c r="S75" s="36">
        <v>0</v>
      </c>
      <c r="T75" s="36">
        <v>0</v>
      </c>
      <c r="U75" s="36">
        <v>0</v>
      </c>
      <c r="V75" s="36" t="s">
        <v>1533</v>
      </c>
      <c r="W75" s="36" t="s">
        <v>1533</v>
      </c>
      <c r="X75" s="36" t="s">
        <v>1533</v>
      </c>
      <c r="Y75" s="36" t="s">
        <v>1533</v>
      </c>
      <c r="Z75" s="36">
        <v>0</v>
      </c>
      <c r="AA75" s="36">
        <v>0</v>
      </c>
      <c r="AB75" s="36">
        <v>0</v>
      </c>
      <c r="AC75" s="36">
        <v>0</v>
      </c>
      <c r="AD75" s="36">
        <v>0</v>
      </c>
      <c r="AE75" s="36">
        <v>0</v>
      </c>
      <c r="AF75" s="36">
        <v>0</v>
      </c>
      <c r="AG75" s="36">
        <v>0</v>
      </c>
      <c r="AH75" s="36">
        <v>0</v>
      </c>
      <c r="AI75" s="36">
        <v>0</v>
      </c>
      <c r="AJ75" s="36">
        <v>0</v>
      </c>
      <c r="AK75" s="36">
        <v>0</v>
      </c>
      <c r="AL75" s="36">
        <v>0</v>
      </c>
      <c r="AM75" s="36">
        <v>0</v>
      </c>
      <c r="AN75" s="36">
        <v>0</v>
      </c>
      <c r="AO75" s="36">
        <v>0</v>
      </c>
      <c r="AP75" s="36">
        <v>0</v>
      </c>
      <c r="AQ75" s="36">
        <v>0</v>
      </c>
      <c r="AR75" s="36">
        <v>0</v>
      </c>
      <c r="AS75" s="40">
        <v>9999</v>
      </c>
      <c r="AT75" s="36">
        <v>0</v>
      </c>
      <c r="AU75" s="36">
        <v>0</v>
      </c>
      <c r="AV75" s="36">
        <v>0</v>
      </c>
      <c r="AW75" s="36">
        <v>0</v>
      </c>
      <c r="AX75" s="36">
        <v>0</v>
      </c>
      <c r="AY75" s="36">
        <v>0</v>
      </c>
      <c r="AZ75" s="40">
        <v>9999</v>
      </c>
      <c r="BA75" s="36">
        <v>0</v>
      </c>
      <c r="BB75" s="36">
        <v>0</v>
      </c>
      <c r="BC75" s="36">
        <v>0</v>
      </c>
      <c r="BD75" s="36">
        <v>0</v>
      </c>
      <c r="BE75" s="36">
        <v>0</v>
      </c>
      <c r="BF75" s="36">
        <v>0</v>
      </c>
      <c r="BG75" s="36">
        <v>9999</v>
      </c>
      <c r="BH75" s="40">
        <v>9999</v>
      </c>
      <c r="BI75" s="36">
        <v>9999</v>
      </c>
      <c r="BJ75" s="36">
        <v>9999</v>
      </c>
      <c r="BK75" s="36">
        <v>9999</v>
      </c>
      <c r="BL75" s="36">
        <v>9999</v>
      </c>
      <c r="BM75" s="36">
        <v>9999</v>
      </c>
      <c r="BN75" s="36">
        <v>0</v>
      </c>
      <c r="BO75" s="36">
        <v>0</v>
      </c>
      <c r="BP75" s="36">
        <v>0</v>
      </c>
      <c r="BQ75" s="36">
        <v>0</v>
      </c>
      <c r="BR75" s="36">
        <v>0</v>
      </c>
      <c r="BS75" s="36">
        <v>0</v>
      </c>
      <c r="BT75" s="36">
        <v>0</v>
      </c>
      <c r="BU75" s="36">
        <v>0</v>
      </c>
      <c r="BV75" s="36">
        <v>0</v>
      </c>
      <c r="BW75" s="36">
        <v>0</v>
      </c>
      <c r="BX75" s="36">
        <v>0</v>
      </c>
      <c r="BY75" s="36"/>
      <c r="BZ75" s="36">
        <v>0</v>
      </c>
      <c r="CA75" s="36">
        <v>0</v>
      </c>
      <c r="CB75" s="36">
        <v>0</v>
      </c>
      <c r="CC75" s="36">
        <v>0</v>
      </c>
      <c r="CD75" s="40">
        <v>9999</v>
      </c>
      <c r="CE75" s="36">
        <v>9999</v>
      </c>
      <c r="CF75" s="36">
        <v>0</v>
      </c>
      <c r="CG75" s="36">
        <v>0</v>
      </c>
      <c r="CH75" s="36">
        <v>0</v>
      </c>
      <c r="CI75" s="36">
        <v>0</v>
      </c>
      <c r="CJ75" s="36">
        <v>0</v>
      </c>
      <c r="CK75" s="36">
        <v>0</v>
      </c>
      <c r="CL75" s="36"/>
      <c r="CM75" s="36">
        <v>0</v>
      </c>
      <c r="CN75" s="36" t="s">
        <v>1535</v>
      </c>
      <c r="CO75" s="36">
        <v>0</v>
      </c>
      <c r="CP75" s="36">
        <v>0</v>
      </c>
      <c r="CQ75" s="36">
        <v>0</v>
      </c>
      <c r="CR75" s="36">
        <v>0</v>
      </c>
      <c r="CS75" s="36">
        <v>0</v>
      </c>
      <c r="CT75" s="36">
        <v>0</v>
      </c>
      <c r="CU75" s="36">
        <v>0</v>
      </c>
      <c r="CV75" s="36">
        <v>9999</v>
      </c>
      <c r="CW75" s="40">
        <v>9999</v>
      </c>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row>
    <row r="76" spans="1:131">
      <c r="A76" s="9" t="s">
        <v>1646</v>
      </c>
      <c r="B76" s="9" t="s">
        <v>26</v>
      </c>
      <c r="C76" s="36">
        <v>14</v>
      </c>
      <c r="D76" s="36">
        <v>34.794737894235141</v>
      </c>
      <c r="E76" s="36">
        <v>0</v>
      </c>
      <c r="F76" s="36">
        <v>0</v>
      </c>
      <c r="G76" s="36">
        <v>0</v>
      </c>
      <c r="H76" s="36">
        <v>0</v>
      </c>
      <c r="I76" s="36" t="s">
        <v>1535</v>
      </c>
      <c r="J76" s="36"/>
      <c r="K76" s="36"/>
      <c r="L76" s="36">
        <v>37.453409645451302</v>
      </c>
      <c r="M76" s="36">
        <v>2.4530411083188632E-2</v>
      </c>
      <c r="N76" s="36">
        <v>2.4353361576495498E-2</v>
      </c>
      <c r="O76" s="36">
        <v>0</v>
      </c>
      <c r="P76" s="36">
        <v>0</v>
      </c>
      <c r="Q76" s="36">
        <v>0</v>
      </c>
      <c r="R76" s="36">
        <v>0</v>
      </c>
      <c r="S76" s="36">
        <v>0</v>
      </c>
      <c r="T76" s="36">
        <v>0</v>
      </c>
      <c r="U76" s="36">
        <v>0</v>
      </c>
      <c r="V76" s="36" t="s">
        <v>1533</v>
      </c>
      <c r="W76" s="36" t="s">
        <v>1533</v>
      </c>
      <c r="X76" s="36" t="s">
        <v>1533</v>
      </c>
      <c r="Y76" s="36" t="s">
        <v>1533</v>
      </c>
      <c r="Z76" s="36">
        <v>0</v>
      </c>
      <c r="AA76" s="36">
        <v>0</v>
      </c>
      <c r="AB76" s="36">
        <v>0</v>
      </c>
      <c r="AC76" s="36">
        <v>0</v>
      </c>
      <c r="AD76" s="36">
        <v>0</v>
      </c>
      <c r="AE76" s="36">
        <v>0</v>
      </c>
      <c r="AF76" s="36">
        <v>0</v>
      </c>
      <c r="AG76" s="36">
        <v>0</v>
      </c>
      <c r="AH76" s="36">
        <v>0</v>
      </c>
      <c r="AI76" s="36">
        <v>0</v>
      </c>
      <c r="AJ76" s="36">
        <v>0</v>
      </c>
      <c r="AK76" s="36">
        <v>0</v>
      </c>
      <c r="AL76" s="36">
        <v>0</v>
      </c>
      <c r="AM76" s="36">
        <v>19.197799247635615</v>
      </c>
      <c r="AN76" s="36">
        <v>8.6677835919153896</v>
      </c>
      <c r="AO76" s="36">
        <v>0</v>
      </c>
      <c r="AP76" s="36">
        <v>0</v>
      </c>
      <c r="AQ76" s="36">
        <v>27.865582839551003</v>
      </c>
      <c r="AR76" s="36">
        <v>0</v>
      </c>
      <c r="AS76" s="40">
        <v>9999</v>
      </c>
      <c r="AT76" s="36">
        <v>19.197799247635615</v>
      </c>
      <c r="AU76" s="36">
        <v>10.260074074068687</v>
      </c>
      <c r="AV76" s="36">
        <v>0</v>
      </c>
      <c r="AW76" s="36">
        <v>0</v>
      </c>
      <c r="AX76" s="36">
        <v>29.457873321704302</v>
      </c>
      <c r="AY76" s="36">
        <v>0</v>
      </c>
      <c r="AZ76" s="40">
        <v>9999</v>
      </c>
      <c r="BA76" s="36">
        <v>19.197799247635615</v>
      </c>
      <c r="BB76" s="36">
        <v>18.927857665984078</v>
      </c>
      <c r="BC76" s="36">
        <v>0</v>
      </c>
      <c r="BD76" s="36">
        <v>0</v>
      </c>
      <c r="BE76" s="36">
        <v>38.125656913619693</v>
      </c>
      <c r="BF76" s="36">
        <v>0</v>
      </c>
      <c r="BG76" s="36">
        <v>-37.186064238704418</v>
      </c>
      <c r="BH76" s="40">
        <v>9999</v>
      </c>
      <c r="BI76" s="36">
        <v>0</v>
      </c>
      <c r="BJ76" s="36">
        <v>0</v>
      </c>
      <c r="BK76" s="36">
        <v>0</v>
      </c>
      <c r="BL76" s="36">
        <v>0</v>
      </c>
      <c r="BM76" s="36">
        <v>0</v>
      </c>
      <c r="BN76" s="36">
        <v>19.197799247635615</v>
      </c>
      <c r="BO76" s="36">
        <v>0</v>
      </c>
      <c r="BP76" s="36">
        <v>18.927857665984078</v>
      </c>
      <c r="BQ76" s="36">
        <v>0</v>
      </c>
      <c r="BR76" s="36">
        <v>0</v>
      </c>
      <c r="BS76" s="36">
        <v>0</v>
      </c>
      <c r="BT76" s="36">
        <v>0</v>
      </c>
      <c r="BU76" s="36">
        <v>0</v>
      </c>
      <c r="BV76" s="36">
        <v>0</v>
      </c>
      <c r="BW76" s="36">
        <v>0</v>
      </c>
      <c r="BX76" s="36">
        <v>0</v>
      </c>
      <c r="BY76" s="36"/>
      <c r="BZ76" s="36">
        <v>0</v>
      </c>
      <c r="CA76" s="36">
        <v>0</v>
      </c>
      <c r="CB76" s="36">
        <v>38.125656913619693</v>
      </c>
      <c r="CC76" s="36">
        <v>0</v>
      </c>
      <c r="CD76" s="40">
        <v>9999</v>
      </c>
      <c r="CE76" s="36">
        <v>-37.186064238704418</v>
      </c>
      <c r="CF76" s="36">
        <v>0.35579956351315212</v>
      </c>
      <c r="CG76" s="36">
        <v>0</v>
      </c>
      <c r="CH76" s="36">
        <v>0.35579956351315212</v>
      </c>
      <c r="CI76" s="36">
        <v>1.7790369581589364E-2</v>
      </c>
      <c r="CJ76" s="36">
        <v>0</v>
      </c>
      <c r="CK76" s="36">
        <v>1.7790369581589364E-2</v>
      </c>
      <c r="CL76" s="36"/>
      <c r="CM76" s="36">
        <v>0</v>
      </c>
      <c r="CN76" s="36"/>
      <c r="CO76" s="36">
        <v>0</v>
      </c>
      <c r="CP76" s="36">
        <v>0</v>
      </c>
      <c r="CQ76" s="36">
        <v>0</v>
      </c>
      <c r="CR76" s="36">
        <v>0</v>
      </c>
      <c r="CS76" s="36">
        <v>0</v>
      </c>
      <c r="CT76" s="36">
        <v>0</v>
      </c>
      <c r="CU76" s="36">
        <v>0</v>
      </c>
      <c r="CV76" s="36">
        <v>9999</v>
      </c>
      <c r="CW76" s="40">
        <v>9999</v>
      </c>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row>
    <row r="77" spans="1:131">
      <c r="A77" s="9" t="s">
        <v>1642</v>
      </c>
      <c r="B77" s="9" t="s">
        <v>26</v>
      </c>
      <c r="C77" s="36">
        <v>14</v>
      </c>
      <c r="D77" s="36">
        <v>21.15458935457243</v>
      </c>
      <c r="E77" s="36">
        <v>0</v>
      </c>
      <c r="F77" s="36">
        <v>0</v>
      </c>
      <c r="G77" s="36">
        <v>0</v>
      </c>
      <c r="H77" s="36">
        <v>0</v>
      </c>
      <c r="I77" s="36" t="s">
        <v>1535</v>
      </c>
      <c r="J77" s="36"/>
      <c r="K77" s="36"/>
      <c r="L77" s="36">
        <v>22.77101507091324</v>
      </c>
      <c r="M77" s="36">
        <v>1.4914058980443857E-2</v>
      </c>
      <c r="N77" s="36">
        <v>1.4806415990836987E-2</v>
      </c>
      <c r="O77" s="36">
        <v>0</v>
      </c>
      <c r="P77" s="36">
        <v>0</v>
      </c>
      <c r="Q77" s="36">
        <v>0</v>
      </c>
      <c r="R77" s="36">
        <v>0</v>
      </c>
      <c r="S77" s="36">
        <v>0</v>
      </c>
      <c r="T77" s="36">
        <v>0</v>
      </c>
      <c r="U77" s="36">
        <v>0</v>
      </c>
      <c r="V77" s="36" t="s">
        <v>1533</v>
      </c>
      <c r="W77" s="36" t="s">
        <v>1533</v>
      </c>
      <c r="X77" s="36" t="s">
        <v>1533</v>
      </c>
      <c r="Y77" s="36" t="s">
        <v>1533</v>
      </c>
      <c r="Z77" s="36">
        <v>0</v>
      </c>
      <c r="AA77" s="36">
        <v>0</v>
      </c>
      <c r="AB77" s="36">
        <v>0</v>
      </c>
      <c r="AC77" s="36">
        <v>0</v>
      </c>
      <c r="AD77" s="36">
        <v>0</v>
      </c>
      <c r="AE77" s="36">
        <v>0</v>
      </c>
      <c r="AF77" s="36">
        <v>0</v>
      </c>
      <c r="AG77" s="36">
        <v>0</v>
      </c>
      <c r="AH77" s="36">
        <v>0</v>
      </c>
      <c r="AI77" s="36">
        <v>0</v>
      </c>
      <c r="AJ77" s="36">
        <v>0</v>
      </c>
      <c r="AK77" s="36">
        <v>0</v>
      </c>
      <c r="AL77" s="36">
        <v>0</v>
      </c>
      <c r="AM77" s="36">
        <v>11.671924669463824</v>
      </c>
      <c r="AN77" s="36">
        <v>5.2698601454805294</v>
      </c>
      <c r="AO77" s="36">
        <v>0</v>
      </c>
      <c r="AP77" s="36">
        <v>0</v>
      </c>
      <c r="AQ77" s="36">
        <v>16.941784814944352</v>
      </c>
      <c r="AR77" s="36">
        <v>0</v>
      </c>
      <c r="AS77" s="40">
        <v>9999</v>
      </c>
      <c r="AT77" s="36">
        <v>11.671924669463824</v>
      </c>
      <c r="AU77" s="36">
        <v>6.2379447847595024</v>
      </c>
      <c r="AV77" s="36">
        <v>0</v>
      </c>
      <c r="AW77" s="36">
        <v>0</v>
      </c>
      <c r="AX77" s="36">
        <v>17.909869454223326</v>
      </c>
      <c r="AY77" s="36">
        <v>0</v>
      </c>
      <c r="AZ77" s="40">
        <v>9999</v>
      </c>
      <c r="BA77" s="36">
        <v>11.671924669463824</v>
      </c>
      <c r="BB77" s="36">
        <v>11.507804930240031</v>
      </c>
      <c r="BC77" s="36">
        <v>0</v>
      </c>
      <c r="BD77" s="36">
        <v>0</v>
      </c>
      <c r="BE77" s="36">
        <v>23.179729599703855</v>
      </c>
      <c r="BF77" s="36">
        <v>0</v>
      </c>
      <c r="BG77" s="36">
        <v>-37.186064238704411</v>
      </c>
      <c r="BH77" s="40">
        <v>9999</v>
      </c>
      <c r="BI77" s="36">
        <v>0</v>
      </c>
      <c r="BJ77" s="36">
        <v>0</v>
      </c>
      <c r="BK77" s="36">
        <v>0</v>
      </c>
      <c r="BL77" s="36">
        <v>0</v>
      </c>
      <c r="BM77" s="36">
        <v>0</v>
      </c>
      <c r="BN77" s="36">
        <v>11.671924669463824</v>
      </c>
      <c r="BO77" s="36">
        <v>0</v>
      </c>
      <c r="BP77" s="36">
        <v>11.507804930240031</v>
      </c>
      <c r="BQ77" s="36">
        <v>0</v>
      </c>
      <c r="BR77" s="36">
        <v>0</v>
      </c>
      <c r="BS77" s="36">
        <v>0</v>
      </c>
      <c r="BT77" s="36">
        <v>0</v>
      </c>
      <c r="BU77" s="36">
        <v>0</v>
      </c>
      <c r="BV77" s="36">
        <v>0</v>
      </c>
      <c r="BW77" s="36">
        <v>0</v>
      </c>
      <c r="BX77" s="36">
        <v>0</v>
      </c>
      <c r="BY77" s="36"/>
      <c r="BZ77" s="36">
        <v>0</v>
      </c>
      <c r="CA77" s="36">
        <v>0</v>
      </c>
      <c r="CB77" s="36">
        <v>23.179729599703855</v>
      </c>
      <c r="CC77" s="36">
        <v>0</v>
      </c>
      <c r="CD77" s="40">
        <v>9999</v>
      </c>
      <c r="CE77" s="36">
        <v>-37.186064238704411</v>
      </c>
      <c r="CF77" s="36">
        <v>0.21631988381507217</v>
      </c>
      <c r="CG77" s="36">
        <v>0</v>
      </c>
      <c r="CH77" s="36">
        <v>0.21631988381507217</v>
      </c>
      <c r="CI77" s="36">
        <v>1.081623215868379E-2</v>
      </c>
      <c r="CJ77" s="36">
        <v>0</v>
      </c>
      <c r="CK77" s="36">
        <v>1.081623215868379E-2</v>
      </c>
      <c r="CL77" s="36"/>
      <c r="CM77" s="36">
        <v>0</v>
      </c>
      <c r="CN77" s="36"/>
      <c r="CO77" s="36">
        <v>0</v>
      </c>
      <c r="CP77" s="36">
        <v>0</v>
      </c>
      <c r="CQ77" s="36">
        <v>0</v>
      </c>
      <c r="CR77" s="36">
        <v>0</v>
      </c>
      <c r="CS77" s="36">
        <v>0</v>
      </c>
      <c r="CT77" s="36">
        <v>0</v>
      </c>
      <c r="CU77" s="36">
        <v>0</v>
      </c>
      <c r="CV77" s="36">
        <v>9999</v>
      </c>
      <c r="CW77" s="40">
        <v>9999</v>
      </c>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row>
    <row r="78" spans="1:131">
      <c r="A78" s="9" t="s">
        <v>1638</v>
      </c>
      <c r="B78" s="9" t="s">
        <v>26</v>
      </c>
      <c r="C78" s="36">
        <v>14</v>
      </c>
      <c r="D78" s="36">
        <v>13.842437772863455</v>
      </c>
      <c r="E78" s="36">
        <v>0</v>
      </c>
      <c r="F78" s="36">
        <v>0</v>
      </c>
      <c r="G78" s="36">
        <v>0</v>
      </c>
      <c r="H78" s="36">
        <v>0</v>
      </c>
      <c r="I78" s="36" t="s">
        <v>1535</v>
      </c>
      <c r="J78" s="36"/>
      <c r="K78" s="36"/>
      <c r="L78" s="36">
        <v>14.900140761934603</v>
      </c>
      <c r="M78" s="36">
        <v>9.7589667148508044E-3</v>
      </c>
      <c r="N78" s="36">
        <v>9.6885308694489632E-3</v>
      </c>
      <c r="O78" s="36">
        <v>0</v>
      </c>
      <c r="P78" s="36">
        <v>0</v>
      </c>
      <c r="Q78" s="36">
        <v>0</v>
      </c>
      <c r="R78" s="36">
        <v>0</v>
      </c>
      <c r="S78" s="36">
        <v>0</v>
      </c>
      <c r="T78" s="36">
        <v>0</v>
      </c>
      <c r="U78" s="36">
        <v>0</v>
      </c>
      <c r="V78" s="36" t="s">
        <v>1533</v>
      </c>
      <c r="W78" s="36" t="s">
        <v>1533</v>
      </c>
      <c r="X78" s="36" t="s">
        <v>1533</v>
      </c>
      <c r="Y78" s="36" t="s">
        <v>1533</v>
      </c>
      <c r="Z78" s="36">
        <v>0</v>
      </c>
      <c r="AA78" s="36">
        <v>0</v>
      </c>
      <c r="AB78" s="36">
        <v>0</v>
      </c>
      <c r="AC78" s="36">
        <v>0</v>
      </c>
      <c r="AD78" s="36">
        <v>0</v>
      </c>
      <c r="AE78" s="36">
        <v>0</v>
      </c>
      <c r="AF78" s="36">
        <v>0</v>
      </c>
      <c r="AG78" s="36">
        <v>0</v>
      </c>
      <c r="AH78" s="36">
        <v>0</v>
      </c>
      <c r="AI78" s="36">
        <v>0</v>
      </c>
      <c r="AJ78" s="36">
        <v>0</v>
      </c>
      <c r="AK78" s="36">
        <v>0</v>
      </c>
      <c r="AL78" s="36">
        <v>0</v>
      </c>
      <c r="AM78" s="36">
        <v>7.6374865150327764</v>
      </c>
      <c r="AN78" s="36">
        <v>3.4483161035569898</v>
      </c>
      <c r="AO78" s="36">
        <v>0</v>
      </c>
      <c r="AP78" s="36">
        <v>0</v>
      </c>
      <c r="AQ78" s="36">
        <v>11.085802618589767</v>
      </c>
      <c r="AR78" s="36">
        <v>0</v>
      </c>
      <c r="AS78" s="40">
        <v>9999</v>
      </c>
      <c r="AT78" s="36">
        <v>7.6374865150327764</v>
      </c>
      <c r="AU78" s="36">
        <v>4.0817791858922519</v>
      </c>
      <c r="AV78" s="36">
        <v>0</v>
      </c>
      <c r="AW78" s="36">
        <v>0</v>
      </c>
      <c r="AX78" s="36">
        <v>11.719265700925028</v>
      </c>
      <c r="AY78" s="36">
        <v>0</v>
      </c>
      <c r="AZ78" s="40">
        <v>9999</v>
      </c>
      <c r="BA78" s="36">
        <v>7.6374865150327764</v>
      </c>
      <c r="BB78" s="36">
        <v>7.5300952894492417</v>
      </c>
      <c r="BC78" s="36">
        <v>0</v>
      </c>
      <c r="BD78" s="36">
        <v>0</v>
      </c>
      <c r="BE78" s="36">
        <v>15.167581804482019</v>
      </c>
      <c r="BF78" s="36">
        <v>0</v>
      </c>
      <c r="BG78" s="36">
        <v>-37.186064238704418</v>
      </c>
      <c r="BH78" s="40">
        <v>9999</v>
      </c>
      <c r="BI78" s="36">
        <v>0</v>
      </c>
      <c r="BJ78" s="36">
        <v>0</v>
      </c>
      <c r="BK78" s="36">
        <v>0</v>
      </c>
      <c r="BL78" s="36">
        <v>0</v>
      </c>
      <c r="BM78" s="36">
        <v>0</v>
      </c>
      <c r="BN78" s="36">
        <v>7.6374865150327764</v>
      </c>
      <c r="BO78" s="36">
        <v>0</v>
      </c>
      <c r="BP78" s="36">
        <v>7.5300952894492417</v>
      </c>
      <c r="BQ78" s="36">
        <v>0</v>
      </c>
      <c r="BR78" s="36">
        <v>0</v>
      </c>
      <c r="BS78" s="36">
        <v>0</v>
      </c>
      <c r="BT78" s="36">
        <v>0</v>
      </c>
      <c r="BU78" s="36">
        <v>0</v>
      </c>
      <c r="BV78" s="36">
        <v>0</v>
      </c>
      <c r="BW78" s="36">
        <v>0</v>
      </c>
      <c r="BX78" s="36">
        <v>0</v>
      </c>
      <c r="BY78" s="36"/>
      <c r="BZ78" s="36">
        <v>0</v>
      </c>
      <c r="CA78" s="36">
        <v>0</v>
      </c>
      <c r="CB78" s="36">
        <v>15.167581804482019</v>
      </c>
      <c r="CC78" s="36">
        <v>0</v>
      </c>
      <c r="CD78" s="40">
        <v>9999</v>
      </c>
      <c r="CE78" s="36">
        <v>-37.186064238704418</v>
      </c>
      <c r="CF78" s="36">
        <v>0.1415482229673235</v>
      </c>
      <c r="CG78" s="36">
        <v>0</v>
      </c>
      <c r="CH78" s="36">
        <v>0.1415482229673235</v>
      </c>
      <c r="CI78" s="36">
        <v>7.0775668619189359E-3</v>
      </c>
      <c r="CJ78" s="36">
        <v>0</v>
      </c>
      <c r="CK78" s="36">
        <v>7.0775668619189359E-3</v>
      </c>
      <c r="CL78" s="36"/>
      <c r="CM78" s="36">
        <v>0</v>
      </c>
      <c r="CN78" s="36"/>
      <c r="CO78" s="36">
        <v>0</v>
      </c>
      <c r="CP78" s="36">
        <v>0</v>
      </c>
      <c r="CQ78" s="36">
        <v>0</v>
      </c>
      <c r="CR78" s="36">
        <v>0</v>
      </c>
      <c r="CS78" s="36">
        <v>0</v>
      </c>
      <c r="CT78" s="36">
        <v>0</v>
      </c>
      <c r="CU78" s="36">
        <v>0</v>
      </c>
      <c r="CV78" s="36">
        <v>9999</v>
      </c>
      <c r="CW78" s="40">
        <v>9999</v>
      </c>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row>
    <row r="79" spans="1:131">
      <c r="A79" s="9" t="s">
        <v>1646</v>
      </c>
      <c r="B79" s="9" t="s">
        <v>27</v>
      </c>
      <c r="C79" s="36">
        <v>14</v>
      </c>
      <c r="D79" s="36">
        <v>2.2677355853960837</v>
      </c>
      <c r="E79" s="36">
        <v>0</v>
      </c>
      <c r="F79" s="36">
        <v>0</v>
      </c>
      <c r="G79" s="36">
        <v>0</v>
      </c>
      <c r="H79" s="36">
        <v>0</v>
      </c>
      <c r="I79" s="36" t="s">
        <v>1536</v>
      </c>
      <c r="J79" s="36"/>
      <c r="K79" s="36"/>
      <c r="L79" s="36">
        <v>2.4352742202160127</v>
      </c>
      <c r="M79" s="36">
        <v>3.8264975975873015E-4</v>
      </c>
      <c r="N79" s="36">
        <v>3.7988796538961902E-4</v>
      </c>
      <c r="O79" s="36">
        <v>0</v>
      </c>
      <c r="P79" s="36">
        <v>0</v>
      </c>
      <c r="Q79" s="36">
        <v>0</v>
      </c>
      <c r="R79" s="36">
        <v>0</v>
      </c>
      <c r="S79" s="36">
        <v>0</v>
      </c>
      <c r="T79" s="36">
        <v>0</v>
      </c>
      <c r="U79" s="36">
        <v>0</v>
      </c>
      <c r="V79" s="36" t="s">
        <v>1533</v>
      </c>
      <c r="W79" s="36" t="s">
        <v>1533</v>
      </c>
      <c r="X79" s="36" t="s">
        <v>1533</v>
      </c>
      <c r="Y79" s="36" t="s">
        <v>1533</v>
      </c>
      <c r="Z79" s="36">
        <v>0</v>
      </c>
      <c r="AA79" s="36">
        <v>0</v>
      </c>
      <c r="AB79" s="36">
        <v>0</v>
      </c>
      <c r="AC79" s="36">
        <v>0</v>
      </c>
      <c r="AD79" s="36">
        <v>0</v>
      </c>
      <c r="AE79" s="36">
        <v>0</v>
      </c>
      <c r="AF79" s="36">
        <v>0</v>
      </c>
      <c r="AG79" s="36">
        <v>0</v>
      </c>
      <c r="AH79" s="36">
        <v>0</v>
      </c>
      <c r="AI79" s="36">
        <v>0</v>
      </c>
      <c r="AJ79" s="36">
        <v>0</v>
      </c>
      <c r="AK79" s="36">
        <v>0</v>
      </c>
      <c r="AL79" s="36">
        <v>0</v>
      </c>
      <c r="AM79" s="36">
        <v>1.2595300801699982</v>
      </c>
      <c r="AN79" s="36">
        <v>0.13520871288456027</v>
      </c>
      <c r="AO79" s="36">
        <v>0</v>
      </c>
      <c r="AP79" s="36">
        <v>0</v>
      </c>
      <c r="AQ79" s="36">
        <v>1.3947387930545585</v>
      </c>
      <c r="AR79" s="36">
        <v>0</v>
      </c>
      <c r="AS79" s="40">
        <v>9999</v>
      </c>
      <c r="AT79" s="36">
        <v>1.2595300801699982</v>
      </c>
      <c r="AU79" s="36">
        <v>0.16004684414929204</v>
      </c>
      <c r="AV79" s="36">
        <v>0</v>
      </c>
      <c r="AW79" s="36">
        <v>0</v>
      </c>
      <c r="AX79" s="36">
        <v>1.4195769243192902</v>
      </c>
      <c r="AY79" s="36">
        <v>0</v>
      </c>
      <c r="AZ79" s="40">
        <v>9999</v>
      </c>
      <c r="BA79" s="36">
        <v>1.2595300801699982</v>
      </c>
      <c r="BB79" s="36">
        <v>0.29525555703385231</v>
      </c>
      <c r="BC79" s="36">
        <v>0</v>
      </c>
      <c r="BD79" s="36">
        <v>0</v>
      </c>
      <c r="BE79" s="36">
        <v>1.5547856372038504</v>
      </c>
      <c r="BF79" s="36">
        <v>0</v>
      </c>
      <c r="BG79" s="36">
        <v>-8.9211393527904495</v>
      </c>
      <c r="BH79" s="40">
        <v>9999</v>
      </c>
      <c r="BI79" s="36">
        <v>0</v>
      </c>
      <c r="BJ79" s="36">
        <v>0</v>
      </c>
      <c r="BK79" s="36">
        <v>0</v>
      </c>
      <c r="BL79" s="36">
        <v>0</v>
      </c>
      <c r="BM79" s="36">
        <v>0</v>
      </c>
      <c r="BN79" s="36">
        <v>1.2595300801699982</v>
      </c>
      <c r="BO79" s="36">
        <v>0</v>
      </c>
      <c r="BP79" s="36">
        <v>0.29525555703385231</v>
      </c>
      <c r="BQ79" s="36">
        <v>0</v>
      </c>
      <c r="BR79" s="36">
        <v>0</v>
      </c>
      <c r="BS79" s="36">
        <v>0</v>
      </c>
      <c r="BT79" s="36">
        <v>0</v>
      </c>
      <c r="BU79" s="36">
        <v>0</v>
      </c>
      <c r="BV79" s="36">
        <v>128.31797913235363</v>
      </c>
      <c r="BW79" s="36">
        <v>0</v>
      </c>
      <c r="BX79" s="36">
        <v>0</v>
      </c>
      <c r="BY79" s="36"/>
      <c r="BZ79" s="36">
        <v>0</v>
      </c>
      <c r="CA79" s="36">
        <v>0</v>
      </c>
      <c r="CB79" s="36">
        <v>129.87276476955748</v>
      </c>
      <c r="CC79" s="36">
        <v>0</v>
      </c>
      <c r="CD79" s="40">
        <v>9999</v>
      </c>
      <c r="CE79" s="36">
        <v>-3886.0457049606594</v>
      </c>
      <c r="CF79" s="36">
        <v>2.3135343969623887E-2</v>
      </c>
      <c r="CG79" s="36">
        <v>0</v>
      </c>
      <c r="CH79" s="36">
        <v>2.3135343969623887E-2</v>
      </c>
      <c r="CI79" s="36">
        <v>1.1567552546026059E-3</v>
      </c>
      <c r="CJ79" s="36">
        <v>0</v>
      </c>
      <c r="CK79" s="36">
        <v>1.1567552546026059E-3</v>
      </c>
      <c r="CL79" s="36"/>
      <c r="CM79" s="36">
        <v>0</v>
      </c>
      <c r="CN79" s="36"/>
      <c r="CO79" s="36">
        <v>0</v>
      </c>
      <c r="CP79" s="36">
        <v>0</v>
      </c>
      <c r="CQ79" s="36">
        <v>0</v>
      </c>
      <c r="CR79" s="36">
        <v>0</v>
      </c>
      <c r="CS79" s="36">
        <v>0</v>
      </c>
      <c r="CT79" s="36">
        <v>0</v>
      </c>
      <c r="CU79" s="36">
        <v>0</v>
      </c>
      <c r="CV79" s="36">
        <v>9999</v>
      </c>
      <c r="CW79" s="40">
        <v>9999</v>
      </c>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row>
    <row r="80" spans="1:131">
      <c r="A80" s="9" t="s">
        <v>1642</v>
      </c>
      <c r="B80" s="9" t="s">
        <v>27</v>
      </c>
      <c r="C80" s="36">
        <v>14</v>
      </c>
      <c r="D80" s="36">
        <v>1.0583851170185206</v>
      </c>
      <c r="E80" s="36">
        <v>0</v>
      </c>
      <c r="F80" s="36">
        <v>0</v>
      </c>
      <c r="G80" s="36">
        <v>0</v>
      </c>
      <c r="H80" s="36">
        <v>0</v>
      </c>
      <c r="I80" s="36" t="s">
        <v>1536</v>
      </c>
      <c r="J80" s="36"/>
      <c r="K80" s="36"/>
      <c r="L80" s="36">
        <v>1.1365778299436664</v>
      </c>
      <c r="M80" s="36">
        <v>1.7858819756916966E-4</v>
      </c>
      <c r="N80" s="36">
        <v>1.772992280458457E-4</v>
      </c>
      <c r="O80" s="36">
        <v>0</v>
      </c>
      <c r="P80" s="36">
        <v>0</v>
      </c>
      <c r="Q80" s="36">
        <v>0</v>
      </c>
      <c r="R80" s="36">
        <v>0</v>
      </c>
      <c r="S80" s="36">
        <v>0</v>
      </c>
      <c r="T80" s="36">
        <v>0</v>
      </c>
      <c r="U80" s="36">
        <v>0</v>
      </c>
      <c r="V80" s="36" t="s">
        <v>1533</v>
      </c>
      <c r="W80" s="36" t="s">
        <v>1533</v>
      </c>
      <c r="X80" s="36" t="s">
        <v>1533</v>
      </c>
      <c r="Y80" s="36" t="s">
        <v>1533</v>
      </c>
      <c r="Z80" s="36">
        <v>0</v>
      </c>
      <c r="AA80" s="36">
        <v>0</v>
      </c>
      <c r="AB80" s="36">
        <v>0</v>
      </c>
      <c r="AC80" s="36">
        <v>0</v>
      </c>
      <c r="AD80" s="36">
        <v>0</v>
      </c>
      <c r="AE80" s="36">
        <v>0</v>
      </c>
      <c r="AF80" s="36">
        <v>0</v>
      </c>
      <c r="AG80" s="36">
        <v>0</v>
      </c>
      <c r="AH80" s="36">
        <v>0</v>
      </c>
      <c r="AI80" s="36">
        <v>0</v>
      </c>
      <c r="AJ80" s="36">
        <v>0</v>
      </c>
      <c r="AK80" s="36">
        <v>0</v>
      </c>
      <c r="AL80" s="36">
        <v>0</v>
      </c>
      <c r="AM80" s="36">
        <v>0.58784097223408771</v>
      </c>
      <c r="AN80" s="36">
        <v>6.310386904443907E-2</v>
      </c>
      <c r="AO80" s="36">
        <v>0</v>
      </c>
      <c r="AP80" s="36">
        <v>0</v>
      </c>
      <c r="AQ80" s="36">
        <v>0.65094484127852681</v>
      </c>
      <c r="AR80" s="36">
        <v>0</v>
      </c>
      <c r="AS80" s="40">
        <v>9999</v>
      </c>
      <c r="AT80" s="36">
        <v>0.58784097223408771</v>
      </c>
      <c r="AU80" s="36">
        <v>7.4696185465470605E-2</v>
      </c>
      <c r="AV80" s="36">
        <v>0</v>
      </c>
      <c r="AW80" s="36">
        <v>0</v>
      </c>
      <c r="AX80" s="36">
        <v>0.66253715769955834</v>
      </c>
      <c r="AY80" s="36">
        <v>0</v>
      </c>
      <c r="AZ80" s="40">
        <v>9999</v>
      </c>
      <c r="BA80" s="36">
        <v>0.58784097223408771</v>
      </c>
      <c r="BB80" s="36">
        <v>0.13780005450990968</v>
      </c>
      <c r="BC80" s="36">
        <v>0</v>
      </c>
      <c r="BD80" s="36">
        <v>0</v>
      </c>
      <c r="BE80" s="36">
        <v>0.72564102674399744</v>
      </c>
      <c r="BF80" s="36">
        <v>0</v>
      </c>
      <c r="BG80" s="36">
        <v>-8.9211393527904566</v>
      </c>
      <c r="BH80" s="40">
        <v>9999</v>
      </c>
      <c r="BI80" s="36">
        <v>0</v>
      </c>
      <c r="BJ80" s="36">
        <v>0</v>
      </c>
      <c r="BK80" s="36">
        <v>0</v>
      </c>
      <c r="BL80" s="36">
        <v>0</v>
      </c>
      <c r="BM80" s="36">
        <v>0</v>
      </c>
      <c r="BN80" s="36">
        <v>0.58784097223408771</v>
      </c>
      <c r="BO80" s="36">
        <v>0</v>
      </c>
      <c r="BP80" s="36">
        <v>0.13780005450990968</v>
      </c>
      <c r="BQ80" s="36">
        <v>0</v>
      </c>
      <c r="BR80" s="36">
        <v>0</v>
      </c>
      <c r="BS80" s="36">
        <v>0</v>
      </c>
      <c r="BT80" s="36">
        <v>0</v>
      </c>
      <c r="BU80" s="36">
        <v>0</v>
      </c>
      <c r="BV80" s="36">
        <v>59.887863573766545</v>
      </c>
      <c r="BW80" s="36">
        <v>0</v>
      </c>
      <c r="BX80" s="36">
        <v>0</v>
      </c>
      <c r="BY80" s="36"/>
      <c r="BZ80" s="36">
        <v>0</v>
      </c>
      <c r="CA80" s="36">
        <v>0</v>
      </c>
      <c r="CB80" s="36">
        <v>60.613504600510545</v>
      </c>
      <c r="CC80" s="36">
        <v>0</v>
      </c>
      <c r="CD80" s="40">
        <v>9999</v>
      </c>
      <c r="CE80" s="36">
        <v>-3886.0457049606625</v>
      </c>
      <c r="CF80" s="36">
        <v>1.0797600872095222E-2</v>
      </c>
      <c r="CG80" s="36">
        <v>0</v>
      </c>
      <c r="CH80" s="36">
        <v>1.0797600872095222E-2</v>
      </c>
      <c r="CI80" s="36">
        <v>5.3987446922324162E-4</v>
      </c>
      <c r="CJ80" s="36">
        <v>0</v>
      </c>
      <c r="CK80" s="36">
        <v>5.3987446922324162E-4</v>
      </c>
      <c r="CL80" s="36"/>
      <c r="CM80" s="36">
        <v>0</v>
      </c>
      <c r="CN80" s="36"/>
      <c r="CO80" s="36">
        <v>0</v>
      </c>
      <c r="CP80" s="36">
        <v>0</v>
      </c>
      <c r="CQ80" s="36">
        <v>0</v>
      </c>
      <c r="CR80" s="36">
        <v>0</v>
      </c>
      <c r="CS80" s="36">
        <v>0</v>
      </c>
      <c r="CT80" s="36">
        <v>0</v>
      </c>
      <c r="CU80" s="36">
        <v>0</v>
      </c>
      <c r="CV80" s="36">
        <v>9999</v>
      </c>
      <c r="CW80" s="40">
        <v>9999</v>
      </c>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row>
    <row r="81" spans="1:131">
      <c r="A81" s="9" t="s">
        <v>1638</v>
      </c>
      <c r="B81" s="9" t="s">
        <v>27</v>
      </c>
      <c r="C81" s="36">
        <v>14</v>
      </c>
      <c r="D81" s="36">
        <v>9.1415221239599553E-2</v>
      </c>
      <c r="E81" s="36">
        <v>0</v>
      </c>
      <c r="F81" s="36">
        <v>0</v>
      </c>
      <c r="G81" s="36">
        <v>0</v>
      </c>
      <c r="H81" s="36">
        <v>0</v>
      </c>
      <c r="I81" s="36" t="s">
        <v>1536</v>
      </c>
      <c r="J81" s="36"/>
      <c r="K81" s="36"/>
      <c r="L81" s="36">
        <v>9.8168910455782687E-2</v>
      </c>
      <c r="M81" s="36">
        <v>1.5425084243017827E-5</v>
      </c>
      <c r="N81" s="36">
        <v>1.5313752902231693E-5</v>
      </c>
      <c r="O81" s="36">
        <v>0</v>
      </c>
      <c r="P81" s="36">
        <v>0</v>
      </c>
      <c r="Q81" s="36">
        <v>0</v>
      </c>
      <c r="R81" s="36">
        <v>0</v>
      </c>
      <c r="S81" s="36">
        <v>0</v>
      </c>
      <c r="T81" s="36">
        <v>0</v>
      </c>
      <c r="U81" s="36">
        <v>0</v>
      </c>
      <c r="V81" s="36" t="s">
        <v>1533</v>
      </c>
      <c r="W81" s="36" t="s">
        <v>1533</v>
      </c>
      <c r="X81" s="36" t="s">
        <v>1533</v>
      </c>
      <c r="Y81" s="36" t="s">
        <v>1533</v>
      </c>
      <c r="Z81" s="36">
        <v>0</v>
      </c>
      <c r="AA81" s="36">
        <v>0</v>
      </c>
      <c r="AB81" s="36">
        <v>0</v>
      </c>
      <c r="AC81" s="36">
        <v>0</v>
      </c>
      <c r="AD81" s="36">
        <v>0</v>
      </c>
      <c r="AE81" s="36">
        <v>0</v>
      </c>
      <c r="AF81" s="36">
        <v>0</v>
      </c>
      <c r="AG81" s="36">
        <v>0</v>
      </c>
      <c r="AH81" s="36">
        <v>0</v>
      </c>
      <c r="AI81" s="36">
        <v>0</v>
      </c>
      <c r="AJ81" s="36">
        <v>0</v>
      </c>
      <c r="AK81" s="36">
        <v>0</v>
      </c>
      <c r="AL81" s="36">
        <v>0</v>
      </c>
      <c r="AM81" s="36">
        <v>5.0773212572999646E-2</v>
      </c>
      <c r="AN81" s="36">
        <v>5.450430147792007E-3</v>
      </c>
      <c r="AO81" s="36">
        <v>0</v>
      </c>
      <c r="AP81" s="36">
        <v>0</v>
      </c>
      <c r="AQ81" s="36">
        <v>5.6223642720791653E-2</v>
      </c>
      <c r="AR81" s="36">
        <v>0</v>
      </c>
      <c r="AS81" s="40">
        <v>9999</v>
      </c>
      <c r="AT81" s="36">
        <v>5.0773212572999646E-2</v>
      </c>
      <c r="AU81" s="36">
        <v>6.4516858847332662E-3</v>
      </c>
      <c r="AV81" s="36">
        <v>0</v>
      </c>
      <c r="AW81" s="36">
        <v>0</v>
      </c>
      <c r="AX81" s="36">
        <v>5.722489845773291E-2</v>
      </c>
      <c r="AY81" s="36">
        <v>0</v>
      </c>
      <c r="AZ81" s="40">
        <v>9999</v>
      </c>
      <c r="BA81" s="36">
        <v>5.0773212572999646E-2</v>
      </c>
      <c r="BB81" s="36">
        <v>1.1902116032525273E-2</v>
      </c>
      <c r="BC81" s="36">
        <v>0</v>
      </c>
      <c r="BD81" s="36">
        <v>0</v>
      </c>
      <c r="BE81" s="36">
        <v>6.267532860552491E-2</v>
      </c>
      <c r="BF81" s="36">
        <v>0</v>
      </c>
      <c r="BG81" s="36">
        <v>-8.9211393527904459</v>
      </c>
      <c r="BH81" s="40">
        <v>9999</v>
      </c>
      <c r="BI81" s="36">
        <v>0</v>
      </c>
      <c r="BJ81" s="36">
        <v>0</v>
      </c>
      <c r="BK81" s="36">
        <v>0</v>
      </c>
      <c r="BL81" s="36">
        <v>0</v>
      </c>
      <c r="BM81" s="36">
        <v>0</v>
      </c>
      <c r="BN81" s="36">
        <v>5.0773212572999646E-2</v>
      </c>
      <c r="BO81" s="36">
        <v>0</v>
      </c>
      <c r="BP81" s="36">
        <v>1.1902116032525273E-2</v>
      </c>
      <c r="BQ81" s="36">
        <v>0</v>
      </c>
      <c r="BR81" s="36">
        <v>0</v>
      </c>
      <c r="BS81" s="36">
        <v>0</v>
      </c>
      <c r="BT81" s="36">
        <v>0</v>
      </c>
      <c r="BU81" s="36">
        <v>0</v>
      </c>
      <c r="BV81" s="36">
        <v>5.1726561628010961</v>
      </c>
      <c r="BW81" s="36">
        <v>0</v>
      </c>
      <c r="BX81" s="36">
        <v>0</v>
      </c>
      <c r="BY81" s="36"/>
      <c r="BZ81" s="36">
        <v>0</v>
      </c>
      <c r="CA81" s="36">
        <v>0</v>
      </c>
      <c r="CB81" s="36">
        <v>5.2353314914066207</v>
      </c>
      <c r="CC81" s="36">
        <v>0</v>
      </c>
      <c r="CD81" s="40">
        <v>9999</v>
      </c>
      <c r="CE81" s="36">
        <v>-3886.0457049606525</v>
      </c>
      <c r="CF81" s="36">
        <v>9.3261427877977673E-4</v>
      </c>
      <c r="CG81" s="36">
        <v>0</v>
      </c>
      <c r="CH81" s="36">
        <v>9.3261427877977673E-4</v>
      </c>
      <c r="CI81" s="36">
        <v>4.6630232466496782E-5</v>
      </c>
      <c r="CJ81" s="36">
        <v>0</v>
      </c>
      <c r="CK81" s="36">
        <v>4.6630232466496782E-5</v>
      </c>
      <c r="CL81" s="36"/>
      <c r="CM81" s="36">
        <v>0</v>
      </c>
      <c r="CN81" s="36"/>
      <c r="CO81" s="36">
        <v>0</v>
      </c>
      <c r="CP81" s="36">
        <v>0</v>
      </c>
      <c r="CQ81" s="36">
        <v>0</v>
      </c>
      <c r="CR81" s="36">
        <v>0</v>
      </c>
      <c r="CS81" s="36">
        <v>0</v>
      </c>
      <c r="CT81" s="36">
        <v>0</v>
      </c>
      <c r="CU81" s="36">
        <v>0</v>
      </c>
      <c r="CV81" s="36">
        <v>9999</v>
      </c>
      <c r="CW81" s="40">
        <v>9999</v>
      </c>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row>
    <row r="82" spans="1:131">
      <c r="A82" s="9" t="s">
        <v>1648</v>
      </c>
      <c r="B82" s="9" t="s">
        <v>25</v>
      </c>
      <c r="C82" s="36">
        <v>14</v>
      </c>
      <c r="D82" s="36">
        <v>13.420513804370698</v>
      </c>
      <c r="E82" s="36">
        <v>0.38507341368346421</v>
      </c>
      <c r="F82" s="36">
        <v>139.81935250031893</v>
      </c>
      <c r="G82" s="36">
        <v>0</v>
      </c>
      <c r="H82" s="36">
        <v>0</v>
      </c>
      <c r="I82" s="36" t="s">
        <v>1532</v>
      </c>
      <c r="J82" s="36"/>
      <c r="K82" s="36"/>
      <c r="L82" s="36">
        <v>14.410613802567781</v>
      </c>
      <c r="M82" s="36">
        <v>2.1571740257675361E-3</v>
      </c>
      <c r="N82" s="36">
        <v>2.1416045110203845E-3</v>
      </c>
      <c r="O82" s="36">
        <v>0.38892414782029883</v>
      </c>
      <c r="P82" s="36">
        <v>0</v>
      </c>
      <c r="Q82" s="36">
        <v>0</v>
      </c>
      <c r="R82" s="36">
        <v>27.881846665687689</v>
      </c>
      <c r="S82" s="36">
        <v>64.430706839465685</v>
      </c>
      <c r="T82" s="36">
        <v>0</v>
      </c>
      <c r="U82" s="36">
        <v>90.612748523181409</v>
      </c>
      <c r="V82" s="36" t="s">
        <v>1533</v>
      </c>
      <c r="W82" s="36" t="s">
        <v>1533</v>
      </c>
      <c r="X82" s="36" t="s">
        <v>1533</v>
      </c>
      <c r="Y82" s="36" t="s">
        <v>1533</v>
      </c>
      <c r="Z82" s="36">
        <v>0</v>
      </c>
      <c r="AA82" s="36">
        <v>0</v>
      </c>
      <c r="AB82" s="36">
        <v>0</v>
      </c>
      <c r="AC82" s="36">
        <v>0</v>
      </c>
      <c r="AD82" s="36">
        <v>0</v>
      </c>
      <c r="AE82" s="36">
        <v>0</v>
      </c>
      <c r="AF82" s="36">
        <v>0</v>
      </c>
      <c r="AG82" s="36">
        <v>0</v>
      </c>
      <c r="AH82" s="36">
        <v>27.881846665687689</v>
      </c>
      <c r="AI82" s="36">
        <v>64.430706839465685</v>
      </c>
      <c r="AJ82" s="36">
        <v>0</v>
      </c>
      <c r="AK82" s="36">
        <v>90.612748523181409</v>
      </c>
      <c r="AL82" s="36">
        <v>182.92530202833478</v>
      </c>
      <c r="AM82" s="36">
        <v>7.3922491005210684</v>
      </c>
      <c r="AN82" s="36">
        <v>0.76223417381978198</v>
      </c>
      <c r="AO82" s="36">
        <v>0</v>
      </c>
      <c r="AP82" s="36">
        <v>0</v>
      </c>
      <c r="AQ82" s="36">
        <v>8.1544832743408513</v>
      </c>
      <c r="AR82" s="36">
        <v>27.881846665687689</v>
      </c>
      <c r="AS82" s="781">
        <v>0.29246568106179366</v>
      </c>
      <c r="AT82" s="36">
        <v>7.3922491005210684</v>
      </c>
      <c r="AU82" s="36">
        <v>0.90225823040528097</v>
      </c>
      <c r="AV82" s="36">
        <v>0</v>
      </c>
      <c r="AW82" s="36">
        <v>0</v>
      </c>
      <c r="AX82" s="36">
        <v>8.2945073309263488</v>
      </c>
      <c r="AY82" s="36">
        <v>64.430706839465685</v>
      </c>
      <c r="AZ82" s="781">
        <v>0.12873531484906389</v>
      </c>
      <c r="BA82" s="36">
        <v>7.3922491005210684</v>
      </c>
      <c r="BB82" s="36">
        <v>1.6644924042250628</v>
      </c>
      <c r="BC82" s="36">
        <v>0</v>
      </c>
      <c r="BD82" s="36">
        <v>0</v>
      </c>
      <c r="BE82" s="36">
        <v>9.0567415047461317</v>
      </c>
      <c r="BF82" s="36">
        <v>92.312553505153375</v>
      </c>
      <c r="BG82" s="36">
        <v>462.85627323620912</v>
      </c>
      <c r="BH82" s="781">
        <v>9.8109532895117424E-2</v>
      </c>
      <c r="BI82" s="36">
        <v>142.36694620809121</v>
      </c>
      <c r="BJ82" s="36">
        <v>328.98835879661647</v>
      </c>
      <c r="BK82" s="36">
        <v>0</v>
      </c>
      <c r="BL82" s="36">
        <v>462.6759643808868</v>
      </c>
      <c r="BM82" s="36">
        <v>934.03126938559456</v>
      </c>
      <c r="BN82" s="36">
        <v>7.3922491005210684</v>
      </c>
      <c r="BO82" s="36">
        <v>2.8329415783446885</v>
      </c>
      <c r="BP82" s="36">
        <v>1.6644924042250628</v>
      </c>
      <c r="BQ82" s="36">
        <v>0</v>
      </c>
      <c r="BR82" s="36">
        <v>0</v>
      </c>
      <c r="BS82" s="36">
        <v>0</v>
      </c>
      <c r="BT82" s="36">
        <v>0</v>
      </c>
      <c r="BU82" s="36">
        <v>0</v>
      </c>
      <c r="BV82" s="36">
        <v>98.049848370351469</v>
      </c>
      <c r="BW82" s="36">
        <v>0</v>
      </c>
      <c r="BX82" s="36">
        <v>182.92530202833478</v>
      </c>
      <c r="BY82" s="36"/>
      <c r="BZ82" s="36">
        <v>0</v>
      </c>
      <c r="CA82" s="36">
        <v>0</v>
      </c>
      <c r="CB82" s="36">
        <v>109.93953145344229</v>
      </c>
      <c r="CC82" s="36">
        <v>182.92530202833478</v>
      </c>
      <c r="CD82" s="781">
        <v>0.60100778970649371</v>
      </c>
      <c r="CE82" s="36">
        <v>410.41661768855664</v>
      </c>
      <c r="CF82" s="36">
        <v>0.13690340074346974</v>
      </c>
      <c r="CG82" s="36">
        <v>4.5504125294974988E-2</v>
      </c>
      <c r="CH82" s="36">
        <v>0.18240752603844473</v>
      </c>
      <c r="CI82" s="36">
        <v>6.8450415562196949E-3</v>
      </c>
      <c r="CJ82" s="36">
        <v>2.2752062647487478E-3</v>
      </c>
      <c r="CK82" s="36">
        <v>9.1202478209684423E-3</v>
      </c>
      <c r="CL82" s="36"/>
      <c r="CM82" s="36">
        <v>0.38507341368346421</v>
      </c>
      <c r="CN82" s="36" t="s">
        <v>1534</v>
      </c>
      <c r="CO82" s="36">
        <v>0</v>
      </c>
      <c r="CP82" s="36">
        <v>0</v>
      </c>
      <c r="CQ82" s="36">
        <v>2.8329415783446885</v>
      </c>
      <c r="CR82" s="36">
        <v>0</v>
      </c>
      <c r="CS82" s="36">
        <v>0</v>
      </c>
      <c r="CT82" s="36">
        <v>2.8329415783446885</v>
      </c>
      <c r="CU82" s="36">
        <v>0</v>
      </c>
      <c r="CV82" s="36">
        <v>0</v>
      </c>
      <c r="CW82" s="40">
        <v>9999</v>
      </c>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row>
    <row r="83" spans="1:131">
      <c r="A83" s="9" t="s">
        <v>1644</v>
      </c>
      <c r="B83" s="9" t="s">
        <v>25</v>
      </c>
      <c r="C83" s="36">
        <v>14</v>
      </c>
      <c r="D83" s="36">
        <v>7.6161264854408284</v>
      </c>
      <c r="E83" s="36">
        <v>0.19401942602722239</v>
      </c>
      <c r="F83" s="36">
        <v>54.906335711206673</v>
      </c>
      <c r="G83" s="36">
        <v>0</v>
      </c>
      <c r="H83" s="36">
        <v>0</v>
      </c>
      <c r="I83" s="36" t="s">
        <v>1532</v>
      </c>
      <c r="J83" s="36"/>
      <c r="K83" s="36"/>
      <c r="L83" s="36">
        <v>8.1780071205211264</v>
      </c>
      <c r="M83" s="36">
        <v>1.2241938327281156E-3</v>
      </c>
      <c r="N83" s="36">
        <v>1.2153581506253465E-3</v>
      </c>
      <c r="O83" s="36">
        <v>0.19595962028749461</v>
      </c>
      <c r="P83" s="36">
        <v>0</v>
      </c>
      <c r="Q83" s="36">
        <v>0</v>
      </c>
      <c r="R83" s="36">
        <v>10.949056807219478</v>
      </c>
      <c r="S83" s="36">
        <v>25.301604939344664</v>
      </c>
      <c r="T83" s="36">
        <v>0</v>
      </c>
      <c r="U83" s="36">
        <v>35.583157132111566</v>
      </c>
      <c r="V83" s="36" t="s">
        <v>1533</v>
      </c>
      <c r="W83" s="36" t="s">
        <v>1533</v>
      </c>
      <c r="X83" s="36" t="s">
        <v>1533</v>
      </c>
      <c r="Y83" s="36" t="s">
        <v>1533</v>
      </c>
      <c r="Z83" s="36">
        <v>0</v>
      </c>
      <c r="AA83" s="36">
        <v>0</v>
      </c>
      <c r="AB83" s="36">
        <v>0</v>
      </c>
      <c r="AC83" s="36">
        <v>0</v>
      </c>
      <c r="AD83" s="36">
        <v>0</v>
      </c>
      <c r="AE83" s="36">
        <v>0</v>
      </c>
      <c r="AF83" s="36">
        <v>0</v>
      </c>
      <c r="AG83" s="36">
        <v>0</v>
      </c>
      <c r="AH83" s="36">
        <v>10.949056807219478</v>
      </c>
      <c r="AI83" s="36">
        <v>25.301604939344664</v>
      </c>
      <c r="AJ83" s="36">
        <v>0</v>
      </c>
      <c r="AK83" s="36">
        <v>35.583157132111566</v>
      </c>
      <c r="AL83" s="36">
        <v>71.833818878675714</v>
      </c>
      <c r="AM83" s="36">
        <v>4.1950930480112598</v>
      </c>
      <c r="AN83" s="36">
        <v>0.43256703610306863</v>
      </c>
      <c r="AO83" s="36">
        <v>0</v>
      </c>
      <c r="AP83" s="36">
        <v>0</v>
      </c>
      <c r="AQ83" s="36">
        <v>4.6276600841143285</v>
      </c>
      <c r="AR83" s="36">
        <v>10.949056807219478</v>
      </c>
      <c r="AS83" s="781">
        <v>0.42265376512276281</v>
      </c>
      <c r="AT83" s="36">
        <v>4.1950930480112598</v>
      </c>
      <c r="AU83" s="36">
        <v>0.51203053068346038</v>
      </c>
      <c r="AV83" s="36">
        <v>0</v>
      </c>
      <c r="AW83" s="36">
        <v>0</v>
      </c>
      <c r="AX83" s="36">
        <v>4.7071235786947199</v>
      </c>
      <c r="AY83" s="36">
        <v>25.301604939344664</v>
      </c>
      <c r="AZ83" s="781">
        <v>0.18604051363457258</v>
      </c>
      <c r="BA83" s="36">
        <v>4.1950930480112598</v>
      </c>
      <c r="BB83" s="36">
        <v>0.94459756678652895</v>
      </c>
      <c r="BC83" s="36">
        <v>0</v>
      </c>
      <c r="BD83" s="36">
        <v>0</v>
      </c>
      <c r="BE83" s="36">
        <v>5.1396906147977885</v>
      </c>
      <c r="BF83" s="36">
        <v>36.250661746564141</v>
      </c>
      <c r="BG83" s="36">
        <v>317.66687914028103</v>
      </c>
      <c r="BH83" s="781">
        <v>0.14178198044301718</v>
      </c>
      <c r="BI83" s="36">
        <v>98.514314361646001</v>
      </c>
      <c r="BJ83" s="36">
        <v>227.65159654713358</v>
      </c>
      <c r="BK83" s="36">
        <v>0</v>
      </c>
      <c r="BL83" s="36">
        <v>320.16002742640774</v>
      </c>
      <c r="BM83" s="36">
        <v>646.3259383351874</v>
      </c>
      <c r="BN83" s="36">
        <v>4.1950930480112598</v>
      </c>
      <c r="BO83" s="36">
        <v>1.4273789866233304</v>
      </c>
      <c r="BP83" s="36">
        <v>0.94459756678652895</v>
      </c>
      <c r="BQ83" s="36">
        <v>0</v>
      </c>
      <c r="BR83" s="36">
        <v>0</v>
      </c>
      <c r="BS83" s="36">
        <v>0</v>
      </c>
      <c r="BT83" s="36">
        <v>0</v>
      </c>
      <c r="BU83" s="36">
        <v>0</v>
      </c>
      <c r="BV83" s="36">
        <v>45.761287563416573</v>
      </c>
      <c r="BW83" s="36">
        <v>0</v>
      </c>
      <c r="BX83" s="36">
        <v>71.833818878675714</v>
      </c>
      <c r="BY83" s="36"/>
      <c r="BZ83" s="36">
        <v>0</v>
      </c>
      <c r="CA83" s="36">
        <v>0</v>
      </c>
      <c r="CB83" s="36">
        <v>52.328357164837691</v>
      </c>
      <c r="CC83" s="36">
        <v>71.833818878675714</v>
      </c>
      <c r="CD83" s="781">
        <v>0.72846408532474205</v>
      </c>
      <c r="CE83" s="36">
        <v>213.24612187733837</v>
      </c>
      <c r="CF83" s="36">
        <v>7.7692525900885351E-2</v>
      </c>
      <c r="CG83" s="36">
        <v>2.2927275573636833E-2</v>
      </c>
      <c r="CH83" s="36">
        <v>0.10061980147452218</v>
      </c>
      <c r="CI83" s="36">
        <v>3.8845533822475355E-3</v>
      </c>
      <c r="CJ83" s="36">
        <v>1.1463637786818435E-3</v>
      </c>
      <c r="CK83" s="36">
        <v>5.0309171609293785E-3</v>
      </c>
      <c r="CL83" s="36"/>
      <c r="CM83" s="36">
        <v>0.19401942602722239</v>
      </c>
      <c r="CN83" s="36" t="s">
        <v>1534</v>
      </c>
      <c r="CO83" s="36">
        <v>0</v>
      </c>
      <c r="CP83" s="36">
        <v>0</v>
      </c>
      <c r="CQ83" s="36">
        <v>1.4273789866233304</v>
      </c>
      <c r="CR83" s="36">
        <v>0</v>
      </c>
      <c r="CS83" s="36">
        <v>0</v>
      </c>
      <c r="CT83" s="36">
        <v>1.4273789866233304</v>
      </c>
      <c r="CU83" s="36">
        <v>0</v>
      </c>
      <c r="CV83" s="36">
        <v>0</v>
      </c>
      <c r="CW83" s="40">
        <v>9999</v>
      </c>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row>
    <row r="84" spans="1:131">
      <c r="A84" s="9" t="s">
        <v>1639</v>
      </c>
      <c r="B84" s="9" t="s">
        <v>25</v>
      </c>
      <c r="C84" s="36">
        <v>14</v>
      </c>
      <c r="D84" s="36">
        <v>1.4130617083715187</v>
      </c>
      <c r="E84" s="36">
        <v>2.8130810286325469E-2</v>
      </c>
      <c r="F84" s="36">
        <v>0</v>
      </c>
      <c r="G84" s="36">
        <v>0</v>
      </c>
      <c r="H84" s="36">
        <v>0</v>
      </c>
      <c r="I84" s="36" t="s">
        <v>1532</v>
      </c>
      <c r="J84" s="36"/>
      <c r="K84" s="36"/>
      <c r="L84" s="36">
        <v>1.5173105035596259</v>
      </c>
      <c r="M84" s="36">
        <v>2.2713139441151787E-4</v>
      </c>
      <c r="N84" s="36">
        <v>2.2549206186227072E-4</v>
      </c>
      <c r="O84" s="36">
        <v>2.8412118389188723E-2</v>
      </c>
      <c r="P84" s="36">
        <v>0</v>
      </c>
      <c r="Q84" s="36">
        <v>0</v>
      </c>
      <c r="R84" s="36">
        <v>0</v>
      </c>
      <c r="S84" s="36">
        <v>0</v>
      </c>
      <c r="T84" s="36">
        <v>0</v>
      </c>
      <c r="U84" s="36">
        <v>0</v>
      </c>
      <c r="V84" s="36" t="s">
        <v>1533</v>
      </c>
      <c r="W84" s="36" t="s">
        <v>1533</v>
      </c>
      <c r="X84" s="36" t="s">
        <v>1533</v>
      </c>
      <c r="Y84" s="36" t="s">
        <v>1533</v>
      </c>
      <c r="Z84" s="36">
        <v>0</v>
      </c>
      <c r="AA84" s="36">
        <v>0</v>
      </c>
      <c r="AB84" s="36">
        <v>0</v>
      </c>
      <c r="AC84" s="36">
        <v>0</v>
      </c>
      <c r="AD84" s="36">
        <v>0</v>
      </c>
      <c r="AE84" s="36">
        <v>0</v>
      </c>
      <c r="AF84" s="36">
        <v>0</v>
      </c>
      <c r="AG84" s="36">
        <v>0</v>
      </c>
      <c r="AH84" s="36">
        <v>0</v>
      </c>
      <c r="AI84" s="36">
        <v>0</v>
      </c>
      <c r="AJ84" s="36">
        <v>0</v>
      </c>
      <c r="AK84" s="36">
        <v>0</v>
      </c>
      <c r="AL84" s="36">
        <v>0</v>
      </c>
      <c r="AM84" s="36">
        <v>0.77833861616298516</v>
      </c>
      <c r="AN84" s="36">
        <v>8.0256534104242536E-2</v>
      </c>
      <c r="AO84" s="36">
        <v>0</v>
      </c>
      <c r="AP84" s="36">
        <v>0</v>
      </c>
      <c r="AQ84" s="36">
        <v>0.85859515026722766</v>
      </c>
      <c r="AR84" s="36">
        <v>0</v>
      </c>
      <c r="AS84" s="40">
        <v>9999</v>
      </c>
      <c r="AT84" s="36">
        <v>0.77833861616298516</v>
      </c>
      <c r="AU84" s="36">
        <v>9.4999831976144922E-2</v>
      </c>
      <c r="AV84" s="36">
        <v>0</v>
      </c>
      <c r="AW84" s="36">
        <v>0</v>
      </c>
      <c r="AX84" s="36">
        <v>0.87333844813913009</v>
      </c>
      <c r="AY84" s="36">
        <v>0</v>
      </c>
      <c r="AZ84" s="40">
        <v>9999</v>
      </c>
      <c r="BA84" s="36">
        <v>0.77833861616298516</v>
      </c>
      <c r="BB84" s="36">
        <v>0.17525636608038747</v>
      </c>
      <c r="BC84" s="36">
        <v>0</v>
      </c>
      <c r="BD84" s="36">
        <v>0</v>
      </c>
      <c r="BE84" s="36">
        <v>0.95359498224337258</v>
      </c>
      <c r="BF84" s="36">
        <v>0</v>
      </c>
      <c r="BG84" s="36">
        <v>-8.4990317684985826</v>
      </c>
      <c r="BH84" s="40">
        <v>9999</v>
      </c>
      <c r="BI84" s="36">
        <v>0</v>
      </c>
      <c r="BJ84" s="36">
        <v>0</v>
      </c>
      <c r="BK84" s="36">
        <v>0</v>
      </c>
      <c r="BL84" s="36">
        <v>0</v>
      </c>
      <c r="BM84" s="36">
        <v>0</v>
      </c>
      <c r="BN84" s="36">
        <v>0.77833861616298516</v>
      </c>
      <c r="BO84" s="36">
        <v>0.20695519155774941</v>
      </c>
      <c r="BP84" s="36">
        <v>0.17525636608038747</v>
      </c>
      <c r="BQ84" s="36">
        <v>0</v>
      </c>
      <c r="BR84" s="36">
        <v>0</v>
      </c>
      <c r="BS84" s="36">
        <v>0</v>
      </c>
      <c r="BT84" s="36">
        <v>0</v>
      </c>
      <c r="BU84" s="36">
        <v>0</v>
      </c>
      <c r="BV84" s="36">
        <v>3.9525104421376418</v>
      </c>
      <c r="BW84" s="36">
        <v>0</v>
      </c>
      <c r="BX84" s="36">
        <v>0</v>
      </c>
      <c r="BY84" s="36"/>
      <c r="BZ84" s="36">
        <v>0</v>
      </c>
      <c r="CA84" s="36">
        <v>0</v>
      </c>
      <c r="CB84" s="36">
        <v>5.113060615938763</v>
      </c>
      <c r="CC84" s="36">
        <v>0</v>
      </c>
      <c r="CD84" s="40">
        <v>9999</v>
      </c>
      <c r="CE84" s="36">
        <v>-210.21170761241086</v>
      </c>
      <c r="CF84" s="36">
        <v>1.441472034203606E-2</v>
      </c>
      <c r="CG84" s="36">
        <v>3.324217851535082E-3</v>
      </c>
      <c r="CH84" s="36">
        <v>1.7738938193571141E-2</v>
      </c>
      <c r="CI84" s="36">
        <v>7.2072248919082221E-4</v>
      </c>
      <c r="CJ84" s="36">
        <v>1.6621089257675407E-4</v>
      </c>
      <c r="CK84" s="36">
        <v>8.8693338176757622E-4</v>
      </c>
      <c r="CL84" s="36"/>
      <c r="CM84" s="36">
        <v>2.8130810286325469E-2</v>
      </c>
      <c r="CN84" s="36" t="s">
        <v>1534</v>
      </c>
      <c r="CO84" s="36">
        <v>0</v>
      </c>
      <c r="CP84" s="36">
        <v>0</v>
      </c>
      <c r="CQ84" s="36">
        <v>0.20695519155774941</v>
      </c>
      <c r="CR84" s="36">
        <v>0</v>
      </c>
      <c r="CS84" s="36">
        <v>0</v>
      </c>
      <c r="CT84" s="36">
        <v>0.20695519155774941</v>
      </c>
      <c r="CU84" s="36">
        <v>0</v>
      </c>
      <c r="CV84" s="36">
        <v>0</v>
      </c>
      <c r="CW84" s="40">
        <v>9999</v>
      </c>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row>
    <row r="85" spans="1:131">
      <c r="A85" s="9" t="s">
        <v>1648</v>
      </c>
      <c r="B85" s="9" t="s">
        <v>26</v>
      </c>
      <c r="C85" s="36">
        <v>14</v>
      </c>
      <c r="D85" s="36">
        <v>33.614929913688762</v>
      </c>
      <c r="E85" s="36">
        <v>6.762899288993178E-2</v>
      </c>
      <c r="F85" s="36">
        <v>0</v>
      </c>
      <c r="G85" s="36">
        <v>0</v>
      </c>
      <c r="H85" s="36">
        <v>0</v>
      </c>
      <c r="I85" s="36" t="s">
        <v>1535</v>
      </c>
      <c r="J85" s="36"/>
      <c r="K85" s="36"/>
      <c r="L85" s="36">
        <v>36.183452339473227</v>
      </c>
      <c r="M85" s="36">
        <v>2.3698642358561329E-2</v>
      </c>
      <c r="N85" s="36">
        <v>2.3527596185521211E-2</v>
      </c>
      <c r="O85" s="36">
        <v>6.8305282564374084E-2</v>
      </c>
      <c r="P85" s="36">
        <v>0</v>
      </c>
      <c r="Q85" s="36">
        <v>0</v>
      </c>
      <c r="R85" s="36">
        <v>0</v>
      </c>
      <c r="S85" s="36">
        <v>0</v>
      </c>
      <c r="T85" s="36">
        <v>0</v>
      </c>
      <c r="U85" s="36">
        <v>0</v>
      </c>
      <c r="V85" s="36" t="s">
        <v>1533</v>
      </c>
      <c r="W85" s="36" t="s">
        <v>1533</v>
      </c>
      <c r="X85" s="36" t="s">
        <v>1533</v>
      </c>
      <c r="Y85" s="36" t="s">
        <v>1533</v>
      </c>
      <c r="Z85" s="36">
        <v>0</v>
      </c>
      <c r="AA85" s="36">
        <v>0</v>
      </c>
      <c r="AB85" s="36">
        <v>0</v>
      </c>
      <c r="AC85" s="36">
        <v>0</v>
      </c>
      <c r="AD85" s="36">
        <v>0</v>
      </c>
      <c r="AE85" s="36">
        <v>0</v>
      </c>
      <c r="AF85" s="36">
        <v>0</v>
      </c>
      <c r="AG85" s="36">
        <v>0</v>
      </c>
      <c r="AH85" s="36">
        <v>0</v>
      </c>
      <c r="AI85" s="36">
        <v>0</v>
      </c>
      <c r="AJ85" s="36">
        <v>0</v>
      </c>
      <c r="AK85" s="36">
        <v>0</v>
      </c>
      <c r="AL85" s="36">
        <v>0</v>
      </c>
      <c r="AM85" s="36">
        <v>18.546846887248954</v>
      </c>
      <c r="AN85" s="36">
        <v>8.3738793732236019</v>
      </c>
      <c r="AO85" s="36">
        <v>0</v>
      </c>
      <c r="AP85" s="36">
        <v>0</v>
      </c>
      <c r="AQ85" s="36">
        <v>26.920726260472556</v>
      </c>
      <c r="AR85" s="36">
        <v>0</v>
      </c>
      <c r="AS85" s="40">
        <v>9999</v>
      </c>
      <c r="AT85" s="36">
        <v>18.546846887248954</v>
      </c>
      <c r="AU85" s="36">
        <v>9.9121790184893523</v>
      </c>
      <c r="AV85" s="36">
        <v>0</v>
      </c>
      <c r="AW85" s="36">
        <v>0</v>
      </c>
      <c r="AX85" s="36">
        <v>28.459025905738308</v>
      </c>
      <c r="AY85" s="36">
        <v>0</v>
      </c>
      <c r="AZ85" s="40">
        <v>9999</v>
      </c>
      <c r="BA85" s="36">
        <v>18.546846887248954</v>
      </c>
      <c r="BB85" s="36">
        <v>18.286058391712956</v>
      </c>
      <c r="BC85" s="36">
        <v>0</v>
      </c>
      <c r="BD85" s="36">
        <v>0</v>
      </c>
      <c r="BE85" s="36">
        <v>36.83290527896191</v>
      </c>
      <c r="BF85" s="36">
        <v>0</v>
      </c>
      <c r="BG85" s="36">
        <v>-37.186064238704411</v>
      </c>
      <c r="BH85" s="40">
        <v>9999</v>
      </c>
      <c r="BI85" s="36">
        <v>0</v>
      </c>
      <c r="BJ85" s="36">
        <v>0</v>
      </c>
      <c r="BK85" s="36">
        <v>0</v>
      </c>
      <c r="BL85" s="36">
        <v>0</v>
      </c>
      <c r="BM85" s="36">
        <v>0</v>
      </c>
      <c r="BN85" s="36">
        <v>18.546846887248954</v>
      </c>
      <c r="BO85" s="36">
        <v>0.50399263598207389</v>
      </c>
      <c r="BP85" s="36">
        <v>18.286058391712956</v>
      </c>
      <c r="BQ85" s="36">
        <v>0</v>
      </c>
      <c r="BR85" s="36">
        <v>0</v>
      </c>
      <c r="BS85" s="36">
        <v>0</v>
      </c>
      <c r="BT85" s="36">
        <v>0</v>
      </c>
      <c r="BU85" s="36">
        <v>0</v>
      </c>
      <c r="BV85" s="36">
        <v>0</v>
      </c>
      <c r="BW85" s="36">
        <v>0</v>
      </c>
      <c r="BX85" s="36">
        <v>0</v>
      </c>
      <c r="BY85" s="36"/>
      <c r="BZ85" s="36">
        <v>0</v>
      </c>
      <c r="CA85" s="36">
        <v>0</v>
      </c>
      <c r="CB85" s="36">
        <v>37.336897914943982</v>
      </c>
      <c r="CC85" s="36">
        <v>0</v>
      </c>
      <c r="CD85" s="40">
        <v>9999</v>
      </c>
      <c r="CE85" s="36">
        <v>-38.210970871724726</v>
      </c>
      <c r="CF85" s="36">
        <v>0.34373523453950861</v>
      </c>
      <c r="CG85" s="36">
        <v>7.9917180600317644E-3</v>
      </c>
      <c r="CH85" s="36">
        <v>0.35172695259954034</v>
      </c>
      <c r="CI85" s="36">
        <v>1.7187139861249784E-2</v>
      </c>
      <c r="CJ85" s="36">
        <v>3.9958590300158832E-4</v>
      </c>
      <c r="CK85" s="36">
        <v>1.7586725764251371E-2</v>
      </c>
      <c r="CL85" s="36"/>
      <c r="CM85" s="36">
        <v>6.762899288993178E-2</v>
      </c>
      <c r="CN85" s="36" t="s">
        <v>1535</v>
      </c>
      <c r="CO85" s="36">
        <v>0</v>
      </c>
      <c r="CP85" s="36">
        <v>0</v>
      </c>
      <c r="CQ85" s="36">
        <v>0.50399263598207389</v>
      </c>
      <c r="CR85" s="36">
        <v>0</v>
      </c>
      <c r="CS85" s="36">
        <v>0</v>
      </c>
      <c r="CT85" s="36">
        <v>0.50399263598207389</v>
      </c>
      <c r="CU85" s="36">
        <v>0</v>
      </c>
      <c r="CV85" s="36">
        <v>0</v>
      </c>
      <c r="CW85" s="40">
        <v>9999</v>
      </c>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row>
    <row r="86" spans="1:131">
      <c r="A86" s="9" t="s">
        <v>1644</v>
      </c>
      <c r="B86" s="9" t="s">
        <v>26</v>
      </c>
      <c r="C86" s="36">
        <v>14</v>
      </c>
      <c r="D86" s="36">
        <v>20.546071491444344</v>
      </c>
      <c r="E86" s="36">
        <v>4.1336100547544982E-2</v>
      </c>
      <c r="F86" s="36">
        <v>0</v>
      </c>
      <c r="G86" s="36">
        <v>0</v>
      </c>
      <c r="H86" s="36">
        <v>0</v>
      </c>
      <c r="I86" s="36" t="s">
        <v>1535</v>
      </c>
      <c r="J86" s="36"/>
      <c r="K86" s="36"/>
      <c r="L86" s="36">
        <v>22.11600025592632</v>
      </c>
      <c r="M86" s="36">
        <v>1.4485051773107814E-2</v>
      </c>
      <c r="N86" s="36">
        <v>1.4380505165137968E-2</v>
      </c>
      <c r="O86" s="36">
        <v>4.1749461397491562E-2</v>
      </c>
      <c r="P86" s="36">
        <v>0</v>
      </c>
      <c r="Q86" s="36">
        <v>0</v>
      </c>
      <c r="R86" s="36">
        <v>0</v>
      </c>
      <c r="S86" s="36">
        <v>0</v>
      </c>
      <c r="T86" s="36">
        <v>0</v>
      </c>
      <c r="U86" s="36">
        <v>0</v>
      </c>
      <c r="V86" s="36" t="s">
        <v>1533</v>
      </c>
      <c r="W86" s="36" t="s">
        <v>1533</v>
      </c>
      <c r="X86" s="36" t="s">
        <v>1533</v>
      </c>
      <c r="Y86" s="36" t="s">
        <v>1533</v>
      </c>
      <c r="Z86" s="36">
        <v>0</v>
      </c>
      <c r="AA86" s="36">
        <v>0</v>
      </c>
      <c r="AB86" s="36">
        <v>0</v>
      </c>
      <c r="AC86" s="36">
        <v>0</v>
      </c>
      <c r="AD86" s="36">
        <v>0</v>
      </c>
      <c r="AE86" s="36">
        <v>0</v>
      </c>
      <c r="AF86" s="36">
        <v>0</v>
      </c>
      <c r="AG86" s="36">
        <v>0</v>
      </c>
      <c r="AH86" s="36">
        <v>0</v>
      </c>
      <c r="AI86" s="36">
        <v>0</v>
      </c>
      <c r="AJ86" s="36">
        <v>0</v>
      </c>
      <c r="AK86" s="36">
        <v>0</v>
      </c>
      <c r="AL86" s="36">
        <v>0</v>
      </c>
      <c r="AM86" s="36">
        <v>11.33617839051661</v>
      </c>
      <c r="AN86" s="36">
        <v>5.1182710987274884</v>
      </c>
      <c r="AO86" s="36">
        <v>0</v>
      </c>
      <c r="AP86" s="36">
        <v>0</v>
      </c>
      <c r="AQ86" s="36">
        <v>16.454449489244098</v>
      </c>
      <c r="AR86" s="36">
        <v>0</v>
      </c>
      <c r="AS86" s="40">
        <v>9999</v>
      </c>
      <c r="AT86" s="36">
        <v>11.33617839051661</v>
      </c>
      <c r="AU86" s="36">
        <v>6.0585085041912699</v>
      </c>
      <c r="AV86" s="36">
        <v>0</v>
      </c>
      <c r="AW86" s="36">
        <v>0</v>
      </c>
      <c r="AX86" s="36">
        <v>17.394686894707881</v>
      </c>
      <c r="AY86" s="36">
        <v>0</v>
      </c>
      <c r="AZ86" s="40">
        <v>9999</v>
      </c>
      <c r="BA86" s="36">
        <v>11.33617839051661</v>
      </c>
      <c r="BB86" s="36">
        <v>11.176779602918758</v>
      </c>
      <c r="BC86" s="36">
        <v>0</v>
      </c>
      <c r="BD86" s="36">
        <v>0</v>
      </c>
      <c r="BE86" s="36">
        <v>22.512957993435371</v>
      </c>
      <c r="BF86" s="36">
        <v>0</v>
      </c>
      <c r="BG86" s="36">
        <v>-37.186064238704425</v>
      </c>
      <c r="BH86" s="40">
        <v>9999</v>
      </c>
      <c r="BI86" s="36">
        <v>0</v>
      </c>
      <c r="BJ86" s="36">
        <v>0</v>
      </c>
      <c r="BK86" s="36">
        <v>0</v>
      </c>
      <c r="BL86" s="36">
        <v>0</v>
      </c>
      <c r="BM86" s="36">
        <v>0</v>
      </c>
      <c r="BN86" s="36">
        <v>11.33617839051661</v>
      </c>
      <c r="BO86" s="36">
        <v>0.3080496897252884</v>
      </c>
      <c r="BP86" s="36">
        <v>11.176779602918758</v>
      </c>
      <c r="BQ86" s="36">
        <v>0</v>
      </c>
      <c r="BR86" s="36">
        <v>0</v>
      </c>
      <c r="BS86" s="36">
        <v>0</v>
      </c>
      <c r="BT86" s="36">
        <v>0</v>
      </c>
      <c r="BU86" s="36">
        <v>0</v>
      </c>
      <c r="BV86" s="36">
        <v>0</v>
      </c>
      <c r="BW86" s="36">
        <v>0</v>
      </c>
      <c r="BX86" s="36">
        <v>0</v>
      </c>
      <c r="BY86" s="36"/>
      <c r="BZ86" s="36">
        <v>0</v>
      </c>
      <c r="CA86" s="36">
        <v>0</v>
      </c>
      <c r="CB86" s="36">
        <v>22.821007683160655</v>
      </c>
      <c r="CC86" s="36">
        <v>0</v>
      </c>
      <c r="CD86" s="40">
        <v>9999</v>
      </c>
      <c r="CE86" s="36">
        <v>-38.210970871724726</v>
      </c>
      <c r="CF86" s="36">
        <v>0.21009737997701916</v>
      </c>
      <c r="CG86" s="36">
        <v>4.8846869835065107E-3</v>
      </c>
      <c r="CH86" s="36">
        <v>0.21498206696052566</v>
      </c>
      <c r="CI86" s="36">
        <v>1.0505100121565003E-2</v>
      </c>
      <c r="CJ86" s="36">
        <v>2.4423434917532566E-4</v>
      </c>
      <c r="CK86" s="36">
        <v>1.0749334470740328E-2</v>
      </c>
      <c r="CL86" s="36"/>
      <c r="CM86" s="36">
        <v>4.1336100547544982E-2</v>
      </c>
      <c r="CN86" s="36" t="s">
        <v>1535</v>
      </c>
      <c r="CO86" s="36">
        <v>0</v>
      </c>
      <c r="CP86" s="36">
        <v>0</v>
      </c>
      <c r="CQ86" s="36">
        <v>0.3080496897252884</v>
      </c>
      <c r="CR86" s="36">
        <v>0</v>
      </c>
      <c r="CS86" s="36">
        <v>0</v>
      </c>
      <c r="CT86" s="36">
        <v>0.3080496897252884</v>
      </c>
      <c r="CU86" s="36">
        <v>0</v>
      </c>
      <c r="CV86" s="36">
        <v>0</v>
      </c>
      <c r="CW86" s="40">
        <v>9999</v>
      </c>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row>
    <row r="87" spans="1:131">
      <c r="A87" s="9" t="s">
        <v>1639</v>
      </c>
      <c r="B87" s="9" t="s">
        <v>26</v>
      </c>
      <c r="C87" s="36">
        <v>14</v>
      </c>
      <c r="D87" s="36">
        <v>13.697550748450809</v>
      </c>
      <c r="E87" s="36">
        <v>2.7557741888946413E-2</v>
      </c>
      <c r="F87" s="36">
        <v>0</v>
      </c>
      <c r="G87" s="36">
        <v>0</v>
      </c>
      <c r="H87" s="36">
        <v>0</v>
      </c>
      <c r="I87" s="36" t="s">
        <v>1535</v>
      </c>
      <c r="J87" s="36"/>
      <c r="K87" s="36"/>
      <c r="L87" s="36">
        <v>14.744182895715515</v>
      </c>
      <c r="M87" s="36">
        <v>9.6568208593405345E-3</v>
      </c>
      <c r="N87" s="36">
        <v>9.5871222569171143E-3</v>
      </c>
      <c r="O87" s="36">
        <v>2.7833319204148679E-2</v>
      </c>
      <c r="P87" s="36">
        <v>0</v>
      </c>
      <c r="Q87" s="36">
        <v>0</v>
      </c>
      <c r="R87" s="36">
        <v>0</v>
      </c>
      <c r="S87" s="36">
        <v>0</v>
      </c>
      <c r="T87" s="36">
        <v>0</v>
      </c>
      <c r="U87" s="36">
        <v>0</v>
      </c>
      <c r="V87" s="36" t="s">
        <v>1533</v>
      </c>
      <c r="W87" s="36" t="s">
        <v>1533</v>
      </c>
      <c r="X87" s="36" t="s">
        <v>1533</v>
      </c>
      <c r="Y87" s="36" t="s">
        <v>1533</v>
      </c>
      <c r="Z87" s="36">
        <v>0</v>
      </c>
      <c r="AA87" s="36">
        <v>0</v>
      </c>
      <c r="AB87" s="36">
        <v>0</v>
      </c>
      <c r="AC87" s="36">
        <v>0</v>
      </c>
      <c r="AD87" s="36">
        <v>0</v>
      </c>
      <c r="AE87" s="36">
        <v>0</v>
      </c>
      <c r="AF87" s="36">
        <v>0</v>
      </c>
      <c r="AG87" s="36">
        <v>0</v>
      </c>
      <c r="AH87" s="36">
        <v>0</v>
      </c>
      <c r="AI87" s="36">
        <v>0</v>
      </c>
      <c r="AJ87" s="36">
        <v>0</v>
      </c>
      <c r="AK87" s="36">
        <v>0</v>
      </c>
      <c r="AL87" s="36">
        <v>0</v>
      </c>
      <c r="AM87" s="36">
        <v>7.5575459212362039</v>
      </c>
      <c r="AN87" s="36">
        <v>3.4122230202665569</v>
      </c>
      <c r="AO87" s="36">
        <v>0</v>
      </c>
      <c r="AP87" s="36">
        <v>0</v>
      </c>
      <c r="AQ87" s="36">
        <v>10.96976894150276</v>
      </c>
      <c r="AR87" s="36">
        <v>0</v>
      </c>
      <c r="AS87" s="40">
        <v>9999</v>
      </c>
      <c r="AT87" s="36">
        <v>7.5575459212362039</v>
      </c>
      <c r="AU87" s="36">
        <v>4.039055725598808</v>
      </c>
      <c r="AV87" s="36">
        <v>0</v>
      </c>
      <c r="AW87" s="36">
        <v>0</v>
      </c>
      <c r="AX87" s="36">
        <v>11.596601646835012</v>
      </c>
      <c r="AY87" s="36">
        <v>0</v>
      </c>
      <c r="AZ87" s="40">
        <v>9999</v>
      </c>
      <c r="BA87" s="36">
        <v>7.5575459212362039</v>
      </c>
      <c r="BB87" s="36">
        <v>7.4512787458653644</v>
      </c>
      <c r="BC87" s="36">
        <v>0</v>
      </c>
      <c r="BD87" s="36">
        <v>0</v>
      </c>
      <c r="BE87" s="36">
        <v>15.008824667101569</v>
      </c>
      <c r="BF87" s="36">
        <v>0</v>
      </c>
      <c r="BG87" s="36">
        <v>-37.186064238704411</v>
      </c>
      <c r="BH87" s="40">
        <v>9999</v>
      </c>
      <c r="BI87" s="36">
        <v>0</v>
      </c>
      <c r="BJ87" s="36">
        <v>0</v>
      </c>
      <c r="BK87" s="36">
        <v>0</v>
      </c>
      <c r="BL87" s="36">
        <v>0</v>
      </c>
      <c r="BM87" s="36">
        <v>0</v>
      </c>
      <c r="BN87" s="36">
        <v>7.5575459212362039</v>
      </c>
      <c r="BO87" s="36">
        <v>0.20536900496105739</v>
      </c>
      <c r="BP87" s="36">
        <v>7.4512787458653644</v>
      </c>
      <c r="BQ87" s="36">
        <v>0</v>
      </c>
      <c r="BR87" s="36">
        <v>0</v>
      </c>
      <c r="BS87" s="36">
        <v>0</v>
      </c>
      <c r="BT87" s="36">
        <v>0</v>
      </c>
      <c r="BU87" s="36">
        <v>0</v>
      </c>
      <c r="BV87" s="36">
        <v>0</v>
      </c>
      <c r="BW87" s="36">
        <v>0</v>
      </c>
      <c r="BX87" s="36">
        <v>0</v>
      </c>
      <c r="BY87" s="36"/>
      <c r="BZ87" s="36">
        <v>0</v>
      </c>
      <c r="CA87" s="36">
        <v>0</v>
      </c>
      <c r="CB87" s="36">
        <v>15.214193672062624</v>
      </c>
      <c r="CC87" s="36">
        <v>0</v>
      </c>
      <c r="CD87" s="40">
        <v>9999</v>
      </c>
      <c r="CE87" s="36">
        <v>-38.210970871724705</v>
      </c>
      <c r="CF87" s="36">
        <v>0.1400666558349189</v>
      </c>
      <c r="CG87" s="36">
        <v>3.2564983468853924E-3</v>
      </c>
      <c r="CH87" s="36">
        <v>0.1433231541818043</v>
      </c>
      <c r="CI87" s="36">
        <v>7.003486875464867E-3</v>
      </c>
      <c r="CJ87" s="36">
        <v>1.6282491734426977E-4</v>
      </c>
      <c r="CK87" s="36">
        <v>7.1663117928091368E-3</v>
      </c>
      <c r="CL87" s="36"/>
      <c r="CM87" s="36">
        <v>2.7557741888946413E-2</v>
      </c>
      <c r="CN87" s="36" t="s">
        <v>1535</v>
      </c>
      <c r="CO87" s="36">
        <v>0</v>
      </c>
      <c r="CP87" s="36">
        <v>0</v>
      </c>
      <c r="CQ87" s="36">
        <v>0.20536900496105739</v>
      </c>
      <c r="CR87" s="36">
        <v>0</v>
      </c>
      <c r="CS87" s="36">
        <v>0</v>
      </c>
      <c r="CT87" s="36">
        <v>0.20536900496105739</v>
      </c>
      <c r="CU87" s="36">
        <v>0</v>
      </c>
      <c r="CV87" s="36">
        <v>0</v>
      </c>
      <c r="CW87" s="40">
        <v>9999</v>
      </c>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row>
    <row r="88" spans="1:131">
      <c r="A88" s="9" t="s">
        <v>1648</v>
      </c>
      <c r="B88" s="9" t="s">
        <v>27</v>
      </c>
      <c r="C88" s="36">
        <v>14</v>
      </c>
      <c r="D88" s="36">
        <v>2.2677355853960837</v>
      </c>
      <c r="E88" s="36">
        <v>0</v>
      </c>
      <c r="F88" s="36">
        <v>0</v>
      </c>
      <c r="G88" s="36">
        <v>0</v>
      </c>
      <c r="H88" s="36">
        <v>0</v>
      </c>
      <c r="I88" s="36" t="s">
        <v>1536</v>
      </c>
      <c r="J88" s="36"/>
      <c r="K88" s="36"/>
      <c r="L88" s="36">
        <v>2.4352742202160127</v>
      </c>
      <c r="M88" s="36">
        <v>3.8264975975873015E-4</v>
      </c>
      <c r="N88" s="36">
        <v>3.7988796538961902E-4</v>
      </c>
      <c r="O88" s="36">
        <v>0</v>
      </c>
      <c r="P88" s="36">
        <v>0</v>
      </c>
      <c r="Q88" s="36">
        <v>0</v>
      </c>
      <c r="R88" s="36">
        <v>0</v>
      </c>
      <c r="S88" s="36">
        <v>0</v>
      </c>
      <c r="T88" s="36">
        <v>0</v>
      </c>
      <c r="U88" s="36">
        <v>0</v>
      </c>
      <c r="V88" s="36" t="s">
        <v>1533</v>
      </c>
      <c r="W88" s="36" t="s">
        <v>1533</v>
      </c>
      <c r="X88" s="36" t="s">
        <v>1533</v>
      </c>
      <c r="Y88" s="36" t="s">
        <v>1533</v>
      </c>
      <c r="Z88" s="36">
        <v>0</v>
      </c>
      <c r="AA88" s="36">
        <v>0</v>
      </c>
      <c r="AB88" s="36">
        <v>0</v>
      </c>
      <c r="AC88" s="36">
        <v>0</v>
      </c>
      <c r="AD88" s="36">
        <v>0</v>
      </c>
      <c r="AE88" s="36">
        <v>0</v>
      </c>
      <c r="AF88" s="36">
        <v>0</v>
      </c>
      <c r="AG88" s="36">
        <v>0</v>
      </c>
      <c r="AH88" s="36">
        <v>0</v>
      </c>
      <c r="AI88" s="36">
        <v>0</v>
      </c>
      <c r="AJ88" s="36">
        <v>0</v>
      </c>
      <c r="AK88" s="36">
        <v>0</v>
      </c>
      <c r="AL88" s="36">
        <v>0</v>
      </c>
      <c r="AM88" s="36">
        <v>1.2595300801699982</v>
      </c>
      <c r="AN88" s="36">
        <v>0.13520871288456027</v>
      </c>
      <c r="AO88" s="36">
        <v>0</v>
      </c>
      <c r="AP88" s="36">
        <v>0</v>
      </c>
      <c r="AQ88" s="36">
        <v>1.3947387930545585</v>
      </c>
      <c r="AR88" s="36">
        <v>0</v>
      </c>
      <c r="AS88" s="40">
        <v>9999</v>
      </c>
      <c r="AT88" s="36">
        <v>1.2595300801699982</v>
      </c>
      <c r="AU88" s="36">
        <v>0.16004684414929204</v>
      </c>
      <c r="AV88" s="36">
        <v>0</v>
      </c>
      <c r="AW88" s="36">
        <v>0</v>
      </c>
      <c r="AX88" s="36">
        <v>1.4195769243192902</v>
      </c>
      <c r="AY88" s="36">
        <v>0</v>
      </c>
      <c r="AZ88" s="40">
        <v>9999</v>
      </c>
      <c r="BA88" s="36">
        <v>1.2595300801699982</v>
      </c>
      <c r="BB88" s="36">
        <v>0.29525555703385231</v>
      </c>
      <c r="BC88" s="36">
        <v>0</v>
      </c>
      <c r="BD88" s="36">
        <v>0</v>
      </c>
      <c r="BE88" s="36">
        <v>1.5547856372038504</v>
      </c>
      <c r="BF88" s="36">
        <v>0</v>
      </c>
      <c r="BG88" s="36">
        <v>-8.9211393527904495</v>
      </c>
      <c r="BH88" s="40">
        <v>9999</v>
      </c>
      <c r="BI88" s="36">
        <v>0</v>
      </c>
      <c r="BJ88" s="36">
        <v>0</v>
      </c>
      <c r="BK88" s="36">
        <v>0</v>
      </c>
      <c r="BL88" s="36">
        <v>0</v>
      </c>
      <c r="BM88" s="36">
        <v>0</v>
      </c>
      <c r="BN88" s="36">
        <v>1.2595300801699982</v>
      </c>
      <c r="BO88" s="36">
        <v>0</v>
      </c>
      <c r="BP88" s="36">
        <v>0.29525555703385231</v>
      </c>
      <c r="BQ88" s="36">
        <v>0</v>
      </c>
      <c r="BR88" s="36">
        <v>0</v>
      </c>
      <c r="BS88" s="36">
        <v>0</v>
      </c>
      <c r="BT88" s="36">
        <v>0</v>
      </c>
      <c r="BU88" s="36">
        <v>0</v>
      </c>
      <c r="BV88" s="36">
        <v>128.31797913235363</v>
      </c>
      <c r="BW88" s="36">
        <v>0</v>
      </c>
      <c r="BX88" s="36">
        <v>0</v>
      </c>
      <c r="BY88" s="36"/>
      <c r="BZ88" s="36">
        <v>0</v>
      </c>
      <c r="CA88" s="36">
        <v>0</v>
      </c>
      <c r="CB88" s="36">
        <v>129.87276476955748</v>
      </c>
      <c r="CC88" s="36">
        <v>0</v>
      </c>
      <c r="CD88" s="40">
        <v>9999</v>
      </c>
      <c r="CE88" s="36">
        <v>-3886.0457049606594</v>
      </c>
      <c r="CF88" s="36">
        <v>2.3135343969623887E-2</v>
      </c>
      <c r="CG88" s="36">
        <v>0</v>
      </c>
      <c r="CH88" s="36">
        <v>2.3135343969623887E-2</v>
      </c>
      <c r="CI88" s="36">
        <v>1.1567552546026059E-3</v>
      </c>
      <c r="CJ88" s="36">
        <v>0</v>
      </c>
      <c r="CK88" s="36">
        <v>1.1567552546026059E-3</v>
      </c>
      <c r="CL88" s="36"/>
      <c r="CM88" s="36">
        <v>0</v>
      </c>
      <c r="CN88" s="36"/>
      <c r="CO88" s="36">
        <v>0</v>
      </c>
      <c r="CP88" s="36">
        <v>0</v>
      </c>
      <c r="CQ88" s="36">
        <v>0</v>
      </c>
      <c r="CR88" s="36">
        <v>0</v>
      </c>
      <c r="CS88" s="36">
        <v>0</v>
      </c>
      <c r="CT88" s="36">
        <v>0</v>
      </c>
      <c r="CU88" s="36">
        <v>0</v>
      </c>
      <c r="CV88" s="36">
        <v>9999</v>
      </c>
      <c r="CW88" s="40">
        <v>9999</v>
      </c>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row>
    <row r="89" spans="1:131">
      <c r="A89" s="9" t="s">
        <v>1644</v>
      </c>
      <c r="B89" s="9" t="s">
        <v>27</v>
      </c>
      <c r="C89" s="36">
        <v>14</v>
      </c>
      <c r="D89" s="36">
        <v>1.0583851170185206</v>
      </c>
      <c r="E89" s="36">
        <v>0</v>
      </c>
      <c r="F89" s="36">
        <v>0</v>
      </c>
      <c r="G89" s="36">
        <v>0</v>
      </c>
      <c r="H89" s="36">
        <v>0</v>
      </c>
      <c r="I89" s="36" t="s">
        <v>1536</v>
      </c>
      <c r="J89" s="36"/>
      <c r="K89" s="36"/>
      <c r="L89" s="36">
        <v>1.1365778299436664</v>
      </c>
      <c r="M89" s="36">
        <v>1.7858819756916966E-4</v>
      </c>
      <c r="N89" s="36">
        <v>1.772992280458457E-4</v>
      </c>
      <c r="O89" s="36">
        <v>0</v>
      </c>
      <c r="P89" s="36">
        <v>0</v>
      </c>
      <c r="Q89" s="36">
        <v>0</v>
      </c>
      <c r="R89" s="36">
        <v>0</v>
      </c>
      <c r="S89" s="36">
        <v>0</v>
      </c>
      <c r="T89" s="36">
        <v>0</v>
      </c>
      <c r="U89" s="36">
        <v>0</v>
      </c>
      <c r="V89" s="36" t="s">
        <v>1533</v>
      </c>
      <c r="W89" s="36" t="s">
        <v>1533</v>
      </c>
      <c r="X89" s="36" t="s">
        <v>1533</v>
      </c>
      <c r="Y89" s="36" t="s">
        <v>1533</v>
      </c>
      <c r="Z89" s="36">
        <v>0</v>
      </c>
      <c r="AA89" s="36">
        <v>0</v>
      </c>
      <c r="AB89" s="36">
        <v>0</v>
      </c>
      <c r="AC89" s="36">
        <v>0</v>
      </c>
      <c r="AD89" s="36">
        <v>0</v>
      </c>
      <c r="AE89" s="36">
        <v>0</v>
      </c>
      <c r="AF89" s="36">
        <v>0</v>
      </c>
      <c r="AG89" s="36">
        <v>0</v>
      </c>
      <c r="AH89" s="36">
        <v>0</v>
      </c>
      <c r="AI89" s="36">
        <v>0</v>
      </c>
      <c r="AJ89" s="36">
        <v>0</v>
      </c>
      <c r="AK89" s="36">
        <v>0</v>
      </c>
      <c r="AL89" s="36">
        <v>0</v>
      </c>
      <c r="AM89" s="36">
        <v>0.58784097223408771</v>
      </c>
      <c r="AN89" s="36">
        <v>6.310386904443907E-2</v>
      </c>
      <c r="AO89" s="36">
        <v>0</v>
      </c>
      <c r="AP89" s="36">
        <v>0</v>
      </c>
      <c r="AQ89" s="36">
        <v>0.65094484127852681</v>
      </c>
      <c r="AR89" s="36">
        <v>0</v>
      </c>
      <c r="AS89" s="40">
        <v>9999</v>
      </c>
      <c r="AT89" s="36">
        <v>0.58784097223408771</v>
      </c>
      <c r="AU89" s="36">
        <v>7.4696185465470605E-2</v>
      </c>
      <c r="AV89" s="36">
        <v>0</v>
      </c>
      <c r="AW89" s="36">
        <v>0</v>
      </c>
      <c r="AX89" s="36">
        <v>0.66253715769955834</v>
      </c>
      <c r="AY89" s="36">
        <v>0</v>
      </c>
      <c r="AZ89" s="40">
        <v>9999</v>
      </c>
      <c r="BA89" s="36">
        <v>0.58784097223408771</v>
      </c>
      <c r="BB89" s="36">
        <v>0.13780005450990968</v>
      </c>
      <c r="BC89" s="36">
        <v>0</v>
      </c>
      <c r="BD89" s="36">
        <v>0</v>
      </c>
      <c r="BE89" s="36">
        <v>0.72564102674399744</v>
      </c>
      <c r="BF89" s="36">
        <v>0</v>
      </c>
      <c r="BG89" s="36">
        <v>-8.9211393527904566</v>
      </c>
      <c r="BH89" s="40">
        <v>9999</v>
      </c>
      <c r="BI89" s="36">
        <v>0</v>
      </c>
      <c r="BJ89" s="36">
        <v>0</v>
      </c>
      <c r="BK89" s="36">
        <v>0</v>
      </c>
      <c r="BL89" s="36">
        <v>0</v>
      </c>
      <c r="BM89" s="36">
        <v>0</v>
      </c>
      <c r="BN89" s="36">
        <v>0.58784097223408771</v>
      </c>
      <c r="BO89" s="36">
        <v>0</v>
      </c>
      <c r="BP89" s="36">
        <v>0.13780005450990968</v>
      </c>
      <c r="BQ89" s="36">
        <v>0</v>
      </c>
      <c r="BR89" s="36">
        <v>0</v>
      </c>
      <c r="BS89" s="36">
        <v>0</v>
      </c>
      <c r="BT89" s="36">
        <v>0</v>
      </c>
      <c r="BU89" s="36">
        <v>0</v>
      </c>
      <c r="BV89" s="36">
        <v>59.887863573766545</v>
      </c>
      <c r="BW89" s="36">
        <v>0</v>
      </c>
      <c r="BX89" s="36">
        <v>0</v>
      </c>
      <c r="BY89" s="36"/>
      <c r="BZ89" s="36">
        <v>0</v>
      </c>
      <c r="CA89" s="36">
        <v>0</v>
      </c>
      <c r="CB89" s="36">
        <v>60.613504600510545</v>
      </c>
      <c r="CC89" s="36">
        <v>0</v>
      </c>
      <c r="CD89" s="40">
        <v>9999</v>
      </c>
      <c r="CE89" s="36">
        <v>-3886.0457049606625</v>
      </c>
      <c r="CF89" s="36">
        <v>1.0797600872095222E-2</v>
      </c>
      <c r="CG89" s="36">
        <v>0</v>
      </c>
      <c r="CH89" s="36">
        <v>1.0797600872095222E-2</v>
      </c>
      <c r="CI89" s="36">
        <v>5.3987446922324162E-4</v>
      </c>
      <c r="CJ89" s="36">
        <v>0</v>
      </c>
      <c r="CK89" s="36">
        <v>5.3987446922324162E-4</v>
      </c>
      <c r="CL89" s="36"/>
      <c r="CM89" s="36">
        <v>0</v>
      </c>
      <c r="CN89" s="36"/>
      <c r="CO89" s="36">
        <v>0</v>
      </c>
      <c r="CP89" s="36">
        <v>0</v>
      </c>
      <c r="CQ89" s="36">
        <v>0</v>
      </c>
      <c r="CR89" s="36">
        <v>0</v>
      </c>
      <c r="CS89" s="36">
        <v>0</v>
      </c>
      <c r="CT89" s="36">
        <v>0</v>
      </c>
      <c r="CU89" s="36">
        <v>0</v>
      </c>
      <c r="CV89" s="36">
        <v>9999</v>
      </c>
      <c r="CW89" s="40">
        <v>9999</v>
      </c>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row>
    <row r="90" spans="1:131">
      <c r="A90" s="9" t="s">
        <v>1639</v>
      </c>
      <c r="B90" s="9" t="s">
        <v>27</v>
      </c>
      <c r="C90" s="36">
        <v>14</v>
      </c>
      <c r="D90" s="36">
        <v>9.1415221239599553E-2</v>
      </c>
      <c r="E90" s="36">
        <v>0</v>
      </c>
      <c r="F90" s="36">
        <v>0</v>
      </c>
      <c r="G90" s="36">
        <v>0</v>
      </c>
      <c r="H90" s="36">
        <v>0</v>
      </c>
      <c r="I90" s="36" t="s">
        <v>1536</v>
      </c>
      <c r="J90" s="36"/>
      <c r="K90" s="36"/>
      <c r="L90" s="36">
        <v>9.8168910455782687E-2</v>
      </c>
      <c r="M90" s="36">
        <v>1.5425084243017827E-5</v>
      </c>
      <c r="N90" s="36">
        <v>1.5313752902231693E-5</v>
      </c>
      <c r="O90" s="36">
        <v>0</v>
      </c>
      <c r="P90" s="36">
        <v>0</v>
      </c>
      <c r="Q90" s="36">
        <v>0</v>
      </c>
      <c r="R90" s="36">
        <v>0</v>
      </c>
      <c r="S90" s="36">
        <v>0</v>
      </c>
      <c r="T90" s="36">
        <v>0</v>
      </c>
      <c r="U90" s="36">
        <v>0</v>
      </c>
      <c r="V90" s="36" t="s">
        <v>1533</v>
      </c>
      <c r="W90" s="36" t="s">
        <v>1533</v>
      </c>
      <c r="X90" s="36" t="s">
        <v>1533</v>
      </c>
      <c r="Y90" s="36" t="s">
        <v>1533</v>
      </c>
      <c r="Z90" s="36">
        <v>0</v>
      </c>
      <c r="AA90" s="36">
        <v>0</v>
      </c>
      <c r="AB90" s="36">
        <v>0</v>
      </c>
      <c r="AC90" s="36">
        <v>0</v>
      </c>
      <c r="AD90" s="36">
        <v>0</v>
      </c>
      <c r="AE90" s="36">
        <v>0</v>
      </c>
      <c r="AF90" s="36">
        <v>0</v>
      </c>
      <c r="AG90" s="36">
        <v>0</v>
      </c>
      <c r="AH90" s="36">
        <v>0</v>
      </c>
      <c r="AI90" s="36">
        <v>0</v>
      </c>
      <c r="AJ90" s="36">
        <v>0</v>
      </c>
      <c r="AK90" s="36">
        <v>0</v>
      </c>
      <c r="AL90" s="36">
        <v>0</v>
      </c>
      <c r="AM90" s="36">
        <v>5.0773212572999646E-2</v>
      </c>
      <c r="AN90" s="36">
        <v>5.450430147792007E-3</v>
      </c>
      <c r="AO90" s="36">
        <v>0</v>
      </c>
      <c r="AP90" s="36">
        <v>0</v>
      </c>
      <c r="AQ90" s="36">
        <v>5.6223642720791653E-2</v>
      </c>
      <c r="AR90" s="36">
        <v>0</v>
      </c>
      <c r="AS90" s="40">
        <v>9999</v>
      </c>
      <c r="AT90" s="36">
        <v>5.0773212572999646E-2</v>
      </c>
      <c r="AU90" s="36">
        <v>6.4516858847332662E-3</v>
      </c>
      <c r="AV90" s="36">
        <v>0</v>
      </c>
      <c r="AW90" s="36">
        <v>0</v>
      </c>
      <c r="AX90" s="36">
        <v>5.722489845773291E-2</v>
      </c>
      <c r="AY90" s="36">
        <v>0</v>
      </c>
      <c r="AZ90" s="40">
        <v>9999</v>
      </c>
      <c r="BA90" s="36">
        <v>5.0773212572999646E-2</v>
      </c>
      <c r="BB90" s="36">
        <v>1.1902116032525273E-2</v>
      </c>
      <c r="BC90" s="36">
        <v>0</v>
      </c>
      <c r="BD90" s="36">
        <v>0</v>
      </c>
      <c r="BE90" s="36">
        <v>6.267532860552491E-2</v>
      </c>
      <c r="BF90" s="36">
        <v>0</v>
      </c>
      <c r="BG90" s="36">
        <v>-8.9211393527904459</v>
      </c>
      <c r="BH90" s="40">
        <v>9999</v>
      </c>
      <c r="BI90" s="36">
        <v>0</v>
      </c>
      <c r="BJ90" s="36">
        <v>0</v>
      </c>
      <c r="BK90" s="36">
        <v>0</v>
      </c>
      <c r="BL90" s="36">
        <v>0</v>
      </c>
      <c r="BM90" s="36">
        <v>0</v>
      </c>
      <c r="BN90" s="36">
        <v>5.0773212572999646E-2</v>
      </c>
      <c r="BO90" s="36">
        <v>0</v>
      </c>
      <c r="BP90" s="36">
        <v>1.1902116032525273E-2</v>
      </c>
      <c r="BQ90" s="36">
        <v>0</v>
      </c>
      <c r="BR90" s="36">
        <v>0</v>
      </c>
      <c r="BS90" s="36">
        <v>0</v>
      </c>
      <c r="BT90" s="36">
        <v>0</v>
      </c>
      <c r="BU90" s="36">
        <v>0</v>
      </c>
      <c r="BV90" s="36">
        <v>5.1726561628010961</v>
      </c>
      <c r="BW90" s="36">
        <v>0</v>
      </c>
      <c r="BX90" s="36">
        <v>0</v>
      </c>
      <c r="BY90" s="36"/>
      <c r="BZ90" s="36">
        <v>0</v>
      </c>
      <c r="CA90" s="36">
        <v>0</v>
      </c>
      <c r="CB90" s="36">
        <v>5.2353314914066207</v>
      </c>
      <c r="CC90" s="36">
        <v>0</v>
      </c>
      <c r="CD90" s="40">
        <v>9999</v>
      </c>
      <c r="CE90" s="36">
        <v>-3886.0457049606525</v>
      </c>
      <c r="CF90" s="36">
        <v>9.3261427877977673E-4</v>
      </c>
      <c r="CG90" s="36">
        <v>0</v>
      </c>
      <c r="CH90" s="36">
        <v>9.3261427877977673E-4</v>
      </c>
      <c r="CI90" s="36">
        <v>4.6630232466496782E-5</v>
      </c>
      <c r="CJ90" s="36">
        <v>0</v>
      </c>
      <c r="CK90" s="36">
        <v>4.6630232466496782E-5</v>
      </c>
      <c r="CL90" s="36"/>
      <c r="CM90" s="36">
        <v>0</v>
      </c>
      <c r="CN90" s="36"/>
      <c r="CO90" s="36">
        <v>0</v>
      </c>
      <c r="CP90" s="36">
        <v>0</v>
      </c>
      <c r="CQ90" s="36">
        <v>0</v>
      </c>
      <c r="CR90" s="36">
        <v>0</v>
      </c>
      <c r="CS90" s="36">
        <v>0</v>
      </c>
      <c r="CT90" s="36">
        <v>0</v>
      </c>
      <c r="CU90" s="36">
        <v>0</v>
      </c>
      <c r="CV90" s="36">
        <v>9999</v>
      </c>
      <c r="CW90" s="40">
        <v>9999</v>
      </c>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row>
    <row r="91" spans="1:131">
      <c r="A91" s="9" t="s">
        <v>1647</v>
      </c>
      <c r="B91" s="9" t="s">
        <v>25</v>
      </c>
      <c r="C91" s="36">
        <v>14</v>
      </c>
      <c r="D91" s="36">
        <v>13.366643591022726</v>
      </c>
      <c r="E91" s="36">
        <v>0.38257658578402781</v>
      </c>
      <c r="F91" s="36">
        <v>139.81935250031893</v>
      </c>
      <c r="G91" s="36">
        <v>0</v>
      </c>
      <c r="H91" s="36">
        <v>0</v>
      </c>
      <c r="I91" s="36" t="s">
        <v>1532</v>
      </c>
      <c r="J91" s="36"/>
      <c r="K91" s="36"/>
      <c r="L91" s="36">
        <v>14.352769307838619</v>
      </c>
      <c r="M91" s="36">
        <v>2.1485150856784497E-3</v>
      </c>
      <c r="N91" s="36">
        <v>2.1330080672778153E-3</v>
      </c>
      <c r="O91" s="36">
        <v>0.38640235164186809</v>
      </c>
      <c r="P91" s="36">
        <v>0</v>
      </c>
      <c r="Q91" s="36">
        <v>0</v>
      </c>
      <c r="R91" s="36">
        <v>27.881846665687689</v>
      </c>
      <c r="S91" s="36">
        <v>64.430706839465685</v>
      </c>
      <c r="T91" s="36">
        <v>0</v>
      </c>
      <c r="U91" s="36">
        <v>90.612748523181409</v>
      </c>
      <c r="V91" s="36" t="s">
        <v>1533</v>
      </c>
      <c r="W91" s="36" t="s">
        <v>1533</v>
      </c>
      <c r="X91" s="36" t="s">
        <v>1533</v>
      </c>
      <c r="Y91" s="36" t="s">
        <v>1533</v>
      </c>
      <c r="Z91" s="36">
        <v>0</v>
      </c>
      <c r="AA91" s="36">
        <v>0</v>
      </c>
      <c r="AB91" s="36">
        <v>0</v>
      </c>
      <c r="AC91" s="36">
        <v>0</v>
      </c>
      <c r="AD91" s="36">
        <v>0</v>
      </c>
      <c r="AE91" s="36">
        <v>0</v>
      </c>
      <c r="AF91" s="36">
        <v>0</v>
      </c>
      <c r="AG91" s="36">
        <v>0</v>
      </c>
      <c r="AH91" s="36">
        <v>27.881846665687689</v>
      </c>
      <c r="AI91" s="36">
        <v>64.430706839465685</v>
      </c>
      <c r="AJ91" s="36">
        <v>0</v>
      </c>
      <c r="AK91" s="36">
        <v>90.612748523181409</v>
      </c>
      <c r="AL91" s="36">
        <v>182.92530202833478</v>
      </c>
      <c r="AM91" s="36">
        <v>7.3625764633947073</v>
      </c>
      <c r="AN91" s="36">
        <v>0.75917455045786486</v>
      </c>
      <c r="AO91" s="36">
        <v>0</v>
      </c>
      <c r="AP91" s="36">
        <v>0</v>
      </c>
      <c r="AQ91" s="36">
        <v>8.1217510138525721</v>
      </c>
      <c r="AR91" s="36">
        <v>27.881846665687689</v>
      </c>
      <c r="AS91" s="781">
        <v>0.29129171791362957</v>
      </c>
      <c r="AT91" s="36">
        <v>7.3625764633947073</v>
      </c>
      <c r="AU91" s="36">
        <v>0.89863654765338319</v>
      </c>
      <c r="AV91" s="36">
        <v>0</v>
      </c>
      <c r="AW91" s="36">
        <v>0</v>
      </c>
      <c r="AX91" s="36">
        <v>8.2612130110480901</v>
      </c>
      <c r="AY91" s="36">
        <v>64.430706839465685</v>
      </c>
      <c r="AZ91" s="781">
        <v>0.12821856869631384</v>
      </c>
      <c r="BA91" s="36">
        <v>7.3625764633947073</v>
      </c>
      <c r="BB91" s="36">
        <v>1.6578110981112482</v>
      </c>
      <c r="BC91" s="36">
        <v>0</v>
      </c>
      <c r="BD91" s="36">
        <v>0</v>
      </c>
      <c r="BE91" s="36">
        <v>9.0203875615059559</v>
      </c>
      <c r="BF91" s="36">
        <v>92.312553505153375</v>
      </c>
      <c r="BG91" s="36">
        <v>464.75592819973008</v>
      </c>
      <c r="BH91" s="781">
        <v>9.7715719249412705E-2</v>
      </c>
      <c r="BI91" s="36">
        <v>142.94071311626854</v>
      </c>
      <c r="BJ91" s="36">
        <v>330.31424685196015</v>
      </c>
      <c r="BK91" s="36">
        <v>0</v>
      </c>
      <c r="BL91" s="36">
        <v>464.54063988767723</v>
      </c>
      <c r="BM91" s="36">
        <v>937.79559985590595</v>
      </c>
      <c r="BN91" s="36">
        <v>7.3625764633947073</v>
      </c>
      <c r="BO91" s="36">
        <v>2.8145726977132703</v>
      </c>
      <c r="BP91" s="36">
        <v>1.6578110981112482</v>
      </c>
      <c r="BQ91" s="36">
        <v>0</v>
      </c>
      <c r="BR91" s="36">
        <v>0</v>
      </c>
      <c r="BS91" s="36">
        <v>0</v>
      </c>
      <c r="BT91" s="36">
        <v>0</v>
      </c>
      <c r="BU91" s="36">
        <v>0</v>
      </c>
      <c r="BV91" s="36">
        <v>98.935174315004673</v>
      </c>
      <c r="BW91" s="36">
        <v>0</v>
      </c>
      <c r="BX91" s="36">
        <v>182.92530202833478</v>
      </c>
      <c r="BY91" s="36"/>
      <c r="BZ91" s="36">
        <v>0</v>
      </c>
      <c r="CA91" s="36">
        <v>0</v>
      </c>
      <c r="CB91" s="36">
        <v>110.7701345742239</v>
      </c>
      <c r="CC91" s="36">
        <v>182.92530202833478</v>
      </c>
      <c r="CD91" s="781">
        <v>0.605548458009739</v>
      </c>
      <c r="CE91" s="36">
        <v>407.66033746799275</v>
      </c>
      <c r="CF91" s="36">
        <v>0.13635386772903979</v>
      </c>
      <c r="CG91" s="36">
        <v>4.5209075142098612E-2</v>
      </c>
      <c r="CH91" s="36">
        <v>0.18156294287113839</v>
      </c>
      <c r="CI91" s="36">
        <v>6.8175654212233429E-3</v>
      </c>
      <c r="CJ91" s="36">
        <v>2.2604537571049277E-3</v>
      </c>
      <c r="CK91" s="36">
        <v>9.0780191783282702E-3</v>
      </c>
      <c r="CL91" s="36"/>
      <c r="CM91" s="36">
        <v>0.38257658578402781</v>
      </c>
      <c r="CN91" s="36" t="s">
        <v>1534</v>
      </c>
      <c r="CO91" s="36">
        <v>0</v>
      </c>
      <c r="CP91" s="36">
        <v>0</v>
      </c>
      <c r="CQ91" s="36">
        <v>2.8145726977132703</v>
      </c>
      <c r="CR91" s="36">
        <v>0</v>
      </c>
      <c r="CS91" s="36">
        <v>0</v>
      </c>
      <c r="CT91" s="36">
        <v>2.8145726977132703</v>
      </c>
      <c r="CU91" s="36">
        <v>0</v>
      </c>
      <c r="CV91" s="36">
        <v>0</v>
      </c>
      <c r="CW91" s="40">
        <v>9999</v>
      </c>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row>
    <row r="92" spans="1:131">
      <c r="A92" s="9" t="s">
        <v>1643</v>
      </c>
      <c r="B92" s="9" t="s">
        <v>25</v>
      </c>
      <c r="C92" s="36">
        <v>14</v>
      </c>
      <c r="D92" s="36">
        <v>7.5886116435286617</v>
      </c>
      <c r="E92" s="36">
        <v>0.19271211500487778</v>
      </c>
      <c r="F92" s="36">
        <v>54.906335711206673</v>
      </c>
      <c r="G92" s="36">
        <v>0</v>
      </c>
      <c r="H92" s="36">
        <v>0</v>
      </c>
      <c r="I92" s="36" t="s">
        <v>1532</v>
      </c>
      <c r="J92" s="36"/>
      <c r="K92" s="36"/>
      <c r="L92" s="36">
        <v>8.1484623678823862</v>
      </c>
      <c r="M92" s="36">
        <v>1.2197711777417843E-3</v>
      </c>
      <c r="N92" s="36">
        <v>1.2109674163793957E-3</v>
      </c>
      <c r="O92" s="36">
        <v>0.19463923615492656</v>
      </c>
      <c r="P92" s="36">
        <v>0</v>
      </c>
      <c r="Q92" s="36">
        <v>0</v>
      </c>
      <c r="R92" s="36">
        <v>10.949056807219478</v>
      </c>
      <c r="S92" s="36">
        <v>25.301604939344664</v>
      </c>
      <c r="T92" s="36">
        <v>0</v>
      </c>
      <c r="U92" s="36">
        <v>35.583157132111566</v>
      </c>
      <c r="V92" s="36" t="s">
        <v>1533</v>
      </c>
      <c r="W92" s="36" t="s">
        <v>1533</v>
      </c>
      <c r="X92" s="36" t="s">
        <v>1533</v>
      </c>
      <c r="Y92" s="36" t="s">
        <v>1533</v>
      </c>
      <c r="Z92" s="36">
        <v>0</v>
      </c>
      <c r="AA92" s="36">
        <v>0</v>
      </c>
      <c r="AB92" s="36">
        <v>0</v>
      </c>
      <c r="AC92" s="36">
        <v>0</v>
      </c>
      <c r="AD92" s="36">
        <v>0</v>
      </c>
      <c r="AE92" s="36">
        <v>0</v>
      </c>
      <c r="AF92" s="36">
        <v>0</v>
      </c>
      <c r="AG92" s="36">
        <v>0</v>
      </c>
      <c r="AH92" s="36">
        <v>10.949056807219478</v>
      </c>
      <c r="AI92" s="36">
        <v>25.301604939344664</v>
      </c>
      <c r="AJ92" s="36">
        <v>0</v>
      </c>
      <c r="AK92" s="36">
        <v>35.583157132111566</v>
      </c>
      <c r="AL92" s="36">
        <v>71.833818878675714</v>
      </c>
      <c r="AM92" s="36">
        <v>4.1799374013392221</v>
      </c>
      <c r="AN92" s="36">
        <v>0.43100429766410719</v>
      </c>
      <c r="AO92" s="36">
        <v>0</v>
      </c>
      <c r="AP92" s="36">
        <v>0</v>
      </c>
      <c r="AQ92" s="36">
        <v>4.6109416990033294</v>
      </c>
      <c r="AR92" s="36">
        <v>10.949056807219478</v>
      </c>
      <c r="AS92" s="781">
        <v>0.4211268404382571</v>
      </c>
      <c r="AT92" s="36">
        <v>4.1799374013392221</v>
      </c>
      <c r="AU92" s="36">
        <v>0.51018071383326902</v>
      </c>
      <c r="AV92" s="36">
        <v>0</v>
      </c>
      <c r="AW92" s="36">
        <v>0</v>
      </c>
      <c r="AX92" s="36">
        <v>4.6901181151724911</v>
      </c>
      <c r="AY92" s="36">
        <v>25.301604939344664</v>
      </c>
      <c r="AZ92" s="781">
        <v>0.18536840356238563</v>
      </c>
      <c r="BA92" s="36">
        <v>4.1799374013392221</v>
      </c>
      <c r="BB92" s="36">
        <v>0.94118501149737621</v>
      </c>
      <c r="BC92" s="36">
        <v>0</v>
      </c>
      <c r="BD92" s="36">
        <v>0</v>
      </c>
      <c r="BE92" s="36">
        <v>5.1211224128365984</v>
      </c>
      <c r="BF92" s="36">
        <v>36.250661746564141</v>
      </c>
      <c r="BG92" s="36">
        <v>318.84949381307774</v>
      </c>
      <c r="BH92" s="781">
        <v>0.14126976353257831</v>
      </c>
      <c r="BI92" s="36">
        <v>98.87150826127818</v>
      </c>
      <c r="BJ92" s="36">
        <v>228.4770173202981</v>
      </c>
      <c r="BK92" s="36">
        <v>0</v>
      </c>
      <c r="BL92" s="36">
        <v>321.320865924283</v>
      </c>
      <c r="BM92" s="36">
        <v>648.66939150585927</v>
      </c>
      <c r="BN92" s="36">
        <v>4.1799374013392221</v>
      </c>
      <c r="BO92" s="36">
        <v>1.4177612472016403</v>
      </c>
      <c r="BP92" s="36">
        <v>0.94118501149737621</v>
      </c>
      <c r="BQ92" s="36">
        <v>0</v>
      </c>
      <c r="BR92" s="36">
        <v>0</v>
      </c>
      <c r="BS92" s="36">
        <v>0</v>
      </c>
      <c r="BT92" s="36">
        <v>0</v>
      </c>
      <c r="BU92" s="36">
        <v>0</v>
      </c>
      <c r="BV92" s="36">
        <v>46.174482033515183</v>
      </c>
      <c r="BW92" s="36">
        <v>0</v>
      </c>
      <c r="BX92" s="36">
        <v>71.833818878675714</v>
      </c>
      <c r="BY92" s="36"/>
      <c r="BZ92" s="36">
        <v>0</v>
      </c>
      <c r="CA92" s="36">
        <v>0</v>
      </c>
      <c r="CB92" s="36">
        <v>52.71336569355342</v>
      </c>
      <c r="CC92" s="36">
        <v>71.833818878675714</v>
      </c>
      <c r="CD92" s="781">
        <v>0.73382379659619756</v>
      </c>
      <c r="CE92" s="36">
        <v>210.40577292843329</v>
      </c>
      <c r="CF92" s="36">
        <v>7.7411845482564121E-2</v>
      </c>
      <c r="CG92" s="36">
        <v>2.2772790630126417E-2</v>
      </c>
      <c r="CH92" s="36">
        <v>0.10018463611269054</v>
      </c>
      <c r="CI92" s="36">
        <v>3.8705196247441329E-3</v>
      </c>
      <c r="CJ92" s="36">
        <v>1.1386395315063204E-3</v>
      </c>
      <c r="CK92" s="36">
        <v>5.0091591562504536E-3</v>
      </c>
      <c r="CL92" s="36"/>
      <c r="CM92" s="36">
        <v>0.19271211500487778</v>
      </c>
      <c r="CN92" s="36" t="s">
        <v>1534</v>
      </c>
      <c r="CO92" s="36">
        <v>0</v>
      </c>
      <c r="CP92" s="36">
        <v>0</v>
      </c>
      <c r="CQ92" s="36">
        <v>1.4177612472016403</v>
      </c>
      <c r="CR92" s="36">
        <v>0</v>
      </c>
      <c r="CS92" s="36">
        <v>0</v>
      </c>
      <c r="CT92" s="36">
        <v>1.4177612472016403</v>
      </c>
      <c r="CU92" s="36">
        <v>0</v>
      </c>
      <c r="CV92" s="36">
        <v>0</v>
      </c>
      <c r="CW92" s="40">
        <v>9999</v>
      </c>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row>
    <row r="93" spans="1:131">
      <c r="A93" s="9" t="s">
        <v>1640</v>
      </c>
      <c r="B93" s="9" t="s">
        <v>25</v>
      </c>
      <c r="C93" s="36">
        <v>14</v>
      </c>
      <c r="D93" s="36">
        <v>1.4051165459187303</v>
      </c>
      <c r="E93" s="36">
        <v>2.7871567298051736E-2</v>
      </c>
      <c r="F93" s="36">
        <v>0</v>
      </c>
      <c r="G93" s="36">
        <v>0</v>
      </c>
      <c r="H93" s="36">
        <v>0</v>
      </c>
      <c r="I93" s="36" t="s">
        <v>1532</v>
      </c>
      <c r="J93" s="36"/>
      <c r="K93" s="36"/>
      <c r="L93" s="36">
        <v>1.5087791858042277</v>
      </c>
      <c r="M93" s="36">
        <v>2.2585431230247991E-4</v>
      </c>
      <c r="N93" s="36">
        <v>2.2422419715919655E-4</v>
      </c>
      <c r="O93" s="36">
        <v>2.8150282971032253E-2</v>
      </c>
      <c r="P93" s="36">
        <v>0</v>
      </c>
      <c r="Q93" s="36">
        <v>0</v>
      </c>
      <c r="R93" s="36">
        <v>0</v>
      </c>
      <c r="S93" s="36">
        <v>0</v>
      </c>
      <c r="T93" s="36">
        <v>0</v>
      </c>
      <c r="U93" s="36">
        <v>0</v>
      </c>
      <c r="V93" s="36" t="s">
        <v>1533</v>
      </c>
      <c r="W93" s="36" t="s">
        <v>1533</v>
      </c>
      <c r="X93" s="36" t="s">
        <v>1533</v>
      </c>
      <c r="Y93" s="36" t="s">
        <v>1533</v>
      </c>
      <c r="Z93" s="36">
        <v>0</v>
      </c>
      <c r="AA93" s="36">
        <v>0</v>
      </c>
      <c r="AB93" s="36">
        <v>0</v>
      </c>
      <c r="AC93" s="36">
        <v>0</v>
      </c>
      <c r="AD93" s="36">
        <v>0</v>
      </c>
      <c r="AE93" s="36">
        <v>0</v>
      </c>
      <c r="AF93" s="36">
        <v>0</v>
      </c>
      <c r="AG93" s="36">
        <v>0</v>
      </c>
      <c r="AH93" s="36">
        <v>0</v>
      </c>
      <c r="AI93" s="36">
        <v>0</v>
      </c>
      <c r="AJ93" s="36">
        <v>0</v>
      </c>
      <c r="AK93" s="36">
        <v>0</v>
      </c>
      <c r="AL93" s="36">
        <v>0</v>
      </c>
      <c r="AM93" s="36">
        <v>0.77396228446277793</v>
      </c>
      <c r="AN93" s="36">
        <v>7.980527907583275E-2</v>
      </c>
      <c r="AO93" s="36">
        <v>0</v>
      </c>
      <c r="AP93" s="36">
        <v>0</v>
      </c>
      <c r="AQ93" s="36">
        <v>0.85376756353861072</v>
      </c>
      <c r="AR93" s="36">
        <v>0</v>
      </c>
      <c r="AS93" s="40">
        <v>9999</v>
      </c>
      <c r="AT93" s="36">
        <v>0.77396228446277793</v>
      </c>
      <c r="AU93" s="36">
        <v>9.4465680428787585E-2</v>
      </c>
      <c r="AV93" s="36">
        <v>0</v>
      </c>
      <c r="AW93" s="36">
        <v>0</v>
      </c>
      <c r="AX93" s="36">
        <v>0.86842796489156548</v>
      </c>
      <c r="AY93" s="36">
        <v>0</v>
      </c>
      <c r="AZ93" s="40">
        <v>9999</v>
      </c>
      <c r="BA93" s="36">
        <v>0.77396228446277793</v>
      </c>
      <c r="BB93" s="36">
        <v>0.17427095950462035</v>
      </c>
      <c r="BC93" s="36">
        <v>0</v>
      </c>
      <c r="BD93" s="36">
        <v>0</v>
      </c>
      <c r="BE93" s="36">
        <v>0.94823324396739828</v>
      </c>
      <c r="BF93" s="36">
        <v>0</v>
      </c>
      <c r="BG93" s="36">
        <v>-8.4990317684985861</v>
      </c>
      <c r="BH93" s="40">
        <v>9999</v>
      </c>
      <c r="BI93" s="36">
        <v>0</v>
      </c>
      <c r="BJ93" s="36">
        <v>0</v>
      </c>
      <c r="BK93" s="36">
        <v>0</v>
      </c>
      <c r="BL93" s="36">
        <v>0</v>
      </c>
      <c r="BM93" s="36">
        <v>0</v>
      </c>
      <c r="BN93" s="36">
        <v>0.77396228446277793</v>
      </c>
      <c r="BO93" s="36">
        <v>0.20504797019611376</v>
      </c>
      <c r="BP93" s="36">
        <v>0.17427095950462035</v>
      </c>
      <c r="BQ93" s="36">
        <v>0</v>
      </c>
      <c r="BR93" s="36">
        <v>0</v>
      </c>
      <c r="BS93" s="36">
        <v>0</v>
      </c>
      <c r="BT93" s="36">
        <v>0</v>
      </c>
      <c r="BU93" s="36">
        <v>0</v>
      </c>
      <c r="BV93" s="36">
        <v>3.9881990240079457</v>
      </c>
      <c r="BW93" s="36">
        <v>0</v>
      </c>
      <c r="BX93" s="36">
        <v>0</v>
      </c>
      <c r="BY93" s="36"/>
      <c r="BZ93" s="36">
        <v>0</v>
      </c>
      <c r="CA93" s="36">
        <v>0</v>
      </c>
      <c r="CB93" s="36">
        <v>5.1414802381714582</v>
      </c>
      <c r="CC93" s="36">
        <v>0</v>
      </c>
      <c r="CD93" s="40">
        <v>9999</v>
      </c>
      <c r="CE93" s="36">
        <v>-212.99976739425642</v>
      </c>
      <c r="CF93" s="36">
        <v>1.433367130210348E-2</v>
      </c>
      <c r="CG93" s="36">
        <v>3.2935831076107694E-3</v>
      </c>
      <c r="CH93" s="36">
        <v>1.7627254409714251E-2</v>
      </c>
      <c r="CI93" s="36">
        <v>7.1667011325700814E-4</v>
      </c>
      <c r="CJ93" s="36">
        <v>1.6467915538053866E-4</v>
      </c>
      <c r="CK93" s="36">
        <v>8.813492686375468E-4</v>
      </c>
      <c r="CL93" s="36"/>
      <c r="CM93" s="36">
        <v>2.7871567298051736E-2</v>
      </c>
      <c r="CN93" s="36" t="s">
        <v>1534</v>
      </c>
      <c r="CO93" s="36">
        <v>0</v>
      </c>
      <c r="CP93" s="36">
        <v>0</v>
      </c>
      <c r="CQ93" s="36">
        <v>0.20504797019611376</v>
      </c>
      <c r="CR93" s="36">
        <v>0</v>
      </c>
      <c r="CS93" s="36">
        <v>0</v>
      </c>
      <c r="CT93" s="36">
        <v>0.20504797019611376</v>
      </c>
      <c r="CU93" s="36">
        <v>0</v>
      </c>
      <c r="CV93" s="36">
        <v>0</v>
      </c>
      <c r="CW93" s="40">
        <v>9999</v>
      </c>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row>
    <row r="94" spans="1:131">
      <c r="A94" s="9" t="s">
        <v>1647</v>
      </c>
      <c r="B94" s="9" t="s">
        <v>26</v>
      </c>
      <c r="C94" s="36">
        <v>14</v>
      </c>
      <c r="D94" s="36">
        <v>33.71823055068964</v>
      </c>
      <c r="E94" s="36">
        <v>6.7836820723076105E-2</v>
      </c>
      <c r="F94" s="36">
        <v>0</v>
      </c>
      <c r="G94" s="36">
        <v>0</v>
      </c>
      <c r="H94" s="36">
        <v>0</v>
      </c>
      <c r="I94" s="36" t="s">
        <v>1535</v>
      </c>
      <c r="J94" s="36"/>
      <c r="K94" s="36"/>
      <c r="L94" s="36">
        <v>36.294646195451975</v>
      </c>
      <c r="M94" s="36">
        <v>2.3771469666486147E-2</v>
      </c>
      <c r="N94" s="36">
        <v>2.3599897858596366E-2</v>
      </c>
      <c r="O94" s="36">
        <v>6.8515188675067881E-2</v>
      </c>
      <c r="P94" s="36">
        <v>0</v>
      </c>
      <c r="Q94" s="36">
        <v>0</v>
      </c>
      <c r="R94" s="36">
        <v>0</v>
      </c>
      <c r="S94" s="36">
        <v>0</v>
      </c>
      <c r="T94" s="36">
        <v>0</v>
      </c>
      <c r="U94" s="36">
        <v>0</v>
      </c>
      <c r="V94" s="36" t="s">
        <v>1533</v>
      </c>
      <c r="W94" s="36" t="s">
        <v>1533</v>
      </c>
      <c r="X94" s="36" t="s">
        <v>1533</v>
      </c>
      <c r="Y94" s="36" t="s">
        <v>1533</v>
      </c>
      <c r="Z94" s="36">
        <v>0</v>
      </c>
      <c r="AA94" s="36">
        <v>0</v>
      </c>
      <c r="AB94" s="36">
        <v>0</v>
      </c>
      <c r="AC94" s="36">
        <v>0</v>
      </c>
      <c r="AD94" s="36">
        <v>0</v>
      </c>
      <c r="AE94" s="36">
        <v>0</v>
      </c>
      <c r="AF94" s="36">
        <v>0</v>
      </c>
      <c r="AG94" s="36">
        <v>0</v>
      </c>
      <c r="AH94" s="36">
        <v>0</v>
      </c>
      <c r="AI94" s="36">
        <v>0</v>
      </c>
      <c r="AJ94" s="36">
        <v>0</v>
      </c>
      <c r="AK94" s="36">
        <v>0</v>
      </c>
      <c r="AL94" s="36">
        <v>0</v>
      </c>
      <c r="AM94" s="36">
        <v>18.603842427704652</v>
      </c>
      <c r="AN94" s="36">
        <v>8.3996127921432198</v>
      </c>
      <c r="AO94" s="36">
        <v>0</v>
      </c>
      <c r="AP94" s="36">
        <v>0</v>
      </c>
      <c r="AQ94" s="36">
        <v>27.003455219847872</v>
      </c>
      <c r="AR94" s="36">
        <v>0</v>
      </c>
      <c r="AS94" s="40">
        <v>9999</v>
      </c>
      <c r="AT94" s="36">
        <v>18.603842427704652</v>
      </c>
      <c r="AU94" s="36">
        <v>9.9426397217930855</v>
      </c>
      <c r="AV94" s="36">
        <v>0</v>
      </c>
      <c r="AW94" s="36">
        <v>0</v>
      </c>
      <c r="AX94" s="36">
        <v>28.546482149497738</v>
      </c>
      <c r="AY94" s="36">
        <v>0</v>
      </c>
      <c r="AZ94" s="40">
        <v>9999</v>
      </c>
      <c r="BA94" s="36">
        <v>18.603842427704652</v>
      </c>
      <c r="BB94" s="36">
        <v>18.342252513936305</v>
      </c>
      <c r="BC94" s="36">
        <v>0</v>
      </c>
      <c r="BD94" s="36">
        <v>0</v>
      </c>
      <c r="BE94" s="36">
        <v>36.946094941640958</v>
      </c>
      <c r="BF94" s="36">
        <v>0</v>
      </c>
      <c r="BG94" s="36">
        <v>-37.186064238704418</v>
      </c>
      <c r="BH94" s="40">
        <v>9999</v>
      </c>
      <c r="BI94" s="36">
        <v>0</v>
      </c>
      <c r="BJ94" s="36">
        <v>0</v>
      </c>
      <c r="BK94" s="36">
        <v>0</v>
      </c>
      <c r="BL94" s="36">
        <v>0</v>
      </c>
      <c r="BM94" s="36">
        <v>0</v>
      </c>
      <c r="BN94" s="36">
        <v>18.603842427704652</v>
      </c>
      <c r="BO94" s="36">
        <v>0.50554143469961954</v>
      </c>
      <c r="BP94" s="36">
        <v>18.342252513936305</v>
      </c>
      <c r="BQ94" s="36">
        <v>0</v>
      </c>
      <c r="BR94" s="36">
        <v>0</v>
      </c>
      <c r="BS94" s="36">
        <v>0</v>
      </c>
      <c r="BT94" s="36">
        <v>0</v>
      </c>
      <c r="BU94" s="36">
        <v>0</v>
      </c>
      <c r="BV94" s="36">
        <v>0</v>
      </c>
      <c r="BW94" s="36">
        <v>0</v>
      </c>
      <c r="BX94" s="36">
        <v>0</v>
      </c>
      <c r="BY94" s="36"/>
      <c r="BZ94" s="36">
        <v>0</v>
      </c>
      <c r="CA94" s="36">
        <v>0</v>
      </c>
      <c r="CB94" s="36">
        <v>37.451636376340581</v>
      </c>
      <c r="CC94" s="36">
        <v>0</v>
      </c>
      <c r="CD94" s="40">
        <v>9999</v>
      </c>
      <c r="CE94" s="36">
        <v>-38.21097087172474</v>
      </c>
      <c r="CF94" s="36">
        <v>0.34479155293073438</v>
      </c>
      <c r="CG94" s="36">
        <v>8.0162770749829387E-3</v>
      </c>
      <c r="CH94" s="36">
        <v>0.3528078300057173</v>
      </c>
      <c r="CI94" s="36">
        <v>1.7239956942839689E-2</v>
      </c>
      <c r="CJ94" s="36">
        <v>4.008138537491472E-4</v>
      </c>
      <c r="CK94" s="36">
        <v>1.7640770796588837E-2</v>
      </c>
      <c r="CL94" s="36"/>
      <c r="CM94" s="36">
        <v>6.7836820723076105E-2</v>
      </c>
      <c r="CN94" s="36" t="s">
        <v>1535</v>
      </c>
      <c r="CO94" s="36">
        <v>0</v>
      </c>
      <c r="CP94" s="36">
        <v>0</v>
      </c>
      <c r="CQ94" s="36">
        <v>0.50554143469961954</v>
      </c>
      <c r="CR94" s="36">
        <v>0</v>
      </c>
      <c r="CS94" s="36">
        <v>0</v>
      </c>
      <c r="CT94" s="36">
        <v>0.50554143469961954</v>
      </c>
      <c r="CU94" s="36">
        <v>0</v>
      </c>
      <c r="CV94" s="36">
        <v>0</v>
      </c>
      <c r="CW94" s="40">
        <v>9999</v>
      </c>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row>
    <row r="95" spans="1:131">
      <c r="A95" s="9" t="s">
        <v>1643</v>
      </c>
      <c r="B95" s="9" t="s">
        <v>26</v>
      </c>
      <c r="C95" s="36">
        <v>14</v>
      </c>
      <c r="D95" s="36">
        <v>20.599502097367505</v>
      </c>
      <c r="E95" s="36">
        <v>4.1443596177533265E-2</v>
      </c>
      <c r="F95" s="36">
        <v>0</v>
      </c>
      <c r="G95" s="36">
        <v>0</v>
      </c>
      <c r="H95" s="36">
        <v>0</v>
      </c>
      <c r="I95" s="36" t="s">
        <v>1535</v>
      </c>
      <c r="J95" s="36"/>
      <c r="K95" s="36"/>
      <c r="L95" s="36">
        <v>22.173513503398617</v>
      </c>
      <c r="M95" s="36">
        <v>1.4522720535887492E-2</v>
      </c>
      <c r="N95" s="36">
        <v>1.4417902051680215E-2</v>
      </c>
      <c r="O95" s="36">
        <v>4.1858031983375267E-2</v>
      </c>
      <c r="P95" s="36">
        <v>0</v>
      </c>
      <c r="Q95" s="36">
        <v>0</v>
      </c>
      <c r="R95" s="36">
        <v>0</v>
      </c>
      <c r="S95" s="36">
        <v>0</v>
      </c>
      <c r="T95" s="36">
        <v>0</v>
      </c>
      <c r="U95" s="36">
        <v>0</v>
      </c>
      <c r="V95" s="36" t="s">
        <v>1533</v>
      </c>
      <c r="W95" s="36" t="s">
        <v>1533</v>
      </c>
      <c r="X95" s="36" t="s">
        <v>1533</v>
      </c>
      <c r="Y95" s="36" t="s">
        <v>1533</v>
      </c>
      <c r="Z95" s="36">
        <v>0</v>
      </c>
      <c r="AA95" s="36">
        <v>0</v>
      </c>
      <c r="AB95" s="36">
        <v>0</v>
      </c>
      <c r="AC95" s="36">
        <v>0</v>
      </c>
      <c r="AD95" s="36">
        <v>0</v>
      </c>
      <c r="AE95" s="36">
        <v>0</v>
      </c>
      <c r="AF95" s="36">
        <v>0</v>
      </c>
      <c r="AG95" s="36">
        <v>0</v>
      </c>
      <c r="AH95" s="36">
        <v>0</v>
      </c>
      <c r="AI95" s="36">
        <v>0</v>
      </c>
      <c r="AJ95" s="36">
        <v>0</v>
      </c>
      <c r="AK95" s="36">
        <v>0</v>
      </c>
      <c r="AL95" s="36">
        <v>0</v>
      </c>
      <c r="AM95" s="36">
        <v>11.365658424230631</v>
      </c>
      <c r="AN95" s="36">
        <v>5.1315812989863483</v>
      </c>
      <c r="AO95" s="36">
        <v>0</v>
      </c>
      <c r="AP95" s="36">
        <v>0</v>
      </c>
      <c r="AQ95" s="36">
        <v>16.497239723216978</v>
      </c>
      <c r="AR95" s="36">
        <v>0</v>
      </c>
      <c r="AS95" s="40">
        <v>9999</v>
      </c>
      <c r="AT95" s="36">
        <v>11.365658424230631</v>
      </c>
      <c r="AU95" s="36">
        <v>6.0742638168555114</v>
      </c>
      <c r="AV95" s="36">
        <v>0</v>
      </c>
      <c r="AW95" s="36">
        <v>0</v>
      </c>
      <c r="AX95" s="36">
        <v>17.439922241086144</v>
      </c>
      <c r="AY95" s="36">
        <v>0</v>
      </c>
      <c r="AZ95" s="40">
        <v>9999</v>
      </c>
      <c r="BA95" s="36">
        <v>11.365658424230631</v>
      </c>
      <c r="BB95" s="36">
        <v>11.205845115841861</v>
      </c>
      <c r="BC95" s="36">
        <v>0</v>
      </c>
      <c r="BD95" s="36">
        <v>0</v>
      </c>
      <c r="BE95" s="36">
        <v>22.571503540072491</v>
      </c>
      <c r="BF95" s="36">
        <v>0</v>
      </c>
      <c r="BG95" s="36">
        <v>-37.186064238704418</v>
      </c>
      <c r="BH95" s="40">
        <v>9999</v>
      </c>
      <c r="BI95" s="36">
        <v>0</v>
      </c>
      <c r="BJ95" s="36">
        <v>0</v>
      </c>
      <c r="BK95" s="36">
        <v>0</v>
      </c>
      <c r="BL95" s="36">
        <v>0</v>
      </c>
      <c r="BM95" s="36">
        <v>0</v>
      </c>
      <c r="BN95" s="36">
        <v>11.365658424230631</v>
      </c>
      <c r="BO95" s="36">
        <v>0.30885078114480002</v>
      </c>
      <c r="BP95" s="36">
        <v>11.205845115841861</v>
      </c>
      <c r="BQ95" s="36">
        <v>0</v>
      </c>
      <c r="BR95" s="36">
        <v>0</v>
      </c>
      <c r="BS95" s="36">
        <v>0</v>
      </c>
      <c r="BT95" s="36">
        <v>0</v>
      </c>
      <c r="BU95" s="36">
        <v>0</v>
      </c>
      <c r="BV95" s="36">
        <v>0</v>
      </c>
      <c r="BW95" s="36">
        <v>0</v>
      </c>
      <c r="BX95" s="36">
        <v>0</v>
      </c>
      <c r="BY95" s="36"/>
      <c r="BZ95" s="36">
        <v>0</v>
      </c>
      <c r="CA95" s="36">
        <v>0</v>
      </c>
      <c r="CB95" s="36">
        <v>22.88035432121729</v>
      </c>
      <c r="CC95" s="36">
        <v>0</v>
      </c>
      <c r="CD95" s="40">
        <v>9999</v>
      </c>
      <c r="CE95" s="36">
        <v>-38.210970871724726</v>
      </c>
      <c r="CF95" s="36">
        <v>0.21064374380719009</v>
      </c>
      <c r="CG95" s="36">
        <v>4.8973897420549117E-3</v>
      </c>
      <c r="CH95" s="36">
        <v>0.21554113354924501</v>
      </c>
      <c r="CI95" s="36">
        <v>1.0532418914114345E-2</v>
      </c>
      <c r="CJ95" s="36">
        <v>2.4486948710274534E-4</v>
      </c>
      <c r="CK95" s="36">
        <v>1.077728840121709E-2</v>
      </c>
      <c r="CL95" s="36"/>
      <c r="CM95" s="36">
        <v>4.1443596177533265E-2</v>
      </c>
      <c r="CN95" s="36" t="s">
        <v>1535</v>
      </c>
      <c r="CO95" s="36">
        <v>0</v>
      </c>
      <c r="CP95" s="36">
        <v>0</v>
      </c>
      <c r="CQ95" s="36">
        <v>0.30885078114480002</v>
      </c>
      <c r="CR95" s="36">
        <v>0</v>
      </c>
      <c r="CS95" s="36">
        <v>0</v>
      </c>
      <c r="CT95" s="36">
        <v>0.30885078114480002</v>
      </c>
      <c r="CU95" s="36">
        <v>0</v>
      </c>
      <c r="CV95" s="36">
        <v>0</v>
      </c>
      <c r="CW95" s="40">
        <v>9999</v>
      </c>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row>
    <row r="96" spans="1:131">
      <c r="A96" s="9" t="s">
        <v>1640</v>
      </c>
      <c r="B96" s="9" t="s">
        <v>26</v>
      </c>
      <c r="C96" s="36">
        <v>14</v>
      </c>
      <c r="D96" s="36">
        <v>13.710510625507126</v>
      </c>
      <c r="E96" s="36">
        <v>2.7583815524546598E-2</v>
      </c>
      <c r="F96" s="36">
        <v>0</v>
      </c>
      <c r="G96" s="36">
        <v>0</v>
      </c>
      <c r="H96" s="36">
        <v>0</v>
      </c>
      <c r="I96" s="36" t="s">
        <v>1535</v>
      </c>
      <c r="J96" s="36"/>
      <c r="K96" s="36"/>
      <c r="L96" s="36">
        <v>14.758133039148708</v>
      </c>
      <c r="M96" s="36">
        <v>9.6659576176844376E-3</v>
      </c>
      <c r="N96" s="36">
        <v>9.5961930702366111E-3</v>
      </c>
      <c r="O96" s="36">
        <v>2.7859653576006761E-2</v>
      </c>
      <c r="P96" s="36">
        <v>0</v>
      </c>
      <c r="Q96" s="36">
        <v>0</v>
      </c>
      <c r="R96" s="36">
        <v>0</v>
      </c>
      <c r="S96" s="36">
        <v>0</v>
      </c>
      <c r="T96" s="36">
        <v>0</v>
      </c>
      <c r="U96" s="36">
        <v>0</v>
      </c>
      <c r="V96" s="36" t="s">
        <v>1533</v>
      </c>
      <c r="W96" s="36" t="s">
        <v>1533</v>
      </c>
      <c r="X96" s="36" t="s">
        <v>1533</v>
      </c>
      <c r="Y96" s="36" t="s">
        <v>1533</v>
      </c>
      <c r="Z96" s="36">
        <v>0</v>
      </c>
      <c r="AA96" s="36">
        <v>0</v>
      </c>
      <c r="AB96" s="36">
        <v>0</v>
      </c>
      <c r="AC96" s="36">
        <v>0</v>
      </c>
      <c r="AD96" s="36">
        <v>0</v>
      </c>
      <c r="AE96" s="36">
        <v>0</v>
      </c>
      <c r="AF96" s="36">
        <v>0</v>
      </c>
      <c r="AG96" s="36">
        <v>0</v>
      </c>
      <c r="AH96" s="36">
        <v>0</v>
      </c>
      <c r="AI96" s="36">
        <v>0</v>
      </c>
      <c r="AJ96" s="36">
        <v>0</v>
      </c>
      <c r="AK96" s="36">
        <v>0</v>
      </c>
      <c r="AL96" s="36">
        <v>0</v>
      </c>
      <c r="AM96" s="36">
        <v>7.5646964598825264</v>
      </c>
      <c r="AN96" s="36">
        <v>3.4154514799849056</v>
      </c>
      <c r="AO96" s="36">
        <v>0</v>
      </c>
      <c r="AP96" s="36">
        <v>0</v>
      </c>
      <c r="AQ96" s="36">
        <v>10.980147939867432</v>
      </c>
      <c r="AR96" s="36">
        <v>0</v>
      </c>
      <c r="AS96" s="40">
        <v>9999</v>
      </c>
      <c r="AT96" s="36">
        <v>7.5646964598825264</v>
      </c>
      <c r="AU96" s="36">
        <v>4.0428772603088206</v>
      </c>
      <c r="AV96" s="36">
        <v>0</v>
      </c>
      <c r="AW96" s="36">
        <v>0</v>
      </c>
      <c r="AX96" s="36">
        <v>11.607573720191347</v>
      </c>
      <c r="AY96" s="36">
        <v>0</v>
      </c>
      <c r="AZ96" s="40">
        <v>9999</v>
      </c>
      <c r="BA96" s="36">
        <v>7.5646964598825264</v>
      </c>
      <c r="BB96" s="36">
        <v>7.4583287402937266</v>
      </c>
      <c r="BC96" s="36">
        <v>0</v>
      </c>
      <c r="BD96" s="36">
        <v>0</v>
      </c>
      <c r="BE96" s="36">
        <v>15.023025200176253</v>
      </c>
      <c r="BF96" s="36">
        <v>0</v>
      </c>
      <c r="BG96" s="36">
        <v>-37.186064238704418</v>
      </c>
      <c r="BH96" s="40">
        <v>9999</v>
      </c>
      <c r="BI96" s="36">
        <v>0</v>
      </c>
      <c r="BJ96" s="36">
        <v>0</v>
      </c>
      <c r="BK96" s="36">
        <v>0</v>
      </c>
      <c r="BL96" s="36">
        <v>0</v>
      </c>
      <c r="BM96" s="36">
        <v>0</v>
      </c>
      <c r="BN96" s="36">
        <v>7.5646964598825264</v>
      </c>
      <c r="BO96" s="36">
        <v>0.20556331393675309</v>
      </c>
      <c r="BP96" s="36">
        <v>7.4583287402937266</v>
      </c>
      <c r="BQ96" s="36">
        <v>0</v>
      </c>
      <c r="BR96" s="36">
        <v>0</v>
      </c>
      <c r="BS96" s="36">
        <v>0</v>
      </c>
      <c r="BT96" s="36">
        <v>0</v>
      </c>
      <c r="BU96" s="36">
        <v>0</v>
      </c>
      <c r="BV96" s="36">
        <v>0</v>
      </c>
      <c r="BW96" s="36">
        <v>0</v>
      </c>
      <c r="BX96" s="36">
        <v>0</v>
      </c>
      <c r="BY96" s="36"/>
      <c r="BZ96" s="36">
        <v>0</v>
      </c>
      <c r="CA96" s="36">
        <v>0</v>
      </c>
      <c r="CB96" s="36">
        <v>15.228588514113007</v>
      </c>
      <c r="CC96" s="36">
        <v>0</v>
      </c>
      <c r="CD96" s="40">
        <v>9999</v>
      </c>
      <c r="CE96" s="36">
        <v>-38.210970871724733</v>
      </c>
      <c r="CF96" s="36">
        <v>0.14019917928182152</v>
      </c>
      <c r="CG96" s="36">
        <v>3.2595794683927936E-3</v>
      </c>
      <c r="CH96" s="36">
        <v>0.1434587587502143</v>
      </c>
      <c r="CI96" s="36">
        <v>7.0101131935956353E-3</v>
      </c>
      <c r="CJ96" s="36">
        <v>1.6297897341963958E-4</v>
      </c>
      <c r="CK96" s="36">
        <v>7.1730921670152747E-3</v>
      </c>
      <c r="CL96" s="36"/>
      <c r="CM96" s="36">
        <v>2.7583815524546598E-2</v>
      </c>
      <c r="CN96" s="36" t="s">
        <v>1535</v>
      </c>
      <c r="CO96" s="36">
        <v>0</v>
      </c>
      <c r="CP96" s="36">
        <v>0</v>
      </c>
      <c r="CQ96" s="36">
        <v>0.20556331393675309</v>
      </c>
      <c r="CR96" s="36">
        <v>0</v>
      </c>
      <c r="CS96" s="36">
        <v>0</v>
      </c>
      <c r="CT96" s="36">
        <v>0.20556331393675309</v>
      </c>
      <c r="CU96" s="36">
        <v>0</v>
      </c>
      <c r="CV96" s="36">
        <v>0</v>
      </c>
      <c r="CW96" s="40">
        <v>9999</v>
      </c>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row>
    <row r="97" spans="1:131">
      <c r="A97" s="9" t="s">
        <v>1647</v>
      </c>
      <c r="B97" s="9" t="s">
        <v>27</v>
      </c>
      <c r="C97" s="36">
        <v>14</v>
      </c>
      <c r="D97" s="36">
        <v>2.2677355853960837</v>
      </c>
      <c r="E97" s="36">
        <v>0</v>
      </c>
      <c r="F97" s="36">
        <v>0</v>
      </c>
      <c r="G97" s="36">
        <v>0</v>
      </c>
      <c r="H97" s="36">
        <v>0</v>
      </c>
      <c r="I97" s="36" t="s">
        <v>1536</v>
      </c>
      <c r="J97" s="36"/>
      <c r="K97" s="36"/>
      <c r="L97" s="36">
        <v>2.4352742202160127</v>
      </c>
      <c r="M97" s="36">
        <v>3.8264975975873015E-4</v>
      </c>
      <c r="N97" s="36">
        <v>3.7988796538961902E-4</v>
      </c>
      <c r="O97" s="36">
        <v>0</v>
      </c>
      <c r="P97" s="36">
        <v>0</v>
      </c>
      <c r="Q97" s="36">
        <v>0</v>
      </c>
      <c r="R97" s="36">
        <v>0</v>
      </c>
      <c r="S97" s="36">
        <v>0</v>
      </c>
      <c r="T97" s="36">
        <v>0</v>
      </c>
      <c r="U97" s="36">
        <v>0</v>
      </c>
      <c r="V97" s="36" t="s">
        <v>1533</v>
      </c>
      <c r="W97" s="36" t="s">
        <v>1533</v>
      </c>
      <c r="X97" s="36" t="s">
        <v>1533</v>
      </c>
      <c r="Y97" s="36" t="s">
        <v>1533</v>
      </c>
      <c r="Z97" s="36">
        <v>0</v>
      </c>
      <c r="AA97" s="36">
        <v>0</v>
      </c>
      <c r="AB97" s="36">
        <v>0</v>
      </c>
      <c r="AC97" s="36">
        <v>0</v>
      </c>
      <c r="AD97" s="36">
        <v>0</v>
      </c>
      <c r="AE97" s="36">
        <v>0</v>
      </c>
      <c r="AF97" s="36">
        <v>0</v>
      </c>
      <c r="AG97" s="36">
        <v>0</v>
      </c>
      <c r="AH97" s="36">
        <v>0</v>
      </c>
      <c r="AI97" s="36">
        <v>0</v>
      </c>
      <c r="AJ97" s="36">
        <v>0</v>
      </c>
      <c r="AK97" s="36">
        <v>0</v>
      </c>
      <c r="AL97" s="36">
        <v>0</v>
      </c>
      <c r="AM97" s="36">
        <v>1.2595300801699982</v>
      </c>
      <c r="AN97" s="36">
        <v>0.13520871288456027</v>
      </c>
      <c r="AO97" s="36">
        <v>0</v>
      </c>
      <c r="AP97" s="36">
        <v>0</v>
      </c>
      <c r="AQ97" s="36">
        <v>1.3947387930545585</v>
      </c>
      <c r="AR97" s="36">
        <v>0</v>
      </c>
      <c r="AS97" s="40">
        <v>9999</v>
      </c>
      <c r="AT97" s="36">
        <v>1.2595300801699982</v>
      </c>
      <c r="AU97" s="36">
        <v>0.16004684414929204</v>
      </c>
      <c r="AV97" s="36">
        <v>0</v>
      </c>
      <c r="AW97" s="36">
        <v>0</v>
      </c>
      <c r="AX97" s="36">
        <v>1.4195769243192902</v>
      </c>
      <c r="AY97" s="36">
        <v>0</v>
      </c>
      <c r="AZ97" s="40">
        <v>9999</v>
      </c>
      <c r="BA97" s="36">
        <v>1.2595300801699982</v>
      </c>
      <c r="BB97" s="36">
        <v>0.29525555703385231</v>
      </c>
      <c r="BC97" s="36">
        <v>0</v>
      </c>
      <c r="BD97" s="36">
        <v>0</v>
      </c>
      <c r="BE97" s="36">
        <v>1.5547856372038504</v>
      </c>
      <c r="BF97" s="36">
        <v>0</v>
      </c>
      <c r="BG97" s="36">
        <v>-8.9211393527904495</v>
      </c>
      <c r="BH97" s="40">
        <v>9999</v>
      </c>
      <c r="BI97" s="36">
        <v>0</v>
      </c>
      <c r="BJ97" s="36">
        <v>0</v>
      </c>
      <c r="BK97" s="36">
        <v>0</v>
      </c>
      <c r="BL97" s="36">
        <v>0</v>
      </c>
      <c r="BM97" s="36">
        <v>0</v>
      </c>
      <c r="BN97" s="36">
        <v>1.2595300801699982</v>
      </c>
      <c r="BO97" s="36">
        <v>0</v>
      </c>
      <c r="BP97" s="36">
        <v>0.29525555703385231</v>
      </c>
      <c r="BQ97" s="36">
        <v>0</v>
      </c>
      <c r="BR97" s="36">
        <v>0</v>
      </c>
      <c r="BS97" s="36">
        <v>0</v>
      </c>
      <c r="BT97" s="36">
        <v>0</v>
      </c>
      <c r="BU97" s="36">
        <v>0</v>
      </c>
      <c r="BV97" s="36">
        <v>128.31797913235363</v>
      </c>
      <c r="BW97" s="36">
        <v>0</v>
      </c>
      <c r="BX97" s="36">
        <v>0</v>
      </c>
      <c r="BY97" s="36"/>
      <c r="BZ97" s="36">
        <v>0</v>
      </c>
      <c r="CA97" s="36">
        <v>0</v>
      </c>
      <c r="CB97" s="36">
        <v>129.87276476955748</v>
      </c>
      <c r="CC97" s="36">
        <v>0</v>
      </c>
      <c r="CD97" s="40">
        <v>9999</v>
      </c>
      <c r="CE97" s="36">
        <v>-3886.0457049606594</v>
      </c>
      <c r="CF97" s="36">
        <v>2.3135343969623887E-2</v>
      </c>
      <c r="CG97" s="36">
        <v>0</v>
      </c>
      <c r="CH97" s="36">
        <v>2.3135343969623887E-2</v>
      </c>
      <c r="CI97" s="36">
        <v>1.1567552546026059E-3</v>
      </c>
      <c r="CJ97" s="36">
        <v>0</v>
      </c>
      <c r="CK97" s="36">
        <v>1.1567552546026059E-3</v>
      </c>
      <c r="CL97" s="36"/>
      <c r="CM97" s="36">
        <v>0</v>
      </c>
      <c r="CN97" s="36"/>
      <c r="CO97" s="36">
        <v>0</v>
      </c>
      <c r="CP97" s="36">
        <v>0</v>
      </c>
      <c r="CQ97" s="36">
        <v>0</v>
      </c>
      <c r="CR97" s="36">
        <v>0</v>
      </c>
      <c r="CS97" s="36">
        <v>0</v>
      </c>
      <c r="CT97" s="36">
        <v>0</v>
      </c>
      <c r="CU97" s="36">
        <v>0</v>
      </c>
      <c r="CV97" s="36">
        <v>9999</v>
      </c>
      <c r="CW97" s="40">
        <v>9999</v>
      </c>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row>
    <row r="98" spans="1:131">
      <c r="A98" s="9" t="s">
        <v>1643</v>
      </c>
      <c r="B98" s="9" t="s">
        <v>27</v>
      </c>
      <c r="C98" s="36">
        <v>14</v>
      </c>
      <c r="D98" s="36">
        <v>1.0583851170185206</v>
      </c>
      <c r="E98" s="36">
        <v>0</v>
      </c>
      <c r="F98" s="36">
        <v>0</v>
      </c>
      <c r="G98" s="36">
        <v>0</v>
      </c>
      <c r="H98" s="36">
        <v>0</v>
      </c>
      <c r="I98" s="36" t="s">
        <v>1536</v>
      </c>
      <c r="J98" s="36"/>
      <c r="K98" s="36"/>
      <c r="L98" s="36">
        <v>1.1365778299436664</v>
      </c>
      <c r="M98" s="36">
        <v>1.7858819756916966E-4</v>
      </c>
      <c r="N98" s="36">
        <v>1.772992280458457E-4</v>
      </c>
      <c r="O98" s="36">
        <v>0</v>
      </c>
      <c r="P98" s="36">
        <v>0</v>
      </c>
      <c r="Q98" s="36">
        <v>0</v>
      </c>
      <c r="R98" s="36">
        <v>0</v>
      </c>
      <c r="S98" s="36">
        <v>0</v>
      </c>
      <c r="T98" s="36">
        <v>0</v>
      </c>
      <c r="U98" s="36">
        <v>0</v>
      </c>
      <c r="V98" s="36" t="s">
        <v>1533</v>
      </c>
      <c r="W98" s="36" t="s">
        <v>1533</v>
      </c>
      <c r="X98" s="36" t="s">
        <v>1533</v>
      </c>
      <c r="Y98" s="36" t="s">
        <v>1533</v>
      </c>
      <c r="Z98" s="36">
        <v>0</v>
      </c>
      <c r="AA98" s="36">
        <v>0</v>
      </c>
      <c r="AB98" s="36">
        <v>0</v>
      </c>
      <c r="AC98" s="36">
        <v>0</v>
      </c>
      <c r="AD98" s="36">
        <v>0</v>
      </c>
      <c r="AE98" s="36">
        <v>0</v>
      </c>
      <c r="AF98" s="36">
        <v>0</v>
      </c>
      <c r="AG98" s="36">
        <v>0</v>
      </c>
      <c r="AH98" s="36">
        <v>0</v>
      </c>
      <c r="AI98" s="36">
        <v>0</v>
      </c>
      <c r="AJ98" s="36">
        <v>0</v>
      </c>
      <c r="AK98" s="36">
        <v>0</v>
      </c>
      <c r="AL98" s="36">
        <v>0</v>
      </c>
      <c r="AM98" s="36">
        <v>0.58784097223408771</v>
      </c>
      <c r="AN98" s="36">
        <v>6.310386904443907E-2</v>
      </c>
      <c r="AO98" s="36">
        <v>0</v>
      </c>
      <c r="AP98" s="36">
        <v>0</v>
      </c>
      <c r="AQ98" s="36">
        <v>0.65094484127852681</v>
      </c>
      <c r="AR98" s="36">
        <v>0</v>
      </c>
      <c r="AS98" s="40">
        <v>9999</v>
      </c>
      <c r="AT98" s="36">
        <v>0.58784097223408771</v>
      </c>
      <c r="AU98" s="36">
        <v>7.4696185465470605E-2</v>
      </c>
      <c r="AV98" s="36">
        <v>0</v>
      </c>
      <c r="AW98" s="36">
        <v>0</v>
      </c>
      <c r="AX98" s="36">
        <v>0.66253715769955834</v>
      </c>
      <c r="AY98" s="36">
        <v>0</v>
      </c>
      <c r="AZ98" s="40">
        <v>9999</v>
      </c>
      <c r="BA98" s="36">
        <v>0.58784097223408771</v>
      </c>
      <c r="BB98" s="36">
        <v>0.13780005450990968</v>
      </c>
      <c r="BC98" s="36">
        <v>0</v>
      </c>
      <c r="BD98" s="36">
        <v>0</v>
      </c>
      <c r="BE98" s="36">
        <v>0.72564102674399744</v>
      </c>
      <c r="BF98" s="36">
        <v>0</v>
      </c>
      <c r="BG98" s="36">
        <v>-8.9211393527904566</v>
      </c>
      <c r="BH98" s="40">
        <v>9999</v>
      </c>
      <c r="BI98" s="36">
        <v>0</v>
      </c>
      <c r="BJ98" s="36">
        <v>0</v>
      </c>
      <c r="BK98" s="36">
        <v>0</v>
      </c>
      <c r="BL98" s="36">
        <v>0</v>
      </c>
      <c r="BM98" s="36">
        <v>0</v>
      </c>
      <c r="BN98" s="36">
        <v>0.58784097223408771</v>
      </c>
      <c r="BO98" s="36">
        <v>0</v>
      </c>
      <c r="BP98" s="36">
        <v>0.13780005450990968</v>
      </c>
      <c r="BQ98" s="36">
        <v>0</v>
      </c>
      <c r="BR98" s="36">
        <v>0</v>
      </c>
      <c r="BS98" s="36">
        <v>0</v>
      </c>
      <c r="BT98" s="36">
        <v>0</v>
      </c>
      <c r="BU98" s="36">
        <v>0</v>
      </c>
      <c r="BV98" s="36">
        <v>59.887863573766545</v>
      </c>
      <c r="BW98" s="36">
        <v>0</v>
      </c>
      <c r="BX98" s="36">
        <v>0</v>
      </c>
      <c r="BY98" s="36"/>
      <c r="BZ98" s="36">
        <v>0</v>
      </c>
      <c r="CA98" s="36">
        <v>0</v>
      </c>
      <c r="CB98" s="36">
        <v>60.613504600510545</v>
      </c>
      <c r="CC98" s="36">
        <v>0</v>
      </c>
      <c r="CD98" s="40">
        <v>9999</v>
      </c>
      <c r="CE98" s="36">
        <v>-3886.0457049606625</v>
      </c>
      <c r="CF98" s="36">
        <v>1.0797600872095222E-2</v>
      </c>
      <c r="CG98" s="36">
        <v>0</v>
      </c>
      <c r="CH98" s="36">
        <v>1.0797600872095222E-2</v>
      </c>
      <c r="CI98" s="36">
        <v>5.3987446922324162E-4</v>
      </c>
      <c r="CJ98" s="36">
        <v>0</v>
      </c>
      <c r="CK98" s="36">
        <v>5.3987446922324162E-4</v>
      </c>
      <c r="CL98" s="36"/>
      <c r="CM98" s="36">
        <v>0</v>
      </c>
      <c r="CN98" s="36"/>
      <c r="CO98" s="36">
        <v>0</v>
      </c>
      <c r="CP98" s="36">
        <v>0</v>
      </c>
      <c r="CQ98" s="36">
        <v>0</v>
      </c>
      <c r="CR98" s="36">
        <v>0</v>
      </c>
      <c r="CS98" s="36">
        <v>0</v>
      </c>
      <c r="CT98" s="36">
        <v>0</v>
      </c>
      <c r="CU98" s="36">
        <v>0</v>
      </c>
      <c r="CV98" s="36">
        <v>9999</v>
      </c>
      <c r="CW98" s="40">
        <v>9999</v>
      </c>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row>
    <row r="99" spans="1:131">
      <c r="A99" s="9" t="s">
        <v>1640</v>
      </c>
      <c r="B99" s="9" t="s">
        <v>27</v>
      </c>
      <c r="C99" s="36">
        <v>14</v>
      </c>
      <c r="D99" s="36">
        <v>9.1415221239599553E-2</v>
      </c>
      <c r="E99" s="36">
        <v>0</v>
      </c>
      <c r="F99" s="36">
        <v>0</v>
      </c>
      <c r="G99" s="36">
        <v>0</v>
      </c>
      <c r="H99" s="36">
        <v>0</v>
      </c>
      <c r="I99" s="36" t="s">
        <v>1536</v>
      </c>
      <c r="J99" s="36"/>
      <c r="K99" s="36"/>
      <c r="L99" s="36">
        <v>9.8168910455782687E-2</v>
      </c>
      <c r="M99" s="36">
        <v>1.5425084243017827E-5</v>
      </c>
      <c r="N99" s="36">
        <v>1.5313752902231693E-5</v>
      </c>
      <c r="O99" s="36">
        <v>0</v>
      </c>
      <c r="P99" s="36">
        <v>0</v>
      </c>
      <c r="Q99" s="36">
        <v>0</v>
      </c>
      <c r="R99" s="36">
        <v>0</v>
      </c>
      <c r="S99" s="36">
        <v>0</v>
      </c>
      <c r="T99" s="36">
        <v>0</v>
      </c>
      <c r="U99" s="36">
        <v>0</v>
      </c>
      <c r="V99" s="36" t="s">
        <v>1533</v>
      </c>
      <c r="W99" s="36" t="s">
        <v>1533</v>
      </c>
      <c r="X99" s="36" t="s">
        <v>1533</v>
      </c>
      <c r="Y99" s="36" t="s">
        <v>1533</v>
      </c>
      <c r="Z99" s="36">
        <v>0</v>
      </c>
      <c r="AA99" s="36">
        <v>0</v>
      </c>
      <c r="AB99" s="36">
        <v>0</v>
      </c>
      <c r="AC99" s="36">
        <v>0</v>
      </c>
      <c r="AD99" s="36">
        <v>0</v>
      </c>
      <c r="AE99" s="36">
        <v>0</v>
      </c>
      <c r="AF99" s="36">
        <v>0</v>
      </c>
      <c r="AG99" s="36">
        <v>0</v>
      </c>
      <c r="AH99" s="36">
        <v>0</v>
      </c>
      <c r="AI99" s="36">
        <v>0</v>
      </c>
      <c r="AJ99" s="36">
        <v>0</v>
      </c>
      <c r="AK99" s="36">
        <v>0</v>
      </c>
      <c r="AL99" s="36">
        <v>0</v>
      </c>
      <c r="AM99" s="36">
        <v>5.0773212572999646E-2</v>
      </c>
      <c r="AN99" s="36">
        <v>5.450430147792007E-3</v>
      </c>
      <c r="AO99" s="36">
        <v>0</v>
      </c>
      <c r="AP99" s="36">
        <v>0</v>
      </c>
      <c r="AQ99" s="36">
        <v>5.6223642720791653E-2</v>
      </c>
      <c r="AR99" s="36">
        <v>0</v>
      </c>
      <c r="AS99" s="40">
        <v>9999</v>
      </c>
      <c r="AT99" s="36">
        <v>5.0773212572999646E-2</v>
      </c>
      <c r="AU99" s="36">
        <v>6.4516858847332662E-3</v>
      </c>
      <c r="AV99" s="36">
        <v>0</v>
      </c>
      <c r="AW99" s="36">
        <v>0</v>
      </c>
      <c r="AX99" s="36">
        <v>5.722489845773291E-2</v>
      </c>
      <c r="AY99" s="36">
        <v>0</v>
      </c>
      <c r="AZ99" s="40">
        <v>9999</v>
      </c>
      <c r="BA99" s="36">
        <v>5.0773212572999646E-2</v>
      </c>
      <c r="BB99" s="36">
        <v>1.1902116032525273E-2</v>
      </c>
      <c r="BC99" s="36">
        <v>0</v>
      </c>
      <c r="BD99" s="36">
        <v>0</v>
      </c>
      <c r="BE99" s="36">
        <v>6.267532860552491E-2</v>
      </c>
      <c r="BF99" s="36">
        <v>0</v>
      </c>
      <c r="BG99" s="36">
        <v>-8.9211393527904459</v>
      </c>
      <c r="BH99" s="40">
        <v>9999</v>
      </c>
      <c r="BI99" s="36">
        <v>0</v>
      </c>
      <c r="BJ99" s="36">
        <v>0</v>
      </c>
      <c r="BK99" s="36">
        <v>0</v>
      </c>
      <c r="BL99" s="36">
        <v>0</v>
      </c>
      <c r="BM99" s="36">
        <v>0</v>
      </c>
      <c r="BN99" s="36">
        <v>5.0773212572999646E-2</v>
      </c>
      <c r="BO99" s="36">
        <v>0</v>
      </c>
      <c r="BP99" s="36">
        <v>1.1902116032525273E-2</v>
      </c>
      <c r="BQ99" s="36">
        <v>0</v>
      </c>
      <c r="BR99" s="36">
        <v>0</v>
      </c>
      <c r="BS99" s="36">
        <v>0</v>
      </c>
      <c r="BT99" s="36">
        <v>0</v>
      </c>
      <c r="BU99" s="36">
        <v>0</v>
      </c>
      <c r="BV99" s="36">
        <v>5.1726561628010961</v>
      </c>
      <c r="BW99" s="36">
        <v>0</v>
      </c>
      <c r="BX99" s="36">
        <v>0</v>
      </c>
      <c r="BY99" s="36"/>
      <c r="BZ99" s="36">
        <v>0</v>
      </c>
      <c r="CA99" s="36">
        <v>0</v>
      </c>
      <c r="CB99" s="36">
        <v>5.2353314914066207</v>
      </c>
      <c r="CC99" s="36">
        <v>0</v>
      </c>
      <c r="CD99" s="40">
        <v>9999</v>
      </c>
      <c r="CE99" s="36">
        <v>-3886.0457049606525</v>
      </c>
      <c r="CF99" s="36">
        <v>9.3261427877977673E-4</v>
      </c>
      <c r="CG99" s="36">
        <v>0</v>
      </c>
      <c r="CH99" s="36">
        <v>9.3261427877977673E-4</v>
      </c>
      <c r="CI99" s="36">
        <v>4.6630232466496782E-5</v>
      </c>
      <c r="CJ99" s="36">
        <v>0</v>
      </c>
      <c r="CK99" s="36">
        <v>4.6630232466496782E-5</v>
      </c>
      <c r="CL99" s="36"/>
      <c r="CM99" s="36">
        <v>0</v>
      </c>
      <c r="CN99" s="36"/>
      <c r="CO99" s="36">
        <v>0</v>
      </c>
      <c r="CP99" s="36">
        <v>0</v>
      </c>
      <c r="CQ99" s="36">
        <v>0</v>
      </c>
      <c r="CR99" s="36">
        <v>0</v>
      </c>
      <c r="CS99" s="36">
        <v>0</v>
      </c>
      <c r="CT99" s="36">
        <v>0</v>
      </c>
      <c r="CU99" s="36">
        <v>0</v>
      </c>
      <c r="CV99" s="36">
        <v>9999</v>
      </c>
      <c r="CW99" s="40">
        <v>9999</v>
      </c>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row>
    <row r="100" spans="1:131">
      <c r="A100" s="9" t="s">
        <v>1649</v>
      </c>
      <c r="B100" s="9" t="s">
        <v>25</v>
      </c>
      <c r="C100" s="36">
        <v>14</v>
      </c>
      <c r="D100" s="36">
        <v>13.420513804370698</v>
      </c>
      <c r="E100" s="36">
        <v>0.38507341368346421</v>
      </c>
      <c r="F100" s="36">
        <v>139.81935250031893</v>
      </c>
      <c r="G100" s="36">
        <v>0</v>
      </c>
      <c r="H100" s="36">
        <v>0</v>
      </c>
      <c r="I100" s="36" t="s">
        <v>1532</v>
      </c>
      <c r="J100" s="36"/>
      <c r="K100" s="36"/>
      <c r="L100" s="36">
        <v>14.410613802567781</v>
      </c>
      <c r="M100" s="36">
        <v>2.1571740257675361E-3</v>
      </c>
      <c r="N100" s="36">
        <v>2.1416045110203845E-3</v>
      </c>
      <c r="O100" s="36">
        <v>0.38892414782029883</v>
      </c>
      <c r="P100" s="36">
        <v>0</v>
      </c>
      <c r="Q100" s="36">
        <v>0</v>
      </c>
      <c r="R100" s="36">
        <v>27.881846665687689</v>
      </c>
      <c r="S100" s="36">
        <v>64.430706839465685</v>
      </c>
      <c r="T100" s="36">
        <v>0</v>
      </c>
      <c r="U100" s="36">
        <v>90.612748523181409</v>
      </c>
      <c r="V100" s="36" t="s">
        <v>1533</v>
      </c>
      <c r="W100" s="36" t="s">
        <v>1533</v>
      </c>
      <c r="X100" s="36" t="s">
        <v>1533</v>
      </c>
      <c r="Y100" s="36" t="s">
        <v>1533</v>
      </c>
      <c r="Z100" s="36">
        <v>0</v>
      </c>
      <c r="AA100" s="36">
        <v>0</v>
      </c>
      <c r="AB100" s="36">
        <v>0</v>
      </c>
      <c r="AC100" s="36">
        <v>0</v>
      </c>
      <c r="AD100" s="36">
        <v>0</v>
      </c>
      <c r="AE100" s="36">
        <v>0</v>
      </c>
      <c r="AF100" s="36">
        <v>0</v>
      </c>
      <c r="AG100" s="36">
        <v>0</v>
      </c>
      <c r="AH100" s="36">
        <v>27.881846665687689</v>
      </c>
      <c r="AI100" s="36">
        <v>64.430706839465685</v>
      </c>
      <c r="AJ100" s="36">
        <v>0</v>
      </c>
      <c r="AK100" s="36">
        <v>90.612748523181409</v>
      </c>
      <c r="AL100" s="36">
        <v>182.92530202833478</v>
      </c>
      <c r="AM100" s="36">
        <v>7.3922491005210684</v>
      </c>
      <c r="AN100" s="36">
        <v>0.76223417381978198</v>
      </c>
      <c r="AO100" s="36">
        <v>0</v>
      </c>
      <c r="AP100" s="36">
        <v>0</v>
      </c>
      <c r="AQ100" s="36">
        <v>8.1544832743408513</v>
      </c>
      <c r="AR100" s="36">
        <v>27.881846665687689</v>
      </c>
      <c r="AS100" s="781">
        <v>0.29246568106179366</v>
      </c>
      <c r="AT100" s="36">
        <v>7.3922491005210684</v>
      </c>
      <c r="AU100" s="36">
        <v>0.90225823040528097</v>
      </c>
      <c r="AV100" s="36">
        <v>0</v>
      </c>
      <c r="AW100" s="36">
        <v>0</v>
      </c>
      <c r="AX100" s="36">
        <v>8.2945073309263488</v>
      </c>
      <c r="AY100" s="36">
        <v>64.430706839465685</v>
      </c>
      <c r="AZ100" s="781">
        <v>0.12873531484906389</v>
      </c>
      <c r="BA100" s="36">
        <v>7.3922491005210684</v>
      </c>
      <c r="BB100" s="36">
        <v>1.6644924042250628</v>
      </c>
      <c r="BC100" s="36">
        <v>0</v>
      </c>
      <c r="BD100" s="36">
        <v>0</v>
      </c>
      <c r="BE100" s="36">
        <v>9.0567415047461317</v>
      </c>
      <c r="BF100" s="36">
        <v>92.312553505153375</v>
      </c>
      <c r="BG100" s="36">
        <v>462.85627323620912</v>
      </c>
      <c r="BH100" s="781">
        <v>9.8109532895117424E-2</v>
      </c>
      <c r="BI100" s="36">
        <v>142.36694620809121</v>
      </c>
      <c r="BJ100" s="36">
        <v>328.98835879661647</v>
      </c>
      <c r="BK100" s="36">
        <v>0</v>
      </c>
      <c r="BL100" s="36">
        <v>462.6759643808868</v>
      </c>
      <c r="BM100" s="36">
        <v>934.03126938559456</v>
      </c>
      <c r="BN100" s="36">
        <v>7.3922491005210684</v>
      </c>
      <c r="BO100" s="36">
        <v>2.8329415783446885</v>
      </c>
      <c r="BP100" s="36">
        <v>1.6644924042250628</v>
      </c>
      <c r="BQ100" s="36">
        <v>0</v>
      </c>
      <c r="BR100" s="36">
        <v>0</v>
      </c>
      <c r="BS100" s="36">
        <v>0</v>
      </c>
      <c r="BT100" s="36">
        <v>0</v>
      </c>
      <c r="BU100" s="36">
        <v>0</v>
      </c>
      <c r="BV100" s="36">
        <v>98.049848370351469</v>
      </c>
      <c r="BW100" s="36">
        <v>0</v>
      </c>
      <c r="BX100" s="36">
        <v>182.92530202833478</v>
      </c>
      <c r="BY100" s="36"/>
      <c r="BZ100" s="36">
        <v>0</v>
      </c>
      <c r="CA100" s="36">
        <v>0</v>
      </c>
      <c r="CB100" s="36">
        <v>109.93953145344229</v>
      </c>
      <c r="CC100" s="36">
        <v>182.92530202833478</v>
      </c>
      <c r="CD100" s="781">
        <v>0.60100778970649371</v>
      </c>
      <c r="CE100" s="36">
        <v>410.41661768855664</v>
      </c>
      <c r="CF100" s="36">
        <v>0.13690340074346974</v>
      </c>
      <c r="CG100" s="36">
        <v>4.5504125294974988E-2</v>
      </c>
      <c r="CH100" s="36">
        <v>0.18240752603844473</v>
      </c>
      <c r="CI100" s="36">
        <v>6.8450415562196949E-3</v>
      </c>
      <c r="CJ100" s="36">
        <v>2.2752062647487478E-3</v>
      </c>
      <c r="CK100" s="36">
        <v>9.1202478209684423E-3</v>
      </c>
      <c r="CL100" s="36"/>
      <c r="CM100" s="36">
        <v>0.38507341368346421</v>
      </c>
      <c r="CN100" s="36" t="s">
        <v>1534</v>
      </c>
      <c r="CO100" s="36">
        <v>0</v>
      </c>
      <c r="CP100" s="36">
        <v>0</v>
      </c>
      <c r="CQ100" s="36">
        <v>2.8329415783446885</v>
      </c>
      <c r="CR100" s="36">
        <v>0</v>
      </c>
      <c r="CS100" s="36">
        <v>0</v>
      </c>
      <c r="CT100" s="36">
        <v>2.8329415783446885</v>
      </c>
      <c r="CU100" s="36">
        <v>0</v>
      </c>
      <c r="CV100" s="36">
        <v>0</v>
      </c>
      <c r="CW100" s="40">
        <v>9999</v>
      </c>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row>
    <row r="101" spans="1:131">
      <c r="A101" s="9" t="s">
        <v>1645</v>
      </c>
      <c r="B101" s="9" t="s">
        <v>25</v>
      </c>
      <c r="C101" s="36">
        <v>14</v>
      </c>
      <c r="D101" s="36">
        <v>7.6161264854408284</v>
      </c>
      <c r="E101" s="36">
        <v>0.19401942602722239</v>
      </c>
      <c r="F101" s="36">
        <v>54.906335711206673</v>
      </c>
      <c r="G101" s="36">
        <v>0</v>
      </c>
      <c r="H101" s="36">
        <v>0</v>
      </c>
      <c r="I101" s="36" t="s">
        <v>1532</v>
      </c>
      <c r="J101" s="36"/>
      <c r="K101" s="36"/>
      <c r="L101" s="36">
        <v>8.1780071205211264</v>
      </c>
      <c r="M101" s="36">
        <v>1.2241938327281156E-3</v>
      </c>
      <c r="N101" s="36">
        <v>1.2153581506253465E-3</v>
      </c>
      <c r="O101" s="36">
        <v>0.19595962028749461</v>
      </c>
      <c r="P101" s="36">
        <v>0</v>
      </c>
      <c r="Q101" s="36">
        <v>0</v>
      </c>
      <c r="R101" s="36">
        <v>10.949056807219478</v>
      </c>
      <c r="S101" s="36">
        <v>25.301604939344664</v>
      </c>
      <c r="T101" s="36">
        <v>0</v>
      </c>
      <c r="U101" s="36">
        <v>35.583157132111566</v>
      </c>
      <c r="V101" s="36" t="s">
        <v>1533</v>
      </c>
      <c r="W101" s="36" t="s">
        <v>1533</v>
      </c>
      <c r="X101" s="36" t="s">
        <v>1533</v>
      </c>
      <c r="Y101" s="36" t="s">
        <v>1533</v>
      </c>
      <c r="Z101" s="36">
        <v>0</v>
      </c>
      <c r="AA101" s="36">
        <v>0</v>
      </c>
      <c r="AB101" s="36">
        <v>0</v>
      </c>
      <c r="AC101" s="36">
        <v>0</v>
      </c>
      <c r="AD101" s="36">
        <v>0</v>
      </c>
      <c r="AE101" s="36">
        <v>0</v>
      </c>
      <c r="AF101" s="36">
        <v>0</v>
      </c>
      <c r="AG101" s="36">
        <v>0</v>
      </c>
      <c r="AH101" s="36">
        <v>10.949056807219478</v>
      </c>
      <c r="AI101" s="36">
        <v>25.301604939344664</v>
      </c>
      <c r="AJ101" s="36">
        <v>0</v>
      </c>
      <c r="AK101" s="36">
        <v>35.583157132111566</v>
      </c>
      <c r="AL101" s="36">
        <v>71.833818878675714</v>
      </c>
      <c r="AM101" s="36">
        <v>4.1950930480112598</v>
      </c>
      <c r="AN101" s="36">
        <v>0.43256703610306863</v>
      </c>
      <c r="AO101" s="36">
        <v>0</v>
      </c>
      <c r="AP101" s="36">
        <v>0</v>
      </c>
      <c r="AQ101" s="36">
        <v>4.6276600841143285</v>
      </c>
      <c r="AR101" s="36">
        <v>10.949056807219478</v>
      </c>
      <c r="AS101" s="781">
        <v>0.42265376512276281</v>
      </c>
      <c r="AT101" s="36">
        <v>4.1950930480112598</v>
      </c>
      <c r="AU101" s="36">
        <v>0.51203053068346038</v>
      </c>
      <c r="AV101" s="36">
        <v>0</v>
      </c>
      <c r="AW101" s="36">
        <v>0</v>
      </c>
      <c r="AX101" s="36">
        <v>4.7071235786947199</v>
      </c>
      <c r="AY101" s="36">
        <v>25.301604939344664</v>
      </c>
      <c r="AZ101" s="781">
        <v>0.18604051363457258</v>
      </c>
      <c r="BA101" s="36">
        <v>4.1950930480112598</v>
      </c>
      <c r="BB101" s="36">
        <v>0.94459756678652895</v>
      </c>
      <c r="BC101" s="36">
        <v>0</v>
      </c>
      <c r="BD101" s="36">
        <v>0</v>
      </c>
      <c r="BE101" s="36">
        <v>5.1396906147977885</v>
      </c>
      <c r="BF101" s="36">
        <v>36.250661746564141</v>
      </c>
      <c r="BG101" s="36">
        <v>317.66687914028103</v>
      </c>
      <c r="BH101" s="781">
        <v>0.14178198044301718</v>
      </c>
      <c r="BI101" s="36">
        <v>98.514314361646001</v>
      </c>
      <c r="BJ101" s="36">
        <v>227.65159654713358</v>
      </c>
      <c r="BK101" s="36">
        <v>0</v>
      </c>
      <c r="BL101" s="36">
        <v>320.16002742640774</v>
      </c>
      <c r="BM101" s="36">
        <v>646.3259383351874</v>
      </c>
      <c r="BN101" s="36">
        <v>4.1950930480112598</v>
      </c>
      <c r="BO101" s="36">
        <v>1.4273789866233304</v>
      </c>
      <c r="BP101" s="36">
        <v>0.94459756678652895</v>
      </c>
      <c r="BQ101" s="36">
        <v>0</v>
      </c>
      <c r="BR101" s="36">
        <v>0</v>
      </c>
      <c r="BS101" s="36">
        <v>0</v>
      </c>
      <c r="BT101" s="36">
        <v>0</v>
      </c>
      <c r="BU101" s="36">
        <v>0</v>
      </c>
      <c r="BV101" s="36">
        <v>45.761287563416573</v>
      </c>
      <c r="BW101" s="36">
        <v>0</v>
      </c>
      <c r="BX101" s="36">
        <v>71.833818878675714</v>
      </c>
      <c r="BY101" s="36"/>
      <c r="BZ101" s="36">
        <v>0</v>
      </c>
      <c r="CA101" s="36">
        <v>0</v>
      </c>
      <c r="CB101" s="36">
        <v>52.328357164837691</v>
      </c>
      <c r="CC101" s="36">
        <v>71.833818878675714</v>
      </c>
      <c r="CD101" s="781">
        <v>0.72846408532474205</v>
      </c>
      <c r="CE101" s="36">
        <v>213.24612187733837</v>
      </c>
      <c r="CF101" s="36">
        <v>7.7692525900885351E-2</v>
      </c>
      <c r="CG101" s="36">
        <v>2.2927275573636833E-2</v>
      </c>
      <c r="CH101" s="36">
        <v>0.10061980147452218</v>
      </c>
      <c r="CI101" s="36">
        <v>3.8845533822475355E-3</v>
      </c>
      <c r="CJ101" s="36">
        <v>1.1463637786818435E-3</v>
      </c>
      <c r="CK101" s="36">
        <v>5.0309171609293785E-3</v>
      </c>
      <c r="CL101" s="36"/>
      <c r="CM101" s="36">
        <v>0.19401942602722239</v>
      </c>
      <c r="CN101" s="36" t="s">
        <v>1534</v>
      </c>
      <c r="CO101" s="36">
        <v>0</v>
      </c>
      <c r="CP101" s="36">
        <v>0</v>
      </c>
      <c r="CQ101" s="36">
        <v>1.4273789866233304</v>
      </c>
      <c r="CR101" s="36">
        <v>0</v>
      </c>
      <c r="CS101" s="36">
        <v>0</v>
      </c>
      <c r="CT101" s="36">
        <v>1.4273789866233304</v>
      </c>
      <c r="CU101" s="36">
        <v>0</v>
      </c>
      <c r="CV101" s="36">
        <v>0</v>
      </c>
      <c r="CW101" s="40">
        <v>9999</v>
      </c>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row>
    <row r="102" spans="1:131">
      <c r="A102" s="9" t="s">
        <v>1641</v>
      </c>
      <c r="B102" s="9" t="s">
        <v>25</v>
      </c>
      <c r="C102" s="36">
        <v>14</v>
      </c>
      <c r="D102" s="36">
        <v>1.4130617083715187</v>
      </c>
      <c r="E102" s="36">
        <v>2.8130810286325469E-2</v>
      </c>
      <c r="F102" s="36">
        <v>0</v>
      </c>
      <c r="G102" s="36">
        <v>0</v>
      </c>
      <c r="H102" s="36">
        <v>0</v>
      </c>
      <c r="I102" s="36" t="s">
        <v>1532</v>
      </c>
      <c r="J102" s="36"/>
      <c r="K102" s="36"/>
      <c r="L102" s="36">
        <v>1.5173105035596259</v>
      </c>
      <c r="M102" s="36">
        <v>2.2713139441151787E-4</v>
      </c>
      <c r="N102" s="36">
        <v>2.2549206186227072E-4</v>
      </c>
      <c r="O102" s="36">
        <v>2.8412118389188723E-2</v>
      </c>
      <c r="P102" s="36">
        <v>0</v>
      </c>
      <c r="Q102" s="36">
        <v>0</v>
      </c>
      <c r="R102" s="36">
        <v>0</v>
      </c>
      <c r="S102" s="36">
        <v>0</v>
      </c>
      <c r="T102" s="36">
        <v>0</v>
      </c>
      <c r="U102" s="36">
        <v>0</v>
      </c>
      <c r="V102" s="36" t="s">
        <v>1533</v>
      </c>
      <c r="W102" s="36" t="s">
        <v>1533</v>
      </c>
      <c r="X102" s="36" t="s">
        <v>1533</v>
      </c>
      <c r="Y102" s="36" t="s">
        <v>1533</v>
      </c>
      <c r="Z102" s="36">
        <v>0</v>
      </c>
      <c r="AA102" s="36">
        <v>0</v>
      </c>
      <c r="AB102" s="36">
        <v>0</v>
      </c>
      <c r="AC102" s="36">
        <v>0</v>
      </c>
      <c r="AD102" s="36">
        <v>0</v>
      </c>
      <c r="AE102" s="36">
        <v>0</v>
      </c>
      <c r="AF102" s="36">
        <v>0</v>
      </c>
      <c r="AG102" s="36">
        <v>0</v>
      </c>
      <c r="AH102" s="36">
        <v>0</v>
      </c>
      <c r="AI102" s="36">
        <v>0</v>
      </c>
      <c r="AJ102" s="36">
        <v>0</v>
      </c>
      <c r="AK102" s="36">
        <v>0</v>
      </c>
      <c r="AL102" s="36">
        <v>0</v>
      </c>
      <c r="AM102" s="36">
        <v>0.77833861616298516</v>
      </c>
      <c r="AN102" s="36">
        <v>8.0256534104242536E-2</v>
      </c>
      <c r="AO102" s="36">
        <v>0</v>
      </c>
      <c r="AP102" s="36">
        <v>0</v>
      </c>
      <c r="AQ102" s="36">
        <v>0.85859515026722766</v>
      </c>
      <c r="AR102" s="36">
        <v>0</v>
      </c>
      <c r="AS102" s="40">
        <v>9999</v>
      </c>
      <c r="AT102" s="36">
        <v>0.77833861616298516</v>
      </c>
      <c r="AU102" s="36">
        <v>9.4999831976144922E-2</v>
      </c>
      <c r="AV102" s="36">
        <v>0</v>
      </c>
      <c r="AW102" s="36">
        <v>0</v>
      </c>
      <c r="AX102" s="36">
        <v>0.87333844813913009</v>
      </c>
      <c r="AY102" s="36">
        <v>0</v>
      </c>
      <c r="AZ102" s="40">
        <v>9999</v>
      </c>
      <c r="BA102" s="36">
        <v>0.77833861616298516</v>
      </c>
      <c r="BB102" s="36">
        <v>0.17525636608038747</v>
      </c>
      <c r="BC102" s="36">
        <v>0</v>
      </c>
      <c r="BD102" s="36">
        <v>0</v>
      </c>
      <c r="BE102" s="36">
        <v>0.95359498224337258</v>
      </c>
      <c r="BF102" s="36">
        <v>0</v>
      </c>
      <c r="BG102" s="36">
        <v>-8.4990317684985826</v>
      </c>
      <c r="BH102" s="40">
        <v>9999</v>
      </c>
      <c r="BI102" s="36">
        <v>0</v>
      </c>
      <c r="BJ102" s="36">
        <v>0</v>
      </c>
      <c r="BK102" s="36">
        <v>0</v>
      </c>
      <c r="BL102" s="36">
        <v>0</v>
      </c>
      <c r="BM102" s="36">
        <v>0</v>
      </c>
      <c r="BN102" s="36">
        <v>0.77833861616298516</v>
      </c>
      <c r="BO102" s="36">
        <v>0.20695519155774941</v>
      </c>
      <c r="BP102" s="36">
        <v>0.17525636608038747</v>
      </c>
      <c r="BQ102" s="36">
        <v>0</v>
      </c>
      <c r="BR102" s="36">
        <v>0</v>
      </c>
      <c r="BS102" s="36">
        <v>0</v>
      </c>
      <c r="BT102" s="36">
        <v>0</v>
      </c>
      <c r="BU102" s="36">
        <v>0</v>
      </c>
      <c r="BV102" s="36">
        <v>3.9525104421376418</v>
      </c>
      <c r="BW102" s="36">
        <v>0</v>
      </c>
      <c r="BX102" s="36">
        <v>0</v>
      </c>
      <c r="BY102" s="36"/>
      <c r="BZ102" s="36">
        <v>0</v>
      </c>
      <c r="CA102" s="36">
        <v>0</v>
      </c>
      <c r="CB102" s="36">
        <v>5.113060615938763</v>
      </c>
      <c r="CC102" s="36">
        <v>0</v>
      </c>
      <c r="CD102" s="40">
        <v>9999</v>
      </c>
      <c r="CE102" s="36">
        <v>-210.21170761241086</v>
      </c>
      <c r="CF102" s="36">
        <v>1.441472034203606E-2</v>
      </c>
      <c r="CG102" s="36">
        <v>3.324217851535082E-3</v>
      </c>
      <c r="CH102" s="36">
        <v>1.7738938193571141E-2</v>
      </c>
      <c r="CI102" s="36">
        <v>7.2072248919082221E-4</v>
      </c>
      <c r="CJ102" s="36">
        <v>1.6621089257675407E-4</v>
      </c>
      <c r="CK102" s="36">
        <v>8.8693338176757622E-4</v>
      </c>
      <c r="CL102" s="36"/>
      <c r="CM102" s="36">
        <v>2.8130810286325469E-2</v>
      </c>
      <c r="CN102" s="36" t="s">
        <v>1534</v>
      </c>
      <c r="CO102" s="36">
        <v>0</v>
      </c>
      <c r="CP102" s="36">
        <v>0</v>
      </c>
      <c r="CQ102" s="36">
        <v>0.20695519155774941</v>
      </c>
      <c r="CR102" s="36">
        <v>0</v>
      </c>
      <c r="CS102" s="36">
        <v>0</v>
      </c>
      <c r="CT102" s="36">
        <v>0.20695519155774941</v>
      </c>
      <c r="CU102" s="36">
        <v>0</v>
      </c>
      <c r="CV102" s="36">
        <v>0</v>
      </c>
      <c r="CW102" s="40">
        <v>9999</v>
      </c>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row>
    <row r="103" spans="1:131">
      <c r="A103" s="9" t="s">
        <v>1649</v>
      </c>
      <c r="B103" s="9" t="s">
        <v>26</v>
      </c>
      <c r="C103" s="36">
        <v>14</v>
      </c>
      <c r="D103" s="36">
        <v>33.614929913688762</v>
      </c>
      <c r="E103" s="36">
        <v>6.762899288993178E-2</v>
      </c>
      <c r="F103" s="36">
        <v>0</v>
      </c>
      <c r="G103" s="36">
        <v>0</v>
      </c>
      <c r="H103" s="36">
        <v>0</v>
      </c>
      <c r="I103" s="36" t="s">
        <v>1535</v>
      </c>
      <c r="J103" s="36"/>
      <c r="K103" s="36"/>
      <c r="L103" s="36">
        <v>36.183452339473227</v>
      </c>
      <c r="M103" s="36">
        <v>2.3698642358561329E-2</v>
      </c>
      <c r="N103" s="36">
        <v>2.3527596185521211E-2</v>
      </c>
      <c r="O103" s="36">
        <v>6.8305282564374084E-2</v>
      </c>
      <c r="P103" s="36">
        <v>0</v>
      </c>
      <c r="Q103" s="36">
        <v>0</v>
      </c>
      <c r="R103" s="36">
        <v>0</v>
      </c>
      <c r="S103" s="36">
        <v>0</v>
      </c>
      <c r="T103" s="36">
        <v>0</v>
      </c>
      <c r="U103" s="36">
        <v>0</v>
      </c>
      <c r="V103" s="36" t="s">
        <v>1533</v>
      </c>
      <c r="W103" s="36" t="s">
        <v>1533</v>
      </c>
      <c r="X103" s="36" t="s">
        <v>1533</v>
      </c>
      <c r="Y103" s="36" t="s">
        <v>1533</v>
      </c>
      <c r="Z103" s="36">
        <v>0</v>
      </c>
      <c r="AA103" s="36">
        <v>0</v>
      </c>
      <c r="AB103" s="36">
        <v>0</v>
      </c>
      <c r="AC103" s="36">
        <v>0</v>
      </c>
      <c r="AD103" s="36">
        <v>0</v>
      </c>
      <c r="AE103" s="36">
        <v>0</v>
      </c>
      <c r="AF103" s="36">
        <v>0</v>
      </c>
      <c r="AG103" s="36">
        <v>0</v>
      </c>
      <c r="AH103" s="36">
        <v>0</v>
      </c>
      <c r="AI103" s="36">
        <v>0</v>
      </c>
      <c r="AJ103" s="36">
        <v>0</v>
      </c>
      <c r="AK103" s="36">
        <v>0</v>
      </c>
      <c r="AL103" s="36">
        <v>0</v>
      </c>
      <c r="AM103" s="36">
        <v>18.546846887248954</v>
      </c>
      <c r="AN103" s="36">
        <v>8.3738793732236019</v>
      </c>
      <c r="AO103" s="36">
        <v>0</v>
      </c>
      <c r="AP103" s="36">
        <v>0</v>
      </c>
      <c r="AQ103" s="36">
        <v>26.920726260472556</v>
      </c>
      <c r="AR103" s="36">
        <v>0</v>
      </c>
      <c r="AS103" s="40">
        <v>9999</v>
      </c>
      <c r="AT103" s="36">
        <v>18.546846887248954</v>
      </c>
      <c r="AU103" s="36">
        <v>9.9121790184893523</v>
      </c>
      <c r="AV103" s="36">
        <v>0</v>
      </c>
      <c r="AW103" s="36">
        <v>0</v>
      </c>
      <c r="AX103" s="36">
        <v>28.459025905738308</v>
      </c>
      <c r="AY103" s="36">
        <v>0</v>
      </c>
      <c r="AZ103" s="40">
        <v>9999</v>
      </c>
      <c r="BA103" s="36">
        <v>18.546846887248954</v>
      </c>
      <c r="BB103" s="36">
        <v>18.286058391712956</v>
      </c>
      <c r="BC103" s="36">
        <v>0</v>
      </c>
      <c r="BD103" s="36">
        <v>0</v>
      </c>
      <c r="BE103" s="36">
        <v>36.83290527896191</v>
      </c>
      <c r="BF103" s="36">
        <v>0</v>
      </c>
      <c r="BG103" s="36">
        <v>-37.186064238704411</v>
      </c>
      <c r="BH103" s="40">
        <v>9999</v>
      </c>
      <c r="BI103" s="36">
        <v>0</v>
      </c>
      <c r="BJ103" s="36">
        <v>0</v>
      </c>
      <c r="BK103" s="36">
        <v>0</v>
      </c>
      <c r="BL103" s="36">
        <v>0</v>
      </c>
      <c r="BM103" s="36">
        <v>0</v>
      </c>
      <c r="BN103" s="36">
        <v>18.546846887248954</v>
      </c>
      <c r="BO103" s="36">
        <v>0.50399263598207389</v>
      </c>
      <c r="BP103" s="36">
        <v>18.286058391712956</v>
      </c>
      <c r="BQ103" s="36">
        <v>0</v>
      </c>
      <c r="BR103" s="36">
        <v>0</v>
      </c>
      <c r="BS103" s="36">
        <v>0</v>
      </c>
      <c r="BT103" s="36">
        <v>0</v>
      </c>
      <c r="BU103" s="36">
        <v>0</v>
      </c>
      <c r="BV103" s="36">
        <v>0</v>
      </c>
      <c r="BW103" s="36">
        <v>0</v>
      </c>
      <c r="BX103" s="36">
        <v>0</v>
      </c>
      <c r="BY103" s="36"/>
      <c r="BZ103" s="36">
        <v>0</v>
      </c>
      <c r="CA103" s="36">
        <v>0</v>
      </c>
      <c r="CB103" s="36">
        <v>37.336897914943982</v>
      </c>
      <c r="CC103" s="36">
        <v>0</v>
      </c>
      <c r="CD103" s="40">
        <v>9999</v>
      </c>
      <c r="CE103" s="36">
        <v>-38.210970871724726</v>
      </c>
      <c r="CF103" s="36">
        <v>0.34373523453950861</v>
      </c>
      <c r="CG103" s="36">
        <v>7.9917180600317644E-3</v>
      </c>
      <c r="CH103" s="36">
        <v>0.35172695259954034</v>
      </c>
      <c r="CI103" s="36">
        <v>1.7187139861249784E-2</v>
      </c>
      <c r="CJ103" s="36">
        <v>3.9958590300158832E-4</v>
      </c>
      <c r="CK103" s="36">
        <v>1.7586725764251371E-2</v>
      </c>
      <c r="CL103" s="36"/>
      <c r="CM103" s="36">
        <v>6.762899288993178E-2</v>
      </c>
      <c r="CN103" s="36" t="s">
        <v>1535</v>
      </c>
      <c r="CO103" s="36">
        <v>0</v>
      </c>
      <c r="CP103" s="36">
        <v>0</v>
      </c>
      <c r="CQ103" s="36">
        <v>0.50399263598207389</v>
      </c>
      <c r="CR103" s="36">
        <v>0</v>
      </c>
      <c r="CS103" s="36">
        <v>0</v>
      </c>
      <c r="CT103" s="36">
        <v>0.50399263598207389</v>
      </c>
      <c r="CU103" s="36">
        <v>0</v>
      </c>
      <c r="CV103" s="36">
        <v>0</v>
      </c>
      <c r="CW103" s="40">
        <v>9999</v>
      </c>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row>
    <row r="104" spans="1:131">
      <c r="A104" s="9" t="s">
        <v>1645</v>
      </c>
      <c r="B104" s="9" t="s">
        <v>26</v>
      </c>
      <c r="C104" s="36">
        <v>14</v>
      </c>
      <c r="D104" s="36">
        <v>20.546071491444344</v>
      </c>
      <c r="E104" s="36">
        <v>4.1336100547544982E-2</v>
      </c>
      <c r="F104" s="36">
        <v>0</v>
      </c>
      <c r="G104" s="36">
        <v>0</v>
      </c>
      <c r="H104" s="36">
        <v>0</v>
      </c>
      <c r="I104" s="36" t="s">
        <v>1535</v>
      </c>
      <c r="J104" s="36"/>
      <c r="K104" s="36"/>
      <c r="L104" s="36">
        <v>22.11600025592632</v>
      </c>
      <c r="M104" s="36">
        <v>1.4485051773107814E-2</v>
      </c>
      <c r="N104" s="36">
        <v>1.4380505165137968E-2</v>
      </c>
      <c r="O104" s="36">
        <v>4.1749461397491562E-2</v>
      </c>
      <c r="P104" s="36">
        <v>0</v>
      </c>
      <c r="Q104" s="36">
        <v>0</v>
      </c>
      <c r="R104" s="36">
        <v>0</v>
      </c>
      <c r="S104" s="36">
        <v>0</v>
      </c>
      <c r="T104" s="36">
        <v>0</v>
      </c>
      <c r="U104" s="36">
        <v>0</v>
      </c>
      <c r="V104" s="36" t="s">
        <v>1533</v>
      </c>
      <c r="W104" s="36" t="s">
        <v>1533</v>
      </c>
      <c r="X104" s="36" t="s">
        <v>1533</v>
      </c>
      <c r="Y104" s="36" t="s">
        <v>1533</v>
      </c>
      <c r="Z104" s="36">
        <v>0</v>
      </c>
      <c r="AA104" s="36">
        <v>0</v>
      </c>
      <c r="AB104" s="36">
        <v>0</v>
      </c>
      <c r="AC104" s="36">
        <v>0</v>
      </c>
      <c r="AD104" s="36">
        <v>0</v>
      </c>
      <c r="AE104" s="36">
        <v>0</v>
      </c>
      <c r="AF104" s="36">
        <v>0</v>
      </c>
      <c r="AG104" s="36">
        <v>0</v>
      </c>
      <c r="AH104" s="36">
        <v>0</v>
      </c>
      <c r="AI104" s="36">
        <v>0</v>
      </c>
      <c r="AJ104" s="36">
        <v>0</v>
      </c>
      <c r="AK104" s="36">
        <v>0</v>
      </c>
      <c r="AL104" s="36">
        <v>0</v>
      </c>
      <c r="AM104" s="36">
        <v>11.33617839051661</v>
      </c>
      <c r="AN104" s="36">
        <v>5.1182710987274884</v>
      </c>
      <c r="AO104" s="36">
        <v>0</v>
      </c>
      <c r="AP104" s="36">
        <v>0</v>
      </c>
      <c r="AQ104" s="36">
        <v>16.454449489244098</v>
      </c>
      <c r="AR104" s="36">
        <v>0</v>
      </c>
      <c r="AS104" s="40">
        <v>9999</v>
      </c>
      <c r="AT104" s="36">
        <v>11.33617839051661</v>
      </c>
      <c r="AU104" s="36">
        <v>6.0585085041912699</v>
      </c>
      <c r="AV104" s="36">
        <v>0</v>
      </c>
      <c r="AW104" s="36">
        <v>0</v>
      </c>
      <c r="AX104" s="36">
        <v>17.394686894707881</v>
      </c>
      <c r="AY104" s="36">
        <v>0</v>
      </c>
      <c r="AZ104" s="40">
        <v>9999</v>
      </c>
      <c r="BA104" s="36">
        <v>11.33617839051661</v>
      </c>
      <c r="BB104" s="36">
        <v>11.176779602918758</v>
      </c>
      <c r="BC104" s="36">
        <v>0</v>
      </c>
      <c r="BD104" s="36">
        <v>0</v>
      </c>
      <c r="BE104" s="36">
        <v>22.512957993435371</v>
      </c>
      <c r="BF104" s="36">
        <v>0</v>
      </c>
      <c r="BG104" s="36">
        <v>-37.186064238704425</v>
      </c>
      <c r="BH104" s="40">
        <v>9999</v>
      </c>
      <c r="BI104" s="36">
        <v>0</v>
      </c>
      <c r="BJ104" s="36">
        <v>0</v>
      </c>
      <c r="BK104" s="36">
        <v>0</v>
      </c>
      <c r="BL104" s="36">
        <v>0</v>
      </c>
      <c r="BM104" s="36">
        <v>0</v>
      </c>
      <c r="BN104" s="36">
        <v>11.33617839051661</v>
      </c>
      <c r="BO104" s="36">
        <v>0.3080496897252884</v>
      </c>
      <c r="BP104" s="36">
        <v>11.176779602918758</v>
      </c>
      <c r="BQ104" s="36">
        <v>0</v>
      </c>
      <c r="BR104" s="36">
        <v>0</v>
      </c>
      <c r="BS104" s="36">
        <v>0</v>
      </c>
      <c r="BT104" s="36">
        <v>0</v>
      </c>
      <c r="BU104" s="36">
        <v>0</v>
      </c>
      <c r="BV104" s="36">
        <v>0</v>
      </c>
      <c r="BW104" s="36">
        <v>0</v>
      </c>
      <c r="BX104" s="36">
        <v>0</v>
      </c>
      <c r="BY104" s="36"/>
      <c r="BZ104" s="36">
        <v>0</v>
      </c>
      <c r="CA104" s="36">
        <v>0</v>
      </c>
      <c r="CB104" s="36">
        <v>22.821007683160655</v>
      </c>
      <c r="CC104" s="36">
        <v>0</v>
      </c>
      <c r="CD104" s="40">
        <v>9999</v>
      </c>
      <c r="CE104" s="36">
        <v>-38.210970871724726</v>
      </c>
      <c r="CF104" s="36">
        <v>0.21009737997701916</v>
      </c>
      <c r="CG104" s="36">
        <v>4.8846869835065107E-3</v>
      </c>
      <c r="CH104" s="36">
        <v>0.21498206696052566</v>
      </c>
      <c r="CI104" s="36">
        <v>1.0505100121565003E-2</v>
      </c>
      <c r="CJ104" s="36">
        <v>2.4423434917532566E-4</v>
      </c>
      <c r="CK104" s="36">
        <v>1.0749334470740328E-2</v>
      </c>
      <c r="CL104" s="36"/>
      <c r="CM104" s="36">
        <v>4.1336100547544982E-2</v>
      </c>
      <c r="CN104" s="36" t="s">
        <v>1535</v>
      </c>
      <c r="CO104" s="36">
        <v>0</v>
      </c>
      <c r="CP104" s="36">
        <v>0</v>
      </c>
      <c r="CQ104" s="36">
        <v>0.3080496897252884</v>
      </c>
      <c r="CR104" s="36">
        <v>0</v>
      </c>
      <c r="CS104" s="36">
        <v>0</v>
      </c>
      <c r="CT104" s="36">
        <v>0.3080496897252884</v>
      </c>
      <c r="CU104" s="36">
        <v>0</v>
      </c>
      <c r="CV104" s="36">
        <v>0</v>
      </c>
      <c r="CW104" s="40">
        <v>9999</v>
      </c>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row>
    <row r="105" spans="1:131">
      <c r="A105" s="9" t="s">
        <v>1641</v>
      </c>
      <c r="B105" s="9" t="s">
        <v>26</v>
      </c>
      <c r="C105" s="36">
        <v>14</v>
      </c>
      <c r="D105" s="36">
        <v>13.697550748450809</v>
      </c>
      <c r="E105" s="36">
        <v>2.7557741888946413E-2</v>
      </c>
      <c r="F105" s="36">
        <v>0</v>
      </c>
      <c r="G105" s="36">
        <v>0</v>
      </c>
      <c r="H105" s="36">
        <v>0</v>
      </c>
      <c r="I105" s="36" t="s">
        <v>1535</v>
      </c>
      <c r="J105" s="36"/>
      <c r="K105" s="36"/>
      <c r="L105" s="36">
        <v>14.744182895715515</v>
      </c>
      <c r="M105" s="36">
        <v>9.6568208593405345E-3</v>
      </c>
      <c r="N105" s="36">
        <v>9.5871222569171143E-3</v>
      </c>
      <c r="O105" s="36">
        <v>2.7833319204148679E-2</v>
      </c>
      <c r="P105" s="36">
        <v>0</v>
      </c>
      <c r="Q105" s="36">
        <v>0</v>
      </c>
      <c r="R105" s="36">
        <v>0</v>
      </c>
      <c r="S105" s="36">
        <v>0</v>
      </c>
      <c r="T105" s="36">
        <v>0</v>
      </c>
      <c r="U105" s="36">
        <v>0</v>
      </c>
      <c r="V105" s="36" t="s">
        <v>1533</v>
      </c>
      <c r="W105" s="36" t="s">
        <v>1533</v>
      </c>
      <c r="X105" s="36" t="s">
        <v>1533</v>
      </c>
      <c r="Y105" s="36" t="s">
        <v>1533</v>
      </c>
      <c r="Z105" s="36">
        <v>0</v>
      </c>
      <c r="AA105" s="36">
        <v>0</v>
      </c>
      <c r="AB105" s="36">
        <v>0</v>
      </c>
      <c r="AC105" s="36">
        <v>0</v>
      </c>
      <c r="AD105" s="36">
        <v>0</v>
      </c>
      <c r="AE105" s="36">
        <v>0</v>
      </c>
      <c r="AF105" s="36">
        <v>0</v>
      </c>
      <c r="AG105" s="36">
        <v>0</v>
      </c>
      <c r="AH105" s="36">
        <v>0</v>
      </c>
      <c r="AI105" s="36">
        <v>0</v>
      </c>
      <c r="AJ105" s="36">
        <v>0</v>
      </c>
      <c r="AK105" s="36">
        <v>0</v>
      </c>
      <c r="AL105" s="36">
        <v>0</v>
      </c>
      <c r="AM105" s="36">
        <v>7.5575459212362039</v>
      </c>
      <c r="AN105" s="36">
        <v>3.4122230202665569</v>
      </c>
      <c r="AO105" s="36">
        <v>0</v>
      </c>
      <c r="AP105" s="36">
        <v>0</v>
      </c>
      <c r="AQ105" s="36">
        <v>10.96976894150276</v>
      </c>
      <c r="AR105" s="36">
        <v>0</v>
      </c>
      <c r="AS105" s="40">
        <v>9999</v>
      </c>
      <c r="AT105" s="36">
        <v>7.5575459212362039</v>
      </c>
      <c r="AU105" s="36">
        <v>4.039055725598808</v>
      </c>
      <c r="AV105" s="36">
        <v>0</v>
      </c>
      <c r="AW105" s="36">
        <v>0</v>
      </c>
      <c r="AX105" s="36">
        <v>11.596601646835012</v>
      </c>
      <c r="AY105" s="36">
        <v>0</v>
      </c>
      <c r="AZ105" s="40">
        <v>9999</v>
      </c>
      <c r="BA105" s="36">
        <v>7.5575459212362039</v>
      </c>
      <c r="BB105" s="36">
        <v>7.4512787458653644</v>
      </c>
      <c r="BC105" s="36">
        <v>0</v>
      </c>
      <c r="BD105" s="36">
        <v>0</v>
      </c>
      <c r="BE105" s="36">
        <v>15.008824667101569</v>
      </c>
      <c r="BF105" s="36">
        <v>0</v>
      </c>
      <c r="BG105" s="36">
        <v>-37.186064238704411</v>
      </c>
      <c r="BH105" s="40">
        <v>9999</v>
      </c>
      <c r="BI105" s="36">
        <v>0</v>
      </c>
      <c r="BJ105" s="36">
        <v>0</v>
      </c>
      <c r="BK105" s="36">
        <v>0</v>
      </c>
      <c r="BL105" s="36">
        <v>0</v>
      </c>
      <c r="BM105" s="36">
        <v>0</v>
      </c>
      <c r="BN105" s="36">
        <v>7.5575459212362039</v>
      </c>
      <c r="BO105" s="36">
        <v>0.20536900496105739</v>
      </c>
      <c r="BP105" s="36">
        <v>7.4512787458653644</v>
      </c>
      <c r="BQ105" s="36">
        <v>0</v>
      </c>
      <c r="BR105" s="36">
        <v>0</v>
      </c>
      <c r="BS105" s="36">
        <v>0</v>
      </c>
      <c r="BT105" s="36">
        <v>0</v>
      </c>
      <c r="BU105" s="36">
        <v>0</v>
      </c>
      <c r="BV105" s="36">
        <v>0</v>
      </c>
      <c r="BW105" s="36">
        <v>0</v>
      </c>
      <c r="BX105" s="36">
        <v>0</v>
      </c>
      <c r="BY105" s="36"/>
      <c r="BZ105" s="36">
        <v>0</v>
      </c>
      <c r="CA105" s="36">
        <v>0</v>
      </c>
      <c r="CB105" s="36">
        <v>15.214193672062624</v>
      </c>
      <c r="CC105" s="36">
        <v>0</v>
      </c>
      <c r="CD105" s="40">
        <v>9999</v>
      </c>
      <c r="CE105" s="36">
        <v>-38.210970871724705</v>
      </c>
      <c r="CF105" s="36">
        <v>0.1400666558349189</v>
      </c>
      <c r="CG105" s="36">
        <v>3.2564983468853924E-3</v>
      </c>
      <c r="CH105" s="36">
        <v>0.1433231541818043</v>
      </c>
      <c r="CI105" s="36">
        <v>7.003486875464867E-3</v>
      </c>
      <c r="CJ105" s="36">
        <v>1.6282491734426977E-4</v>
      </c>
      <c r="CK105" s="36">
        <v>7.1663117928091368E-3</v>
      </c>
      <c r="CL105" s="36"/>
      <c r="CM105" s="36">
        <v>2.7557741888946413E-2</v>
      </c>
      <c r="CN105" s="36" t="s">
        <v>1535</v>
      </c>
      <c r="CO105" s="36">
        <v>0</v>
      </c>
      <c r="CP105" s="36">
        <v>0</v>
      </c>
      <c r="CQ105" s="36">
        <v>0.20536900496105739</v>
      </c>
      <c r="CR105" s="36">
        <v>0</v>
      </c>
      <c r="CS105" s="36">
        <v>0</v>
      </c>
      <c r="CT105" s="36">
        <v>0.20536900496105739</v>
      </c>
      <c r="CU105" s="36">
        <v>0</v>
      </c>
      <c r="CV105" s="36">
        <v>0</v>
      </c>
      <c r="CW105" s="40">
        <v>9999</v>
      </c>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row>
    <row r="106" spans="1:131">
      <c r="A106" s="9" t="s">
        <v>1649</v>
      </c>
      <c r="B106" s="9" t="s">
        <v>27</v>
      </c>
      <c r="C106" s="36">
        <v>14</v>
      </c>
      <c r="D106" s="36">
        <v>2.2677355853960837</v>
      </c>
      <c r="E106" s="36">
        <v>0</v>
      </c>
      <c r="F106" s="36">
        <v>0</v>
      </c>
      <c r="G106" s="36">
        <v>0</v>
      </c>
      <c r="H106" s="36">
        <v>0</v>
      </c>
      <c r="I106" s="36" t="s">
        <v>1536</v>
      </c>
      <c r="J106" s="36"/>
      <c r="K106" s="36"/>
      <c r="L106" s="36">
        <v>2.4352742202160127</v>
      </c>
      <c r="M106" s="36">
        <v>3.8264975975873015E-4</v>
      </c>
      <c r="N106" s="36">
        <v>3.7988796538961902E-4</v>
      </c>
      <c r="O106" s="36">
        <v>0</v>
      </c>
      <c r="P106" s="36">
        <v>0</v>
      </c>
      <c r="Q106" s="36">
        <v>0</v>
      </c>
      <c r="R106" s="36">
        <v>0</v>
      </c>
      <c r="S106" s="36">
        <v>0</v>
      </c>
      <c r="T106" s="36">
        <v>0</v>
      </c>
      <c r="U106" s="36">
        <v>0</v>
      </c>
      <c r="V106" s="36" t="s">
        <v>1533</v>
      </c>
      <c r="W106" s="36" t="s">
        <v>1533</v>
      </c>
      <c r="X106" s="36" t="s">
        <v>1533</v>
      </c>
      <c r="Y106" s="36" t="s">
        <v>1533</v>
      </c>
      <c r="Z106" s="36">
        <v>0</v>
      </c>
      <c r="AA106" s="36">
        <v>0</v>
      </c>
      <c r="AB106" s="36">
        <v>0</v>
      </c>
      <c r="AC106" s="36">
        <v>0</v>
      </c>
      <c r="AD106" s="36">
        <v>0</v>
      </c>
      <c r="AE106" s="36">
        <v>0</v>
      </c>
      <c r="AF106" s="36">
        <v>0</v>
      </c>
      <c r="AG106" s="36">
        <v>0</v>
      </c>
      <c r="AH106" s="36">
        <v>0</v>
      </c>
      <c r="AI106" s="36">
        <v>0</v>
      </c>
      <c r="AJ106" s="36">
        <v>0</v>
      </c>
      <c r="AK106" s="36">
        <v>0</v>
      </c>
      <c r="AL106" s="36">
        <v>0</v>
      </c>
      <c r="AM106" s="36">
        <v>1.2595300801699982</v>
      </c>
      <c r="AN106" s="36">
        <v>0.13520871288456027</v>
      </c>
      <c r="AO106" s="36">
        <v>0</v>
      </c>
      <c r="AP106" s="36">
        <v>0</v>
      </c>
      <c r="AQ106" s="36">
        <v>1.3947387930545585</v>
      </c>
      <c r="AR106" s="36">
        <v>0</v>
      </c>
      <c r="AS106" s="40">
        <v>9999</v>
      </c>
      <c r="AT106" s="36">
        <v>1.2595300801699982</v>
      </c>
      <c r="AU106" s="36">
        <v>0.16004684414929204</v>
      </c>
      <c r="AV106" s="36">
        <v>0</v>
      </c>
      <c r="AW106" s="36">
        <v>0</v>
      </c>
      <c r="AX106" s="36">
        <v>1.4195769243192902</v>
      </c>
      <c r="AY106" s="36">
        <v>0</v>
      </c>
      <c r="AZ106" s="40">
        <v>9999</v>
      </c>
      <c r="BA106" s="36">
        <v>1.2595300801699982</v>
      </c>
      <c r="BB106" s="36">
        <v>0.29525555703385231</v>
      </c>
      <c r="BC106" s="36">
        <v>0</v>
      </c>
      <c r="BD106" s="36">
        <v>0</v>
      </c>
      <c r="BE106" s="36">
        <v>1.5547856372038504</v>
      </c>
      <c r="BF106" s="36">
        <v>0</v>
      </c>
      <c r="BG106" s="36">
        <v>-8.9211393527904495</v>
      </c>
      <c r="BH106" s="40">
        <v>9999</v>
      </c>
      <c r="BI106" s="36">
        <v>0</v>
      </c>
      <c r="BJ106" s="36">
        <v>0</v>
      </c>
      <c r="BK106" s="36">
        <v>0</v>
      </c>
      <c r="BL106" s="36">
        <v>0</v>
      </c>
      <c r="BM106" s="36">
        <v>0</v>
      </c>
      <c r="BN106" s="36">
        <v>1.2595300801699982</v>
      </c>
      <c r="BO106" s="36">
        <v>0</v>
      </c>
      <c r="BP106" s="36">
        <v>0.29525555703385231</v>
      </c>
      <c r="BQ106" s="36">
        <v>0</v>
      </c>
      <c r="BR106" s="36">
        <v>0</v>
      </c>
      <c r="BS106" s="36">
        <v>0</v>
      </c>
      <c r="BT106" s="36">
        <v>0</v>
      </c>
      <c r="BU106" s="36">
        <v>0</v>
      </c>
      <c r="BV106" s="36">
        <v>128.31797913235363</v>
      </c>
      <c r="BW106" s="36">
        <v>0</v>
      </c>
      <c r="BX106" s="36">
        <v>0</v>
      </c>
      <c r="BY106" s="36"/>
      <c r="BZ106" s="36">
        <v>0</v>
      </c>
      <c r="CA106" s="36">
        <v>0</v>
      </c>
      <c r="CB106" s="36">
        <v>129.87276476955748</v>
      </c>
      <c r="CC106" s="36">
        <v>0</v>
      </c>
      <c r="CD106" s="40">
        <v>9999</v>
      </c>
      <c r="CE106" s="36">
        <v>-3886.0457049606594</v>
      </c>
      <c r="CF106" s="36">
        <v>2.3135343969623887E-2</v>
      </c>
      <c r="CG106" s="36">
        <v>0</v>
      </c>
      <c r="CH106" s="36">
        <v>2.3135343969623887E-2</v>
      </c>
      <c r="CI106" s="36">
        <v>1.1567552546026059E-3</v>
      </c>
      <c r="CJ106" s="36">
        <v>0</v>
      </c>
      <c r="CK106" s="36">
        <v>1.1567552546026059E-3</v>
      </c>
      <c r="CL106" s="36"/>
      <c r="CM106" s="36">
        <v>0</v>
      </c>
      <c r="CN106" s="36"/>
      <c r="CO106" s="36">
        <v>0</v>
      </c>
      <c r="CP106" s="36">
        <v>0</v>
      </c>
      <c r="CQ106" s="36">
        <v>0</v>
      </c>
      <c r="CR106" s="36">
        <v>0</v>
      </c>
      <c r="CS106" s="36">
        <v>0</v>
      </c>
      <c r="CT106" s="36">
        <v>0</v>
      </c>
      <c r="CU106" s="36">
        <v>0</v>
      </c>
      <c r="CV106" s="36">
        <v>9999</v>
      </c>
      <c r="CW106" s="40">
        <v>9999</v>
      </c>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row>
    <row r="107" spans="1:131">
      <c r="A107" s="9" t="s">
        <v>1645</v>
      </c>
      <c r="B107" s="9" t="s">
        <v>27</v>
      </c>
      <c r="C107" s="36">
        <v>14</v>
      </c>
      <c r="D107" s="36">
        <v>1.0583851170185206</v>
      </c>
      <c r="E107" s="36">
        <v>0</v>
      </c>
      <c r="F107" s="36">
        <v>0</v>
      </c>
      <c r="G107" s="36">
        <v>0</v>
      </c>
      <c r="H107" s="36">
        <v>0</v>
      </c>
      <c r="I107" s="36" t="s">
        <v>1536</v>
      </c>
      <c r="J107" s="36"/>
      <c r="K107" s="36"/>
      <c r="L107" s="36">
        <v>1.1365778299436664</v>
      </c>
      <c r="M107" s="36">
        <v>1.7858819756916966E-4</v>
      </c>
      <c r="N107" s="36">
        <v>1.772992280458457E-4</v>
      </c>
      <c r="O107" s="36">
        <v>0</v>
      </c>
      <c r="P107" s="36">
        <v>0</v>
      </c>
      <c r="Q107" s="36">
        <v>0</v>
      </c>
      <c r="R107" s="36">
        <v>0</v>
      </c>
      <c r="S107" s="36">
        <v>0</v>
      </c>
      <c r="T107" s="36">
        <v>0</v>
      </c>
      <c r="U107" s="36">
        <v>0</v>
      </c>
      <c r="V107" s="36" t="s">
        <v>1533</v>
      </c>
      <c r="W107" s="36" t="s">
        <v>1533</v>
      </c>
      <c r="X107" s="36" t="s">
        <v>1533</v>
      </c>
      <c r="Y107" s="36" t="s">
        <v>1533</v>
      </c>
      <c r="Z107" s="36">
        <v>0</v>
      </c>
      <c r="AA107" s="36">
        <v>0</v>
      </c>
      <c r="AB107" s="36">
        <v>0</v>
      </c>
      <c r="AC107" s="36">
        <v>0</v>
      </c>
      <c r="AD107" s="36">
        <v>0</v>
      </c>
      <c r="AE107" s="36">
        <v>0</v>
      </c>
      <c r="AF107" s="36">
        <v>0</v>
      </c>
      <c r="AG107" s="36">
        <v>0</v>
      </c>
      <c r="AH107" s="36">
        <v>0</v>
      </c>
      <c r="AI107" s="36">
        <v>0</v>
      </c>
      <c r="AJ107" s="36">
        <v>0</v>
      </c>
      <c r="AK107" s="36">
        <v>0</v>
      </c>
      <c r="AL107" s="36">
        <v>0</v>
      </c>
      <c r="AM107" s="36">
        <v>0.58784097223408771</v>
      </c>
      <c r="AN107" s="36">
        <v>6.310386904443907E-2</v>
      </c>
      <c r="AO107" s="36">
        <v>0</v>
      </c>
      <c r="AP107" s="36">
        <v>0</v>
      </c>
      <c r="AQ107" s="36">
        <v>0.65094484127852681</v>
      </c>
      <c r="AR107" s="36">
        <v>0</v>
      </c>
      <c r="AS107" s="40">
        <v>9999</v>
      </c>
      <c r="AT107" s="36">
        <v>0.58784097223408771</v>
      </c>
      <c r="AU107" s="36">
        <v>7.4696185465470605E-2</v>
      </c>
      <c r="AV107" s="36">
        <v>0</v>
      </c>
      <c r="AW107" s="36">
        <v>0</v>
      </c>
      <c r="AX107" s="36">
        <v>0.66253715769955834</v>
      </c>
      <c r="AY107" s="36">
        <v>0</v>
      </c>
      <c r="AZ107" s="40">
        <v>9999</v>
      </c>
      <c r="BA107" s="36">
        <v>0.58784097223408771</v>
      </c>
      <c r="BB107" s="36">
        <v>0.13780005450990968</v>
      </c>
      <c r="BC107" s="36">
        <v>0</v>
      </c>
      <c r="BD107" s="36">
        <v>0</v>
      </c>
      <c r="BE107" s="36">
        <v>0.72564102674399744</v>
      </c>
      <c r="BF107" s="36">
        <v>0</v>
      </c>
      <c r="BG107" s="36">
        <v>-8.9211393527904566</v>
      </c>
      <c r="BH107" s="40">
        <v>9999</v>
      </c>
      <c r="BI107" s="36">
        <v>0</v>
      </c>
      <c r="BJ107" s="36">
        <v>0</v>
      </c>
      <c r="BK107" s="36">
        <v>0</v>
      </c>
      <c r="BL107" s="36">
        <v>0</v>
      </c>
      <c r="BM107" s="36">
        <v>0</v>
      </c>
      <c r="BN107" s="36">
        <v>0.58784097223408771</v>
      </c>
      <c r="BO107" s="36">
        <v>0</v>
      </c>
      <c r="BP107" s="36">
        <v>0.13780005450990968</v>
      </c>
      <c r="BQ107" s="36">
        <v>0</v>
      </c>
      <c r="BR107" s="36">
        <v>0</v>
      </c>
      <c r="BS107" s="36">
        <v>0</v>
      </c>
      <c r="BT107" s="36">
        <v>0</v>
      </c>
      <c r="BU107" s="36">
        <v>0</v>
      </c>
      <c r="BV107" s="36">
        <v>59.887863573766545</v>
      </c>
      <c r="BW107" s="36">
        <v>0</v>
      </c>
      <c r="BX107" s="36">
        <v>0</v>
      </c>
      <c r="BY107" s="36"/>
      <c r="BZ107" s="36">
        <v>0</v>
      </c>
      <c r="CA107" s="36">
        <v>0</v>
      </c>
      <c r="CB107" s="36">
        <v>60.613504600510545</v>
      </c>
      <c r="CC107" s="36">
        <v>0</v>
      </c>
      <c r="CD107" s="40">
        <v>9999</v>
      </c>
      <c r="CE107" s="36">
        <v>-3886.0457049606625</v>
      </c>
      <c r="CF107" s="36">
        <v>1.0797600872095222E-2</v>
      </c>
      <c r="CG107" s="36">
        <v>0</v>
      </c>
      <c r="CH107" s="36">
        <v>1.0797600872095222E-2</v>
      </c>
      <c r="CI107" s="36">
        <v>5.3987446922324162E-4</v>
      </c>
      <c r="CJ107" s="36">
        <v>0</v>
      </c>
      <c r="CK107" s="36">
        <v>5.3987446922324162E-4</v>
      </c>
      <c r="CL107" s="36"/>
      <c r="CM107" s="36">
        <v>0</v>
      </c>
      <c r="CN107" s="36"/>
      <c r="CO107" s="36">
        <v>0</v>
      </c>
      <c r="CP107" s="36">
        <v>0</v>
      </c>
      <c r="CQ107" s="36">
        <v>0</v>
      </c>
      <c r="CR107" s="36">
        <v>0</v>
      </c>
      <c r="CS107" s="36">
        <v>0</v>
      </c>
      <c r="CT107" s="36">
        <v>0</v>
      </c>
      <c r="CU107" s="36">
        <v>0</v>
      </c>
      <c r="CV107" s="36">
        <v>9999</v>
      </c>
      <c r="CW107" s="40">
        <v>9999</v>
      </c>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row>
    <row r="108" spans="1:131">
      <c r="A108" s="9" t="s">
        <v>1641</v>
      </c>
      <c r="B108" s="9" t="s">
        <v>27</v>
      </c>
      <c r="C108" s="36">
        <v>14</v>
      </c>
      <c r="D108" s="36">
        <v>9.1415221239599553E-2</v>
      </c>
      <c r="E108" s="36">
        <v>0</v>
      </c>
      <c r="F108" s="36">
        <v>0</v>
      </c>
      <c r="G108" s="36">
        <v>0</v>
      </c>
      <c r="H108" s="36">
        <v>0</v>
      </c>
      <c r="I108" s="36" t="s">
        <v>1536</v>
      </c>
      <c r="J108" s="36"/>
      <c r="K108" s="36"/>
      <c r="L108" s="36">
        <v>9.8168910455782687E-2</v>
      </c>
      <c r="M108" s="36">
        <v>1.5425084243017827E-5</v>
      </c>
      <c r="N108" s="36">
        <v>1.5313752902231693E-5</v>
      </c>
      <c r="O108" s="36">
        <v>0</v>
      </c>
      <c r="P108" s="36">
        <v>0</v>
      </c>
      <c r="Q108" s="36">
        <v>0</v>
      </c>
      <c r="R108" s="36">
        <v>0</v>
      </c>
      <c r="S108" s="36">
        <v>0</v>
      </c>
      <c r="T108" s="36">
        <v>0</v>
      </c>
      <c r="U108" s="36">
        <v>0</v>
      </c>
      <c r="V108" s="36" t="s">
        <v>1533</v>
      </c>
      <c r="W108" s="36" t="s">
        <v>1533</v>
      </c>
      <c r="X108" s="36" t="s">
        <v>1533</v>
      </c>
      <c r="Y108" s="36" t="s">
        <v>1533</v>
      </c>
      <c r="Z108" s="36">
        <v>0</v>
      </c>
      <c r="AA108" s="36">
        <v>0</v>
      </c>
      <c r="AB108" s="36">
        <v>0</v>
      </c>
      <c r="AC108" s="36">
        <v>0</v>
      </c>
      <c r="AD108" s="36">
        <v>0</v>
      </c>
      <c r="AE108" s="36">
        <v>0</v>
      </c>
      <c r="AF108" s="36">
        <v>0</v>
      </c>
      <c r="AG108" s="36">
        <v>0</v>
      </c>
      <c r="AH108" s="36">
        <v>0</v>
      </c>
      <c r="AI108" s="36">
        <v>0</v>
      </c>
      <c r="AJ108" s="36">
        <v>0</v>
      </c>
      <c r="AK108" s="36">
        <v>0</v>
      </c>
      <c r="AL108" s="36">
        <v>0</v>
      </c>
      <c r="AM108" s="36">
        <v>5.0773212572999646E-2</v>
      </c>
      <c r="AN108" s="36">
        <v>5.450430147792007E-3</v>
      </c>
      <c r="AO108" s="36">
        <v>0</v>
      </c>
      <c r="AP108" s="36">
        <v>0</v>
      </c>
      <c r="AQ108" s="36">
        <v>5.6223642720791653E-2</v>
      </c>
      <c r="AR108" s="36">
        <v>0</v>
      </c>
      <c r="AS108" s="40">
        <v>9999</v>
      </c>
      <c r="AT108" s="36">
        <v>5.0773212572999646E-2</v>
      </c>
      <c r="AU108" s="36">
        <v>6.4516858847332662E-3</v>
      </c>
      <c r="AV108" s="36">
        <v>0</v>
      </c>
      <c r="AW108" s="36">
        <v>0</v>
      </c>
      <c r="AX108" s="36">
        <v>5.722489845773291E-2</v>
      </c>
      <c r="AY108" s="36">
        <v>0</v>
      </c>
      <c r="AZ108" s="40">
        <v>9999</v>
      </c>
      <c r="BA108" s="36">
        <v>5.0773212572999646E-2</v>
      </c>
      <c r="BB108" s="36">
        <v>1.1902116032525273E-2</v>
      </c>
      <c r="BC108" s="36">
        <v>0</v>
      </c>
      <c r="BD108" s="36">
        <v>0</v>
      </c>
      <c r="BE108" s="36">
        <v>6.267532860552491E-2</v>
      </c>
      <c r="BF108" s="36">
        <v>0</v>
      </c>
      <c r="BG108" s="36">
        <v>-8.9211393527904459</v>
      </c>
      <c r="BH108" s="40">
        <v>9999</v>
      </c>
      <c r="BI108" s="36">
        <v>0</v>
      </c>
      <c r="BJ108" s="36">
        <v>0</v>
      </c>
      <c r="BK108" s="36">
        <v>0</v>
      </c>
      <c r="BL108" s="36">
        <v>0</v>
      </c>
      <c r="BM108" s="36">
        <v>0</v>
      </c>
      <c r="BN108" s="36">
        <v>5.0773212572999646E-2</v>
      </c>
      <c r="BO108" s="36">
        <v>0</v>
      </c>
      <c r="BP108" s="36">
        <v>1.1902116032525273E-2</v>
      </c>
      <c r="BQ108" s="36">
        <v>0</v>
      </c>
      <c r="BR108" s="36">
        <v>0</v>
      </c>
      <c r="BS108" s="36">
        <v>0</v>
      </c>
      <c r="BT108" s="36">
        <v>0</v>
      </c>
      <c r="BU108" s="36">
        <v>0</v>
      </c>
      <c r="BV108" s="36">
        <v>5.1726561628010961</v>
      </c>
      <c r="BW108" s="36">
        <v>0</v>
      </c>
      <c r="BX108" s="36">
        <v>0</v>
      </c>
      <c r="BY108" s="36"/>
      <c r="BZ108" s="36">
        <v>0</v>
      </c>
      <c r="CA108" s="36">
        <v>0</v>
      </c>
      <c r="CB108" s="36">
        <v>5.2353314914066207</v>
      </c>
      <c r="CC108" s="36">
        <v>0</v>
      </c>
      <c r="CD108" s="40">
        <v>9999</v>
      </c>
      <c r="CE108" s="36">
        <v>-3886.0457049606525</v>
      </c>
      <c r="CF108" s="36">
        <v>9.3261427877977673E-4</v>
      </c>
      <c r="CG108" s="36">
        <v>0</v>
      </c>
      <c r="CH108" s="36">
        <v>9.3261427877977673E-4</v>
      </c>
      <c r="CI108" s="36">
        <v>4.6630232466496782E-5</v>
      </c>
      <c r="CJ108" s="36">
        <v>0</v>
      </c>
      <c r="CK108" s="36">
        <v>4.6630232466496782E-5</v>
      </c>
      <c r="CL108" s="36"/>
      <c r="CM108" s="36">
        <v>0</v>
      </c>
      <c r="CN108" s="36"/>
      <c r="CO108" s="36">
        <v>0</v>
      </c>
      <c r="CP108" s="36">
        <v>0</v>
      </c>
      <c r="CQ108" s="36">
        <v>0</v>
      </c>
      <c r="CR108" s="36">
        <v>0</v>
      </c>
      <c r="CS108" s="36">
        <v>0</v>
      </c>
      <c r="CT108" s="36">
        <v>0</v>
      </c>
      <c r="CU108" s="36">
        <v>0</v>
      </c>
      <c r="CV108" s="36">
        <v>9999</v>
      </c>
      <c r="CW108" s="40">
        <v>9999</v>
      </c>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row>
    <row r="109" spans="1:131">
      <c r="A109" s="9"/>
      <c r="B109" s="9"/>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row>
    <row r="110" spans="1:131">
      <c r="A110" s="9"/>
      <c r="B110" s="9"/>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row>
    <row r="111" spans="1:131" ht="13.5" thickBot="1">
      <c r="A111" s="34" t="s">
        <v>1537</v>
      </c>
      <c r="B111" s="35"/>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row>
    <row r="112" spans="1:131" ht="26.25" thickBot="1">
      <c r="A112" s="774" t="s">
        <v>1438</v>
      </c>
      <c r="B112" s="775"/>
      <c r="C112" s="776" t="s">
        <v>1439</v>
      </c>
      <c r="D112" s="777"/>
      <c r="E112" s="777"/>
      <c r="F112" s="777"/>
      <c r="G112" s="777"/>
      <c r="H112" s="777"/>
      <c r="I112" s="777"/>
      <c r="J112" s="777"/>
      <c r="K112" s="778"/>
      <c r="L112" s="776" t="s">
        <v>1102</v>
      </c>
      <c r="M112" s="777"/>
      <c r="N112" s="777"/>
      <c r="O112" s="777"/>
      <c r="P112" s="777"/>
      <c r="Q112" s="778"/>
      <c r="R112" s="776" t="s">
        <v>1440</v>
      </c>
      <c r="S112" s="777"/>
      <c r="T112" s="777"/>
      <c r="U112" s="778"/>
      <c r="V112" s="776" t="s">
        <v>1441</v>
      </c>
      <c r="W112" s="777"/>
      <c r="X112" s="777"/>
      <c r="Y112" s="778"/>
      <c r="Z112" s="776" t="s">
        <v>1442</v>
      </c>
      <c r="AA112" s="777"/>
      <c r="AB112" s="777"/>
      <c r="AC112" s="778"/>
      <c r="AD112" s="776" t="s">
        <v>1443</v>
      </c>
      <c r="AE112" s="777"/>
      <c r="AF112" s="777"/>
      <c r="AG112" s="778"/>
      <c r="AH112" s="776" t="s">
        <v>1444</v>
      </c>
      <c r="AI112" s="777"/>
      <c r="AJ112" s="777"/>
      <c r="AK112" s="777"/>
      <c r="AL112" s="778"/>
      <c r="AM112" s="776" t="s">
        <v>1445</v>
      </c>
      <c r="AN112" s="777"/>
      <c r="AO112" s="777"/>
      <c r="AP112" s="777"/>
      <c r="AQ112" s="777"/>
      <c r="AR112" s="777"/>
      <c r="AS112" s="778"/>
      <c r="AT112" s="776" t="s">
        <v>1446</v>
      </c>
      <c r="AU112" s="777"/>
      <c r="AV112" s="777"/>
      <c r="AW112" s="777"/>
      <c r="AX112" s="777"/>
      <c r="AY112" s="777"/>
      <c r="AZ112" s="778"/>
      <c r="BA112" s="776" t="s">
        <v>1447</v>
      </c>
      <c r="BB112" s="777"/>
      <c r="BC112" s="777"/>
      <c r="BD112" s="777"/>
      <c r="BE112" s="777"/>
      <c r="BF112" s="778"/>
      <c r="BG112" s="776" t="s">
        <v>1448</v>
      </c>
      <c r="BH112" s="778"/>
      <c r="BI112" s="776" t="s">
        <v>1449</v>
      </c>
      <c r="BJ112" s="777"/>
      <c r="BK112" s="777"/>
      <c r="BL112" s="777"/>
      <c r="BM112" s="778"/>
      <c r="BN112" s="776" t="s">
        <v>1450</v>
      </c>
      <c r="BO112" s="777"/>
      <c r="BP112" s="777"/>
      <c r="BQ112" s="777"/>
      <c r="BR112" s="777"/>
      <c r="BS112" s="777"/>
      <c r="BT112" s="777"/>
      <c r="BU112" s="777"/>
      <c r="BV112" s="777"/>
      <c r="BW112" s="777"/>
      <c r="BX112" s="777"/>
      <c r="BY112" s="777"/>
      <c r="BZ112" s="777"/>
      <c r="CA112" s="777"/>
      <c r="CB112" s="777"/>
      <c r="CC112" s="778"/>
      <c r="CD112" s="776" t="s">
        <v>1451</v>
      </c>
      <c r="CE112" s="778"/>
      <c r="CF112" s="776" t="s">
        <v>1452</v>
      </c>
      <c r="CG112" s="777"/>
      <c r="CH112" s="777"/>
      <c r="CI112" s="777"/>
      <c r="CJ112" s="777"/>
      <c r="CK112" s="778"/>
      <c r="CL112" s="779"/>
      <c r="CM112" s="776" t="s">
        <v>5</v>
      </c>
      <c r="CN112" s="777"/>
      <c r="CO112" s="777"/>
      <c r="CP112" s="778"/>
      <c r="CQ112" s="776" t="s">
        <v>1453</v>
      </c>
      <c r="CR112" s="777"/>
      <c r="CS112" s="777"/>
      <c r="CT112" s="777"/>
      <c r="CU112" s="778"/>
      <c r="CV112" s="776" t="s">
        <v>1454</v>
      </c>
      <c r="CW112" s="778"/>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row>
    <row r="113" spans="1:131" ht="204">
      <c r="A113" s="37" t="s">
        <v>21</v>
      </c>
      <c r="B113" s="38" t="s">
        <v>22</v>
      </c>
      <c r="C113" s="39" t="s">
        <v>1149</v>
      </c>
      <c r="D113" s="39" t="s">
        <v>1455</v>
      </c>
      <c r="E113" s="39" t="s">
        <v>1456</v>
      </c>
      <c r="F113" s="39" t="s">
        <v>1457</v>
      </c>
      <c r="G113" s="39" t="s">
        <v>1458</v>
      </c>
      <c r="H113" s="39" t="s">
        <v>1459</v>
      </c>
      <c r="I113" s="39" t="s">
        <v>1460</v>
      </c>
      <c r="J113" s="39" t="s">
        <v>1461</v>
      </c>
      <c r="K113" s="39" t="s">
        <v>1462</v>
      </c>
      <c r="L113" s="39" t="s">
        <v>1463</v>
      </c>
      <c r="M113" s="39" t="s">
        <v>1464</v>
      </c>
      <c r="N113" s="39" t="s">
        <v>1465</v>
      </c>
      <c r="O113" s="39" t="s">
        <v>1466</v>
      </c>
      <c r="P113" s="39" t="s">
        <v>1467</v>
      </c>
      <c r="Q113" s="39" t="s">
        <v>1468</v>
      </c>
      <c r="R113" s="39" t="s">
        <v>1469</v>
      </c>
      <c r="S113" s="39" t="s">
        <v>1470</v>
      </c>
      <c r="T113" s="39" t="s">
        <v>1471</v>
      </c>
      <c r="U113" s="39" t="s">
        <v>1378</v>
      </c>
      <c r="V113" s="39" t="s">
        <v>1469</v>
      </c>
      <c r="W113" s="39" t="s">
        <v>1470</v>
      </c>
      <c r="X113" s="39" t="s">
        <v>1471</v>
      </c>
      <c r="Y113" s="39" t="s">
        <v>1378</v>
      </c>
      <c r="Z113" s="39" t="s">
        <v>1469</v>
      </c>
      <c r="AA113" s="39" t="s">
        <v>1470</v>
      </c>
      <c r="AB113" s="39" t="s">
        <v>1471</v>
      </c>
      <c r="AC113" s="39" t="s">
        <v>1378</v>
      </c>
      <c r="AD113" s="39" t="s">
        <v>1469</v>
      </c>
      <c r="AE113" s="39" t="s">
        <v>1470</v>
      </c>
      <c r="AF113" s="39" t="s">
        <v>1471</v>
      </c>
      <c r="AG113" s="39" t="s">
        <v>1378</v>
      </c>
      <c r="AH113" s="39" t="s">
        <v>1469</v>
      </c>
      <c r="AI113" s="39" t="s">
        <v>1470</v>
      </c>
      <c r="AJ113" s="39" t="s">
        <v>1471</v>
      </c>
      <c r="AK113" s="39" t="s">
        <v>1378</v>
      </c>
      <c r="AL113" s="39" t="s">
        <v>1209</v>
      </c>
      <c r="AM113" s="39" t="s">
        <v>1472</v>
      </c>
      <c r="AN113" s="39" t="s">
        <v>1473</v>
      </c>
      <c r="AO113" s="39" t="s">
        <v>1474</v>
      </c>
      <c r="AP113" s="39" t="s">
        <v>1475</v>
      </c>
      <c r="AQ113" s="39" t="s">
        <v>1476</v>
      </c>
      <c r="AR113" s="39" t="s">
        <v>1477</v>
      </c>
      <c r="AS113" s="39" t="s">
        <v>1478</v>
      </c>
      <c r="AT113" s="39" t="s">
        <v>1479</v>
      </c>
      <c r="AU113" s="39" t="s">
        <v>1480</v>
      </c>
      <c r="AV113" s="39" t="s">
        <v>1481</v>
      </c>
      <c r="AW113" s="39" t="s">
        <v>1482</v>
      </c>
      <c r="AX113" s="39" t="s">
        <v>1483</v>
      </c>
      <c r="AY113" s="39" t="s">
        <v>1484</v>
      </c>
      <c r="AZ113" s="39" t="s">
        <v>1485</v>
      </c>
      <c r="BA113" s="39" t="s">
        <v>1486</v>
      </c>
      <c r="BB113" s="39" t="s">
        <v>1487</v>
      </c>
      <c r="BC113" s="39" t="s">
        <v>1488</v>
      </c>
      <c r="BD113" s="39" t="s">
        <v>1489</v>
      </c>
      <c r="BE113" s="39" t="s">
        <v>1490</v>
      </c>
      <c r="BF113" s="39" t="s">
        <v>1491</v>
      </c>
      <c r="BG113" s="39" t="s">
        <v>1492</v>
      </c>
      <c r="BH113" s="39" t="s">
        <v>1493</v>
      </c>
      <c r="BI113" s="39" t="s">
        <v>1494</v>
      </c>
      <c r="BJ113" s="39" t="s">
        <v>1495</v>
      </c>
      <c r="BK113" s="39" t="s">
        <v>1496</v>
      </c>
      <c r="BL113" s="39" t="s">
        <v>1497</v>
      </c>
      <c r="BM113" s="39" t="s">
        <v>1498</v>
      </c>
      <c r="BN113" s="39" t="s">
        <v>1499</v>
      </c>
      <c r="BO113" s="39" t="s">
        <v>1500</v>
      </c>
      <c r="BP113" s="39" t="s">
        <v>1501</v>
      </c>
      <c r="BQ113" s="39" t="s">
        <v>1502</v>
      </c>
      <c r="BR113" s="39" t="s">
        <v>1503</v>
      </c>
      <c r="BS113" s="39" t="s">
        <v>1504</v>
      </c>
      <c r="BT113" s="39" t="s">
        <v>1505</v>
      </c>
      <c r="BU113" s="39" t="s">
        <v>1506</v>
      </c>
      <c r="BV113" s="39" t="s">
        <v>1507</v>
      </c>
      <c r="BW113" s="39" t="s">
        <v>1508</v>
      </c>
      <c r="BX113" s="39" t="s">
        <v>1509</v>
      </c>
      <c r="BY113" s="39" t="s">
        <v>1510</v>
      </c>
      <c r="BZ113" s="39" t="s">
        <v>1511</v>
      </c>
      <c r="CA113" s="39" t="s">
        <v>1512</v>
      </c>
      <c r="CB113" s="39" t="s">
        <v>1513</v>
      </c>
      <c r="CC113" s="39" t="s">
        <v>1514</v>
      </c>
      <c r="CD113" s="39" t="s">
        <v>23</v>
      </c>
      <c r="CE113" s="39" t="s">
        <v>24</v>
      </c>
      <c r="CF113" s="39" t="s">
        <v>1515</v>
      </c>
      <c r="CG113" s="39" t="s">
        <v>1516</v>
      </c>
      <c r="CH113" s="39" t="s">
        <v>1517</v>
      </c>
      <c r="CI113" s="39" t="s">
        <v>1518</v>
      </c>
      <c r="CJ113" s="39" t="s">
        <v>1519</v>
      </c>
      <c r="CK113" s="39" t="s">
        <v>1520</v>
      </c>
      <c r="CL113" s="39"/>
      <c r="CM113" s="39" t="s">
        <v>1521</v>
      </c>
      <c r="CN113" s="39" t="s">
        <v>1522</v>
      </c>
      <c r="CO113" s="39" t="s">
        <v>1523</v>
      </c>
      <c r="CP113" s="39" t="s">
        <v>1524</v>
      </c>
      <c r="CQ113" s="39" t="s">
        <v>1525</v>
      </c>
      <c r="CR113" s="39" t="s">
        <v>1526</v>
      </c>
      <c r="CS113" s="39" t="s">
        <v>1527</v>
      </c>
      <c r="CT113" s="39" t="s">
        <v>1528</v>
      </c>
      <c r="CU113" s="39" t="s">
        <v>1529</v>
      </c>
      <c r="CV113" s="39" t="s">
        <v>1530</v>
      </c>
      <c r="CW113" s="39" t="s">
        <v>1531</v>
      </c>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row>
    <row r="114" spans="1:131">
      <c r="A114" s="9" t="s">
        <v>1638</v>
      </c>
      <c r="B114" s="9"/>
      <c r="C114" s="36">
        <v>13.999999999999998</v>
      </c>
      <c r="D114" s="36">
        <v>13.933852994103056</v>
      </c>
      <c r="E114" s="36">
        <v>0</v>
      </c>
      <c r="F114" s="36">
        <v>0</v>
      </c>
      <c r="G114" s="36">
        <v>0</v>
      </c>
      <c r="H114" s="36">
        <v>0</v>
      </c>
      <c r="I114" s="36"/>
      <c r="J114" s="36"/>
      <c r="K114" s="36"/>
      <c r="L114" s="36">
        <v>14.998309672390386</v>
      </c>
      <c r="M114" s="36">
        <v>9.7743917990938227E-3</v>
      </c>
      <c r="N114" s="36">
        <v>9.7038446223511945E-3</v>
      </c>
      <c r="O114" s="36">
        <v>0</v>
      </c>
      <c r="P114" s="36">
        <v>0</v>
      </c>
      <c r="Q114" s="36">
        <v>0</v>
      </c>
      <c r="R114" s="36">
        <v>0</v>
      </c>
      <c r="S114" s="36">
        <v>0</v>
      </c>
      <c r="T114" s="36">
        <v>0</v>
      </c>
      <c r="U114" s="36">
        <v>0</v>
      </c>
      <c r="V114" s="36">
        <v>0</v>
      </c>
      <c r="W114" s="36">
        <v>0</v>
      </c>
      <c r="X114" s="36">
        <v>0</v>
      </c>
      <c r="Y114" s="36">
        <v>0</v>
      </c>
      <c r="Z114" s="36">
        <v>0</v>
      </c>
      <c r="AA114" s="36">
        <v>0</v>
      </c>
      <c r="AB114" s="36">
        <v>0</v>
      </c>
      <c r="AC114" s="36">
        <v>0</v>
      </c>
      <c r="AD114" s="36">
        <v>0</v>
      </c>
      <c r="AE114" s="36">
        <v>0</v>
      </c>
      <c r="AF114" s="36">
        <v>0</v>
      </c>
      <c r="AG114" s="36">
        <v>0</v>
      </c>
      <c r="AH114" s="36">
        <v>0</v>
      </c>
      <c r="AI114" s="36">
        <v>0</v>
      </c>
      <c r="AJ114" s="36">
        <v>0</v>
      </c>
      <c r="AK114" s="36">
        <v>0</v>
      </c>
      <c r="AL114" s="36">
        <v>0</v>
      </c>
      <c r="AM114" s="36">
        <v>7.688259727605776</v>
      </c>
      <c r="AN114" s="36">
        <v>3.4537665337047816</v>
      </c>
      <c r="AO114" s="36">
        <v>0</v>
      </c>
      <c r="AP114" s="36">
        <v>0</v>
      </c>
      <c r="AQ114" s="36">
        <v>11.142026261310559</v>
      </c>
      <c r="AR114" s="36">
        <v>0</v>
      </c>
      <c r="AS114" s="40">
        <v>9999</v>
      </c>
      <c r="AT114" s="36">
        <v>7.688259727605776</v>
      </c>
      <c r="AU114" s="36">
        <v>4.0882308717769851</v>
      </c>
      <c r="AV114" s="36">
        <v>0</v>
      </c>
      <c r="AW114" s="36">
        <v>0</v>
      </c>
      <c r="AX114" s="36">
        <v>11.776490599382761</v>
      </c>
      <c r="AY114" s="36">
        <v>0</v>
      </c>
      <c r="AZ114" s="40">
        <v>9999</v>
      </c>
      <c r="BA114" s="36">
        <v>7.688259727605776</v>
      </c>
      <c r="BB114" s="36">
        <v>7.5419974054817667</v>
      </c>
      <c r="BC114" s="36">
        <v>0</v>
      </c>
      <c r="BD114" s="36">
        <v>0</v>
      </c>
      <c r="BE114" s="36">
        <v>15.230257133087543</v>
      </c>
      <c r="BF114" s="36">
        <v>0</v>
      </c>
      <c r="BG114" s="36">
        <v>-37.001060932280311</v>
      </c>
      <c r="BH114" s="40">
        <v>9999</v>
      </c>
      <c r="BI114" s="36">
        <v>0</v>
      </c>
      <c r="BJ114" s="36">
        <v>0</v>
      </c>
      <c r="BK114" s="36">
        <v>0</v>
      </c>
      <c r="BL114" s="36">
        <v>0</v>
      </c>
      <c r="BM114" s="36">
        <v>0</v>
      </c>
      <c r="BN114" s="36">
        <v>7.688259727605776</v>
      </c>
      <c r="BO114" s="36">
        <v>0</v>
      </c>
      <c r="BP114" s="36">
        <v>7.5419974054817667</v>
      </c>
      <c r="BQ114" s="36">
        <v>0</v>
      </c>
      <c r="BR114" s="36">
        <v>0</v>
      </c>
      <c r="BS114" s="36">
        <v>0</v>
      </c>
      <c r="BT114" s="36">
        <v>0</v>
      </c>
      <c r="BU114" s="36">
        <v>0</v>
      </c>
      <c r="BV114" s="36">
        <v>5.1726561628010961</v>
      </c>
      <c r="BW114" s="36">
        <v>0</v>
      </c>
      <c r="BX114" s="36">
        <v>0</v>
      </c>
      <c r="BY114" s="36">
        <v>0</v>
      </c>
      <c r="BZ114" s="36">
        <v>0</v>
      </c>
      <c r="CA114" s="36">
        <v>0</v>
      </c>
      <c r="CB114" s="36">
        <v>20.402913295888641</v>
      </c>
      <c r="CC114" s="36">
        <v>0</v>
      </c>
      <c r="CD114" s="40">
        <v>9999</v>
      </c>
      <c r="CE114" s="36">
        <v>-62.378126923104922</v>
      </c>
      <c r="CF114" s="36">
        <v>0.14248083724610328</v>
      </c>
      <c r="CG114" s="36">
        <v>0</v>
      </c>
      <c r="CH114" s="36">
        <v>0.14248083724610328</v>
      </c>
      <c r="CI114" s="36">
        <v>7.1241970943854331E-3</v>
      </c>
      <c r="CJ114" s="36">
        <v>0</v>
      </c>
      <c r="CK114" s="36">
        <v>7.1241970943854331E-3</v>
      </c>
      <c r="CL114" s="36"/>
      <c r="CM114" s="36">
        <v>0</v>
      </c>
      <c r="CN114" s="36"/>
      <c r="CO114" s="36">
        <v>0</v>
      </c>
      <c r="CP114" s="36">
        <v>0</v>
      </c>
      <c r="CQ114" s="36">
        <v>0</v>
      </c>
      <c r="CR114" s="36">
        <v>0</v>
      </c>
      <c r="CS114" s="36">
        <v>0</v>
      </c>
      <c r="CT114" s="36">
        <v>0</v>
      </c>
      <c r="CU114" s="36">
        <v>0</v>
      </c>
      <c r="CV114" s="36">
        <v>9999</v>
      </c>
      <c r="CW114" s="40">
        <v>9999</v>
      </c>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row>
    <row r="115" spans="1:131">
      <c r="A115" s="9" t="s">
        <v>1639</v>
      </c>
      <c r="B115" s="9"/>
      <c r="C115" s="36">
        <v>14</v>
      </c>
      <c r="D115" s="36">
        <v>15.202027678061928</v>
      </c>
      <c r="E115" s="36">
        <v>5.5688552175271883E-2</v>
      </c>
      <c r="F115" s="36">
        <v>0</v>
      </c>
      <c r="G115" s="36">
        <v>0</v>
      </c>
      <c r="H115" s="36">
        <v>0</v>
      </c>
      <c r="I115" s="36"/>
      <c r="J115" s="36"/>
      <c r="K115" s="36"/>
      <c r="L115" s="36">
        <v>16.359662309730922</v>
      </c>
      <c r="M115" s="36">
        <v>9.8993773379950703E-3</v>
      </c>
      <c r="N115" s="36">
        <v>9.8279280716816169E-3</v>
      </c>
      <c r="O115" s="36">
        <v>5.6245437593337402E-2</v>
      </c>
      <c r="P115" s="36">
        <v>0</v>
      </c>
      <c r="Q115" s="36">
        <v>0</v>
      </c>
      <c r="R115" s="36">
        <v>0</v>
      </c>
      <c r="S115" s="36">
        <v>0</v>
      </c>
      <c r="T115" s="36">
        <v>0</v>
      </c>
      <c r="U115" s="36">
        <v>0</v>
      </c>
      <c r="V115" s="36">
        <v>0</v>
      </c>
      <c r="W115" s="36">
        <v>0</v>
      </c>
      <c r="X115" s="36">
        <v>0</v>
      </c>
      <c r="Y115" s="36">
        <v>0</v>
      </c>
      <c r="Z115" s="36">
        <v>0</v>
      </c>
      <c r="AA115" s="36">
        <v>0</v>
      </c>
      <c r="AB115" s="36">
        <v>0</v>
      </c>
      <c r="AC115" s="36">
        <v>0</v>
      </c>
      <c r="AD115" s="36">
        <v>0</v>
      </c>
      <c r="AE115" s="36">
        <v>0</v>
      </c>
      <c r="AF115" s="36">
        <v>0</v>
      </c>
      <c r="AG115" s="36">
        <v>0</v>
      </c>
      <c r="AH115" s="36">
        <v>0</v>
      </c>
      <c r="AI115" s="36">
        <v>0</v>
      </c>
      <c r="AJ115" s="36">
        <v>0</v>
      </c>
      <c r="AK115" s="36">
        <v>0</v>
      </c>
      <c r="AL115" s="36">
        <v>0</v>
      </c>
      <c r="AM115" s="36">
        <v>8.3866577499721888</v>
      </c>
      <c r="AN115" s="36">
        <v>3.4979299845185912</v>
      </c>
      <c r="AO115" s="36">
        <v>0</v>
      </c>
      <c r="AP115" s="36">
        <v>0</v>
      </c>
      <c r="AQ115" s="36">
        <v>11.884587734490779</v>
      </c>
      <c r="AR115" s="36">
        <v>0</v>
      </c>
      <c r="AS115" s="40">
        <v>9999</v>
      </c>
      <c r="AT115" s="36">
        <v>8.3866577499721888</v>
      </c>
      <c r="AU115" s="36">
        <v>4.1405072434596866</v>
      </c>
      <c r="AV115" s="36">
        <v>0</v>
      </c>
      <c r="AW115" s="36">
        <v>0</v>
      </c>
      <c r="AX115" s="36">
        <v>12.527164993431875</v>
      </c>
      <c r="AY115" s="36">
        <v>0</v>
      </c>
      <c r="AZ115" s="40">
        <v>9999</v>
      </c>
      <c r="BA115" s="36">
        <v>8.3866577499721888</v>
      </c>
      <c r="BB115" s="36">
        <v>7.6384372279782768</v>
      </c>
      <c r="BC115" s="36">
        <v>0</v>
      </c>
      <c r="BD115" s="36">
        <v>0</v>
      </c>
      <c r="BE115" s="36">
        <v>16.025094977950467</v>
      </c>
      <c r="BF115" s="36">
        <v>0</v>
      </c>
      <c r="BG115" s="36">
        <v>-34.355818009500574</v>
      </c>
      <c r="BH115" s="40">
        <v>9999</v>
      </c>
      <c r="BI115" s="36">
        <v>0</v>
      </c>
      <c r="BJ115" s="36">
        <v>0</v>
      </c>
      <c r="BK115" s="36">
        <v>0</v>
      </c>
      <c r="BL115" s="36">
        <v>0</v>
      </c>
      <c r="BM115" s="36">
        <v>0</v>
      </c>
      <c r="BN115" s="36">
        <v>8.3866577499721888</v>
      </c>
      <c r="BO115" s="36">
        <v>0.41232419651880681</v>
      </c>
      <c r="BP115" s="36">
        <v>7.6384372279782768</v>
      </c>
      <c r="BQ115" s="36">
        <v>0</v>
      </c>
      <c r="BR115" s="36">
        <v>0</v>
      </c>
      <c r="BS115" s="36">
        <v>0</v>
      </c>
      <c r="BT115" s="36">
        <v>0</v>
      </c>
      <c r="BU115" s="36">
        <v>0</v>
      </c>
      <c r="BV115" s="36">
        <v>9.1251666049387374</v>
      </c>
      <c r="BW115" s="36">
        <v>0</v>
      </c>
      <c r="BX115" s="36">
        <v>0</v>
      </c>
      <c r="BY115" s="36">
        <v>0</v>
      </c>
      <c r="BZ115" s="36">
        <v>0</v>
      </c>
      <c r="CA115" s="36">
        <v>0</v>
      </c>
      <c r="CB115" s="36">
        <v>25.56258577940801</v>
      </c>
      <c r="CC115" s="36">
        <v>0</v>
      </c>
      <c r="CD115" s="40">
        <v>9999</v>
      </c>
      <c r="CE115" s="36">
        <v>-77.253113419871809</v>
      </c>
      <c r="CF115" s="36">
        <v>0.15541399045573473</v>
      </c>
      <c r="CG115" s="36">
        <v>6.5807161984204748E-3</v>
      </c>
      <c r="CH115" s="36">
        <v>0.16199470665415522</v>
      </c>
      <c r="CI115" s="36">
        <v>7.7708395971221866E-3</v>
      </c>
      <c r="CJ115" s="36">
        <v>3.2903580992102384E-4</v>
      </c>
      <c r="CK115" s="36">
        <v>8.0998754070432111E-3</v>
      </c>
      <c r="CL115" s="36"/>
      <c r="CM115" s="36">
        <v>5.6245437593337402E-2</v>
      </c>
      <c r="CN115" s="36"/>
      <c r="CO115" s="36">
        <v>0</v>
      </c>
      <c r="CP115" s="36">
        <v>0</v>
      </c>
      <c r="CQ115" s="36">
        <v>0.41232419651880681</v>
      </c>
      <c r="CR115" s="36">
        <v>0</v>
      </c>
      <c r="CS115" s="36">
        <v>0</v>
      </c>
      <c r="CT115" s="36">
        <v>0.41232419651880681</v>
      </c>
      <c r="CU115" s="36">
        <v>0</v>
      </c>
      <c r="CV115" s="36">
        <v>0</v>
      </c>
      <c r="CW115" s="40">
        <v>9999</v>
      </c>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row>
    <row r="116" spans="1:131">
      <c r="A116" s="9" t="s">
        <v>1640</v>
      </c>
      <c r="B116" s="9"/>
      <c r="C116" s="36">
        <v>14</v>
      </c>
      <c r="D116" s="36">
        <v>15.207042392665457</v>
      </c>
      <c r="E116" s="36">
        <v>5.5455382822598334E-2</v>
      </c>
      <c r="F116" s="36">
        <v>0</v>
      </c>
      <c r="G116" s="36">
        <v>0</v>
      </c>
      <c r="H116" s="36">
        <v>0</v>
      </c>
      <c r="I116" s="36"/>
      <c r="J116" s="36"/>
      <c r="K116" s="36"/>
      <c r="L116" s="36">
        <v>16.365081135408719</v>
      </c>
      <c r="M116" s="36">
        <v>9.907237014229936E-3</v>
      </c>
      <c r="N116" s="36">
        <v>9.8357310202980396E-3</v>
      </c>
      <c r="O116" s="36">
        <v>5.6009936547039015E-2</v>
      </c>
      <c r="P116" s="36">
        <v>0</v>
      </c>
      <c r="Q116" s="36">
        <v>0</v>
      </c>
      <c r="R116" s="36">
        <v>0</v>
      </c>
      <c r="S116" s="36">
        <v>0</v>
      </c>
      <c r="T116" s="36">
        <v>0</v>
      </c>
      <c r="U116" s="36">
        <v>0</v>
      </c>
      <c r="V116" s="36">
        <v>0</v>
      </c>
      <c r="W116" s="36">
        <v>0</v>
      </c>
      <c r="X116" s="36">
        <v>0</v>
      </c>
      <c r="Y116" s="36">
        <v>0</v>
      </c>
      <c r="Z116" s="36">
        <v>0</v>
      </c>
      <c r="AA116" s="36">
        <v>0</v>
      </c>
      <c r="AB116" s="36">
        <v>0</v>
      </c>
      <c r="AC116" s="36">
        <v>0</v>
      </c>
      <c r="AD116" s="36">
        <v>0</v>
      </c>
      <c r="AE116" s="36">
        <v>0</v>
      </c>
      <c r="AF116" s="36">
        <v>0</v>
      </c>
      <c r="AG116" s="36">
        <v>0</v>
      </c>
      <c r="AH116" s="36">
        <v>0</v>
      </c>
      <c r="AI116" s="36">
        <v>0</v>
      </c>
      <c r="AJ116" s="36">
        <v>0</v>
      </c>
      <c r="AK116" s="36">
        <v>0</v>
      </c>
      <c r="AL116" s="36">
        <v>0</v>
      </c>
      <c r="AM116" s="36">
        <v>8.3894319569183047</v>
      </c>
      <c r="AN116" s="36">
        <v>3.50070718920853</v>
      </c>
      <c r="AO116" s="36">
        <v>0</v>
      </c>
      <c r="AP116" s="36">
        <v>0</v>
      </c>
      <c r="AQ116" s="36">
        <v>11.890139146126835</v>
      </c>
      <c r="AR116" s="36">
        <v>0</v>
      </c>
      <c r="AS116" s="40">
        <v>9999</v>
      </c>
      <c r="AT116" s="36">
        <v>8.3894319569183047</v>
      </c>
      <c r="AU116" s="36">
        <v>4.1437946266223413</v>
      </c>
      <c r="AV116" s="36">
        <v>0</v>
      </c>
      <c r="AW116" s="36">
        <v>0</v>
      </c>
      <c r="AX116" s="36">
        <v>12.533226583540646</v>
      </c>
      <c r="AY116" s="36">
        <v>0</v>
      </c>
      <c r="AZ116" s="40">
        <v>9999</v>
      </c>
      <c r="BA116" s="36">
        <v>8.3894319569183047</v>
      </c>
      <c r="BB116" s="36">
        <v>7.6445018158308722</v>
      </c>
      <c r="BC116" s="36">
        <v>0</v>
      </c>
      <c r="BD116" s="36">
        <v>0</v>
      </c>
      <c r="BE116" s="36">
        <v>16.033933772749176</v>
      </c>
      <c r="BF116" s="36">
        <v>0</v>
      </c>
      <c r="BG116" s="36">
        <v>-34.371710066390001</v>
      </c>
      <c r="BH116" s="40">
        <v>9999</v>
      </c>
      <c r="BI116" s="36">
        <v>0</v>
      </c>
      <c r="BJ116" s="36">
        <v>0</v>
      </c>
      <c r="BK116" s="36">
        <v>0</v>
      </c>
      <c r="BL116" s="36">
        <v>0</v>
      </c>
      <c r="BM116" s="36">
        <v>0</v>
      </c>
      <c r="BN116" s="36">
        <v>8.3894319569183047</v>
      </c>
      <c r="BO116" s="36">
        <v>0.41061128413286685</v>
      </c>
      <c r="BP116" s="36">
        <v>7.6445018158308722</v>
      </c>
      <c r="BQ116" s="36">
        <v>0</v>
      </c>
      <c r="BR116" s="36">
        <v>0</v>
      </c>
      <c r="BS116" s="36">
        <v>0</v>
      </c>
      <c r="BT116" s="36">
        <v>0</v>
      </c>
      <c r="BU116" s="36">
        <v>0</v>
      </c>
      <c r="BV116" s="36">
        <v>9.1608551868090409</v>
      </c>
      <c r="BW116" s="36">
        <v>0</v>
      </c>
      <c r="BX116" s="36">
        <v>0</v>
      </c>
      <c r="BY116" s="36">
        <v>0</v>
      </c>
      <c r="BZ116" s="36">
        <v>0</v>
      </c>
      <c r="CA116" s="36">
        <v>0</v>
      </c>
      <c r="CB116" s="36">
        <v>25.605400243691083</v>
      </c>
      <c r="CC116" s="36">
        <v>0</v>
      </c>
      <c r="CD116" s="40">
        <v>9999</v>
      </c>
      <c r="CE116" s="36">
        <v>-77.407564903665772</v>
      </c>
      <c r="CF116" s="36">
        <v>0.15546546486270477</v>
      </c>
      <c r="CG116" s="36">
        <v>6.553162576003563E-3</v>
      </c>
      <c r="CH116" s="36">
        <v>0.16201862743870832</v>
      </c>
      <c r="CI116" s="36">
        <v>7.7734135393191404E-3</v>
      </c>
      <c r="CJ116" s="36">
        <v>3.2765812880017825E-4</v>
      </c>
      <c r="CK116" s="36">
        <v>8.1010716681193182E-3</v>
      </c>
      <c r="CL116" s="36"/>
      <c r="CM116" s="36">
        <v>5.6009936547039015E-2</v>
      </c>
      <c r="CN116" s="36"/>
      <c r="CO116" s="36">
        <v>0</v>
      </c>
      <c r="CP116" s="36">
        <v>0</v>
      </c>
      <c r="CQ116" s="36">
        <v>0.41061128413286685</v>
      </c>
      <c r="CR116" s="36">
        <v>0</v>
      </c>
      <c r="CS116" s="36">
        <v>0</v>
      </c>
      <c r="CT116" s="36">
        <v>0.41061128413286685</v>
      </c>
      <c r="CU116" s="36">
        <v>0</v>
      </c>
      <c r="CV116" s="36">
        <v>0</v>
      </c>
      <c r="CW116" s="40">
        <v>9999</v>
      </c>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row>
    <row r="117" spans="1:131">
      <c r="A117" s="9" t="s">
        <v>1641</v>
      </c>
      <c r="B117" s="9"/>
      <c r="C117" s="36">
        <v>14</v>
      </c>
      <c r="D117" s="36">
        <v>15.202027678061928</v>
      </c>
      <c r="E117" s="36">
        <v>5.5688552175271883E-2</v>
      </c>
      <c r="F117" s="36">
        <v>0</v>
      </c>
      <c r="G117" s="36">
        <v>0</v>
      </c>
      <c r="H117" s="36">
        <v>0</v>
      </c>
      <c r="I117" s="36"/>
      <c r="J117" s="36"/>
      <c r="K117" s="36"/>
      <c r="L117" s="36">
        <v>16.359662309730922</v>
      </c>
      <c r="M117" s="36">
        <v>9.8993773379950703E-3</v>
      </c>
      <c r="N117" s="36">
        <v>9.8279280716816169E-3</v>
      </c>
      <c r="O117" s="36">
        <v>5.6245437593337402E-2</v>
      </c>
      <c r="P117" s="36">
        <v>0</v>
      </c>
      <c r="Q117" s="36">
        <v>0</v>
      </c>
      <c r="R117" s="36">
        <v>0</v>
      </c>
      <c r="S117" s="36">
        <v>0</v>
      </c>
      <c r="T117" s="36">
        <v>0</v>
      </c>
      <c r="U117" s="36">
        <v>0</v>
      </c>
      <c r="V117" s="36">
        <v>0</v>
      </c>
      <c r="W117" s="36">
        <v>0</v>
      </c>
      <c r="X117" s="36">
        <v>0</v>
      </c>
      <c r="Y117" s="36">
        <v>0</v>
      </c>
      <c r="Z117" s="36">
        <v>0</v>
      </c>
      <c r="AA117" s="36">
        <v>0</v>
      </c>
      <c r="AB117" s="36">
        <v>0</v>
      </c>
      <c r="AC117" s="36">
        <v>0</v>
      </c>
      <c r="AD117" s="36">
        <v>0</v>
      </c>
      <c r="AE117" s="36">
        <v>0</v>
      </c>
      <c r="AF117" s="36">
        <v>0</v>
      </c>
      <c r="AG117" s="36">
        <v>0</v>
      </c>
      <c r="AH117" s="36">
        <v>0</v>
      </c>
      <c r="AI117" s="36">
        <v>0</v>
      </c>
      <c r="AJ117" s="36">
        <v>0</v>
      </c>
      <c r="AK117" s="36">
        <v>0</v>
      </c>
      <c r="AL117" s="36">
        <v>0</v>
      </c>
      <c r="AM117" s="36">
        <v>8.3866577499721888</v>
      </c>
      <c r="AN117" s="36">
        <v>3.4979299845185912</v>
      </c>
      <c r="AO117" s="36">
        <v>0</v>
      </c>
      <c r="AP117" s="36">
        <v>0</v>
      </c>
      <c r="AQ117" s="36">
        <v>11.884587734490779</v>
      </c>
      <c r="AR117" s="36">
        <v>0</v>
      </c>
      <c r="AS117" s="40">
        <v>9999</v>
      </c>
      <c r="AT117" s="36">
        <v>8.3866577499721888</v>
      </c>
      <c r="AU117" s="36">
        <v>4.1405072434596866</v>
      </c>
      <c r="AV117" s="36">
        <v>0</v>
      </c>
      <c r="AW117" s="36">
        <v>0</v>
      </c>
      <c r="AX117" s="36">
        <v>12.527164993431875</v>
      </c>
      <c r="AY117" s="36">
        <v>0</v>
      </c>
      <c r="AZ117" s="40">
        <v>9999</v>
      </c>
      <c r="BA117" s="36">
        <v>8.3866577499721888</v>
      </c>
      <c r="BB117" s="36">
        <v>7.6384372279782768</v>
      </c>
      <c r="BC117" s="36">
        <v>0</v>
      </c>
      <c r="BD117" s="36">
        <v>0</v>
      </c>
      <c r="BE117" s="36">
        <v>16.025094977950467</v>
      </c>
      <c r="BF117" s="36">
        <v>0</v>
      </c>
      <c r="BG117" s="36">
        <v>-34.355818009500574</v>
      </c>
      <c r="BH117" s="40">
        <v>9999</v>
      </c>
      <c r="BI117" s="36">
        <v>0</v>
      </c>
      <c r="BJ117" s="36">
        <v>0</v>
      </c>
      <c r="BK117" s="36">
        <v>0</v>
      </c>
      <c r="BL117" s="36">
        <v>0</v>
      </c>
      <c r="BM117" s="36">
        <v>0</v>
      </c>
      <c r="BN117" s="36">
        <v>8.3866577499721888</v>
      </c>
      <c r="BO117" s="36">
        <v>0.41232419651880681</v>
      </c>
      <c r="BP117" s="36">
        <v>7.6384372279782768</v>
      </c>
      <c r="BQ117" s="36">
        <v>0</v>
      </c>
      <c r="BR117" s="36">
        <v>0</v>
      </c>
      <c r="BS117" s="36">
        <v>0</v>
      </c>
      <c r="BT117" s="36">
        <v>0</v>
      </c>
      <c r="BU117" s="36">
        <v>0</v>
      </c>
      <c r="BV117" s="36">
        <v>9.1251666049387374</v>
      </c>
      <c r="BW117" s="36">
        <v>0</v>
      </c>
      <c r="BX117" s="36">
        <v>0</v>
      </c>
      <c r="BY117" s="36">
        <v>0</v>
      </c>
      <c r="BZ117" s="36">
        <v>0</v>
      </c>
      <c r="CA117" s="36">
        <v>0</v>
      </c>
      <c r="CB117" s="36">
        <v>25.56258577940801</v>
      </c>
      <c r="CC117" s="36">
        <v>0</v>
      </c>
      <c r="CD117" s="40">
        <v>9999</v>
      </c>
      <c r="CE117" s="36">
        <v>-77.253113419871809</v>
      </c>
      <c r="CF117" s="36">
        <v>0.15541399045573473</v>
      </c>
      <c r="CG117" s="36">
        <v>6.5807161984204748E-3</v>
      </c>
      <c r="CH117" s="36">
        <v>0.16199470665415522</v>
      </c>
      <c r="CI117" s="36">
        <v>7.7708395971221866E-3</v>
      </c>
      <c r="CJ117" s="36">
        <v>3.2903580992102384E-4</v>
      </c>
      <c r="CK117" s="36">
        <v>8.0998754070432111E-3</v>
      </c>
      <c r="CL117" s="36"/>
      <c r="CM117" s="36">
        <v>5.6245437593337402E-2</v>
      </c>
      <c r="CN117" s="36"/>
      <c r="CO117" s="36">
        <v>0</v>
      </c>
      <c r="CP117" s="36">
        <v>0</v>
      </c>
      <c r="CQ117" s="36">
        <v>0.41232419651880681</v>
      </c>
      <c r="CR117" s="36">
        <v>0</v>
      </c>
      <c r="CS117" s="36">
        <v>0</v>
      </c>
      <c r="CT117" s="36">
        <v>0.41232419651880681</v>
      </c>
      <c r="CU117" s="36">
        <v>0</v>
      </c>
      <c r="CV117" s="36">
        <v>0</v>
      </c>
      <c r="CW117" s="40">
        <v>9999</v>
      </c>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row>
    <row r="118" spans="1:131">
      <c r="A118" s="9" t="s">
        <v>1642</v>
      </c>
      <c r="B118" s="9"/>
      <c r="C118" s="36">
        <v>13.999999999999998</v>
      </c>
      <c r="D118" s="36">
        <v>29.515830786018352</v>
      </c>
      <c r="E118" s="36">
        <v>4.2560361622744333E-2</v>
      </c>
      <c r="F118" s="36">
        <v>54.906335711206673</v>
      </c>
      <c r="G118" s="36">
        <v>0</v>
      </c>
      <c r="H118" s="36">
        <v>0</v>
      </c>
      <c r="I118" s="36"/>
      <c r="J118" s="36"/>
      <c r="K118" s="36"/>
      <c r="L118" s="36">
        <v>31.749218306330086</v>
      </c>
      <c r="M118" s="36">
        <v>1.6266486882292062E-2</v>
      </c>
      <c r="N118" s="36">
        <v>1.6149082674577261E-2</v>
      </c>
      <c r="O118" s="36">
        <v>4.298596507883657E-2</v>
      </c>
      <c r="P118" s="36">
        <v>0</v>
      </c>
      <c r="Q118" s="36">
        <v>0</v>
      </c>
      <c r="R118" s="36">
        <v>10.949056807219478</v>
      </c>
      <c r="S118" s="36">
        <v>25.301604939344664</v>
      </c>
      <c r="T118" s="36">
        <v>0</v>
      </c>
      <c r="U118" s="36">
        <v>35.583157132111566</v>
      </c>
      <c r="V118" s="36">
        <v>3.2943801426724004</v>
      </c>
      <c r="W118" s="36">
        <v>7.6868869995689337</v>
      </c>
      <c r="X118" s="36">
        <v>0</v>
      </c>
      <c r="Y118" s="36">
        <v>0</v>
      </c>
      <c r="Z118" s="36">
        <v>0</v>
      </c>
      <c r="AA118" s="36">
        <v>0</v>
      </c>
      <c r="AB118" s="36">
        <v>0</v>
      </c>
      <c r="AC118" s="36">
        <v>0</v>
      </c>
      <c r="AD118" s="36">
        <v>0</v>
      </c>
      <c r="AE118" s="36">
        <v>0</v>
      </c>
      <c r="AF118" s="36">
        <v>0</v>
      </c>
      <c r="AG118" s="36">
        <v>0</v>
      </c>
      <c r="AH118" s="36">
        <v>14.243436949891878</v>
      </c>
      <c r="AI118" s="36">
        <v>32.988491938913597</v>
      </c>
      <c r="AJ118" s="36">
        <v>0</v>
      </c>
      <c r="AK118" s="36">
        <v>35.583157132111566</v>
      </c>
      <c r="AL118" s="36">
        <v>82.81508602091705</v>
      </c>
      <c r="AM118" s="36">
        <v>16.282304108442702</v>
      </c>
      <c r="AN118" s="36">
        <v>5.7477384956286128</v>
      </c>
      <c r="AO118" s="36">
        <v>0</v>
      </c>
      <c r="AP118" s="36">
        <v>0</v>
      </c>
      <c r="AQ118" s="36">
        <v>22.030042604071316</v>
      </c>
      <c r="AR118" s="36">
        <v>14.243436949891878</v>
      </c>
      <c r="AS118" s="40">
        <v>1.5466802487048987</v>
      </c>
      <c r="AT118" s="36">
        <v>16.282304108442702</v>
      </c>
      <c r="AU118" s="36">
        <v>6.8036104153004233</v>
      </c>
      <c r="AV118" s="36">
        <v>0</v>
      </c>
      <c r="AW118" s="36">
        <v>0</v>
      </c>
      <c r="AX118" s="36">
        <v>23.085914523743124</v>
      </c>
      <c r="AY118" s="36">
        <v>32.988491938913597</v>
      </c>
      <c r="AZ118" s="781">
        <v>0.69981721403004538</v>
      </c>
      <c r="BA118" s="36">
        <v>16.282304108442702</v>
      </c>
      <c r="BB118" s="36">
        <v>12.551348910929036</v>
      </c>
      <c r="BC118" s="36">
        <v>0</v>
      </c>
      <c r="BD118" s="36">
        <v>0</v>
      </c>
      <c r="BE118" s="36">
        <v>28.833653019371738</v>
      </c>
      <c r="BF118" s="36">
        <v>47.231928888805477</v>
      </c>
      <c r="BG118" s="36">
        <v>80.375452162718759</v>
      </c>
      <c r="BH118" s="781">
        <v>0.6104695213115815</v>
      </c>
      <c r="BI118" s="36">
        <v>33.010482694610204</v>
      </c>
      <c r="BJ118" s="36">
        <v>76.453881608895102</v>
      </c>
      <c r="BK118" s="36">
        <v>0</v>
      </c>
      <c r="BL118" s="36">
        <v>82.46725820891713</v>
      </c>
      <c r="BM118" s="36">
        <v>191.93162251242245</v>
      </c>
      <c r="BN118" s="36">
        <v>16.282304108442702</v>
      </c>
      <c r="BO118" s="36">
        <v>0.31717327030890252</v>
      </c>
      <c r="BP118" s="36">
        <v>12.551348910929036</v>
      </c>
      <c r="BQ118" s="36">
        <v>0</v>
      </c>
      <c r="BR118" s="36">
        <v>0</v>
      </c>
      <c r="BS118" s="36">
        <v>0</v>
      </c>
      <c r="BT118" s="36">
        <v>0</v>
      </c>
      <c r="BU118" s="36">
        <v>0</v>
      </c>
      <c r="BV118" s="36">
        <v>110.71078339589073</v>
      </c>
      <c r="BW118" s="36">
        <v>0</v>
      </c>
      <c r="BX118" s="36">
        <v>71.833818878675714</v>
      </c>
      <c r="BY118" s="36">
        <v>10.981267142241336</v>
      </c>
      <c r="BZ118" s="36">
        <v>0</v>
      </c>
      <c r="CA118" s="36">
        <v>0</v>
      </c>
      <c r="CB118" s="36">
        <v>139.86160968557135</v>
      </c>
      <c r="CC118" s="36">
        <v>82.81508602091705</v>
      </c>
      <c r="CD118" s="40">
        <v>1.6888421712228343</v>
      </c>
      <c r="CE118" s="36">
        <v>-94.474849641527626</v>
      </c>
      <c r="CF118" s="36">
        <v>0.30161432431341406</v>
      </c>
      <c r="CG118" s="36">
        <v>5.029357914223884E-3</v>
      </c>
      <c r="CH118" s="36">
        <v>0.30664368222763794</v>
      </c>
      <c r="CI118" s="36">
        <v>1.5080878695506792E-2</v>
      </c>
      <c r="CJ118" s="36">
        <v>2.5146789571119392E-4</v>
      </c>
      <c r="CK118" s="36">
        <v>1.5332346591217986E-2</v>
      </c>
      <c r="CL118" s="36"/>
      <c r="CM118" s="36">
        <v>4.298596507883657E-2</v>
      </c>
      <c r="CN118" s="36"/>
      <c r="CO118" s="36">
        <v>0</v>
      </c>
      <c r="CP118" s="36">
        <v>0</v>
      </c>
      <c r="CQ118" s="36">
        <v>0.31717327030890252</v>
      </c>
      <c r="CR118" s="36">
        <v>0</v>
      </c>
      <c r="CS118" s="36">
        <v>0</v>
      </c>
      <c r="CT118" s="36">
        <v>0.31717327030890252</v>
      </c>
      <c r="CU118" s="36">
        <v>0</v>
      </c>
      <c r="CV118" s="36">
        <v>0</v>
      </c>
      <c r="CW118" s="40">
        <v>9999</v>
      </c>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row>
    <row r="119" spans="1:131">
      <c r="A119" s="9" t="s">
        <v>1643</v>
      </c>
      <c r="B119" s="9"/>
      <c r="C119" s="36">
        <v>13.999999999999998</v>
      </c>
      <c r="D119" s="36">
        <v>29.246498857914688</v>
      </c>
      <c r="E119" s="36">
        <v>0.23415571118241105</v>
      </c>
      <c r="F119" s="36">
        <v>54.906335711206673</v>
      </c>
      <c r="G119" s="36">
        <v>0</v>
      </c>
      <c r="H119" s="36">
        <v>0</v>
      </c>
      <c r="I119" s="36"/>
      <c r="J119" s="36"/>
      <c r="K119" s="36"/>
      <c r="L119" s="36">
        <v>31.45855370122467</v>
      </c>
      <c r="M119" s="36">
        <v>1.5921079911198444E-2</v>
      </c>
      <c r="N119" s="36">
        <v>1.5806168696105457E-2</v>
      </c>
      <c r="O119" s="36">
        <v>0.23649726813830182</v>
      </c>
      <c r="P119" s="36">
        <v>0</v>
      </c>
      <c r="Q119" s="36">
        <v>0</v>
      </c>
      <c r="R119" s="36">
        <v>10.949056807219478</v>
      </c>
      <c r="S119" s="36">
        <v>25.301604939344664</v>
      </c>
      <c r="T119" s="36">
        <v>0</v>
      </c>
      <c r="U119" s="36">
        <v>35.583157132111566</v>
      </c>
      <c r="V119" s="36">
        <v>3.2943801426724004</v>
      </c>
      <c r="W119" s="36">
        <v>7.6868869995689337</v>
      </c>
      <c r="X119" s="36">
        <v>0</v>
      </c>
      <c r="Y119" s="36">
        <v>0</v>
      </c>
      <c r="Z119" s="36">
        <v>0</v>
      </c>
      <c r="AA119" s="36">
        <v>0</v>
      </c>
      <c r="AB119" s="36">
        <v>0</v>
      </c>
      <c r="AC119" s="36">
        <v>0</v>
      </c>
      <c r="AD119" s="36">
        <v>0</v>
      </c>
      <c r="AE119" s="36">
        <v>0</v>
      </c>
      <c r="AF119" s="36">
        <v>0</v>
      </c>
      <c r="AG119" s="36">
        <v>0</v>
      </c>
      <c r="AH119" s="36">
        <v>14.243436949891878</v>
      </c>
      <c r="AI119" s="36">
        <v>32.988491938913597</v>
      </c>
      <c r="AJ119" s="36">
        <v>0</v>
      </c>
      <c r="AK119" s="36">
        <v>35.583157132111566</v>
      </c>
      <c r="AL119" s="36">
        <v>82.81508602091705</v>
      </c>
      <c r="AM119" s="36">
        <v>16.133436797803942</v>
      </c>
      <c r="AN119" s="36">
        <v>5.6256894656948946</v>
      </c>
      <c r="AO119" s="36">
        <v>0</v>
      </c>
      <c r="AP119" s="36">
        <v>0</v>
      </c>
      <c r="AQ119" s="36">
        <v>21.759126263498835</v>
      </c>
      <c r="AR119" s="36">
        <v>14.243436949891878</v>
      </c>
      <c r="AS119" s="40">
        <v>1.5276598155379912</v>
      </c>
      <c r="AT119" s="36">
        <v>16.133436797803942</v>
      </c>
      <c r="AU119" s="36">
        <v>6.6591407161542513</v>
      </c>
      <c r="AV119" s="36">
        <v>0</v>
      </c>
      <c r="AW119" s="36">
        <v>0</v>
      </c>
      <c r="AX119" s="36">
        <v>22.792577513958193</v>
      </c>
      <c r="AY119" s="36">
        <v>32.988491938913597</v>
      </c>
      <c r="AZ119" s="781">
        <v>0.69092511279886093</v>
      </c>
      <c r="BA119" s="36">
        <v>16.133436797803942</v>
      </c>
      <c r="BB119" s="36">
        <v>12.284830181849147</v>
      </c>
      <c r="BC119" s="36">
        <v>0</v>
      </c>
      <c r="BD119" s="36">
        <v>0</v>
      </c>
      <c r="BE119" s="36">
        <v>28.418266979653087</v>
      </c>
      <c r="BF119" s="36">
        <v>47.231928888805477</v>
      </c>
      <c r="BG119" s="36">
        <v>81.741478524014369</v>
      </c>
      <c r="BH119" s="781">
        <v>0.60167491881511004</v>
      </c>
      <c r="BI119" s="36">
        <v>33.315486510357609</v>
      </c>
      <c r="BJ119" s="36">
        <v>77.160285263611144</v>
      </c>
      <c r="BK119" s="36">
        <v>0</v>
      </c>
      <c r="BL119" s="36">
        <v>83.229223087184508</v>
      </c>
      <c r="BM119" s="36">
        <v>193.70499486115327</v>
      </c>
      <c r="BN119" s="36">
        <v>16.133436797803942</v>
      </c>
      <c r="BO119" s="36">
        <v>1.7266120283464403</v>
      </c>
      <c r="BP119" s="36">
        <v>12.284830181849147</v>
      </c>
      <c r="BQ119" s="36">
        <v>0</v>
      </c>
      <c r="BR119" s="36">
        <v>0</v>
      </c>
      <c r="BS119" s="36">
        <v>0</v>
      </c>
      <c r="BT119" s="36">
        <v>0</v>
      </c>
      <c r="BU119" s="36">
        <v>0</v>
      </c>
      <c r="BV119" s="36">
        <v>106.06234560728173</v>
      </c>
      <c r="BW119" s="36">
        <v>0</v>
      </c>
      <c r="BX119" s="36">
        <v>71.833818878675714</v>
      </c>
      <c r="BY119" s="36">
        <v>10.981267142241336</v>
      </c>
      <c r="BZ119" s="36">
        <v>0</v>
      </c>
      <c r="CA119" s="36">
        <v>0</v>
      </c>
      <c r="CB119" s="36">
        <v>136.20722461528126</v>
      </c>
      <c r="CC119" s="36">
        <v>82.81508602091705</v>
      </c>
      <c r="CD119" s="40">
        <v>1.6447151257064283</v>
      </c>
      <c r="CE119" s="36">
        <v>-87.148332348686608</v>
      </c>
      <c r="CF119" s="36">
        <v>0.29885319016184947</v>
      </c>
      <c r="CG119" s="36">
        <v>2.767018037218133E-2</v>
      </c>
      <c r="CH119" s="36">
        <v>0.3265233705340308</v>
      </c>
      <c r="CI119" s="36">
        <v>1.4942813008081719E-2</v>
      </c>
      <c r="CJ119" s="36">
        <v>1.3835090186090657E-3</v>
      </c>
      <c r="CK119" s="36">
        <v>1.6326322026690786E-2</v>
      </c>
      <c r="CL119" s="36"/>
      <c r="CM119" s="36">
        <v>0.23649726813830182</v>
      </c>
      <c r="CN119" s="36"/>
      <c r="CO119" s="36">
        <v>0</v>
      </c>
      <c r="CP119" s="36">
        <v>0</v>
      </c>
      <c r="CQ119" s="36">
        <v>1.7266120283464403</v>
      </c>
      <c r="CR119" s="36">
        <v>0</v>
      </c>
      <c r="CS119" s="36">
        <v>0</v>
      </c>
      <c r="CT119" s="36">
        <v>1.7266120283464403</v>
      </c>
      <c r="CU119" s="36">
        <v>0</v>
      </c>
      <c r="CV119" s="36">
        <v>0</v>
      </c>
      <c r="CW119" s="40">
        <v>9999</v>
      </c>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row>
    <row r="120" spans="1:131">
      <c r="A120" s="9" t="s">
        <v>1644</v>
      </c>
      <c r="B120" s="9"/>
      <c r="C120" s="36">
        <v>13.999999999999998</v>
      </c>
      <c r="D120" s="36">
        <v>29.220583093903695</v>
      </c>
      <c r="E120" s="36">
        <v>0.23535552657476738</v>
      </c>
      <c r="F120" s="36">
        <v>54.906335711206673</v>
      </c>
      <c r="G120" s="36">
        <v>0</v>
      </c>
      <c r="H120" s="36">
        <v>0</v>
      </c>
      <c r="I120" s="36"/>
      <c r="J120" s="36"/>
      <c r="K120" s="36"/>
      <c r="L120" s="36">
        <v>31.430585206391111</v>
      </c>
      <c r="M120" s="36">
        <v>1.58878338034051E-2</v>
      </c>
      <c r="N120" s="36">
        <v>1.5773162543809161E-2</v>
      </c>
      <c r="O120" s="36">
        <v>0.23770908168498617</v>
      </c>
      <c r="P120" s="36">
        <v>0</v>
      </c>
      <c r="Q120" s="36">
        <v>0</v>
      </c>
      <c r="R120" s="36">
        <v>10.949056807219478</v>
      </c>
      <c r="S120" s="36">
        <v>25.301604939344664</v>
      </c>
      <c r="T120" s="36">
        <v>0</v>
      </c>
      <c r="U120" s="36">
        <v>35.583157132111566</v>
      </c>
      <c r="V120" s="36">
        <v>3.2943801426724004</v>
      </c>
      <c r="W120" s="36">
        <v>7.6868869995689337</v>
      </c>
      <c r="X120" s="36">
        <v>0</v>
      </c>
      <c r="Y120" s="36">
        <v>0</v>
      </c>
      <c r="Z120" s="36">
        <v>0</v>
      </c>
      <c r="AA120" s="36">
        <v>0</v>
      </c>
      <c r="AB120" s="36">
        <v>0</v>
      </c>
      <c r="AC120" s="36">
        <v>0</v>
      </c>
      <c r="AD120" s="36">
        <v>0</v>
      </c>
      <c r="AE120" s="36">
        <v>0</v>
      </c>
      <c r="AF120" s="36">
        <v>0</v>
      </c>
      <c r="AG120" s="36">
        <v>0</v>
      </c>
      <c r="AH120" s="36">
        <v>14.243436949891878</v>
      </c>
      <c r="AI120" s="36">
        <v>32.988491938913597</v>
      </c>
      <c r="AJ120" s="36">
        <v>0</v>
      </c>
      <c r="AK120" s="36">
        <v>35.583157132111566</v>
      </c>
      <c r="AL120" s="36">
        <v>82.81508602091705</v>
      </c>
      <c r="AM120" s="36">
        <v>16.119112410761957</v>
      </c>
      <c r="AN120" s="36">
        <v>5.6139420038749961</v>
      </c>
      <c r="AO120" s="36">
        <v>0</v>
      </c>
      <c r="AP120" s="36">
        <v>0</v>
      </c>
      <c r="AQ120" s="36">
        <v>21.733054414636953</v>
      </c>
      <c r="AR120" s="36">
        <v>14.243436949891878</v>
      </c>
      <c r="AS120" s="40">
        <v>1.5258293690696563</v>
      </c>
      <c r="AT120" s="36">
        <v>16.119112410761957</v>
      </c>
      <c r="AU120" s="36">
        <v>6.6452352203402008</v>
      </c>
      <c r="AV120" s="36">
        <v>0</v>
      </c>
      <c r="AW120" s="36">
        <v>0</v>
      </c>
      <c r="AX120" s="36">
        <v>22.764347631102158</v>
      </c>
      <c r="AY120" s="36">
        <v>32.988491938913597</v>
      </c>
      <c r="AZ120" s="781">
        <v>0.69006936337847791</v>
      </c>
      <c r="BA120" s="36">
        <v>16.119112410761957</v>
      </c>
      <c r="BB120" s="36">
        <v>12.259177224215197</v>
      </c>
      <c r="BC120" s="36">
        <v>0</v>
      </c>
      <c r="BD120" s="36">
        <v>0</v>
      </c>
      <c r="BE120" s="36">
        <v>28.378289634977154</v>
      </c>
      <c r="BF120" s="36">
        <v>47.231928888805477</v>
      </c>
      <c r="BG120" s="36">
        <v>81.874271967604116</v>
      </c>
      <c r="BH120" s="781">
        <v>0.60082851373243706</v>
      </c>
      <c r="BI120" s="36">
        <v>33.345132283932102</v>
      </c>
      <c r="BJ120" s="36">
        <v>77.228946315436303</v>
      </c>
      <c r="BK120" s="36">
        <v>0</v>
      </c>
      <c r="BL120" s="36">
        <v>83.303284581128352</v>
      </c>
      <c r="BM120" s="36">
        <v>193.87736318049679</v>
      </c>
      <c r="BN120" s="36">
        <v>16.119112410761957</v>
      </c>
      <c r="BO120" s="36">
        <v>1.7354286763486189</v>
      </c>
      <c r="BP120" s="36">
        <v>12.259177224215197</v>
      </c>
      <c r="BQ120" s="36">
        <v>0</v>
      </c>
      <c r="BR120" s="36">
        <v>0</v>
      </c>
      <c r="BS120" s="36">
        <v>0</v>
      </c>
      <c r="BT120" s="36">
        <v>0</v>
      </c>
      <c r="BU120" s="36">
        <v>0</v>
      </c>
      <c r="BV120" s="36">
        <v>105.64915113718311</v>
      </c>
      <c r="BW120" s="36">
        <v>0</v>
      </c>
      <c r="BX120" s="36">
        <v>71.833818878675714</v>
      </c>
      <c r="BY120" s="36">
        <v>10.981267142241336</v>
      </c>
      <c r="BZ120" s="36">
        <v>0</v>
      </c>
      <c r="CA120" s="36">
        <v>0</v>
      </c>
      <c r="CB120" s="36">
        <v>135.76286944850889</v>
      </c>
      <c r="CC120" s="36">
        <v>82.81508602091705</v>
      </c>
      <c r="CD120" s="40">
        <v>1.6393494950209742</v>
      </c>
      <c r="CE120" s="36">
        <v>-86.219141575020686</v>
      </c>
      <c r="CF120" s="36">
        <v>0.29858750674999979</v>
      </c>
      <c r="CG120" s="36">
        <v>2.7811962557143344E-2</v>
      </c>
      <c r="CH120" s="36">
        <v>0.32639946930714314</v>
      </c>
      <c r="CI120" s="36">
        <v>1.492952797303578E-2</v>
      </c>
      <c r="CJ120" s="36">
        <v>1.3905981278571691E-3</v>
      </c>
      <c r="CK120" s="36">
        <v>1.6320126100892951E-2</v>
      </c>
      <c r="CL120" s="36"/>
      <c r="CM120" s="36">
        <v>0.23770908168498617</v>
      </c>
      <c r="CN120" s="36"/>
      <c r="CO120" s="36">
        <v>0</v>
      </c>
      <c r="CP120" s="36">
        <v>0</v>
      </c>
      <c r="CQ120" s="36">
        <v>1.7354286763486189</v>
      </c>
      <c r="CR120" s="36">
        <v>0</v>
      </c>
      <c r="CS120" s="36">
        <v>0</v>
      </c>
      <c r="CT120" s="36">
        <v>1.7354286763486189</v>
      </c>
      <c r="CU120" s="36">
        <v>0</v>
      </c>
      <c r="CV120" s="36">
        <v>0</v>
      </c>
      <c r="CW120" s="40">
        <v>9999</v>
      </c>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row>
    <row r="121" spans="1:131">
      <c r="A121" s="9" t="s">
        <v>1645</v>
      </c>
      <c r="B121" s="9"/>
      <c r="C121" s="36">
        <v>13.999999999999998</v>
      </c>
      <c r="D121" s="36">
        <v>29.220583093903695</v>
      </c>
      <c r="E121" s="36">
        <v>0.23535552657476738</v>
      </c>
      <c r="F121" s="36">
        <v>54.906335711206673</v>
      </c>
      <c r="G121" s="36">
        <v>0</v>
      </c>
      <c r="H121" s="36">
        <v>0</v>
      </c>
      <c r="I121" s="36"/>
      <c r="J121" s="36"/>
      <c r="K121" s="36"/>
      <c r="L121" s="36">
        <v>31.430585206391111</v>
      </c>
      <c r="M121" s="36">
        <v>1.58878338034051E-2</v>
      </c>
      <c r="N121" s="36">
        <v>1.5773162543809161E-2</v>
      </c>
      <c r="O121" s="36">
        <v>0.23770908168498617</v>
      </c>
      <c r="P121" s="36">
        <v>0</v>
      </c>
      <c r="Q121" s="36">
        <v>0</v>
      </c>
      <c r="R121" s="36">
        <v>10.949056807219478</v>
      </c>
      <c r="S121" s="36">
        <v>25.301604939344664</v>
      </c>
      <c r="T121" s="36">
        <v>0</v>
      </c>
      <c r="U121" s="36">
        <v>35.583157132111566</v>
      </c>
      <c r="V121" s="36">
        <v>3.2943801426724004</v>
      </c>
      <c r="W121" s="36">
        <v>7.6868869995689337</v>
      </c>
      <c r="X121" s="36">
        <v>0</v>
      </c>
      <c r="Y121" s="36">
        <v>0</v>
      </c>
      <c r="Z121" s="36">
        <v>0</v>
      </c>
      <c r="AA121" s="36">
        <v>0</v>
      </c>
      <c r="AB121" s="36">
        <v>0</v>
      </c>
      <c r="AC121" s="36">
        <v>0</v>
      </c>
      <c r="AD121" s="36">
        <v>0</v>
      </c>
      <c r="AE121" s="36">
        <v>0</v>
      </c>
      <c r="AF121" s="36">
        <v>0</v>
      </c>
      <c r="AG121" s="36">
        <v>0</v>
      </c>
      <c r="AH121" s="36">
        <v>14.243436949891878</v>
      </c>
      <c r="AI121" s="36">
        <v>32.988491938913597</v>
      </c>
      <c r="AJ121" s="36">
        <v>0</v>
      </c>
      <c r="AK121" s="36">
        <v>35.583157132111566</v>
      </c>
      <c r="AL121" s="36">
        <v>82.81508602091705</v>
      </c>
      <c r="AM121" s="36">
        <v>16.119112410761957</v>
      </c>
      <c r="AN121" s="36">
        <v>5.6139420038749961</v>
      </c>
      <c r="AO121" s="36">
        <v>0</v>
      </c>
      <c r="AP121" s="36">
        <v>0</v>
      </c>
      <c r="AQ121" s="36">
        <v>21.733054414636953</v>
      </c>
      <c r="AR121" s="36">
        <v>14.243436949891878</v>
      </c>
      <c r="AS121" s="40">
        <v>1.5258293690696563</v>
      </c>
      <c r="AT121" s="36">
        <v>16.119112410761957</v>
      </c>
      <c r="AU121" s="36">
        <v>6.6452352203402008</v>
      </c>
      <c r="AV121" s="36">
        <v>0</v>
      </c>
      <c r="AW121" s="36">
        <v>0</v>
      </c>
      <c r="AX121" s="36">
        <v>22.764347631102158</v>
      </c>
      <c r="AY121" s="36">
        <v>32.988491938913597</v>
      </c>
      <c r="AZ121" s="781">
        <v>0.69006936337847791</v>
      </c>
      <c r="BA121" s="36">
        <v>16.119112410761957</v>
      </c>
      <c r="BB121" s="36">
        <v>12.259177224215197</v>
      </c>
      <c r="BC121" s="36">
        <v>0</v>
      </c>
      <c r="BD121" s="36">
        <v>0</v>
      </c>
      <c r="BE121" s="36">
        <v>28.378289634977154</v>
      </c>
      <c r="BF121" s="36">
        <v>47.231928888805477</v>
      </c>
      <c r="BG121" s="36">
        <v>81.874271967604116</v>
      </c>
      <c r="BH121" s="781">
        <v>0.60082851373243706</v>
      </c>
      <c r="BI121" s="36">
        <v>33.345132283932102</v>
      </c>
      <c r="BJ121" s="36">
        <v>77.228946315436303</v>
      </c>
      <c r="BK121" s="36">
        <v>0</v>
      </c>
      <c r="BL121" s="36">
        <v>83.303284581128352</v>
      </c>
      <c r="BM121" s="36">
        <v>193.87736318049679</v>
      </c>
      <c r="BN121" s="36">
        <v>16.119112410761957</v>
      </c>
      <c r="BO121" s="36">
        <v>1.7354286763486189</v>
      </c>
      <c r="BP121" s="36">
        <v>12.259177224215197</v>
      </c>
      <c r="BQ121" s="36">
        <v>0</v>
      </c>
      <c r="BR121" s="36">
        <v>0</v>
      </c>
      <c r="BS121" s="36">
        <v>0</v>
      </c>
      <c r="BT121" s="36">
        <v>0</v>
      </c>
      <c r="BU121" s="36">
        <v>0</v>
      </c>
      <c r="BV121" s="36">
        <v>105.64915113718311</v>
      </c>
      <c r="BW121" s="36">
        <v>0</v>
      </c>
      <c r="BX121" s="36">
        <v>71.833818878675714</v>
      </c>
      <c r="BY121" s="36">
        <v>10.981267142241336</v>
      </c>
      <c r="BZ121" s="36">
        <v>0</v>
      </c>
      <c r="CA121" s="36">
        <v>0</v>
      </c>
      <c r="CB121" s="36">
        <v>135.76286944850889</v>
      </c>
      <c r="CC121" s="36">
        <v>82.81508602091705</v>
      </c>
      <c r="CD121" s="40">
        <v>1.6393494950209742</v>
      </c>
      <c r="CE121" s="36">
        <v>-86.219141575020686</v>
      </c>
      <c r="CF121" s="36">
        <v>0.29858750674999979</v>
      </c>
      <c r="CG121" s="36">
        <v>2.7811962557143344E-2</v>
      </c>
      <c r="CH121" s="36">
        <v>0.32639946930714314</v>
      </c>
      <c r="CI121" s="36">
        <v>1.492952797303578E-2</v>
      </c>
      <c r="CJ121" s="36">
        <v>1.3905981278571691E-3</v>
      </c>
      <c r="CK121" s="36">
        <v>1.6320126100892951E-2</v>
      </c>
      <c r="CL121" s="36"/>
      <c r="CM121" s="36">
        <v>0.23770908168498617</v>
      </c>
      <c r="CN121" s="36"/>
      <c r="CO121" s="36">
        <v>0</v>
      </c>
      <c r="CP121" s="36">
        <v>0</v>
      </c>
      <c r="CQ121" s="36">
        <v>1.7354286763486189</v>
      </c>
      <c r="CR121" s="36">
        <v>0</v>
      </c>
      <c r="CS121" s="36">
        <v>0</v>
      </c>
      <c r="CT121" s="36">
        <v>1.7354286763486189</v>
      </c>
      <c r="CU121" s="36">
        <v>0</v>
      </c>
      <c r="CV121" s="36">
        <v>0</v>
      </c>
      <c r="CW121" s="40">
        <v>9999</v>
      </c>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row>
    <row r="122" spans="1:131">
      <c r="A122" s="9" t="s">
        <v>1646</v>
      </c>
      <c r="B122" s="9"/>
      <c r="C122" s="36">
        <v>14.000000000000002</v>
      </c>
      <c r="D122" s="36">
        <v>49.867972017712084</v>
      </c>
      <c r="E122" s="36">
        <v>0.10598060677717332</v>
      </c>
      <c r="F122" s="36">
        <v>139.81935250031893</v>
      </c>
      <c r="G122" s="36">
        <v>0</v>
      </c>
      <c r="H122" s="36">
        <v>0</v>
      </c>
      <c r="I122" s="36"/>
      <c r="J122" s="36"/>
      <c r="K122" s="36"/>
      <c r="L122" s="36">
        <v>53.638909577706116</v>
      </c>
      <c r="M122" s="36">
        <v>2.6971379118686991E-2</v>
      </c>
      <c r="N122" s="36">
        <v>2.6776711799350067E-2</v>
      </c>
      <c r="O122" s="36">
        <v>0.10704041244618842</v>
      </c>
      <c r="P122" s="36">
        <v>0</v>
      </c>
      <c r="Q122" s="36">
        <v>0</v>
      </c>
      <c r="R122" s="36">
        <v>27.881846665687689</v>
      </c>
      <c r="S122" s="36">
        <v>64.430706839465685</v>
      </c>
      <c r="T122" s="36">
        <v>0</v>
      </c>
      <c r="U122" s="36">
        <v>90.612748523181409</v>
      </c>
      <c r="V122" s="36">
        <v>8.3891611500191363</v>
      </c>
      <c r="W122" s="36">
        <v>19.57470935004465</v>
      </c>
      <c r="X122" s="36">
        <v>0</v>
      </c>
      <c r="Y122" s="36">
        <v>0</v>
      </c>
      <c r="Z122" s="36">
        <v>0</v>
      </c>
      <c r="AA122" s="36">
        <v>0</v>
      </c>
      <c r="AB122" s="36">
        <v>0</v>
      </c>
      <c r="AC122" s="36">
        <v>0</v>
      </c>
      <c r="AD122" s="36">
        <v>0</v>
      </c>
      <c r="AE122" s="36">
        <v>0</v>
      </c>
      <c r="AF122" s="36">
        <v>0</v>
      </c>
      <c r="AG122" s="36">
        <v>0</v>
      </c>
      <c r="AH122" s="36">
        <v>36.271007815706824</v>
      </c>
      <c r="AI122" s="36">
        <v>84.005416189510328</v>
      </c>
      <c r="AJ122" s="36">
        <v>0</v>
      </c>
      <c r="AK122" s="36">
        <v>90.612748523181409</v>
      </c>
      <c r="AL122" s="36">
        <v>210.88917252839857</v>
      </c>
      <c r="AM122" s="36">
        <v>27.510817475109139</v>
      </c>
      <c r="AN122" s="36">
        <v>9.5302959491168817</v>
      </c>
      <c r="AO122" s="36">
        <v>0</v>
      </c>
      <c r="AP122" s="36">
        <v>0</v>
      </c>
      <c r="AQ122" s="36">
        <v>37.041113424226019</v>
      </c>
      <c r="AR122" s="36">
        <v>36.271007815706824</v>
      </c>
      <c r="AS122" s="40">
        <v>1.0212319881606848</v>
      </c>
      <c r="AT122" s="36">
        <v>27.510817475109139</v>
      </c>
      <c r="AU122" s="36">
        <v>11.281031805747745</v>
      </c>
      <c r="AV122" s="36">
        <v>0</v>
      </c>
      <c r="AW122" s="36">
        <v>0</v>
      </c>
      <c r="AX122" s="36">
        <v>38.79184928085688</v>
      </c>
      <c r="AY122" s="36">
        <v>84.005416189510328</v>
      </c>
      <c r="AZ122" s="781">
        <v>0.46177795480883266</v>
      </c>
      <c r="BA122" s="36">
        <v>27.510817475109139</v>
      </c>
      <c r="BB122" s="36">
        <v>20.811327754864624</v>
      </c>
      <c r="BC122" s="36">
        <v>0</v>
      </c>
      <c r="BD122" s="36">
        <v>0</v>
      </c>
      <c r="BE122" s="36">
        <v>48.322145229973763</v>
      </c>
      <c r="BF122" s="36">
        <v>120.27642400521717</v>
      </c>
      <c r="BG122" s="36">
        <v>136.44602279067192</v>
      </c>
      <c r="BH122" s="781">
        <v>0.40175907813718936</v>
      </c>
      <c r="BI122" s="36">
        <v>49.75649695855023</v>
      </c>
      <c r="BJ122" s="36">
        <v>115.23846418530137</v>
      </c>
      <c r="BK122" s="36">
        <v>0</v>
      </c>
      <c r="BL122" s="36">
        <v>124.30238964430309</v>
      </c>
      <c r="BM122" s="36">
        <v>289.29735078815469</v>
      </c>
      <c r="BN122" s="36">
        <v>27.510817475109139</v>
      </c>
      <c r="BO122" s="36">
        <v>0.78980098756666617</v>
      </c>
      <c r="BP122" s="36">
        <v>20.811327754864624</v>
      </c>
      <c r="BQ122" s="36">
        <v>0</v>
      </c>
      <c r="BR122" s="36">
        <v>0</v>
      </c>
      <c r="BS122" s="36">
        <v>0</v>
      </c>
      <c r="BT122" s="36">
        <v>0</v>
      </c>
      <c r="BU122" s="36">
        <v>0</v>
      </c>
      <c r="BV122" s="36">
        <v>237.21307032470784</v>
      </c>
      <c r="BW122" s="36">
        <v>0</v>
      </c>
      <c r="BX122" s="36">
        <v>182.92530202833478</v>
      </c>
      <c r="BY122" s="36">
        <v>27.963870500063788</v>
      </c>
      <c r="BZ122" s="36">
        <v>0</v>
      </c>
      <c r="CA122" s="36">
        <v>0</v>
      </c>
      <c r="CB122" s="36">
        <v>286.32501654224825</v>
      </c>
      <c r="CC122" s="36">
        <v>210.88917252839857</v>
      </c>
      <c r="CD122" s="40">
        <v>1.357703731820046</v>
      </c>
      <c r="CE122" s="36">
        <v>-65.743456849320339</v>
      </c>
      <c r="CF122" s="36">
        <v>0.50956450360955452</v>
      </c>
      <c r="CG122" s="36">
        <v>1.2523728256204061E-2</v>
      </c>
      <c r="CH122" s="36">
        <v>0.52208823186575859</v>
      </c>
      <c r="CI122" s="36">
        <v>2.5478482049410396E-2</v>
      </c>
      <c r="CJ122" s="36">
        <v>6.2618641281020218E-4</v>
      </c>
      <c r="CK122" s="36">
        <v>2.61046684622206E-2</v>
      </c>
      <c r="CL122" s="36"/>
      <c r="CM122" s="36">
        <v>0.10704041244618842</v>
      </c>
      <c r="CN122" s="36"/>
      <c r="CO122" s="36">
        <v>0</v>
      </c>
      <c r="CP122" s="36">
        <v>0</v>
      </c>
      <c r="CQ122" s="36">
        <v>0.78980098756666617</v>
      </c>
      <c r="CR122" s="36">
        <v>0</v>
      </c>
      <c r="CS122" s="36">
        <v>0</v>
      </c>
      <c r="CT122" s="36">
        <v>0.78980098756666617</v>
      </c>
      <c r="CU122" s="36">
        <v>0</v>
      </c>
      <c r="CV122" s="36">
        <v>0</v>
      </c>
      <c r="CW122" s="40">
        <v>9999</v>
      </c>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row>
    <row r="123" spans="1:131">
      <c r="A123" s="9" t="s">
        <v>1647</v>
      </c>
      <c r="B123" s="9"/>
      <c r="C123" s="36">
        <v>14.000000000000002</v>
      </c>
      <c r="D123" s="36">
        <v>49.352609727108444</v>
      </c>
      <c r="E123" s="36">
        <v>0.45041340650710393</v>
      </c>
      <c r="F123" s="36">
        <v>139.81935250031893</v>
      </c>
      <c r="G123" s="36">
        <v>0</v>
      </c>
      <c r="H123" s="36">
        <v>0</v>
      </c>
      <c r="I123" s="36"/>
      <c r="J123" s="36"/>
      <c r="K123" s="36"/>
      <c r="L123" s="36">
        <v>53.082689723506611</v>
      </c>
      <c r="M123" s="36">
        <v>2.6302634511923328E-2</v>
      </c>
      <c r="N123" s="36">
        <v>2.6112793891263798E-2</v>
      </c>
      <c r="O123" s="36">
        <v>0.45491754031693599</v>
      </c>
      <c r="P123" s="36">
        <v>0</v>
      </c>
      <c r="Q123" s="36">
        <v>0</v>
      </c>
      <c r="R123" s="36">
        <v>27.881846665687689</v>
      </c>
      <c r="S123" s="36">
        <v>64.430706839465685</v>
      </c>
      <c r="T123" s="36">
        <v>0</v>
      </c>
      <c r="U123" s="36">
        <v>90.612748523181409</v>
      </c>
      <c r="V123" s="36">
        <v>8.3891611500191363</v>
      </c>
      <c r="W123" s="36">
        <v>19.57470935004465</v>
      </c>
      <c r="X123" s="36">
        <v>0</v>
      </c>
      <c r="Y123" s="36">
        <v>0</v>
      </c>
      <c r="Z123" s="36">
        <v>0</v>
      </c>
      <c r="AA123" s="36">
        <v>0</v>
      </c>
      <c r="AB123" s="36">
        <v>0</v>
      </c>
      <c r="AC123" s="36">
        <v>0</v>
      </c>
      <c r="AD123" s="36">
        <v>0</v>
      </c>
      <c r="AE123" s="36">
        <v>0</v>
      </c>
      <c r="AF123" s="36">
        <v>0</v>
      </c>
      <c r="AG123" s="36">
        <v>0</v>
      </c>
      <c r="AH123" s="36">
        <v>36.271007815706824</v>
      </c>
      <c r="AI123" s="36">
        <v>84.005416189510328</v>
      </c>
      <c r="AJ123" s="36">
        <v>0</v>
      </c>
      <c r="AK123" s="36">
        <v>90.612748523181409</v>
      </c>
      <c r="AL123" s="36">
        <v>210.88917252839857</v>
      </c>
      <c r="AM123" s="36">
        <v>27.225948971269357</v>
      </c>
      <c r="AN123" s="36">
        <v>9.2939960554856444</v>
      </c>
      <c r="AO123" s="36">
        <v>0</v>
      </c>
      <c r="AP123" s="36">
        <v>0</v>
      </c>
      <c r="AQ123" s="36">
        <v>36.519945026755003</v>
      </c>
      <c r="AR123" s="36">
        <v>36.271007815706824</v>
      </c>
      <c r="AS123" s="40">
        <v>1.006863255973284</v>
      </c>
      <c r="AT123" s="36">
        <v>27.225948971269357</v>
      </c>
      <c r="AU123" s="36">
        <v>11.001323113595761</v>
      </c>
      <c r="AV123" s="36">
        <v>0</v>
      </c>
      <c r="AW123" s="36">
        <v>0</v>
      </c>
      <c r="AX123" s="36">
        <v>38.22727208486512</v>
      </c>
      <c r="AY123" s="36">
        <v>84.005416189510328</v>
      </c>
      <c r="AZ123" s="781">
        <v>0.45505723105551998</v>
      </c>
      <c r="BA123" s="36">
        <v>27.225948971269357</v>
      </c>
      <c r="BB123" s="36">
        <v>20.295319169081406</v>
      </c>
      <c r="BC123" s="36">
        <v>0</v>
      </c>
      <c r="BD123" s="36">
        <v>0</v>
      </c>
      <c r="BE123" s="36">
        <v>47.521268140350763</v>
      </c>
      <c r="BF123" s="36">
        <v>120.27642400521717</v>
      </c>
      <c r="BG123" s="36">
        <v>138.59103093593242</v>
      </c>
      <c r="BH123" s="781">
        <v>0.39510044078371881</v>
      </c>
      <c r="BI123" s="36">
        <v>50.277863747383229</v>
      </c>
      <c r="BJ123" s="36">
        <v>116.44597499685202</v>
      </c>
      <c r="BK123" s="36">
        <v>0</v>
      </c>
      <c r="BL123" s="36">
        <v>125.60487558472421</v>
      </c>
      <c r="BM123" s="36">
        <v>292.32871432895945</v>
      </c>
      <c r="BN123" s="36">
        <v>27.225948971269357</v>
      </c>
      <c r="BO123" s="36">
        <v>3.3201141324128898</v>
      </c>
      <c r="BP123" s="36">
        <v>20.295319169081406</v>
      </c>
      <c r="BQ123" s="36">
        <v>0</v>
      </c>
      <c r="BR123" s="36">
        <v>0</v>
      </c>
      <c r="BS123" s="36">
        <v>0</v>
      </c>
      <c r="BT123" s="36">
        <v>0</v>
      </c>
      <c r="BU123" s="36">
        <v>0</v>
      </c>
      <c r="BV123" s="36">
        <v>227.2531534473583</v>
      </c>
      <c r="BW123" s="36">
        <v>0</v>
      </c>
      <c r="BX123" s="36">
        <v>182.92530202833478</v>
      </c>
      <c r="BY123" s="36">
        <v>27.963870500063788</v>
      </c>
      <c r="BZ123" s="36">
        <v>0</v>
      </c>
      <c r="CA123" s="36">
        <v>0</v>
      </c>
      <c r="CB123" s="36">
        <v>278.09453572012194</v>
      </c>
      <c r="CC123" s="36">
        <v>210.88917252839857</v>
      </c>
      <c r="CD123" s="40">
        <v>1.3186762145537529</v>
      </c>
      <c r="CE123" s="36">
        <v>-55.418353719020054</v>
      </c>
      <c r="CF123" s="36">
        <v>0.50428076462939808</v>
      </c>
      <c r="CG123" s="36">
        <v>5.3225352217081551E-2</v>
      </c>
      <c r="CH123" s="36">
        <v>0.55750611684647966</v>
      </c>
      <c r="CI123" s="36">
        <v>2.5214277618665636E-2</v>
      </c>
      <c r="CJ123" s="36">
        <v>2.6612676108540749E-3</v>
      </c>
      <c r="CK123" s="36">
        <v>2.787554522951971E-2</v>
      </c>
      <c r="CL123" s="36"/>
      <c r="CM123" s="36">
        <v>0.45491754031693599</v>
      </c>
      <c r="CN123" s="36"/>
      <c r="CO123" s="36">
        <v>0</v>
      </c>
      <c r="CP123" s="36">
        <v>0</v>
      </c>
      <c r="CQ123" s="36">
        <v>3.3201141324128898</v>
      </c>
      <c r="CR123" s="36">
        <v>0</v>
      </c>
      <c r="CS123" s="36">
        <v>0</v>
      </c>
      <c r="CT123" s="36">
        <v>3.3201141324128898</v>
      </c>
      <c r="CU123" s="36">
        <v>0</v>
      </c>
      <c r="CV123" s="36">
        <v>0</v>
      </c>
      <c r="CW123" s="40">
        <v>9999</v>
      </c>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row>
    <row r="124" spans="1:131">
      <c r="A124" s="9" t="s">
        <v>1648</v>
      </c>
      <c r="B124" s="9"/>
      <c r="C124" s="36">
        <v>14</v>
      </c>
      <c r="D124" s="36">
        <v>49.303179303455543</v>
      </c>
      <c r="E124" s="36">
        <v>0.452702406573396</v>
      </c>
      <c r="F124" s="36">
        <v>139.81935250031893</v>
      </c>
      <c r="G124" s="36">
        <v>0</v>
      </c>
      <c r="H124" s="36">
        <v>0</v>
      </c>
      <c r="I124" s="36"/>
      <c r="J124" s="36"/>
      <c r="K124" s="36"/>
      <c r="L124" s="36">
        <v>53.029340362257024</v>
      </c>
      <c r="M124" s="36">
        <v>2.6238466144087595E-2</v>
      </c>
      <c r="N124" s="36">
        <v>2.6049088661931213E-2</v>
      </c>
      <c r="O124" s="36">
        <v>0.4572294303846729</v>
      </c>
      <c r="P124" s="36">
        <v>0</v>
      </c>
      <c r="Q124" s="36">
        <v>0</v>
      </c>
      <c r="R124" s="36">
        <v>27.881846665687689</v>
      </c>
      <c r="S124" s="36">
        <v>64.430706839465685</v>
      </c>
      <c r="T124" s="36">
        <v>0</v>
      </c>
      <c r="U124" s="36">
        <v>90.612748523181409</v>
      </c>
      <c r="V124" s="36">
        <v>8.3891611500191363</v>
      </c>
      <c r="W124" s="36">
        <v>19.57470935004465</v>
      </c>
      <c r="X124" s="36">
        <v>0</v>
      </c>
      <c r="Y124" s="36">
        <v>0</v>
      </c>
      <c r="Z124" s="36">
        <v>0</v>
      </c>
      <c r="AA124" s="36">
        <v>0</v>
      </c>
      <c r="AB124" s="36">
        <v>0</v>
      </c>
      <c r="AC124" s="36">
        <v>0</v>
      </c>
      <c r="AD124" s="36">
        <v>0</v>
      </c>
      <c r="AE124" s="36">
        <v>0</v>
      </c>
      <c r="AF124" s="36">
        <v>0</v>
      </c>
      <c r="AG124" s="36">
        <v>0</v>
      </c>
      <c r="AH124" s="36">
        <v>36.271007815706824</v>
      </c>
      <c r="AI124" s="36">
        <v>84.005416189510328</v>
      </c>
      <c r="AJ124" s="36">
        <v>0</v>
      </c>
      <c r="AK124" s="36">
        <v>90.612748523181409</v>
      </c>
      <c r="AL124" s="36">
        <v>210.88917252839857</v>
      </c>
      <c r="AM124" s="36">
        <v>27.198626067940022</v>
      </c>
      <c r="AN124" s="36">
        <v>9.2713222599279437</v>
      </c>
      <c r="AO124" s="36">
        <v>0</v>
      </c>
      <c r="AP124" s="36">
        <v>0</v>
      </c>
      <c r="AQ124" s="36">
        <v>36.469948327867968</v>
      </c>
      <c r="AR124" s="36">
        <v>36.271007815706824</v>
      </c>
      <c r="AS124" s="40">
        <v>1.0054848355240626</v>
      </c>
      <c r="AT124" s="36">
        <v>27.198626067940022</v>
      </c>
      <c r="AU124" s="36">
        <v>10.974484093043925</v>
      </c>
      <c r="AV124" s="36">
        <v>0</v>
      </c>
      <c r="AW124" s="36">
        <v>0</v>
      </c>
      <c r="AX124" s="36">
        <v>38.173110160983946</v>
      </c>
      <c r="AY124" s="36">
        <v>84.005416189510328</v>
      </c>
      <c r="AZ124" s="781">
        <v>0.45441248781945304</v>
      </c>
      <c r="BA124" s="36">
        <v>27.198626067940022</v>
      </c>
      <c r="BB124" s="36">
        <v>20.245806352971869</v>
      </c>
      <c r="BC124" s="36">
        <v>0</v>
      </c>
      <c r="BD124" s="36">
        <v>0</v>
      </c>
      <c r="BE124" s="36">
        <v>47.444432420911888</v>
      </c>
      <c r="BF124" s="36">
        <v>120.27642400521717</v>
      </c>
      <c r="BG124" s="36">
        <v>138.79916067265927</v>
      </c>
      <c r="BH124" s="781">
        <v>0.39446161467898244</v>
      </c>
      <c r="BI124" s="36">
        <v>50.328445027436743</v>
      </c>
      <c r="BJ124" s="36">
        <v>116.56312369875421</v>
      </c>
      <c r="BK124" s="36">
        <v>0</v>
      </c>
      <c r="BL124" s="36">
        <v>125.73123845924806</v>
      </c>
      <c r="BM124" s="36">
        <v>292.622807185439</v>
      </c>
      <c r="BN124" s="36">
        <v>27.198626067940022</v>
      </c>
      <c r="BO124" s="36">
        <v>3.3369342143267624</v>
      </c>
      <c r="BP124" s="36">
        <v>20.245806352971869</v>
      </c>
      <c r="BQ124" s="36">
        <v>0</v>
      </c>
      <c r="BR124" s="36">
        <v>0</v>
      </c>
      <c r="BS124" s="36">
        <v>0</v>
      </c>
      <c r="BT124" s="36">
        <v>0</v>
      </c>
      <c r="BU124" s="36">
        <v>0</v>
      </c>
      <c r="BV124" s="36">
        <v>226.3678275027051</v>
      </c>
      <c r="BW124" s="36">
        <v>0</v>
      </c>
      <c r="BX124" s="36">
        <v>182.92530202833478</v>
      </c>
      <c r="BY124" s="36">
        <v>27.963870500063788</v>
      </c>
      <c r="BZ124" s="36">
        <v>0</v>
      </c>
      <c r="CA124" s="36">
        <v>0</v>
      </c>
      <c r="CB124" s="36">
        <v>277.14919413794377</v>
      </c>
      <c r="CC124" s="36">
        <v>210.88917252839857</v>
      </c>
      <c r="CD124" s="40">
        <v>1.3141935681910011</v>
      </c>
      <c r="CE124" s="36">
        <v>-54.200294301150457</v>
      </c>
      <c r="CF124" s="36">
        <v>0.50377397925260226</v>
      </c>
      <c r="CG124" s="36">
        <v>5.3495843355006754E-2</v>
      </c>
      <c r="CH124" s="36">
        <v>0.55726982260760904</v>
      </c>
      <c r="CI124" s="36">
        <v>2.5188936672072084E-2</v>
      </c>
      <c r="CJ124" s="36">
        <v>2.6747921677503362E-3</v>
      </c>
      <c r="CK124" s="36">
        <v>2.7863728839822421E-2</v>
      </c>
      <c r="CL124" s="36"/>
      <c r="CM124" s="36">
        <v>0.4572294303846729</v>
      </c>
      <c r="CN124" s="36"/>
      <c r="CO124" s="36">
        <v>0</v>
      </c>
      <c r="CP124" s="36">
        <v>0</v>
      </c>
      <c r="CQ124" s="36">
        <v>3.3369342143267624</v>
      </c>
      <c r="CR124" s="36">
        <v>0</v>
      </c>
      <c r="CS124" s="36">
        <v>0</v>
      </c>
      <c r="CT124" s="36">
        <v>3.3369342143267624</v>
      </c>
      <c r="CU124" s="36">
        <v>0</v>
      </c>
      <c r="CV124" s="36">
        <v>0</v>
      </c>
      <c r="CW124" s="40">
        <v>9999</v>
      </c>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row>
    <row r="125" spans="1:131">
      <c r="A125" s="9" t="s">
        <v>1649</v>
      </c>
      <c r="B125" s="9"/>
      <c r="C125" s="36">
        <v>14</v>
      </c>
      <c r="D125" s="36">
        <v>49.303179303455543</v>
      </c>
      <c r="E125" s="36">
        <v>0.452702406573396</v>
      </c>
      <c r="F125" s="36">
        <v>139.81935250031893</v>
      </c>
      <c r="G125" s="36">
        <v>0</v>
      </c>
      <c r="H125" s="36">
        <v>0</v>
      </c>
      <c r="I125" s="36"/>
      <c r="J125" s="36"/>
      <c r="K125" s="36"/>
      <c r="L125" s="36">
        <v>53.029340362257024</v>
      </c>
      <c r="M125" s="36">
        <v>2.6238466144087595E-2</v>
      </c>
      <c r="N125" s="36">
        <v>2.6049088661931213E-2</v>
      </c>
      <c r="O125" s="36">
        <v>0.4572294303846729</v>
      </c>
      <c r="P125" s="36">
        <v>0</v>
      </c>
      <c r="Q125" s="36">
        <v>0</v>
      </c>
      <c r="R125" s="36">
        <v>27.881846665687689</v>
      </c>
      <c r="S125" s="36">
        <v>64.430706839465685</v>
      </c>
      <c r="T125" s="36">
        <v>0</v>
      </c>
      <c r="U125" s="36">
        <v>90.612748523181409</v>
      </c>
      <c r="V125" s="36">
        <v>8.3891611500191363</v>
      </c>
      <c r="W125" s="36">
        <v>19.57470935004465</v>
      </c>
      <c r="X125" s="36">
        <v>0</v>
      </c>
      <c r="Y125" s="36">
        <v>0</v>
      </c>
      <c r="Z125" s="36">
        <v>0</v>
      </c>
      <c r="AA125" s="36">
        <v>0</v>
      </c>
      <c r="AB125" s="36">
        <v>0</v>
      </c>
      <c r="AC125" s="36">
        <v>0</v>
      </c>
      <c r="AD125" s="36">
        <v>0</v>
      </c>
      <c r="AE125" s="36">
        <v>0</v>
      </c>
      <c r="AF125" s="36">
        <v>0</v>
      </c>
      <c r="AG125" s="36">
        <v>0</v>
      </c>
      <c r="AH125" s="36">
        <v>36.271007815706824</v>
      </c>
      <c r="AI125" s="36">
        <v>84.005416189510328</v>
      </c>
      <c r="AJ125" s="36">
        <v>0</v>
      </c>
      <c r="AK125" s="36">
        <v>90.612748523181409</v>
      </c>
      <c r="AL125" s="36">
        <v>210.88917252839857</v>
      </c>
      <c r="AM125" s="36">
        <v>27.198626067940022</v>
      </c>
      <c r="AN125" s="36">
        <v>9.2713222599279437</v>
      </c>
      <c r="AO125" s="36">
        <v>0</v>
      </c>
      <c r="AP125" s="36">
        <v>0</v>
      </c>
      <c r="AQ125" s="36">
        <v>36.469948327867968</v>
      </c>
      <c r="AR125" s="36">
        <v>36.271007815706824</v>
      </c>
      <c r="AS125" s="40">
        <v>1.0054848355240626</v>
      </c>
      <c r="AT125" s="36">
        <v>27.198626067940022</v>
      </c>
      <c r="AU125" s="36">
        <v>10.974484093043925</v>
      </c>
      <c r="AV125" s="36">
        <v>0</v>
      </c>
      <c r="AW125" s="36">
        <v>0</v>
      </c>
      <c r="AX125" s="36">
        <v>38.173110160983946</v>
      </c>
      <c r="AY125" s="36">
        <v>84.005416189510328</v>
      </c>
      <c r="AZ125" s="781">
        <v>0.45441248781945304</v>
      </c>
      <c r="BA125" s="36">
        <v>27.198626067940022</v>
      </c>
      <c r="BB125" s="36">
        <v>20.245806352971869</v>
      </c>
      <c r="BC125" s="36">
        <v>0</v>
      </c>
      <c r="BD125" s="36">
        <v>0</v>
      </c>
      <c r="BE125" s="36">
        <v>47.444432420911888</v>
      </c>
      <c r="BF125" s="36">
        <v>120.27642400521717</v>
      </c>
      <c r="BG125" s="36">
        <v>138.79916067265927</v>
      </c>
      <c r="BH125" s="781">
        <v>0.39446161467898244</v>
      </c>
      <c r="BI125" s="36">
        <v>50.328445027436743</v>
      </c>
      <c r="BJ125" s="36">
        <v>116.56312369875421</v>
      </c>
      <c r="BK125" s="36">
        <v>0</v>
      </c>
      <c r="BL125" s="36">
        <v>125.73123845924806</v>
      </c>
      <c r="BM125" s="36">
        <v>292.622807185439</v>
      </c>
      <c r="BN125" s="36">
        <v>27.198626067940022</v>
      </c>
      <c r="BO125" s="36">
        <v>3.3369342143267624</v>
      </c>
      <c r="BP125" s="36">
        <v>20.245806352971869</v>
      </c>
      <c r="BQ125" s="36">
        <v>0</v>
      </c>
      <c r="BR125" s="36">
        <v>0</v>
      </c>
      <c r="BS125" s="36">
        <v>0</v>
      </c>
      <c r="BT125" s="36">
        <v>0</v>
      </c>
      <c r="BU125" s="36">
        <v>0</v>
      </c>
      <c r="BV125" s="36">
        <v>226.3678275027051</v>
      </c>
      <c r="BW125" s="36">
        <v>0</v>
      </c>
      <c r="BX125" s="36">
        <v>182.92530202833478</v>
      </c>
      <c r="BY125" s="36">
        <v>27.963870500063788</v>
      </c>
      <c r="BZ125" s="36">
        <v>0</v>
      </c>
      <c r="CA125" s="36">
        <v>0</v>
      </c>
      <c r="CB125" s="36">
        <v>277.14919413794377</v>
      </c>
      <c r="CC125" s="36">
        <v>210.88917252839857</v>
      </c>
      <c r="CD125" s="40">
        <v>1.3141935681910011</v>
      </c>
      <c r="CE125" s="36">
        <v>-54.200294301150457</v>
      </c>
      <c r="CF125" s="36">
        <v>0.50377397925260226</v>
      </c>
      <c r="CG125" s="36">
        <v>5.3495843355006754E-2</v>
      </c>
      <c r="CH125" s="36">
        <v>0.55726982260760904</v>
      </c>
      <c r="CI125" s="36">
        <v>2.5188936672072084E-2</v>
      </c>
      <c r="CJ125" s="36">
        <v>2.6747921677503362E-3</v>
      </c>
      <c r="CK125" s="36">
        <v>2.7863728839822421E-2</v>
      </c>
      <c r="CL125" s="36"/>
      <c r="CM125" s="36">
        <v>0.4572294303846729</v>
      </c>
      <c r="CN125" s="36"/>
      <c r="CO125" s="36">
        <v>0</v>
      </c>
      <c r="CP125" s="36">
        <v>0</v>
      </c>
      <c r="CQ125" s="36">
        <v>3.3369342143267624</v>
      </c>
      <c r="CR125" s="36">
        <v>0</v>
      </c>
      <c r="CS125" s="36">
        <v>0</v>
      </c>
      <c r="CT125" s="36">
        <v>3.3369342143267624</v>
      </c>
      <c r="CU125" s="36">
        <v>0</v>
      </c>
      <c r="CV125" s="36">
        <v>0</v>
      </c>
      <c r="CW125" s="40">
        <v>9999</v>
      </c>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row>
    <row r="126" spans="1:131">
      <c r="A126" s="9"/>
      <c r="B126" s="9"/>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781"/>
      <c r="AT126" s="36"/>
      <c r="AU126" s="36"/>
      <c r="AV126" s="36"/>
      <c r="AW126" s="36"/>
      <c r="AX126" s="36"/>
      <c r="AY126" s="36"/>
      <c r="AZ126" s="781"/>
      <c r="BA126" s="36"/>
      <c r="BB126" s="36"/>
      <c r="BC126" s="36"/>
      <c r="BD126" s="36"/>
      <c r="BE126" s="36"/>
      <c r="BF126" s="36"/>
      <c r="BG126" s="36"/>
      <c r="BH126" s="781"/>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781"/>
      <c r="CE126" s="36"/>
      <c r="CF126" s="36"/>
      <c r="CG126" s="36"/>
      <c r="CH126" s="36"/>
      <c r="CI126" s="36"/>
      <c r="CJ126" s="36"/>
      <c r="CK126" s="36"/>
      <c r="CL126" s="36"/>
      <c r="CM126" s="36"/>
      <c r="CN126" s="36"/>
      <c r="CO126" s="36"/>
      <c r="CP126" s="36"/>
      <c r="CQ126" s="36"/>
      <c r="CR126" s="36"/>
      <c r="CS126" s="36"/>
      <c r="CT126" s="36"/>
      <c r="CU126" s="36"/>
      <c r="CV126" s="36"/>
      <c r="CW126" s="781"/>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row>
    <row r="127" spans="1:131">
      <c r="A127" s="9"/>
      <c r="B127" s="9"/>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781"/>
      <c r="AT127" s="36"/>
      <c r="AU127" s="36"/>
      <c r="AV127" s="36"/>
      <c r="AW127" s="36"/>
      <c r="AX127" s="36"/>
      <c r="AY127" s="36"/>
      <c r="AZ127" s="781"/>
      <c r="BA127" s="36"/>
      <c r="BB127" s="36"/>
      <c r="BC127" s="36"/>
      <c r="BD127" s="36"/>
      <c r="BE127" s="36"/>
      <c r="BF127" s="36"/>
      <c r="BG127" s="36"/>
      <c r="BH127" s="781"/>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781"/>
      <c r="CE127" s="36"/>
      <c r="CF127" s="36"/>
      <c r="CG127" s="36"/>
      <c r="CH127" s="36"/>
      <c r="CI127" s="36"/>
      <c r="CJ127" s="36"/>
      <c r="CK127" s="36"/>
      <c r="CL127" s="36"/>
      <c r="CM127" s="36"/>
      <c r="CN127" s="36"/>
      <c r="CO127" s="36"/>
      <c r="CP127" s="36"/>
      <c r="CQ127" s="36"/>
      <c r="CR127" s="36"/>
      <c r="CS127" s="36"/>
      <c r="CT127" s="36"/>
      <c r="CU127" s="36"/>
      <c r="CV127" s="36"/>
      <c r="CW127" s="781"/>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row>
    <row r="128" spans="1:131" ht="13.5" thickBot="1">
      <c r="A128" s="34" t="s">
        <v>1538</v>
      </c>
      <c r="B128" s="35"/>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781"/>
      <c r="AT128" s="36"/>
      <c r="AU128" s="36"/>
      <c r="AV128" s="36"/>
      <c r="AW128" s="36"/>
      <c r="AX128" s="36"/>
      <c r="AY128" s="36"/>
      <c r="AZ128" s="781"/>
      <c r="BA128" s="36"/>
      <c r="BB128" s="36"/>
      <c r="BC128" s="36"/>
      <c r="BD128" s="36"/>
      <c r="BE128" s="36"/>
      <c r="BF128" s="36"/>
      <c r="BG128" s="36"/>
      <c r="BH128" s="781"/>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781"/>
      <c r="CE128" s="36"/>
      <c r="CF128" s="36"/>
      <c r="CG128" s="36"/>
      <c r="CH128" s="36"/>
      <c r="CI128" s="36"/>
      <c r="CJ128" s="36"/>
      <c r="CK128" s="36"/>
      <c r="CL128" s="36"/>
      <c r="CM128" s="36"/>
      <c r="CN128" s="36"/>
      <c r="CO128" s="36"/>
      <c r="CP128" s="36"/>
      <c r="CQ128" s="36"/>
      <c r="CR128" s="36"/>
      <c r="CS128" s="36"/>
      <c r="CT128" s="36"/>
      <c r="CU128" s="36"/>
      <c r="CV128" s="36"/>
      <c r="CW128" s="781"/>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row>
    <row r="129" spans="1:131" ht="13.5" thickBot="1">
      <c r="A129" s="782" t="s">
        <v>1539</v>
      </c>
      <c r="B129" s="783"/>
      <c r="C129" s="784"/>
      <c r="D129" s="784"/>
      <c r="E129" s="784"/>
      <c r="F129" s="784"/>
      <c r="G129" s="784"/>
      <c r="H129" s="784"/>
      <c r="I129" s="784"/>
      <c r="J129" s="784"/>
      <c r="K129" s="784"/>
      <c r="L129" s="41"/>
      <c r="M129" s="785"/>
      <c r="N129" s="786" t="s">
        <v>1540</v>
      </c>
      <c r="O129" s="784"/>
      <c r="P129" s="784"/>
      <c r="Q129" s="784"/>
      <c r="R129" s="784"/>
      <c r="S129" s="784"/>
      <c r="T129" s="784"/>
      <c r="U129" s="784"/>
      <c r="V129" s="784"/>
      <c r="W129" s="784"/>
      <c r="X129" s="784"/>
      <c r="Y129" s="41"/>
      <c r="Z129" s="785"/>
      <c r="AA129" s="786" t="s">
        <v>1541</v>
      </c>
      <c r="AB129" s="784"/>
      <c r="AC129" s="784"/>
      <c r="AD129" s="784"/>
      <c r="AE129" s="784"/>
      <c r="AF129" s="784"/>
      <c r="AG129" s="784"/>
      <c r="AH129" s="784"/>
      <c r="AI129" s="784"/>
      <c r="AJ129" s="784"/>
      <c r="AK129" s="784"/>
      <c r="AL129" s="41"/>
      <c r="AM129" s="36"/>
      <c r="AN129" s="36"/>
      <c r="AO129" s="36"/>
      <c r="AP129" s="36"/>
      <c r="AQ129" s="36"/>
      <c r="AR129" s="36"/>
      <c r="AS129" s="781"/>
      <c r="AT129" s="36"/>
      <c r="AU129" s="36"/>
      <c r="AV129" s="36"/>
      <c r="AW129" s="36"/>
      <c r="AX129" s="36"/>
      <c r="AY129" s="36"/>
      <c r="AZ129" s="781"/>
      <c r="BA129" s="36"/>
      <c r="BB129" s="36"/>
      <c r="BC129" s="36"/>
      <c r="BD129" s="36"/>
      <c r="BE129" s="36"/>
      <c r="BF129" s="36"/>
      <c r="BG129" s="36"/>
      <c r="BH129" s="781"/>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781"/>
      <c r="CE129" s="36"/>
      <c r="CF129" s="36"/>
      <c r="CG129" s="36"/>
      <c r="CH129" s="36"/>
      <c r="CI129" s="36"/>
      <c r="CJ129" s="36"/>
      <c r="CK129" s="36"/>
      <c r="CL129" s="36"/>
      <c r="CM129" s="36"/>
      <c r="CN129" s="36"/>
      <c r="CO129" s="36"/>
      <c r="CP129" s="36"/>
      <c r="CQ129" s="36"/>
      <c r="CR129" s="36"/>
      <c r="CS129" s="36"/>
      <c r="CT129" s="36"/>
      <c r="CU129" s="36"/>
      <c r="CV129" s="36"/>
      <c r="CW129" s="781"/>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row>
    <row r="130" spans="1:131" ht="191.25">
      <c r="A130" s="37"/>
      <c r="B130" s="38" t="s">
        <v>1542</v>
      </c>
      <c r="C130" s="39" t="s">
        <v>1543</v>
      </c>
      <c r="D130" s="39" t="s">
        <v>28</v>
      </c>
      <c r="E130" s="39" t="s">
        <v>29</v>
      </c>
      <c r="F130" s="39" t="s">
        <v>30</v>
      </c>
      <c r="G130" s="39" t="s">
        <v>31</v>
      </c>
      <c r="H130" s="39" t="s">
        <v>32</v>
      </c>
      <c r="I130" s="39" t="s">
        <v>33</v>
      </c>
      <c r="J130" s="39" t="s">
        <v>34</v>
      </c>
      <c r="K130" s="39" t="s">
        <v>24</v>
      </c>
      <c r="L130" s="39" t="s">
        <v>23</v>
      </c>
      <c r="M130" s="39" t="s">
        <v>35</v>
      </c>
      <c r="N130" s="39" t="s">
        <v>36</v>
      </c>
      <c r="O130" s="39" t="s">
        <v>37</v>
      </c>
      <c r="P130" s="39" t="s">
        <v>38</v>
      </c>
      <c r="Q130" s="39" t="s">
        <v>39</v>
      </c>
      <c r="R130" s="39" t="s">
        <v>40</v>
      </c>
      <c r="S130" s="39" t="s">
        <v>41</v>
      </c>
      <c r="T130" s="39" t="s">
        <v>42</v>
      </c>
      <c r="U130" s="39" t="s">
        <v>43</v>
      </c>
      <c r="V130" s="39" t="s">
        <v>44</v>
      </c>
      <c r="W130" s="39" t="s">
        <v>45</v>
      </c>
      <c r="X130" s="39" t="s">
        <v>46</v>
      </c>
      <c r="Y130" s="39" t="s">
        <v>47</v>
      </c>
      <c r="Z130" s="39"/>
      <c r="AA130" s="39" t="s">
        <v>36</v>
      </c>
      <c r="AB130" s="39" t="s">
        <v>37</v>
      </c>
      <c r="AC130" s="39" t="s">
        <v>38</v>
      </c>
      <c r="AD130" s="39" t="s">
        <v>39</v>
      </c>
      <c r="AE130" s="39" t="s">
        <v>40</v>
      </c>
      <c r="AF130" s="39" t="s">
        <v>41</v>
      </c>
      <c r="AG130" s="39" t="s">
        <v>42</v>
      </c>
      <c r="AH130" s="39" t="s">
        <v>43</v>
      </c>
      <c r="AI130" s="39" t="s">
        <v>44</v>
      </c>
      <c r="AJ130" s="39" t="s">
        <v>45</v>
      </c>
      <c r="AK130" s="39" t="s">
        <v>46</v>
      </c>
      <c r="AL130" s="39" t="s">
        <v>47</v>
      </c>
      <c r="AM130" s="36"/>
      <c r="AN130" s="36"/>
      <c r="AO130" s="36"/>
      <c r="AP130" s="36"/>
      <c r="AQ130" s="36"/>
      <c r="AR130" s="36"/>
      <c r="AS130" s="781"/>
      <c r="AT130" s="36"/>
      <c r="AU130" s="36"/>
      <c r="AV130" s="36"/>
      <c r="AW130" s="36"/>
      <c r="AX130" s="36"/>
      <c r="AY130" s="36"/>
      <c r="AZ130" s="781"/>
      <c r="BA130" s="36"/>
      <c r="BB130" s="36"/>
      <c r="BC130" s="36"/>
      <c r="BD130" s="36"/>
      <c r="BE130" s="36"/>
      <c r="BF130" s="36"/>
      <c r="BG130" s="36"/>
      <c r="BH130" s="781"/>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781"/>
      <c r="CE130" s="36"/>
      <c r="CF130" s="36"/>
      <c r="CG130" s="36"/>
      <c r="CH130" s="36"/>
      <c r="CI130" s="36"/>
      <c r="CJ130" s="36"/>
      <c r="CK130" s="36"/>
      <c r="CL130" s="36"/>
      <c r="CM130" s="36"/>
      <c r="CN130" s="36"/>
      <c r="CO130" s="36"/>
      <c r="CP130" s="36"/>
      <c r="CQ130" s="36"/>
      <c r="CR130" s="36"/>
      <c r="CS130" s="36"/>
      <c r="CT130" s="36"/>
      <c r="CU130" s="36"/>
      <c r="CV130" s="36"/>
      <c r="CW130" s="781"/>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row>
    <row r="131" spans="1:131">
      <c r="A131" s="9"/>
      <c r="B131" s="50" t="s">
        <v>1544</v>
      </c>
      <c r="C131" s="787">
        <v>313.6616132339139</v>
      </c>
      <c r="D131" s="787">
        <v>0</v>
      </c>
      <c r="E131" s="787">
        <v>0</v>
      </c>
      <c r="F131" s="787">
        <v>0</v>
      </c>
      <c r="G131" s="787">
        <v>0</v>
      </c>
      <c r="H131" s="787">
        <v>1101.0317509857584</v>
      </c>
      <c r="I131" s="787">
        <v>0</v>
      </c>
      <c r="J131" s="787">
        <v>-35.447668104208347</v>
      </c>
      <c r="K131" s="787">
        <v>-220.55784781425248</v>
      </c>
      <c r="L131" s="40">
        <v>9998.9999999999982</v>
      </c>
      <c r="M131" s="36">
        <v>3.0381071073633179</v>
      </c>
      <c r="N131" s="42">
        <v>40.478297371078384</v>
      </c>
      <c r="O131" s="42">
        <v>35.196769302578744</v>
      </c>
      <c r="P131" s="42">
        <v>19.848844420199136</v>
      </c>
      <c r="Q131" s="42">
        <v>10.945259591810487</v>
      </c>
      <c r="R131" s="42">
        <v>11.362583512748257</v>
      </c>
      <c r="S131" s="42">
        <v>11.548755817664773</v>
      </c>
      <c r="T131" s="42">
        <v>11.127570552633079</v>
      </c>
      <c r="U131" s="42">
        <v>11.971513842061919</v>
      </c>
      <c r="V131" s="42">
        <v>10.580598603369195</v>
      </c>
      <c r="W131" s="42">
        <v>11.784035027276021</v>
      </c>
      <c r="X131" s="42">
        <v>9.4224363640473996</v>
      </c>
      <c r="Y131" s="42">
        <v>9.5592932345236221</v>
      </c>
      <c r="Z131" s="42"/>
      <c r="AA131" s="42">
        <v>18.940343926946486</v>
      </c>
      <c r="AB131" s="42">
        <v>15.562132663880977</v>
      </c>
      <c r="AC131" s="42">
        <v>9.4884472448569284</v>
      </c>
      <c r="AD131" s="42">
        <v>8.2788966203838452</v>
      </c>
      <c r="AE131" s="42">
        <v>8.4598459401113963</v>
      </c>
      <c r="AF131" s="42">
        <v>7.9309307484690992</v>
      </c>
      <c r="AG131" s="42">
        <v>8.966546897646424</v>
      </c>
      <c r="AH131" s="42">
        <v>8.0904788530045071</v>
      </c>
      <c r="AI131" s="42">
        <v>8.6562507454870588</v>
      </c>
      <c r="AJ131" s="42">
        <v>7.9974367429891364</v>
      </c>
      <c r="AK131" s="42">
        <v>8.7275991794640895</v>
      </c>
      <c r="AL131" s="42">
        <v>8.7367460306829123</v>
      </c>
      <c r="AM131" s="36"/>
      <c r="AN131" s="36"/>
      <c r="AO131" s="36"/>
      <c r="AP131" s="36"/>
      <c r="AQ131" s="36"/>
      <c r="AR131" s="36"/>
      <c r="AS131" s="781"/>
      <c r="AT131" s="36"/>
      <c r="AU131" s="36"/>
      <c r="AV131" s="36"/>
      <c r="AW131" s="36"/>
      <c r="AX131" s="36"/>
      <c r="AY131" s="36"/>
      <c r="AZ131" s="781"/>
      <c r="BA131" s="36"/>
      <c r="BB131" s="36"/>
      <c r="BC131" s="36"/>
      <c r="BD131" s="36"/>
      <c r="BE131" s="36"/>
      <c r="BF131" s="36"/>
      <c r="BG131" s="36"/>
      <c r="BH131" s="781"/>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781"/>
      <c r="CE131" s="36"/>
      <c r="CF131" s="36"/>
      <c r="CG131" s="36"/>
      <c r="CH131" s="36"/>
      <c r="CI131" s="36"/>
      <c r="CJ131" s="36"/>
      <c r="CK131" s="36"/>
      <c r="CL131" s="36"/>
      <c r="CM131" s="36"/>
      <c r="CN131" s="36"/>
      <c r="CO131" s="36"/>
      <c r="CP131" s="36"/>
      <c r="CQ131" s="36"/>
      <c r="CR131" s="36"/>
      <c r="CS131" s="36"/>
      <c r="CT131" s="36"/>
      <c r="CU131" s="36"/>
      <c r="CV131" s="36"/>
      <c r="CW131" s="781"/>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row>
    <row r="132" spans="1:131">
      <c r="A132" s="9"/>
      <c r="B132" s="50" t="s">
        <v>1545</v>
      </c>
      <c r="C132" s="787">
        <v>402.93193787332473</v>
      </c>
      <c r="D132" s="787">
        <v>778.90275284610243</v>
      </c>
      <c r="E132" s="787">
        <v>155.78055056922051</v>
      </c>
      <c r="F132" s="787">
        <v>934.68330341532294</v>
      </c>
      <c r="G132" s="787">
        <v>1174.8170341972625</v>
      </c>
      <c r="H132" s="787">
        <v>1763.4459988345241</v>
      </c>
      <c r="I132" s="787">
        <v>20320.617375563685</v>
      </c>
      <c r="J132" s="787">
        <v>92.881560374487435</v>
      </c>
      <c r="K132" s="787">
        <v>-69.757416054388372</v>
      </c>
      <c r="L132" s="40">
        <v>1591.4690019651541</v>
      </c>
      <c r="M132" s="36">
        <v>4.1085888632965339</v>
      </c>
      <c r="N132" s="42">
        <v>5.560296841735858</v>
      </c>
      <c r="O132" s="42">
        <v>4.841284981138231</v>
      </c>
      <c r="P132" s="42">
        <v>2.9781648273455987</v>
      </c>
      <c r="Q132" s="42">
        <v>1.8716458795755555</v>
      </c>
      <c r="R132" s="42">
        <v>1.9039149721072954</v>
      </c>
      <c r="S132" s="42">
        <v>1.9629481509212723</v>
      </c>
      <c r="T132" s="42">
        <v>1.9721165491169312</v>
      </c>
      <c r="U132" s="42">
        <v>2.0668712914683045</v>
      </c>
      <c r="V132" s="42">
        <v>1.8208632795950805</v>
      </c>
      <c r="W132" s="42">
        <v>2.0044212277883369</v>
      </c>
      <c r="X132" s="42">
        <v>1.601542734315097</v>
      </c>
      <c r="Y132" s="42">
        <v>1.6446272895797323</v>
      </c>
      <c r="Z132" s="42"/>
      <c r="AA132" s="42">
        <v>2.6159583337527494</v>
      </c>
      <c r="AB132" s="42">
        <v>2.1456913760610905</v>
      </c>
      <c r="AC132" s="42">
        <v>1.3636987187859861</v>
      </c>
      <c r="AD132" s="42">
        <v>1.2842499632444999</v>
      </c>
      <c r="AE132" s="42">
        <v>1.3139634324285476</v>
      </c>
      <c r="AF132" s="42">
        <v>1.2303797677046326</v>
      </c>
      <c r="AG132" s="42">
        <v>1.4897559589788463</v>
      </c>
      <c r="AH132" s="42">
        <v>1.2399368417978716</v>
      </c>
      <c r="AI132" s="42">
        <v>1.3416441358142737</v>
      </c>
      <c r="AJ132" s="42">
        <v>1.1879249946214485</v>
      </c>
      <c r="AK132" s="42">
        <v>1.3296348319246014</v>
      </c>
      <c r="AL132" s="42">
        <v>1.3373442362591685</v>
      </c>
      <c r="AM132" s="36"/>
      <c r="AN132" s="36"/>
      <c r="AO132" s="36"/>
      <c r="AP132" s="36"/>
      <c r="AQ132" s="36"/>
      <c r="AR132" s="36"/>
      <c r="AS132" s="781"/>
      <c r="AT132" s="36"/>
      <c r="AU132" s="36"/>
      <c r="AV132" s="36"/>
      <c r="AW132" s="36"/>
      <c r="AX132" s="36"/>
      <c r="AY132" s="36"/>
      <c r="AZ132" s="781"/>
      <c r="BA132" s="36"/>
      <c r="BB132" s="36"/>
      <c r="BC132" s="36"/>
      <c r="BD132" s="36"/>
      <c r="BE132" s="36"/>
      <c r="BF132" s="36"/>
      <c r="BG132" s="36"/>
      <c r="BH132" s="781"/>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781"/>
      <c r="CE132" s="36"/>
      <c r="CF132" s="36"/>
      <c r="CG132" s="36"/>
      <c r="CH132" s="36"/>
      <c r="CI132" s="36"/>
      <c r="CJ132" s="36"/>
      <c r="CK132" s="36"/>
      <c r="CL132" s="36"/>
      <c r="CM132" s="36"/>
      <c r="CN132" s="36"/>
      <c r="CO132" s="36"/>
      <c r="CP132" s="36"/>
      <c r="CQ132" s="36"/>
      <c r="CR132" s="36"/>
      <c r="CS132" s="36"/>
      <c r="CT132" s="36"/>
      <c r="CU132" s="36"/>
      <c r="CV132" s="36"/>
      <c r="CW132" s="781"/>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row>
    <row r="133" spans="1:131">
      <c r="A133" s="9"/>
      <c r="B133" s="50" t="s">
        <v>1546</v>
      </c>
      <c r="C133" s="788"/>
      <c r="D133" s="788"/>
      <c r="E133" s="788"/>
      <c r="F133" s="788"/>
      <c r="G133" s="788"/>
      <c r="H133" s="788"/>
      <c r="I133" s="788"/>
      <c r="J133" s="788"/>
      <c r="K133" s="788"/>
      <c r="L133" s="781"/>
      <c r="M133" s="789"/>
      <c r="N133" s="789"/>
      <c r="O133" s="789"/>
      <c r="P133" s="789"/>
      <c r="Q133" s="789"/>
      <c r="R133" s="789"/>
      <c r="S133" s="789"/>
      <c r="T133" s="789"/>
      <c r="U133" s="789"/>
      <c r="V133" s="789"/>
      <c r="W133" s="789"/>
      <c r="X133" s="789"/>
      <c r="Y133" s="789"/>
      <c r="Z133" s="789"/>
      <c r="AA133" s="789"/>
      <c r="AB133" s="789"/>
      <c r="AC133" s="789"/>
      <c r="AD133" s="789"/>
      <c r="AE133" s="789"/>
      <c r="AF133" s="789"/>
      <c r="AG133" s="789"/>
      <c r="AH133" s="789"/>
      <c r="AI133" s="789"/>
      <c r="AJ133" s="789"/>
      <c r="AK133" s="789"/>
      <c r="AL133" s="789"/>
      <c r="AM133" s="36"/>
      <c r="AN133" s="36"/>
      <c r="AO133" s="36"/>
      <c r="AP133" s="36"/>
      <c r="AQ133" s="36"/>
      <c r="AR133" s="36"/>
      <c r="AS133" s="781"/>
      <c r="AT133" s="36"/>
      <c r="AU133" s="36"/>
      <c r="AV133" s="36"/>
      <c r="AW133" s="36"/>
      <c r="AX133" s="36"/>
      <c r="AY133" s="36"/>
      <c r="AZ133" s="781"/>
      <c r="BA133" s="36"/>
      <c r="BB133" s="36"/>
      <c r="BC133" s="36"/>
      <c r="BD133" s="36"/>
      <c r="BE133" s="36"/>
      <c r="BF133" s="36"/>
      <c r="BG133" s="36"/>
      <c r="BH133" s="781"/>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781"/>
      <c r="CE133" s="36"/>
      <c r="CF133" s="36"/>
      <c r="CG133" s="36"/>
      <c r="CH133" s="36"/>
      <c r="CI133" s="36"/>
      <c r="CJ133" s="36"/>
      <c r="CK133" s="36"/>
      <c r="CL133" s="36"/>
      <c r="CM133" s="36"/>
      <c r="CN133" s="36"/>
      <c r="CO133" s="36"/>
      <c r="CP133" s="36"/>
      <c r="CQ133" s="36"/>
      <c r="CR133" s="36"/>
      <c r="CS133" s="36"/>
      <c r="CT133" s="36"/>
      <c r="CU133" s="36"/>
      <c r="CV133" s="36"/>
      <c r="CW133" s="781"/>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row>
    <row r="134" spans="1:131">
      <c r="A134" s="9"/>
      <c r="B134" s="9" t="s">
        <v>75</v>
      </c>
      <c r="C134" s="36">
        <v>402.93193787332473</v>
      </c>
      <c r="D134" s="36">
        <v>778.90275284610243</v>
      </c>
      <c r="E134" s="36">
        <v>155.78055056922051</v>
      </c>
      <c r="F134" s="36">
        <v>934.68330341532294</v>
      </c>
      <c r="G134" s="36">
        <v>1174.8170341972625</v>
      </c>
      <c r="H134" s="36">
        <v>1763.4459988345241</v>
      </c>
      <c r="I134" s="36">
        <v>20320.617375563685</v>
      </c>
      <c r="J134" s="36">
        <v>92.881560374487435</v>
      </c>
      <c r="K134" s="36">
        <v>-69.757416054388372</v>
      </c>
      <c r="L134" s="40">
        <v>1591.4690019651541</v>
      </c>
      <c r="M134" s="36">
        <v>4.1085888632965339</v>
      </c>
      <c r="N134" s="42">
        <v>44.901685096838328</v>
      </c>
      <c r="O134" s="42">
        <v>39.134501716090725</v>
      </c>
      <c r="P134" s="42">
        <v>24.788195839401254</v>
      </c>
      <c r="Q134" s="42">
        <v>16.149873153353116</v>
      </c>
      <c r="R134" s="42">
        <v>16.394656462687625</v>
      </c>
      <c r="S134" s="42">
        <v>16.986136894706249</v>
      </c>
      <c r="T134" s="42">
        <v>17.228510643843148</v>
      </c>
      <c r="U134" s="42">
        <v>17.977722973851758</v>
      </c>
      <c r="V134" s="42">
        <v>15.8145316335847</v>
      </c>
      <c r="W134" s="42">
        <v>17.315220920521302</v>
      </c>
      <c r="X134" s="42">
        <v>13.830392457444633</v>
      </c>
      <c r="Y134" s="42">
        <v>14.22419442575092</v>
      </c>
      <c r="Z134" s="42"/>
      <c r="AA134" s="42">
        <v>21.125272049894757</v>
      </c>
      <c r="AB134" s="42">
        <v>17.325279325207571</v>
      </c>
      <c r="AC134" s="42">
        <v>11.175900986752307</v>
      </c>
      <c r="AD134" s="42">
        <v>10.748176059298375</v>
      </c>
      <c r="AE134" s="42">
        <v>11.012937525040369</v>
      </c>
      <c r="AF134" s="42">
        <v>10.337057214516884</v>
      </c>
      <c r="AG134" s="42">
        <v>12.707771204344304</v>
      </c>
      <c r="AH134" s="42">
        <v>10.411660078538539</v>
      </c>
      <c r="AI134" s="42">
        <v>11.282889678655852</v>
      </c>
      <c r="AJ134" s="42">
        <v>9.8622568832368227</v>
      </c>
      <c r="AK134" s="42">
        <v>11.057087286029256</v>
      </c>
      <c r="AL134" s="42">
        <v>11.140027363735882</v>
      </c>
      <c r="AM134" s="36"/>
      <c r="AN134" s="36"/>
      <c r="AO134" s="36"/>
      <c r="AP134" s="36"/>
      <c r="AQ134" s="36"/>
      <c r="AR134" s="36"/>
      <c r="AS134" s="781"/>
      <c r="AT134" s="36"/>
      <c r="AU134" s="36"/>
      <c r="AV134" s="36"/>
      <c r="AW134" s="36"/>
      <c r="AX134" s="36"/>
      <c r="AY134" s="36"/>
      <c r="AZ134" s="781"/>
      <c r="BA134" s="36"/>
      <c r="BB134" s="36"/>
      <c r="BC134" s="36"/>
      <c r="BD134" s="36"/>
      <c r="BE134" s="36"/>
      <c r="BF134" s="36"/>
      <c r="BG134" s="36"/>
      <c r="BH134" s="781"/>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781"/>
      <c r="CE134" s="36"/>
      <c r="CF134" s="36"/>
      <c r="CG134" s="36"/>
      <c r="CH134" s="36"/>
      <c r="CI134" s="36"/>
      <c r="CJ134" s="36"/>
      <c r="CK134" s="36"/>
      <c r="CL134" s="36"/>
      <c r="CM134" s="36"/>
      <c r="CN134" s="36"/>
      <c r="CO134" s="36"/>
      <c r="CP134" s="36"/>
      <c r="CQ134" s="36"/>
      <c r="CR134" s="36"/>
      <c r="CS134" s="36"/>
      <c r="CT134" s="36"/>
      <c r="CU134" s="36"/>
      <c r="CV134" s="36"/>
      <c r="CW134" s="781"/>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row>
    <row r="135" spans="1:131">
      <c r="A135" s="9"/>
      <c r="B135" s="9" t="s">
        <v>1547</v>
      </c>
      <c r="C135" s="789">
        <v>0</v>
      </c>
      <c r="D135" s="789">
        <v>0</v>
      </c>
      <c r="E135" s="789">
        <v>0</v>
      </c>
      <c r="F135" s="789">
        <v>0</v>
      </c>
      <c r="G135" s="789">
        <v>0</v>
      </c>
      <c r="H135" s="789">
        <v>0</v>
      </c>
      <c r="I135" s="789">
        <v>0</v>
      </c>
      <c r="J135" s="789">
        <v>0</v>
      </c>
      <c r="K135" s="789">
        <v>0</v>
      </c>
      <c r="L135" s="790">
        <v>0</v>
      </c>
      <c r="M135" s="789">
        <v>0</v>
      </c>
      <c r="N135" s="789">
        <v>0</v>
      </c>
      <c r="O135" s="789">
        <v>0</v>
      </c>
      <c r="P135" s="789">
        <v>0</v>
      </c>
      <c r="Q135" s="789">
        <v>0</v>
      </c>
      <c r="R135" s="789">
        <v>0</v>
      </c>
      <c r="S135" s="789">
        <v>0</v>
      </c>
      <c r="T135" s="789">
        <v>0</v>
      </c>
      <c r="U135" s="789">
        <v>0</v>
      </c>
      <c r="V135" s="789">
        <v>0</v>
      </c>
      <c r="W135" s="789">
        <v>0</v>
      </c>
      <c r="X135" s="789">
        <v>0</v>
      </c>
      <c r="Y135" s="789">
        <v>0</v>
      </c>
      <c r="Z135" s="789"/>
      <c r="AA135" s="789">
        <v>0</v>
      </c>
      <c r="AB135" s="789">
        <v>0</v>
      </c>
      <c r="AC135" s="789">
        <v>0</v>
      </c>
      <c r="AD135" s="789">
        <v>0</v>
      </c>
      <c r="AE135" s="789">
        <v>0</v>
      </c>
      <c r="AF135" s="789">
        <v>0</v>
      </c>
      <c r="AG135" s="789">
        <v>0</v>
      </c>
      <c r="AH135" s="789">
        <v>0</v>
      </c>
      <c r="AI135" s="789">
        <v>0</v>
      </c>
      <c r="AJ135" s="789">
        <v>0</v>
      </c>
      <c r="AK135" s="789">
        <v>0</v>
      </c>
      <c r="AL135" s="789">
        <v>0</v>
      </c>
      <c r="AM135" s="36"/>
      <c r="AN135" s="36"/>
      <c r="AO135" s="36"/>
      <c r="AP135" s="36"/>
      <c r="AQ135" s="36"/>
      <c r="AR135" s="36"/>
      <c r="AS135" s="781"/>
      <c r="AT135" s="36"/>
      <c r="AU135" s="36"/>
      <c r="AV135" s="36"/>
      <c r="AW135" s="36"/>
      <c r="AX135" s="36"/>
      <c r="AY135" s="36"/>
      <c r="AZ135" s="781"/>
      <c r="BA135" s="36"/>
      <c r="BB135" s="36"/>
      <c r="BC135" s="36"/>
      <c r="BD135" s="36"/>
      <c r="BE135" s="36"/>
      <c r="BF135" s="36"/>
      <c r="BG135" s="36"/>
      <c r="BH135" s="781"/>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781"/>
      <c r="CE135" s="36"/>
      <c r="CF135" s="36"/>
      <c r="CG135" s="36"/>
      <c r="CH135" s="36"/>
      <c r="CI135" s="36"/>
      <c r="CJ135" s="36"/>
      <c r="CK135" s="36"/>
      <c r="CL135" s="36"/>
      <c r="CM135" s="36"/>
      <c r="CN135" s="36"/>
      <c r="CO135" s="36"/>
      <c r="CP135" s="36"/>
      <c r="CQ135" s="36"/>
      <c r="CR135" s="36"/>
      <c r="CS135" s="36"/>
      <c r="CT135" s="36"/>
      <c r="CU135" s="36"/>
      <c r="CV135" s="36"/>
      <c r="CW135" s="781"/>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row>
    <row r="136" spans="1:131">
      <c r="A136" s="9"/>
      <c r="B136" s="9" t="s">
        <v>80</v>
      </c>
      <c r="C136" s="789">
        <v>0</v>
      </c>
      <c r="D136" s="789">
        <v>0</v>
      </c>
      <c r="E136" s="789">
        <v>0</v>
      </c>
      <c r="F136" s="789">
        <v>0</v>
      </c>
      <c r="G136" s="789">
        <v>0</v>
      </c>
      <c r="H136" s="789">
        <v>0</v>
      </c>
      <c r="I136" s="789">
        <v>0</v>
      </c>
      <c r="J136" s="789">
        <v>0</v>
      </c>
      <c r="K136" s="789">
        <v>0</v>
      </c>
      <c r="L136" s="790">
        <v>0</v>
      </c>
      <c r="M136" s="789">
        <v>0</v>
      </c>
      <c r="N136" s="789">
        <v>0</v>
      </c>
      <c r="O136" s="789">
        <v>0</v>
      </c>
      <c r="P136" s="789">
        <v>0</v>
      </c>
      <c r="Q136" s="789">
        <v>0</v>
      </c>
      <c r="R136" s="789">
        <v>0</v>
      </c>
      <c r="S136" s="789">
        <v>0</v>
      </c>
      <c r="T136" s="789">
        <v>0</v>
      </c>
      <c r="U136" s="789">
        <v>0</v>
      </c>
      <c r="V136" s="789">
        <v>0</v>
      </c>
      <c r="W136" s="789">
        <v>0</v>
      </c>
      <c r="X136" s="789">
        <v>0</v>
      </c>
      <c r="Y136" s="789">
        <v>0</v>
      </c>
      <c r="Z136" s="789"/>
      <c r="AA136" s="789">
        <v>0</v>
      </c>
      <c r="AB136" s="789">
        <v>0</v>
      </c>
      <c r="AC136" s="789">
        <v>0</v>
      </c>
      <c r="AD136" s="789">
        <v>0</v>
      </c>
      <c r="AE136" s="789">
        <v>0</v>
      </c>
      <c r="AF136" s="789">
        <v>0</v>
      </c>
      <c r="AG136" s="789">
        <v>0</v>
      </c>
      <c r="AH136" s="789">
        <v>0</v>
      </c>
      <c r="AI136" s="789">
        <v>0</v>
      </c>
      <c r="AJ136" s="789">
        <v>0</v>
      </c>
      <c r="AK136" s="789">
        <v>0</v>
      </c>
      <c r="AL136" s="789">
        <v>0</v>
      </c>
      <c r="AM136" s="36"/>
      <c r="AN136" s="36"/>
      <c r="AO136" s="36"/>
      <c r="AP136" s="36"/>
      <c r="AQ136" s="36"/>
      <c r="AR136" s="36"/>
      <c r="AS136" s="781"/>
      <c r="AT136" s="36"/>
      <c r="AU136" s="36"/>
      <c r="AV136" s="36"/>
      <c r="AW136" s="36"/>
      <c r="AX136" s="36"/>
      <c r="AY136" s="36"/>
      <c r="AZ136" s="781"/>
      <c r="BA136" s="36"/>
      <c r="BB136" s="36"/>
      <c r="BC136" s="36"/>
      <c r="BD136" s="36"/>
      <c r="BE136" s="36"/>
      <c r="BF136" s="36"/>
      <c r="BG136" s="36"/>
      <c r="BH136" s="781"/>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781"/>
      <c r="CE136" s="36"/>
      <c r="CF136" s="36"/>
      <c r="CG136" s="36"/>
      <c r="CH136" s="36"/>
      <c r="CI136" s="36"/>
      <c r="CJ136" s="36"/>
      <c r="CK136" s="36"/>
      <c r="CL136" s="36"/>
      <c r="CM136" s="36"/>
      <c r="CN136" s="36"/>
      <c r="CO136" s="36"/>
      <c r="CP136" s="36"/>
      <c r="CQ136" s="36"/>
      <c r="CR136" s="36"/>
      <c r="CS136" s="36"/>
      <c r="CT136" s="36"/>
      <c r="CU136" s="36"/>
      <c r="CV136" s="36"/>
      <c r="CW136" s="781"/>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row>
    <row r="137" spans="1:131">
      <c r="A137" s="9"/>
      <c r="B137" s="9" t="s">
        <v>83</v>
      </c>
      <c r="C137" s="789">
        <v>0</v>
      </c>
      <c r="D137" s="789">
        <v>0</v>
      </c>
      <c r="E137" s="789">
        <v>0</v>
      </c>
      <c r="F137" s="789">
        <v>0</v>
      </c>
      <c r="G137" s="789">
        <v>0</v>
      </c>
      <c r="H137" s="789">
        <v>0</v>
      </c>
      <c r="I137" s="789">
        <v>0</v>
      </c>
      <c r="J137" s="789">
        <v>0</v>
      </c>
      <c r="K137" s="789">
        <v>0</v>
      </c>
      <c r="L137" s="790">
        <v>0</v>
      </c>
      <c r="M137" s="789">
        <v>0</v>
      </c>
      <c r="N137" s="789">
        <v>0</v>
      </c>
      <c r="O137" s="789">
        <v>0</v>
      </c>
      <c r="P137" s="789">
        <v>0</v>
      </c>
      <c r="Q137" s="789">
        <v>0</v>
      </c>
      <c r="R137" s="789">
        <v>0</v>
      </c>
      <c r="S137" s="789">
        <v>0</v>
      </c>
      <c r="T137" s="789">
        <v>0</v>
      </c>
      <c r="U137" s="789">
        <v>0</v>
      </c>
      <c r="V137" s="789">
        <v>0</v>
      </c>
      <c r="W137" s="789">
        <v>0</v>
      </c>
      <c r="X137" s="789">
        <v>0</v>
      </c>
      <c r="Y137" s="789">
        <v>0</v>
      </c>
      <c r="Z137" s="789"/>
      <c r="AA137" s="789">
        <v>0</v>
      </c>
      <c r="AB137" s="789">
        <v>0</v>
      </c>
      <c r="AC137" s="789">
        <v>0</v>
      </c>
      <c r="AD137" s="789">
        <v>0</v>
      </c>
      <c r="AE137" s="789">
        <v>0</v>
      </c>
      <c r="AF137" s="789">
        <v>0</v>
      </c>
      <c r="AG137" s="789">
        <v>0</v>
      </c>
      <c r="AH137" s="789">
        <v>0</v>
      </c>
      <c r="AI137" s="789">
        <v>0</v>
      </c>
      <c r="AJ137" s="789">
        <v>0</v>
      </c>
      <c r="AK137" s="789">
        <v>0</v>
      </c>
      <c r="AL137" s="789">
        <v>0</v>
      </c>
      <c r="AM137" s="36"/>
      <c r="AN137" s="36"/>
      <c r="AO137" s="36"/>
      <c r="AP137" s="36"/>
      <c r="AQ137" s="36"/>
      <c r="AR137" s="36"/>
      <c r="AS137" s="781"/>
      <c r="AT137" s="36"/>
      <c r="AU137" s="36"/>
      <c r="AV137" s="36"/>
      <c r="AW137" s="36"/>
      <c r="AX137" s="36"/>
      <c r="AY137" s="36"/>
      <c r="AZ137" s="781"/>
      <c r="BA137" s="36"/>
      <c r="BB137" s="36"/>
      <c r="BC137" s="36"/>
      <c r="BD137" s="36"/>
      <c r="BE137" s="36"/>
      <c r="BF137" s="36"/>
      <c r="BG137" s="36"/>
      <c r="BH137" s="781"/>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781"/>
      <c r="CE137" s="36"/>
      <c r="CF137" s="36"/>
      <c r="CG137" s="36"/>
      <c r="CH137" s="36"/>
      <c r="CI137" s="36"/>
      <c r="CJ137" s="36"/>
      <c r="CK137" s="36"/>
      <c r="CL137" s="36"/>
      <c r="CM137" s="36"/>
      <c r="CN137" s="36"/>
      <c r="CO137" s="36"/>
      <c r="CP137" s="36"/>
      <c r="CQ137" s="36"/>
      <c r="CR137" s="36"/>
      <c r="CS137" s="36"/>
      <c r="CT137" s="36"/>
      <c r="CU137" s="36"/>
      <c r="CV137" s="36"/>
      <c r="CW137" s="781"/>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row>
    <row r="138" spans="1:131">
      <c r="A138" s="9"/>
      <c r="B138" s="9" t="s">
        <v>86</v>
      </c>
      <c r="C138" s="789">
        <v>0</v>
      </c>
      <c r="D138" s="789">
        <v>0</v>
      </c>
      <c r="E138" s="789">
        <v>0</v>
      </c>
      <c r="F138" s="789">
        <v>0</v>
      </c>
      <c r="G138" s="789">
        <v>0</v>
      </c>
      <c r="H138" s="789">
        <v>0</v>
      </c>
      <c r="I138" s="789">
        <v>0</v>
      </c>
      <c r="J138" s="789">
        <v>0</v>
      </c>
      <c r="K138" s="789">
        <v>0</v>
      </c>
      <c r="L138" s="790">
        <v>0</v>
      </c>
      <c r="M138" s="789">
        <v>0</v>
      </c>
      <c r="N138" s="789">
        <v>0</v>
      </c>
      <c r="O138" s="789">
        <v>0</v>
      </c>
      <c r="P138" s="789">
        <v>0</v>
      </c>
      <c r="Q138" s="789">
        <v>0</v>
      </c>
      <c r="R138" s="789">
        <v>0</v>
      </c>
      <c r="S138" s="789">
        <v>0</v>
      </c>
      <c r="T138" s="789">
        <v>0</v>
      </c>
      <c r="U138" s="789">
        <v>0</v>
      </c>
      <c r="V138" s="789">
        <v>0</v>
      </c>
      <c r="W138" s="789">
        <v>0</v>
      </c>
      <c r="X138" s="789">
        <v>0</v>
      </c>
      <c r="Y138" s="789">
        <v>0</v>
      </c>
      <c r="Z138" s="789"/>
      <c r="AA138" s="789">
        <v>0</v>
      </c>
      <c r="AB138" s="789">
        <v>0</v>
      </c>
      <c r="AC138" s="789">
        <v>0</v>
      </c>
      <c r="AD138" s="789">
        <v>0</v>
      </c>
      <c r="AE138" s="789">
        <v>0</v>
      </c>
      <c r="AF138" s="789">
        <v>0</v>
      </c>
      <c r="AG138" s="789">
        <v>0</v>
      </c>
      <c r="AH138" s="789">
        <v>0</v>
      </c>
      <c r="AI138" s="789">
        <v>0</v>
      </c>
      <c r="AJ138" s="789">
        <v>0</v>
      </c>
      <c r="AK138" s="789">
        <v>0</v>
      </c>
      <c r="AL138" s="789">
        <v>0</v>
      </c>
      <c r="AM138" s="36"/>
      <c r="AN138" s="36"/>
      <c r="AO138" s="36"/>
      <c r="AP138" s="36"/>
      <c r="AQ138" s="36"/>
      <c r="AR138" s="36"/>
      <c r="AS138" s="781"/>
      <c r="AT138" s="36"/>
      <c r="AU138" s="36"/>
      <c r="AV138" s="36"/>
      <c r="AW138" s="36"/>
      <c r="AX138" s="36"/>
      <c r="AY138" s="36"/>
      <c r="AZ138" s="781"/>
      <c r="BA138" s="36"/>
      <c r="BB138" s="36"/>
      <c r="BC138" s="36"/>
      <c r="BD138" s="36"/>
      <c r="BE138" s="36"/>
      <c r="BF138" s="36"/>
      <c r="BG138" s="36"/>
      <c r="BH138" s="781"/>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781"/>
      <c r="CE138" s="36"/>
      <c r="CF138" s="36"/>
      <c r="CG138" s="36"/>
      <c r="CH138" s="36"/>
      <c r="CI138" s="36"/>
      <c r="CJ138" s="36"/>
      <c r="CK138" s="36"/>
      <c r="CL138" s="36"/>
      <c r="CM138" s="36"/>
      <c r="CN138" s="36"/>
      <c r="CO138" s="36"/>
      <c r="CP138" s="36"/>
      <c r="CQ138" s="36"/>
      <c r="CR138" s="36"/>
      <c r="CS138" s="36"/>
      <c r="CT138" s="36"/>
      <c r="CU138" s="36"/>
      <c r="CV138" s="36"/>
      <c r="CW138" s="781"/>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row>
    <row r="139" spans="1:131">
      <c r="A139" s="9"/>
      <c r="B139" s="9" t="s">
        <v>89</v>
      </c>
      <c r="C139" s="789">
        <v>0</v>
      </c>
      <c r="D139" s="789">
        <v>0</v>
      </c>
      <c r="E139" s="789">
        <v>0</v>
      </c>
      <c r="F139" s="789">
        <v>0</v>
      </c>
      <c r="G139" s="789">
        <v>0</v>
      </c>
      <c r="H139" s="789">
        <v>0</v>
      </c>
      <c r="I139" s="789">
        <v>0</v>
      </c>
      <c r="J139" s="789">
        <v>0</v>
      </c>
      <c r="K139" s="789">
        <v>0</v>
      </c>
      <c r="L139" s="790">
        <v>0</v>
      </c>
      <c r="M139" s="789">
        <v>0</v>
      </c>
      <c r="N139" s="789">
        <v>0</v>
      </c>
      <c r="O139" s="789">
        <v>0</v>
      </c>
      <c r="P139" s="789">
        <v>0</v>
      </c>
      <c r="Q139" s="789">
        <v>0</v>
      </c>
      <c r="R139" s="789">
        <v>0</v>
      </c>
      <c r="S139" s="789">
        <v>0</v>
      </c>
      <c r="T139" s="789">
        <v>0</v>
      </c>
      <c r="U139" s="789">
        <v>0</v>
      </c>
      <c r="V139" s="789">
        <v>0</v>
      </c>
      <c r="W139" s="789">
        <v>0</v>
      </c>
      <c r="X139" s="789">
        <v>0</v>
      </c>
      <c r="Y139" s="789">
        <v>0</v>
      </c>
      <c r="Z139" s="789"/>
      <c r="AA139" s="789">
        <v>0</v>
      </c>
      <c r="AB139" s="789">
        <v>0</v>
      </c>
      <c r="AC139" s="789">
        <v>0</v>
      </c>
      <c r="AD139" s="789">
        <v>0</v>
      </c>
      <c r="AE139" s="789">
        <v>0</v>
      </c>
      <c r="AF139" s="789">
        <v>0</v>
      </c>
      <c r="AG139" s="789">
        <v>0</v>
      </c>
      <c r="AH139" s="789">
        <v>0</v>
      </c>
      <c r="AI139" s="789">
        <v>0</v>
      </c>
      <c r="AJ139" s="789">
        <v>0</v>
      </c>
      <c r="AK139" s="789">
        <v>0</v>
      </c>
      <c r="AL139" s="789">
        <v>0</v>
      </c>
      <c r="AM139" s="36"/>
      <c r="AN139" s="36"/>
      <c r="AO139" s="36"/>
      <c r="AP139" s="36"/>
      <c r="AQ139" s="36"/>
      <c r="AR139" s="36"/>
      <c r="AS139" s="781"/>
      <c r="AT139" s="36"/>
      <c r="AU139" s="36"/>
      <c r="AV139" s="36"/>
      <c r="AW139" s="36"/>
      <c r="AX139" s="36"/>
      <c r="AY139" s="36"/>
      <c r="AZ139" s="781"/>
      <c r="BA139" s="36"/>
      <c r="BB139" s="36"/>
      <c r="BC139" s="36"/>
      <c r="BD139" s="36"/>
      <c r="BE139" s="36"/>
      <c r="BF139" s="36"/>
      <c r="BG139" s="36"/>
      <c r="BH139" s="781"/>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781"/>
      <c r="CE139" s="36"/>
      <c r="CF139" s="36"/>
      <c r="CG139" s="36"/>
      <c r="CH139" s="36"/>
      <c r="CI139" s="36"/>
      <c r="CJ139" s="36"/>
      <c r="CK139" s="36"/>
      <c r="CL139" s="36"/>
      <c r="CM139" s="36"/>
      <c r="CN139" s="36"/>
      <c r="CO139" s="36"/>
      <c r="CP139" s="36"/>
      <c r="CQ139" s="36"/>
      <c r="CR139" s="36"/>
      <c r="CS139" s="36"/>
      <c r="CT139" s="36"/>
      <c r="CU139" s="36"/>
      <c r="CV139" s="36"/>
      <c r="CW139" s="781"/>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row>
    <row r="140" spans="1:131">
      <c r="A140" s="9"/>
      <c r="B140" s="9" t="s">
        <v>92</v>
      </c>
      <c r="C140" s="789">
        <v>0</v>
      </c>
      <c r="D140" s="789">
        <v>0</v>
      </c>
      <c r="E140" s="789">
        <v>0</v>
      </c>
      <c r="F140" s="789">
        <v>0</v>
      </c>
      <c r="G140" s="789">
        <v>0</v>
      </c>
      <c r="H140" s="789">
        <v>0</v>
      </c>
      <c r="I140" s="789">
        <v>0</v>
      </c>
      <c r="J140" s="789">
        <v>0</v>
      </c>
      <c r="K140" s="789">
        <v>0</v>
      </c>
      <c r="L140" s="790">
        <v>0</v>
      </c>
      <c r="M140" s="789">
        <v>0</v>
      </c>
      <c r="N140" s="789">
        <v>0</v>
      </c>
      <c r="O140" s="789">
        <v>0</v>
      </c>
      <c r="P140" s="789">
        <v>0</v>
      </c>
      <c r="Q140" s="789">
        <v>0</v>
      </c>
      <c r="R140" s="789">
        <v>0</v>
      </c>
      <c r="S140" s="789">
        <v>0</v>
      </c>
      <c r="T140" s="789">
        <v>0</v>
      </c>
      <c r="U140" s="789">
        <v>0</v>
      </c>
      <c r="V140" s="789">
        <v>0</v>
      </c>
      <c r="W140" s="789">
        <v>0</v>
      </c>
      <c r="X140" s="789">
        <v>0</v>
      </c>
      <c r="Y140" s="789">
        <v>0</v>
      </c>
      <c r="Z140" s="789"/>
      <c r="AA140" s="789">
        <v>0</v>
      </c>
      <c r="AB140" s="789">
        <v>0</v>
      </c>
      <c r="AC140" s="789">
        <v>0</v>
      </c>
      <c r="AD140" s="789">
        <v>0</v>
      </c>
      <c r="AE140" s="789">
        <v>0</v>
      </c>
      <c r="AF140" s="789">
        <v>0</v>
      </c>
      <c r="AG140" s="789">
        <v>0</v>
      </c>
      <c r="AH140" s="789">
        <v>0</v>
      </c>
      <c r="AI140" s="789">
        <v>0</v>
      </c>
      <c r="AJ140" s="789">
        <v>0</v>
      </c>
      <c r="AK140" s="789">
        <v>0</v>
      </c>
      <c r="AL140" s="789">
        <v>0</v>
      </c>
      <c r="AM140" s="36"/>
      <c r="AN140" s="36"/>
      <c r="AO140" s="36"/>
      <c r="AP140" s="36"/>
      <c r="AQ140" s="36"/>
      <c r="AR140" s="36"/>
      <c r="AS140" s="781"/>
      <c r="AT140" s="36"/>
      <c r="AU140" s="36"/>
      <c r="AV140" s="36"/>
      <c r="AW140" s="36"/>
      <c r="AX140" s="36"/>
      <c r="AY140" s="36"/>
      <c r="AZ140" s="781"/>
      <c r="BA140" s="36"/>
      <c r="BB140" s="36"/>
      <c r="BC140" s="36"/>
      <c r="BD140" s="36"/>
      <c r="BE140" s="36"/>
      <c r="BF140" s="36"/>
      <c r="BG140" s="36"/>
      <c r="BH140" s="781"/>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781"/>
      <c r="CE140" s="36"/>
      <c r="CF140" s="36"/>
      <c r="CG140" s="36"/>
      <c r="CH140" s="36"/>
      <c r="CI140" s="36"/>
      <c r="CJ140" s="36"/>
      <c r="CK140" s="36"/>
      <c r="CL140" s="36"/>
      <c r="CM140" s="36"/>
      <c r="CN140" s="36"/>
      <c r="CO140" s="36"/>
      <c r="CP140" s="36"/>
      <c r="CQ140" s="36"/>
      <c r="CR140" s="36"/>
      <c r="CS140" s="36"/>
      <c r="CT140" s="36"/>
      <c r="CU140" s="36"/>
      <c r="CV140" s="36"/>
      <c r="CW140" s="781"/>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row>
    <row r="141" spans="1:131">
      <c r="A141" s="9"/>
      <c r="B141" s="9" t="s">
        <v>95</v>
      </c>
      <c r="C141" s="789">
        <v>0</v>
      </c>
      <c r="D141" s="789">
        <v>0</v>
      </c>
      <c r="E141" s="789">
        <v>0</v>
      </c>
      <c r="F141" s="789">
        <v>0</v>
      </c>
      <c r="G141" s="789">
        <v>0</v>
      </c>
      <c r="H141" s="789">
        <v>0</v>
      </c>
      <c r="I141" s="789">
        <v>0</v>
      </c>
      <c r="J141" s="789">
        <v>0</v>
      </c>
      <c r="K141" s="789">
        <v>0</v>
      </c>
      <c r="L141" s="790">
        <v>0</v>
      </c>
      <c r="M141" s="789">
        <v>0</v>
      </c>
      <c r="N141" s="789">
        <v>0</v>
      </c>
      <c r="O141" s="789">
        <v>0</v>
      </c>
      <c r="P141" s="789">
        <v>0</v>
      </c>
      <c r="Q141" s="789">
        <v>0</v>
      </c>
      <c r="R141" s="789">
        <v>0</v>
      </c>
      <c r="S141" s="789">
        <v>0</v>
      </c>
      <c r="T141" s="789">
        <v>0</v>
      </c>
      <c r="U141" s="789">
        <v>0</v>
      </c>
      <c r="V141" s="789">
        <v>0</v>
      </c>
      <c r="W141" s="789">
        <v>0</v>
      </c>
      <c r="X141" s="789">
        <v>0</v>
      </c>
      <c r="Y141" s="789">
        <v>0</v>
      </c>
      <c r="Z141" s="789"/>
      <c r="AA141" s="789">
        <v>0</v>
      </c>
      <c r="AB141" s="789">
        <v>0</v>
      </c>
      <c r="AC141" s="789">
        <v>0</v>
      </c>
      <c r="AD141" s="789">
        <v>0</v>
      </c>
      <c r="AE141" s="789">
        <v>0</v>
      </c>
      <c r="AF141" s="789">
        <v>0</v>
      </c>
      <c r="AG141" s="789">
        <v>0</v>
      </c>
      <c r="AH141" s="789">
        <v>0</v>
      </c>
      <c r="AI141" s="789">
        <v>0</v>
      </c>
      <c r="AJ141" s="789">
        <v>0</v>
      </c>
      <c r="AK141" s="789">
        <v>0</v>
      </c>
      <c r="AL141" s="789">
        <v>0</v>
      </c>
      <c r="AM141" s="36"/>
      <c r="AN141" s="36"/>
      <c r="AO141" s="36"/>
      <c r="AP141" s="36"/>
      <c r="AQ141" s="36"/>
      <c r="AR141" s="36"/>
      <c r="AS141" s="781"/>
      <c r="AT141" s="36"/>
      <c r="AU141" s="36"/>
      <c r="AV141" s="36"/>
      <c r="AW141" s="36"/>
      <c r="AX141" s="36"/>
      <c r="AY141" s="36"/>
      <c r="AZ141" s="781"/>
      <c r="BA141" s="36"/>
      <c r="BB141" s="36"/>
      <c r="BC141" s="36"/>
      <c r="BD141" s="36"/>
      <c r="BE141" s="36"/>
      <c r="BF141" s="36"/>
      <c r="BG141" s="36"/>
      <c r="BH141" s="781"/>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781"/>
      <c r="CE141" s="36"/>
      <c r="CF141" s="36"/>
      <c r="CG141" s="36"/>
      <c r="CH141" s="36"/>
      <c r="CI141" s="36"/>
      <c r="CJ141" s="36"/>
      <c r="CK141" s="36"/>
      <c r="CL141" s="36"/>
      <c r="CM141" s="36"/>
      <c r="CN141" s="36"/>
      <c r="CO141" s="36"/>
      <c r="CP141" s="36"/>
      <c r="CQ141" s="36"/>
      <c r="CR141" s="36"/>
      <c r="CS141" s="36"/>
      <c r="CT141" s="36"/>
      <c r="CU141" s="36"/>
      <c r="CV141" s="36"/>
      <c r="CW141" s="781"/>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row>
    <row r="142" spans="1:131">
      <c r="A142" s="9"/>
      <c r="B142" s="9" t="s">
        <v>98</v>
      </c>
      <c r="C142" s="789">
        <v>0</v>
      </c>
      <c r="D142" s="789">
        <v>0</v>
      </c>
      <c r="E142" s="789">
        <v>0</v>
      </c>
      <c r="F142" s="789">
        <v>0</v>
      </c>
      <c r="G142" s="789">
        <v>0</v>
      </c>
      <c r="H142" s="789">
        <v>0</v>
      </c>
      <c r="I142" s="789">
        <v>0</v>
      </c>
      <c r="J142" s="789">
        <v>0</v>
      </c>
      <c r="K142" s="789">
        <v>0</v>
      </c>
      <c r="L142" s="790">
        <v>0</v>
      </c>
      <c r="M142" s="789">
        <v>0</v>
      </c>
      <c r="N142" s="789">
        <v>0</v>
      </c>
      <c r="O142" s="789">
        <v>0</v>
      </c>
      <c r="P142" s="789">
        <v>0</v>
      </c>
      <c r="Q142" s="789">
        <v>0</v>
      </c>
      <c r="R142" s="789">
        <v>0</v>
      </c>
      <c r="S142" s="789">
        <v>0</v>
      </c>
      <c r="T142" s="789">
        <v>0</v>
      </c>
      <c r="U142" s="789">
        <v>0</v>
      </c>
      <c r="V142" s="789">
        <v>0</v>
      </c>
      <c r="W142" s="789">
        <v>0</v>
      </c>
      <c r="X142" s="789">
        <v>0</v>
      </c>
      <c r="Y142" s="789">
        <v>0</v>
      </c>
      <c r="Z142" s="789"/>
      <c r="AA142" s="789">
        <v>0</v>
      </c>
      <c r="AB142" s="789">
        <v>0</v>
      </c>
      <c r="AC142" s="789">
        <v>0</v>
      </c>
      <c r="AD142" s="789">
        <v>0</v>
      </c>
      <c r="AE142" s="789">
        <v>0</v>
      </c>
      <c r="AF142" s="789">
        <v>0</v>
      </c>
      <c r="AG142" s="789">
        <v>0</v>
      </c>
      <c r="AH142" s="789">
        <v>0</v>
      </c>
      <c r="AI142" s="789">
        <v>0</v>
      </c>
      <c r="AJ142" s="789">
        <v>0</v>
      </c>
      <c r="AK142" s="789">
        <v>0</v>
      </c>
      <c r="AL142" s="789">
        <v>0</v>
      </c>
      <c r="AM142" s="36"/>
      <c r="AN142" s="36"/>
      <c r="AO142" s="36"/>
      <c r="AP142" s="36"/>
      <c r="AQ142" s="36"/>
      <c r="AR142" s="36"/>
      <c r="AS142" s="781"/>
      <c r="AT142" s="36"/>
      <c r="AU142" s="36"/>
      <c r="AV142" s="36"/>
      <c r="AW142" s="36"/>
      <c r="AX142" s="36"/>
      <c r="AY142" s="36"/>
      <c r="AZ142" s="781"/>
      <c r="BA142" s="36"/>
      <c r="BB142" s="36"/>
      <c r="BC142" s="36"/>
      <c r="BD142" s="36"/>
      <c r="BE142" s="36"/>
      <c r="BF142" s="36"/>
      <c r="BG142" s="36"/>
      <c r="BH142" s="781"/>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781"/>
      <c r="CE142" s="36"/>
      <c r="CF142" s="36"/>
      <c r="CG142" s="36"/>
      <c r="CH142" s="36"/>
      <c r="CI142" s="36"/>
      <c r="CJ142" s="36"/>
      <c r="CK142" s="36"/>
      <c r="CL142" s="36"/>
      <c r="CM142" s="36"/>
      <c r="CN142" s="36"/>
      <c r="CO142" s="36"/>
      <c r="CP142" s="36"/>
      <c r="CQ142" s="36"/>
      <c r="CR142" s="36"/>
      <c r="CS142" s="36"/>
      <c r="CT142" s="36"/>
      <c r="CU142" s="36"/>
      <c r="CV142" s="36"/>
      <c r="CW142" s="781"/>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row>
    <row r="143" spans="1:131">
      <c r="A143" s="9"/>
      <c r="B143" s="9" t="s">
        <v>101</v>
      </c>
      <c r="C143" s="789">
        <v>0</v>
      </c>
      <c r="D143" s="789">
        <v>0</v>
      </c>
      <c r="E143" s="789">
        <v>0</v>
      </c>
      <c r="F143" s="789">
        <v>0</v>
      </c>
      <c r="G143" s="789">
        <v>0</v>
      </c>
      <c r="H143" s="789">
        <v>0</v>
      </c>
      <c r="I143" s="789">
        <v>0</v>
      </c>
      <c r="J143" s="789">
        <v>0</v>
      </c>
      <c r="K143" s="789">
        <v>0</v>
      </c>
      <c r="L143" s="790">
        <v>0</v>
      </c>
      <c r="M143" s="789">
        <v>0</v>
      </c>
      <c r="N143" s="789">
        <v>0</v>
      </c>
      <c r="O143" s="789">
        <v>0</v>
      </c>
      <c r="P143" s="789">
        <v>0</v>
      </c>
      <c r="Q143" s="789">
        <v>0</v>
      </c>
      <c r="R143" s="789">
        <v>0</v>
      </c>
      <c r="S143" s="789">
        <v>0</v>
      </c>
      <c r="T143" s="789">
        <v>0</v>
      </c>
      <c r="U143" s="789">
        <v>0</v>
      </c>
      <c r="V143" s="789">
        <v>0</v>
      </c>
      <c r="W143" s="789">
        <v>0</v>
      </c>
      <c r="X143" s="789">
        <v>0</v>
      </c>
      <c r="Y143" s="789">
        <v>0</v>
      </c>
      <c r="Z143" s="789"/>
      <c r="AA143" s="789">
        <v>0</v>
      </c>
      <c r="AB143" s="789">
        <v>0</v>
      </c>
      <c r="AC143" s="789">
        <v>0</v>
      </c>
      <c r="AD143" s="789">
        <v>0</v>
      </c>
      <c r="AE143" s="789">
        <v>0</v>
      </c>
      <c r="AF143" s="789">
        <v>0</v>
      </c>
      <c r="AG143" s="789">
        <v>0</v>
      </c>
      <c r="AH143" s="789">
        <v>0</v>
      </c>
      <c r="AI143" s="789">
        <v>0</v>
      </c>
      <c r="AJ143" s="789">
        <v>0</v>
      </c>
      <c r="AK143" s="789">
        <v>0</v>
      </c>
      <c r="AL143" s="789">
        <v>0</v>
      </c>
      <c r="AM143" s="36"/>
      <c r="AN143" s="36"/>
      <c r="AO143" s="36"/>
      <c r="AP143" s="36"/>
      <c r="AQ143" s="36"/>
      <c r="AR143" s="36"/>
      <c r="AS143" s="781"/>
      <c r="AT143" s="36"/>
      <c r="AU143" s="36"/>
      <c r="AV143" s="36"/>
      <c r="AW143" s="36"/>
      <c r="AX143" s="36"/>
      <c r="AY143" s="36"/>
      <c r="AZ143" s="781"/>
      <c r="BA143" s="36"/>
      <c r="BB143" s="36"/>
      <c r="BC143" s="36"/>
      <c r="BD143" s="36"/>
      <c r="BE143" s="36"/>
      <c r="BF143" s="36"/>
      <c r="BG143" s="36"/>
      <c r="BH143" s="781"/>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781"/>
      <c r="CE143" s="36"/>
      <c r="CF143" s="36"/>
      <c r="CG143" s="36"/>
      <c r="CH143" s="36"/>
      <c r="CI143" s="36"/>
      <c r="CJ143" s="36"/>
      <c r="CK143" s="36"/>
      <c r="CL143" s="36"/>
      <c r="CM143" s="36"/>
      <c r="CN143" s="36"/>
      <c r="CO143" s="36"/>
      <c r="CP143" s="36"/>
      <c r="CQ143" s="36"/>
      <c r="CR143" s="36"/>
      <c r="CS143" s="36"/>
      <c r="CT143" s="36"/>
      <c r="CU143" s="36"/>
      <c r="CV143" s="36"/>
      <c r="CW143" s="781"/>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row>
    <row r="144" spans="1:131">
      <c r="A144" s="9"/>
      <c r="B144" s="9" t="s">
        <v>104</v>
      </c>
      <c r="C144" s="789">
        <v>0</v>
      </c>
      <c r="D144" s="789">
        <v>0</v>
      </c>
      <c r="E144" s="789">
        <v>0</v>
      </c>
      <c r="F144" s="789">
        <v>0</v>
      </c>
      <c r="G144" s="789">
        <v>0</v>
      </c>
      <c r="H144" s="789">
        <v>0</v>
      </c>
      <c r="I144" s="789">
        <v>0</v>
      </c>
      <c r="J144" s="789">
        <v>0</v>
      </c>
      <c r="K144" s="789">
        <v>0</v>
      </c>
      <c r="L144" s="790">
        <v>0</v>
      </c>
      <c r="M144" s="789">
        <v>0</v>
      </c>
      <c r="N144" s="789">
        <v>0</v>
      </c>
      <c r="O144" s="789">
        <v>0</v>
      </c>
      <c r="P144" s="789">
        <v>0</v>
      </c>
      <c r="Q144" s="789">
        <v>0</v>
      </c>
      <c r="R144" s="789">
        <v>0</v>
      </c>
      <c r="S144" s="789">
        <v>0</v>
      </c>
      <c r="T144" s="789">
        <v>0</v>
      </c>
      <c r="U144" s="789">
        <v>0</v>
      </c>
      <c r="V144" s="789">
        <v>0</v>
      </c>
      <c r="W144" s="789">
        <v>0</v>
      </c>
      <c r="X144" s="789">
        <v>0</v>
      </c>
      <c r="Y144" s="789">
        <v>0</v>
      </c>
      <c r="Z144" s="789"/>
      <c r="AA144" s="789">
        <v>0</v>
      </c>
      <c r="AB144" s="789">
        <v>0</v>
      </c>
      <c r="AC144" s="789">
        <v>0</v>
      </c>
      <c r="AD144" s="789">
        <v>0</v>
      </c>
      <c r="AE144" s="789">
        <v>0</v>
      </c>
      <c r="AF144" s="789">
        <v>0</v>
      </c>
      <c r="AG144" s="789">
        <v>0</v>
      </c>
      <c r="AH144" s="789">
        <v>0</v>
      </c>
      <c r="AI144" s="789">
        <v>0</v>
      </c>
      <c r="AJ144" s="789">
        <v>0</v>
      </c>
      <c r="AK144" s="789">
        <v>0</v>
      </c>
      <c r="AL144" s="789">
        <v>0</v>
      </c>
      <c r="AM144" s="36"/>
      <c r="AN144" s="36"/>
      <c r="AO144" s="36"/>
      <c r="AP144" s="36"/>
      <c r="AQ144" s="36"/>
      <c r="AR144" s="36"/>
      <c r="AS144" s="781"/>
      <c r="AT144" s="36"/>
      <c r="AU144" s="36"/>
      <c r="AV144" s="36"/>
      <c r="AW144" s="36"/>
      <c r="AX144" s="36"/>
      <c r="AY144" s="36"/>
      <c r="AZ144" s="781"/>
      <c r="BA144" s="36"/>
      <c r="BB144" s="36"/>
      <c r="BC144" s="36"/>
      <c r="BD144" s="36"/>
      <c r="BE144" s="36"/>
      <c r="BF144" s="36"/>
      <c r="BG144" s="36"/>
      <c r="BH144" s="781"/>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781"/>
      <c r="CE144" s="36"/>
      <c r="CF144" s="36"/>
      <c r="CG144" s="36"/>
      <c r="CH144" s="36"/>
      <c r="CI144" s="36"/>
      <c r="CJ144" s="36"/>
      <c r="CK144" s="36"/>
      <c r="CL144" s="36"/>
      <c r="CM144" s="36"/>
      <c r="CN144" s="36"/>
      <c r="CO144" s="36"/>
      <c r="CP144" s="36"/>
      <c r="CQ144" s="36"/>
      <c r="CR144" s="36"/>
      <c r="CS144" s="36"/>
      <c r="CT144" s="36"/>
      <c r="CU144" s="36"/>
      <c r="CV144" s="36"/>
      <c r="CW144" s="781"/>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row>
    <row r="145" spans="1:131">
      <c r="A145" s="9"/>
      <c r="B145" s="9" t="s">
        <v>107</v>
      </c>
      <c r="C145" s="789">
        <v>0</v>
      </c>
      <c r="D145" s="789">
        <v>0</v>
      </c>
      <c r="E145" s="789">
        <v>0</v>
      </c>
      <c r="F145" s="789">
        <v>0</v>
      </c>
      <c r="G145" s="789">
        <v>0</v>
      </c>
      <c r="H145" s="789">
        <v>0</v>
      </c>
      <c r="I145" s="789">
        <v>0</v>
      </c>
      <c r="J145" s="789">
        <v>0</v>
      </c>
      <c r="K145" s="789">
        <v>0</v>
      </c>
      <c r="L145" s="790">
        <v>0</v>
      </c>
      <c r="M145" s="789">
        <v>0</v>
      </c>
      <c r="N145" s="789">
        <v>0</v>
      </c>
      <c r="O145" s="789">
        <v>0</v>
      </c>
      <c r="P145" s="789">
        <v>0</v>
      </c>
      <c r="Q145" s="789">
        <v>0</v>
      </c>
      <c r="R145" s="789">
        <v>0</v>
      </c>
      <c r="S145" s="789">
        <v>0</v>
      </c>
      <c r="T145" s="789">
        <v>0</v>
      </c>
      <c r="U145" s="789">
        <v>0</v>
      </c>
      <c r="V145" s="789">
        <v>0</v>
      </c>
      <c r="W145" s="789">
        <v>0</v>
      </c>
      <c r="X145" s="789">
        <v>0</v>
      </c>
      <c r="Y145" s="789">
        <v>0</v>
      </c>
      <c r="Z145" s="789"/>
      <c r="AA145" s="789">
        <v>0</v>
      </c>
      <c r="AB145" s="789">
        <v>0</v>
      </c>
      <c r="AC145" s="789">
        <v>0</v>
      </c>
      <c r="AD145" s="789">
        <v>0</v>
      </c>
      <c r="AE145" s="789">
        <v>0</v>
      </c>
      <c r="AF145" s="789">
        <v>0</v>
      </c>
      <c r="AG145" s="789">
        <v>0</v>
      </c>
      <c r="AH145" s="789">
        <v>0</v>
      </c>
      <c r="AI145" s="789">
        <v>0</v>
      </c>
      <c r="AJ145" s="789">
        <v>0</v>
      </c>
      <c r="AK145" s="789">
        <v>0</v>
      </c>
      <c r="AL145" s="789">
        <v>0</v>
      </c>
      <c r="AM145" s="36"/>
      <c r="AN145" s="36"/>
      <c r="AO145" s="36"/>
      <c r="AP145" s="36"/>
      <c r="AQ145" s="36"/>
      <c r="AR145" s="36"/>
      <c r="AS145" s="781"/>
      <c r="AT145" s="36"/>
      <c r="AU145" s="36"/>
      <c r="AV145" s="36"/>
      <c r="AW145" s="36"/>
      <c r="AX145" s="36"/>
      <c r="AY145" s="36"/>
      <c r="AZ145" s="781"/>
      <c r="BA145" s="36"/>
      <c r="BB145" s="36"/>
      <c r="BC145" s="36"/>
      <c r="BD145" s="36"/>
      <c r="BE145" s="36"/>
      <c r="BF145" s="36"/>
      <c r="BG145" s="36"/>
      <c r="BH145" s="781"/>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781"/>
      <c r="CE145" s="36"/>
      <c r="CF145" s="36"/>
      <c r="CG145" s="36"/>
      <c r="CH145" s="36"/>
      <c r="CI145" s="36"/>
      <c r="CJ145" s="36"/>
      <c r="CK145" s="36"/>
      <c r="CL145" s="36"/>
      <c r="CM145" s="36"/>
      <c r="CN145" s="36"/>
      <c r="CO145" s="36"/>
      <c r="CP145" s="36"/>
      <c r="CQ145" s="36"/>
      <c r="CR145" s="36"/>
      <c r="CS145" s="36"/>
      <c r="CT145" s="36"/>
      <c r="CU145" s="36"/>
      <c r="CV145" s="36"/>
      <c r="CW145" s="781"/>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row>
    <row r="146" spans="1:131">
      <c r="A146" s="9"/>
      <c r="B146" s="9" t="s">
        <v>110</v>
      </c>
      <c r="C146" s="789">
        <v>0</v>
      </c>
      <c r="D146" s="789">
        <v>0</v>
      </c>
      <c r="E146" s="789">
        <v>0</v>
      </c>
      <c r="F146" s="789">
        <v>0</v>
      </c>
      <c r="G146" s="789">
        <v>0</v>
      </c>
      <c r="H146" s="789">
        <v>0</v>
      </c>
      <c r="I146" s="789">
        <v>0</v>
      </c>
      <c r="J146" s="789">
        <v>0</v>
      </c>
      <c r="K146" s="789">
        <v>0</v>
      </c>
      <c r="L146" s="790">
        <v>0</v>
      </c>
      <c r="M146" s="789">
        <v>0</v>
      </c>
      <c r="N146" s="789">
        <v>0</v>
      </c>
      <c r="O146" s="789">
        <v>0</v>
      </c>
      <c r="P146" s="789">
        <v>0</v>
      </c>
      <c r="Q146" s="789">
        <v>0</v>
      </c>
      <c r="R146" s="789">
        <v>0</v>
      </c>
      <c r="S146" s="789">
        <v>0</v>
      </c>
      <c r="T146" s="789">
        <v>0</v>
      </c>
      <c r="U146" s="789">
        <v>0</v>
      </c>
      <c r="V146" s="789">
        <v>0</v>
      </c>
      <c r="W146" s="789">
        <v>0</v>
      </c>
      <c r="X146" s="789">
        <v>0</v>
      </c>
      <c r="Y146" s="789">
        <v>0</v>
      </c>
      <c r="Z146" s="789"/>
      <c r="AA146" s="789">
        <v>0</v>
      </c>
      <c r="AB146" s="789">
        <v>0</v>
      </c>
      <c r="AC146" s="789">
        <v>0</v>
      </c>
      <c r="AD146" s="789">
        <v>0</v>
      </c>
      <c r="AE146" s="789">
        <v>0</v>
      </c>
      <c r="AF146" s="789">
        <v>0</v>
      </c>
      <c r="AG146" s="789">
        <v>0</v>
      </c>
      <c r="AH146" s="789">
        <v>0</v>
      </c>
      <c r="AI146" s="789">
        <v>0</v>
      </c>
      <c r="AJ146" s="789">
        <v>0</v>
      </c>
      <c r="AK146" s="789">
        <v>0</v>
      </c>
      <c r="AL146" s="789">
        <v>0</v>
      </c>
      <c r="AM146" s="36"/>
      <c r="AN146" s="36"/>
      <c r="AO146" s="36"/>
      <c r="AP146" s="36"/>
      <c r="AQ146" s="36"/>
      <c r="AR146" s="36"/>
      <c r="AS146" s="781"/>
      <c r="AT146" s="36"/>
      <c r="AU146" s="36"/>
      <c r="AV146" s="36"/>
      <c r="AW146" s="36"/>
      <c r="AX146" s="36"/>
      <c r="AY146" s="36"/>
      <c r="AZ146" s="781"/>
      <c r="BA146" s="36"/>
      <c r="BB146" s="36"/>
      <c r="BC146" s="36"/>
      <c r="BD146" s="36"/>
      <c r="BE146" s="36"/>
      <c r="BF146" s="36"/>
      <c r="BG146" s="36"/>
      <c r="BH146" s="781"/>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781"/>
      <c r="CE146" s="36"/>
      <c r="CF146" s="36"/>
      <c r="CG146" s="36"/>
      <c r="CH146" s="36"/>
      <c r="CI146" s="36"/>
      <c r="CJ146" s="36"/>
      <c r="CK146" s="36"/>
      <c r="CL146" s="36"/>
      <c r="CM146" s="36"/>
      <c r="CN146" s="36"/>
      <c r="CO146" s="36"/>
      <c r="CP146" s="36"/>
      <c r="CQ146" s="36"/>
      <c r="CR146" s="36"/>
      <c r="CS146" s="36"/>
      <c r="CT146" s="36"/>
      <c r="CU146" s="36"/>
      <c r="CV146" s="36"/>
      <c r="CW146" s="781"/>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row>
    <row r="147" spans="1:131">
      <c r="A147" s="9"/>
      <c r="B147" s="9" t="s">
        <v>113</v>
      </c>
      <c r="C147" s="789">
        <v>0</v>
      </c>
      <c r="D147" s="789">
        <v>0</v>
      </c>
      <c r="E147" s="789">
        <v>0</v>
      </c>
      <c r="F147" s="789">
        <v>0</v>
      </c>
      <c r="G147" s="789">
        <v>0</v>
      </c>
      <c r="H147" s="789">
        <v>0</v>
      </c>
      <c r="I147" s="789">
        <v>0</v>
      </c>
      <c r="J147" s="789">
        <v>0</v>
      </c>
      <c r="K147" s="789">
        <v>0</v>
      </c>
      <c r="L147" s="790">
        <v>0</v>
      </c>
      <c r="M147" s="789">
        <v>0</v>
      </c>
      <c r="N147" s="789">
        <v>0</v>
      </c>
      <c r="O147" s="789">
        <v>0</v>
      </c>
      <c r="P147" s="789">
        <v>0</v>
      </c>
      <c r="Q147" s="789">
        <v>0</v>
      </c>
      <c r="R147" s="789">
        <v>0</v>
      </c>
      <c r="S147" s="789">
        <v>0</v>
      </c>
      <c r="T147" s="789">
        <v>0</v>
      </c>
      <c r="U147" s="789">
        <v>0</v>
      </c>
      <c r="V147" s="789">
        <v>0</v>
      </c>
      <c r="W147" s="789">
        <v>0</v>
      </c>
      <c r="X147" s="789">
        <v>0</v>
      </c>
      <c r="Y147" s="789">
        <v>0</v>
      </c>
      <c r="Z147" s="789"/>
      <c r="AA147" s="789">
        <v>0</v>
      </c>
      <c r="AB147" s="789">
        <v>0</v>
      </c>
      <c r="AC147" s="789">
        <v>0</v>
      </c>
      <c r="AD147" s="789">
        <v>0</v>
      </c>
      <c r="AE147" s="789">
        <v>0</v>
      </c>
      <c r="AF147" s="789">
        <v>0</v>
      </c>
      <c r="AG147" s="789">
        <v>0</v>
      </c>
      <c r="AH147" s="789">
        <v>0</v>
      </c>
      <c r="AI147" s="789">
        <v>0</v>
      </c>
      <c r="AJ147" s="789">
        <v>0</v>
      </c>
      <c r="AK147" s="789">
        <v>0</v>
      </c>
      <c r="AL147" s="789">
        <v>0</v>
      </c>
      <c r="AM147" s="36"/>
      <c r="AN147" s="36"/>
      <c r="AO147" s="36"/>
      <c r="AP147" s="36"/>
      <c r="AQ147" s="36"/>
      <c r="AR147" s="36"/>
      <c r="AS147" s="781"/>
      <c r="AT147" s="36"/>
      <c r="AU147" s="36"/>
      <c r="AV147" s="36"/>
      <c r="AW147" s="36"/>
      <c r="AX147" s="36"/>
      <c r="AY147" s="36"/>
      <c r="AZ147" s="781"/>
      <c r="BA147" s="36"/>
      <c r="BB147" s="36"/>
      <c r="BC147" s="36"/>
      <c r="BD147" s="36"/>
      <c r="BE147" s="36"/>
      <c r="BF147" s="36"/>
      <c r="BG147" s="36"/>
      <c r="BH147" s="781"/>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781"/>
      <c r="CE147" s="36"/>
      <c r="CF147" s="36"/>
      <c r="CG147" s="36"/>
      <c r="CH147" s="36"/>
      <c r="CI147" s="36"/>
      <c r="CJ147" s="36"/>
      <c r="CK147" s="36"/>
      <c r="CL147" s="36"/>
      <c r="CM147" s="36"/>
      <c r="CN147" s="36"/>
      <c r="CO147" s="36"/>
      <c r="CP147" s="36"/>
      <c r="CQ147" s="36"/>
      <c r="CR147" s="36"/>
      <c r="CS147" s="36"/>
      <c r="CT147" s="36"/>
      <c r="CU147" s="36"/>
      <c r="CV147" s="36"/>
      <c r="CW147" s="781"/>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row>
    <row r="148" spans="1:131">
      <c r="A148" s="9"/>
      <c r="B148" s="9" t="s">
        <v>116</v>
      </c>
      <c r="C148" s="789">
        <v>0</v>
      </c>
      <c r="D148" s="789">
        <v>0</v>
      </c>
      <c r="E148" s="789">
        <v>0</v>
      </c>
      <c r="F148" s="789">
        <v>0</v>
      </c>
      <c r="G148" s="789">
        <v>0</v>
      </c>
      <c r="H148" s="789">
        <v>0</v>
      </c>
      <c r="I148" s="789">
        <v>0</v>
      </c>
      <c r="J148" s="789">
        <v>0</v>
      </c>
      <c r="K148" s="789">
        <v>0</v>
      </c>
      <c r="L148" s="790">
        <v>0</v>
      </c>
      <c r="M148" s="789">
        <v>0</v>
      </c>
      <c r="N148" s="789">
        <v>0</v>
      </c>
      <c r="O148" s="789">
        <v>0</v>
      </c>
      <c r="P148" s="789">
        <v>0</v>
      </c>
      <c r="Q148" s="789">
        <v>0</v>
      </c>
      <c r="R148" s="789">
        <v>0</v>
      </c>
      <c r="S148" s="789">
        <v>0</v>
      </c>
      <c r="T148" s="789">
        <v>0</v>
      </c>
      <c r="U148" s="789">
        <v>0</v>
      </c>
      <c r="V148" s="789">
        <v>0</v>
      </c>
      <c r="W148" s="789">
        <v>0</v>
      </c>
      <c r="X148" s="789">
        <v>0</v>
      </c>
      <c r="Y148" s="789">
        <v>0</v>
      </c>
      <c r="Z148" s="789"/>
      <c r="AA148" s="789">
        <v>0</v>
      </c>
      <c r="AB148" s="789">
        <v>0</v>
      </c>
      <c r="AC148" s="789">
        <v>0</v>
      </c>
      <c r="AD148" s="789">
        <v>0</v>
      </c>
      <c r="AE148" s="789">
        <v>0</v>
      </c>
      <c r="AF148" s="789">
        <v>0</v>
      </c>
      <c r="AG148" s="789">
        <v>0</v>
      </c>
      <c r="AH148" s="789">
        <v>0</v>
      </c>
      <c r="AI148" s="789">
        <v>0</v>
      </c>
      <c r="AJ148" s="789">
        <v>0</v>
      </c>
      <c r="AK148" s="789">
        <v>0</v>
      </c>
      <c r="AL148" s="789">
        <v>0</v>
      </c>
      <c r="AM148" s="36"/>
      <c r="AN148" s="36"/>
      <c r="AO148" s="36"/>
      <c r="AP148" s="36"/>
      <c r="AQ148" s="36"/>
      <c r="AR148" s="36"/>
      <c r="AS148" s="781"/>
      <c r="AT148" s="36"/>
      <c r="AU148" s="36"/>
      <c r="AV148" s="36"/>
      <c r="AW148" s="36"/>
      <c r="AX148" s="36"/>
      <c r="AY148" s="36"/>
      <c r="AZ148" s="781"/>
      <c r="BA148" s="36"/>
      <c r="BB148" s="36"/>
      <c r="BC148" s="36"/>
      <c r="BD148" s="36"/>
      <c r="BE148" s="36"/>
      <c r="BF148" s="36"/>
      <c r="BG148" s="36"/>
      <c r="BH148" s="781"/>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781"/>
      <c r="CE148" s="36"/>
      <c r="CF148" s="36"/>
      <c r="CG148" s="36"/>
      <c r="CH148" s="36"/>
      <c r="CI148" s="36"/>
      <c r="CJ148" s="36"/>
      <c r="CK148" s="36"/>
      <c r="CL148" s="36"/>
      <c r="CM148" s="36"/>
      <c r="CN148" s="36"/>
      <c r="CO148" s="36"/>
      <c r="CP148" s="36"/>
      <c r="CQ148" s="36"/>
      <c r="CR148" s="36"/>
      <c r="CS148" s="36"/>
      <c r="CT148" s="36"/>
      <c r="CU148" s="36"/>
      <c r="CV148" s="36"/>
      <c r="CW148" s="781"/>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row>
    <row r="149" spans="1:131">
      <c r="A149" s="9"/>
      <c r="B149" s="9" t="s">
        <v>119</v>
      </c>
      <c r="C149" s="789">
        <v>0</v>
      </c>
      <c r="D149" s="789">
        <v>0</v>
      </c>
      <c r="E149" s="789">
        <v>0</v>
      </c>
      <c r="F149" s="789">
        <v>0</v>
      </c>
      <c r="G149" s="789">
        <v>0</v>
      </c>
      <c r="H149" s="789">
        <v>0</v>
      </c>
      <c r="I149" s="789">
        <v>0</v>
      </c>
      <c r="J149" s="789">
        <v>0</v>
      </c>
      <c r="K149" s="789">
        <v>0</v>
      </c>
      <c r="L149" s="790">
        <v>0</v>
      </c>
      <c r="M149" s="789">
        <v>0</v>
      </c>
      <c r="N149" s="789">
        <v>0</v>
      </c>
      <c r="O149" s="789">
        <v>0</v>
      </c>
      <c r="P149" s="789">
        <v>0</v>
      </c>
      <c r="Q149" s="789">
        <v>0</v>
      </c>
      <c r="R149" s="789">
        <v>0</v>
      </c>
      <c r="S149" s="789">
        <v>0</v>
      </c>
      <c r="T149" s="789">
        <v>0</v>
      </c>
      <c r="U149" s="789">
        <v>0</v>
      </c>
      <c r="V149" s="789">
        <v>0</v>
      </c>
      <c r="W149" s="789">
        <v>0</v>
      </c>
      <c r="X149" s="789">
        <v>0</v>
      </c>
      <c r="Y149" s="789">
        <v>0</v>
      </c>
      <c r="Z149" s="789"/>
      <c r="AA149" s="789">
        <v>0</v>
      </c>
      <c r="AB149" s="789">
        <v>0</v>
      </c>
      <c r="AC149" s="789">
        <v>0</v>
      </c>
      <c r="AD149" s="789">
        <v>0</v>
      </c>
      <c r="AE149" s="789">
        <v>0</v>
      </c>
      <c r="AF149" s="789">
        <v>0</v>
      </c>
      <c r="AG149" s="789">
        <v>0</v>
      </c>
      <c r="AH149" s="789">
        <v>0</v>
      </c>
      <c r="AI149" s="789">
        <v>0</v>
      </c>
      <c r="AJ149" s="789">
        <v>0</v>
      </c>
      <c r="AK149" s="789">
        <v>0</v>
      </c>
      <c r="AL149" s="789">
        <v>0</v>
      </c>
      <c r="AM149" s="36"/>
      <c r="AN149" s="36"/>
      <c r="AO149" s="36"/>
      <c r="AP149" s="36"/>
      <c r="AQ149" s="36"/>
      <c r="AR149" s="36"/>
      <c r="AS149" s="781"/>
      <c r="AT149" s="36"/>
      <c r="AU149" s="36"/>
      <c r="AV149" s="36"/>
      <c r="AW149" s="36"/>
      <c r="AX149" s="36"/>
      <c r="AY149" s="36"/>
      <c r="AZ149" s="781"/>
      <c r="BA149" s="36"/>
      <c r="BB149" s="36"/>
      <c r="BC149" s="36"/>
      <c r="BD149" s="36"/>
      <c r="BE149" s="36"/>
      <c r="BF149" s="36"/>
      <c r="BG149" s="36"/>
      <c r="BH149" s="781"/>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781"/>
      <c r="CE149" s="36"/>
      <c r="CF149" s="36"/>
      <c r="CG149" s="36"/>
      <c r="CH149" s="36"/>
      <c r="CI149" s="36"/>
      <c r="CJ149" s="36"/>
      <c r="CK149" s="36"/>
      <c r="CL149" s="36"/>
      <c r="CM149" s="36"/>
      <c r="CN149" s="36"/>
      <c r="CO149" s="36"/>
      <c r="CP149" s="36"/>
      <c r="CQ149" s="36"/>
      <c r="CR149" s="36"/>
      <c r="CS149" s="36"/>
      <c r="CT149" s="36"/>
      <c r="CU149" s="36"/>
      <c r="CV149" s="36"/>
      <c r="CW149" s="781"/>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row>
    <row r="150" spans="1:131">
      <c r="A150" s="9"/>
      <c r="B150" s="9" t="s">
        <v>122</v>
      </c>
      <c r="C150" s="789">
        <v>0</v>
      </c>
      <c r="D150" s="789">
        <v>0</v>
      </c>
      <c r="E150" s="789">
        <v>0</v>
      </c>
      <c r="F150" s="789">
        <v>0</v>
      </c>
      <c r="G150" s="789">
        <v>0</v>
      </c>
      <c r="H150" s="789">
        <v>0</v>
      </c>
      <c r="I150" s="789">
        <v>0</v>
      </c>
      <c r="J150" s="789">
        <v>0</v>
      </c>
      <c r="K150" s="789">
        <v>0</v>
      </c>
      <c r="L150" s="790">
        <v>0</v>
      </c>
      <c r="M150" s="789">
        <v>0</v>
      </c>
      <c r="N150" s="789">
        <v>0</v>
      </c>
      <c r="O150" s="789">
        <v>0</v>
      </c>
      <c r="P150" s="789">
        <v>0</v>
      </c>
      <c r="Q150" s="789">
        <v>0</v>
      </c>
      <c r="R150" s="789">
        <v>0</v>
      </c>
      <c r="S150" s="789">
        <v>0</v>
      </c>
      <c r="T150" s="789">
        <v>0</v>
      </c>
      <c r="U150" s="789">
        <v>0</v>
      </c>
      <c r="V150" s="789">
        <v>0</v>
      </c>
      <c r="W150" s="789">
        <v>0</v>
      </c>
      <c r="X150" s="789">
        <v>0</v>
      </c>
      <c r="Y150" s="789">
        <v>0</v>
      </c>
      <c r="Z150" s="789"/>
      <c r="AA150" s="789">
        <v>0</v>
      </c>
      <c r="AB150" s="789">
        <v>0</v>
      </c>
      <c r="AC150" s="789">
        <v>0</v>
      </c>
      <c r="AD150" s="789">
        <v>0</v>
      </c>
      <c r="AE150" s="789">
        <v>0</v>
      </c>
      <c r="AF150" s="789">
        <v>0</v>
      </c>
      <c r="AG150" s="789">
        <v>0</v>
      </c>
      <c r="AH150" s="789">
        <v>0</v>
      </c>
      <c r="AI150" s="789">
        <v>0</v>
      </c>
      <c r="AJ150" s="789">
        <v>0</v>
      </c>
      <c r="AK150" s="789">
        <v>0</v>
      </c>
      <c r="AL150" s="789">
        <v>0</v>
      </c>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row>
    <row r="151" spans="1:131">
      <c r="A151" s="9"/>
      <c r="B151" s="9" t="s">
        <v>125</v>
      </c>
      <c r="C151" s="789">
        <v>0</v>
      </c>
      <c r="D151" s="789">
        <v>0</v>
      </c>
      <c r="E151" s="789">
        <v>0</v>
      </c>
      <c r="F151" s="789">
        <v>0</v>
      </c>
      <c r="G151" s="789">
        <v>0</v>
      </c>
      <c r="H151" s="789">
        <v>0</v>
      </c>
      <c r="I151" s="789">
        <v>0</v>
      </c>
      <c r="J151" s="789">
        <v>0</v>
      </c>
      <c r="K151" s="789">
        <v>0</v>
      </c>
      <c r="L151" s="790">
        <v>0</v>
      </c>
      <c r="M151" s="789">
        <v>0</v>
      </c>
      <c r="N151" s="789">
        <v>0</v>
      </c>
      <c r="O151" s="789">
        <v>0</v>
      </c>
      <c r="P151" s="789">
        <v>0</v>
      </c>
      <c r="Q151" s="789">
        <v>0</v>
      </c>
      <c r="R151" s="789">
        <v>0</v>
      </c>
      <c r="S151" s="789">
        <v>0</v>
      </c>
      <c r="T151" s="789">
        <v>0</v>
      </c>
      <c r="U151" s="789">
        <v>0</v>
      </c>
      <c r="V151" s="789">
        <v>0</v>
      </c>
      <c r="W151" s="789">
        <v>0</v>
      </c>
      <c r="X151" s="789">
        <v>0</v>
      </c>
      <c r="Y151" s="789">
        <v>0</v>
      </c>
      <c r="Z151" s="789"/>
      <c r="AA151" s="789">
        <v>0</v>
      </c>
      <c r="AB151" s="789">
        <v>0</v>
      </c>
      <c r="AC151" s="789">
        <v>0</v>
      </c>
      <c r="AD151" s="789">
        <v>0</v>
      </c>
      <c r="AE151" s="789">
        <v>0</v>
      </c>
      <c r="AF151" s="789">
        <v>0</v>
      </c>
      <c r="AG151" s="789">
        <v>0</v>
      </c>
      <c r="AH151" s="789">
        <v>0</v>
      </c>
      <c r="AI151" s="789">
        <v>0</v>
      </c>
      <c r="AJ151" s="789">
        <v>0</v>
      </c>
      <c r="AK151" s="789">
        <v>0</v>
      </c>
      <c r="AL151" s="789">
        <v>0</v>
      </c>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row>
    <row r="152" spans="1:131">
      <c r="A152" s="9"/>
      <c r="B152" s="9" t="s">
        <v>128</v>
      </c>
      <c r="C152" s="789">
        <v>0</v>
      </c>
      <c r="D152" s="789">
        <v>0</v>
      </c>
      <c r="E152" s="789">
        <v>0</v>
      </c>
      <c r="F152" s="789">
        <v>0</v>
      </c>
      <c r="G152" s="789">
        <v>0</v>
      </c>
      <c r="H152" s="789">
        <v>0</v>
      </c>
      <c r="I152" s="789">
        <v>0</v>
      </c>
      <c r="J152" s="789">
        <v>0</v>
      </c>
      <c r="K152" s="789">
        <v>0</v>
      </c>
      <c r="L152" s="790">
        <v>0</v>
      </c>
      <c r="M152" s="789">
        <v>0</v>
      </c>
      <c r="N152" s="789">
        <v>0</v>
      </c>
      <c r="O152" s="789">
        <v>0</v>
      </c>
      <c r="P152" s="789">
        <v>0</v>
      </c>
      <c r="Q152" s="789">
        <v>0</v>
      </c>
      <c r="R152" s="789">
        <v>0</v>
      </c>
      <c r="S152" s="789">
        <v>0</v>
      </c>
      <c r="T152" s="789">
        <v>0</v>
      </c>
      <c r="U152" s="789">
        <v>0</v>
      </c>
      <c r="V152" s="789">
        <v>0</v>
      </c>
      <c r="W152" s="789">
        <v>0</v>
      </c>
      <c r="X152" s="789">
        <v>0</v>
      </c>
      <c r="Y152" s="789">
        <v>0</v>
      </c>
      <c r="Z152" s="789"/>
      <c r="AA152" s="789">
        <v>0</v>
      </c>
      <c r="AB152" s="789">
        <v>0</v>
      </c>
      <c r="AC152" s="789">
        <v>0</v>
      </c>
      <c r="AD152" s="789">
        <v>0</v>
      </c>
      <c r="AE152" s="789">
        <v>0</v>
      </c>
      <c r="AF152" s="789">
        <v>0</v>
      </c>
      <c r="AG152" s="789">
        <v>0</v>
      </c>
      <c r="AH152" s="789">
        <v>0</v>
      </c>
      <c r="AI152" s="789">
        <v>0</v>
      </c>
      <c r="AJ152" s="789">
        <v>0</v>
      </c>
      <c r="AK152" s="789">
        <v>0</v>
      </c>
      <c r="AL152" s="789">
        <v>0</v>
      </c>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row>
    <row r="153" spans="1:131">
      <c r="A153" s="9"/>
      <c r="B153" s="9" t="s">
        <v>131</v>
      </c>
      <c r="C153" s="789">
        <v>0</v>
      </c>
      <c r="D153" s="789">
        <v>0</v>
      </c>
      <c r="E153" s="789">
        <v>0</v>
      </c>
      <c r="F153" s="789">
        <v>0</v>
      </c>
      <c r="G153" s="789">
        <v>0</v>
      </c>
      <c r="H153" s="789">
        <v>0</v>
      </c>
      <c r="I153" s="789">
        <v>0</v>
      </c>
      <c r="J153" s="789">
        <v>0</v>
      </c>
      <c r="K153" s="789">
        <v>0</v>
      </c>
      <c r="L153" s="790">
        <v>0</v>
      </c>
      <c r="M153" s="789">
        <v>0</v>
      </c>
      <c r="N153" s="789">
        <v>0</v>
      </c>
      <c r="O153" s="789">
        <v>0</v>
      </c>
      <c r="P153" s="789">
        <v>0</v>
      </c>
      <c r="Q153" s="789">
        <v>0</v>
      </c>
      <c r="R153" s="789">
        <v>0</v>
      </c>
      <c r="S153" s="789">
        <v>0</v>
      </c>
      <c r="T153" s="789">
        <v>0</v>
      </c>
      <c r="U153" s="789">
        <v>0</v>
      </c>
      <c r="V153" s="789">
        <v>0</v>
      </c>
      <c r="W153" s="789">
        <v>0</v>
      </c>
      <c r="X153" s="789">
        <v>0</v>
      </c>
      <c r="Y153" s="789">
        <v>0</v>
      </c>
      <c r="Z153" s="789"/>
      <c r="AA153" s="789">
        <v>0</v>
      </c>
      <c r="AB153" s="789">
        <v>0</v>
      </c>
      <c r="AC153" s="789">
        <v>0</v>
      </c>
      <c r="AD153" s="789">
        <v>0</v>
      </c>
      <c r="AE153" s="789">
        <v>0</v>
      </c>
      <c r="AF153" s="789">
        <v>0</v>
      </c>
      <c r="AG153" s="789">
        <v>0</v>
      </c>
      <c r="AH153" s="789">
        <v>0</v>
      </c>
      <c r="AI153" s="789">
        <v>0</v>
      </c>
      <c r="AJ153" s="789">
        <v>0</v>
      </c>
      <c r="AK153" s="789">
        <v>0</v>
      </c>
      <c r="AL153" s="789">
        <v>0</v>
      </c>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row>
    <row r="154" spans="1:131">
      <c r="A154" s="9"/>
      <c r="B154" s="9" t="s">
        <v>134</v>
      </c>
      <c r="C154" s="789">
        <v>0</v>
      </c>
      <c r="D154" s="789">
        <v>0</v>
      </c>
      <c r="E154" s="789">
        <v>0</v>
      </c>
      <c r="F154" s="789">
        <v>0</v>
      </c>
      <c r="G154" s="789">
        <v>0</v>
      </c>
      <c r="H154" s="789">
        <v>0</v>
      </c>
      <c r="I154" s="789">
        <v>0</v>
      </c>
      <c r="J154" s="789">
        <v>0</v>
      </c>
      <c r="K154" s="789">
        <v>0</v>
      </c>
      <c r="L154" s="790">
        <v>0</v>
      </c>
      <c r="M154" s="789">
        <v>0</v>
      </c>
      <c r="N154" s="789">
        <v>0</v>
      </c>
      <c r="O154" s="789">
        <v>0</v>
      </c>
      <c r="P154" s="789">
        <v>0</v>
      </c>
      <c r="Q154" s="789">
        <v>0</v>
      </c>
      <c r="R154" s="789">
        <v>0</v>
      </c>
      <c r="S154" s="789">
        <v>0</v>
      </c>
      <c r="T154" s="789">
        <v>0</v>
      </c>
      <c r="U154" s="789">
        <v>0</v>
      </c>
      <c r="V154" s="789">
        <v>0</v>
      </c>
      <c r="W154" s="789">
        <v>0</v>
      </c>
      <c r="X154" s="789">
        <v>0</v>
      </c>
      <c r="Y154" s="789">
        <v>0</v>
      </c>
      <c r="Z154" s="789"/>
      <c r="AA154" s="789">
        <v>0</v>
      </c>
      <c r="AB154" s="789">
        <v>0</v>
      </c>
      <c r="AC154" s="789">
        <v>0</v>
      </c>
      <c r="AD154" s="789">
        <v>0</v>
      </c>
      <c r="AE154" s="789">
        <v>0</v>
      </c>
      <c r="AF154" s="789">
        <v>0</v>
      </c>
      <c r="AG154" s="789">
        <v>0</v>
      </c>
      <c r="AH154" s="789">
        <v>0</v>
      </c>
      <c r="AI154" s="789">
        <v>0</v>
      </c>
      <c r="AJ154" s="789">
        <v>0</v>
      </c>
      <c r="AK154" s="789">
        <v>0</v>
      </c>
      <c r="AL154" s="789">
        <v>0</v>
      </c>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row>
    <row r="155" spans="1:131">
      <c r="A155" s="9"/>
      <c r="B155" s="9" t="s">
        <v>1548</v>
      </c>
      <c r="C155" s="789">
        <v>0</v>
      </c>
      <c r="D155" s="789">
        <v>0</v>
      </c>
      <c r="E155" s="789">
        <v>0</v>
      </c>
      <c r="F155" s="789">
        <v>0</v>
      </c>
      <c r="G155" s="789">
        <v>0</v>
      </c>
      <c r="H155" s="789">
        <v>0</v>
      </c>
      <c r="I155" s="789">
        <v>0</v>
      </c>
      <c r="J155" s="789">
        <v>0</v>
      </c>
      <c r="K155" s="789">
        <v>0</v>
      </c>
      <c r="L155" s="790">
        <v>0</v>
      </c>
      <c r="M155" s="789">
        <v>0</v>
      </c>
      <c r="N155" s="789">
        <v>0</v>
      </c>
      <c r="O155" s="789">
        <v>0</v>
      </c>
      <c r="P155" s="789">
        <v>0</v>
      </c>
      <c r="Q155" s="789">
        <v>0</v>
      </c>
      <c r="R155" s="789">
        <v>0</v>
      </c>
      <c r="S155" s="789">
        <v>0</v>
      </c>
      <c r="T155" s="789">
        <v>0</v>
      </c>
      <c r="U155" s="789">
        <v>0</v>
      </c>
      <c r="V155" s="789">
        <v>0</v>
      </c>
      <c r="W155" s="789">
        <v>0</v>
      </c>
      <c r="X155" s="789">
        <v>0</v>
      </c>
      <c r="Y155" s="789">
        <v>0</v>
      </c>
      <c r="Z155" s="789"/>
      <c r="AA155" s="789">
        <v>0</v>
      </c>
      <c r="AB155" s="789">
        <v>0</v>
      </c>
      <c r="AC155" s="789">
        <v>0</v>
      </c>
      <c r="AD155" s="789">
        <v>0</v>
      </c>
      <c r="AE155" s="789">
        <v>0</v>
      </c>
      <c r="AF155" s="789">
        <v>0</v>
      </c>
      <c r="AG155" s="789">
        <v>0</v>
      </c>
      <c r="AH155" s="789">
        <v>0</v>
      </c>
      <c r="AI155" s="789">
        <v>0</v>
      </c>
      <c r="AJ155" s="789">
        <v>0</v>
      </c>
      <c r="AK155" s="789">
        <v>0</v>
      </c>
      <c r="AL155" s="789">
        <v>0</v>
      </c>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row>
    <row r="156" spans="1:131">
      <c r="A156" s="9"/>
      <c r="B156" s="9"/>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row>
    <row r="157" spans="1:131">
      <c r="A157" s="9"/>
      <c r="B157" s="9"/>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row>
    <row r="158" spans="1:131" ht="13.5" thickBot="1">
      <c r="A158" s="34" t="s">
        <v>48</v>
      </c>
      <c r="B158" s="35"/>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row>
    <row r="159" spans="1:131" ht="13.5" thickBot="1">
      <c r="A159" s="43"/>
      <c r="B159" s="44"/>
      <c r="C159" s="45"/>
      <c r="D159" s="45"/>
      <c r="E159" s="45"/>
      <c r="F159" s="45"/>
      <c r="G159" s="45"/>
      <c r="H159" s="45"/>
      <c r="I159" s="45"/>
      <c r="J159" s="45"/>
      <c r="K159" s="45"/>
      <c r="L159" s="45"/>
      <c r="M159" s="45"/>
      <c r="N159" s="45"/>
      <c r="O159" s="46" t="s">
        <v>1220</v>
      </c>
      <c r="P159" s="47"/>
      <c r="Q159" s="47"/>
      <c r="R159" s="47"/>
      <c r="S159" s="47"/>
      <c r="T159" s="47"/>
      <c r="U159" s="47"/>
      <c r="V159" s="47"/>
      <c r="W159" s="47"/>
      <c r="X159" s="47"/>
      <c r="Y159" s="47"/>
      <c r="Z159" s="41"/>
      <c r="AA159" s="45"/>
      <c r="AB159" s="46" t="s">
        <v>1221</v>
      </c>
      <c r="AC159" s="47"/>
      <c r="AD159" s="47"/>
      <c r="AE159" s="47"/>
      <c r="AF159" s="47"/>
      <c r="AG159" s="47"/>
      <c r="AH159" s="47"/>
      <c r="AI159" s="47"/>
      <c r="AJ159" s="47"/>
      <c r="AK159" s="47"/>
      <c r="AL159" s="47"/>
      <c r="AM159" s="41"/>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row>
    <row r="160" spans="1:131" ht="191.25">
      <c r="A160" s="37" t="s">
        <v>21</v>
      </c>
      <c r="B160" s="38" t="s">
        <v>22</v>
      </c>
      <c r="C160" s="39" t="s">
        <v>49</v>
      </c>
      <c r="D160" s="39" t="s">
        <v>28</v>
      </c>
      <c r="E160" s="39" t="s">
        <v>29</v>
      </c>
      <c r="F160" s="39" t="s">
        <v>30</v>
      </c>
      <c r="G160" s="39" t="s">
        <v>31</v>
      </c>
      <c r="H160" s="39" t="s">
        <v>32</v>
      </c>
      <c r="I160" s="39" t="s">
        <v>33</v>
      </c>
      <c r="J160" s="39" t="s">
        <v>34</v>
      </c>
      <c r="K160" s="39" t="s">
        <v>24</v>
      </c>
      <c r="L160" s="39" t="s">
        <v>23</v>
      </c>
      <c r="M160" s="39" t="s">
        <v>35</v>
      </c>
      <c r="N160" s="39" t="s">
        <v>1222</v>
      </c>
      <c r="O160" s="39" t="s">
        <v>36</v>
      </c>
      <c r="P160" s="39" t="s">
        <v>37</v>
      </c>
      <c r="Q160" s="39" t="s">
        <v>38</v>
      </c>
      <c r="R160" s="39" t="s">
        <v>39</v>
      </c>
      <c r="S160" s="39" t="s">
        <v>40</v>
      </c>
      <c r="T160" s="39" t="s">
        <v>41</v>
      </c>
      <c r="U160" s="39" t="s">
        <v>42</v>
      </c>
      <c r="V160" s="39" t="s">
        <v>43</v>
      </c>
      <c r="W160" s="39" t="s">
        <v>44</v>
      </c>
      <c r="X160" s="39" t="s">
        <v>45</v>
      </c>
      <c r="Y160" s="39" t="s">
        <v>46</v>
      </c>
      <c r="Z160" s="39" t="s">
        <v>47</v>
      </c>
      <c r="AA160" s="39"/>
      <c r="AB160" s="39" t="s">
        <v>36</v>
      </c>
      <c r="AC160" s="39" t="s">
        <v>37</v>
      </c>
      <c r="AD160" s="39" t="s">
        <v>38</v>
      </c>
      <c r="AE160" s="39" t="s">
        <v>39</v>
      </c>
      <c r="AF160" s="39" t="s">
        <v>40</v>
      </c>
      <c r="AG160" s="39" t="s">
        <v>41</v>
      </c>
      <c r="AH160" s="39" t="s">
        <v>42</v>
      </c>
      <c r="AI160" s="39" t="s">
        <v>43</v>
      </c>
      <c r="AJ160" s="39" t="s">
        <v>44</v>
      </c>
      <c r="AK160" s="39" t="s">
        <v>45</v>
      </c>
      <c r="AL160" s="39" t="s">
        <v>46</v>
      </c>
      <c r="AM160" s="39" t="s">
        <v>47</v>
      </c>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row>
    <row r="161" spans="1:131">
      <c r="A161" s="9" t="s">
        <v>1638</v>
      </c>
      <c r="B161" s="9"/>
      <c r="C161" s="42">
        <v>14.998309672390386</v>
      </c>
      <c r="D161" s="42">
        <v>0</v>
      </c>
      <c r="E161" s="42">
        <v>0</v>
      </c>
      <c r="F161" s="42">
        <v>0</v>
      </c>
      <c r="G161" s="42">
        <v>0</v>
      </c>
      <c r="H161" s="42">
        <v>20.402913295888641</v>
      </c>
      <c r="I161" s="42">
        <v>0</v>
      </c>
      <c r="J161" s="42">
        <v>-37.001060932280311</v>
      </c>
      <c r="K161" s="42">
        <v>-62.378126923104922</v>
      </c>
      <c r="L161" s="40">
        <v>9999</v>
      </c>
      <c r="M161" s="42">
        <v>0.14248083724610328</v>
      </c>
      <c r="N161" s="42">
        <v>9.7743917990938227E-3</v>
      </c>
      <c r="O161" s="42">
        <v>2.0043536646570304</v>
      </c>
      <c r="P161" s="42">
        <v>1.7400435141763051</v>
      </c>
      <c r="Q161" s="42">
        <v>0.95457981513566481</v>
      </c>
      <c r="R161" s="42">
        <v>0.50517623352145247</v>
      </c>
      <c r="S161" s="42">
        <v>0.52275015849873541</v>
      </c>
      <c r="T161" s="42">
        <v>0.52651184492696823</v>
      </c>
      <c r="U161" s="42">
        <v>0.50102349908255317</v>
      </c>
      <c r="V161" s="42">
        <v>0.54046901920467905</v>
      </c>
      <c r="W161" s="42">
        <v>0.47934073400759369</v>
      </c>
      <c r="X161" s="42">
        <v>0.54047834670084061</v>
      </c>
      <c r="Y161" s="42">
        <v>0.43247560179576144</v>
      </c>
      <c r="Z161" s="42">
        <v>0.4391206415141613</v>
      </c>
      <c r="AA161" s="42"/>
      <c r="AB161" s="42">
        <v>0.94050196087602767</v>
      </c>
      <c r="AC161" s="42">
        <v>0.77230034715877971</v>
      </c>
      <c r="AD161" s="42">
        <v>0.464442206446464</v>
      </c>
      <c r="AE161" s="42">
        <v>0.39895536322769604</v>
      </c>
      <c r="AF161" s="42">
        <v>0.40628895374643298</v>
      </c>
      <c r="AG161" s="42">
        <v>0.37813827672209793</v>
      </c>
      <c r="AH161" s="42">
        <v>0.423165979690861</v>
      </c>
      <c r="AI161" s="42">
        <v>0.38397994372011524</v>
      </c>
      <c r="AJ161" s="42">
        <v>0.41139615555888098</v>
      </c>
      <c r="AK161" s="42">
        <v>0.38524172810272278</v>
      </c>
      <c r="AL161" s="42">
        <v>0.42401342736778996</v>
      </c>
      <c r="AM161" s="36">
        <v>0.42356225655077046</v>
      </c>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row>
    <row r="162" spans="1:131">
      <c r="A162" s="9" t="s">
        <v>1639</v>
      </c>
      <c r="B162" s="9"/>
      <c r="C162" s="42">
        <v>16.359662309730922</v>
      </c>
      <c r="D162" s="42">
        <v>0</v>
      </c>
      <c r="E162" s="42">
        <v>0</v>
      </c>
      <c r="F162" s="42">
        <v>0</v>
      </c>
      <c r="G162" s="42">
        <v>0</v>
      </c>
      <c r="H162" s="42">
        <v>25.56258577940801</v>
      </c>
      <c r="I162" s="42">
        <v>0</v>
      </c>
      <c r="J162" s="42">
        <v>-34.355818009500574</v>
      </c>
      <c r="K162" s="42">
        <v>-77.253113419871809</v>
      </c>
      <c r="L162" s="40">
        <v>9999</v>
      </c>
      <c r="M162" s="42">
        <v>0.16199470665415522</v>
      </c>
      <c r="N162" s="42">
        <v>9.8993773379950703E-3</v>
      </c>
      <c r="O162" s="42">
        <v>2.0586098901860663</v>
      </c>
      <c r="P162" s="42">
        <v>1.7888089211438662</v>
      </c>
      <c r="Q162" s="42">
        <v>1.0286007718507246</v>
      </c>
      <c r="R162" s="42">
        <v>0.58840670343869783</v>
      </c>
      <c r="S162" s="42">
        <v>0.60287040276109127</v>
      </c>
      <c r="T162" s="42">
        <v>0.61348901652268306</v>
      </c>
      <c r="U162" s="42">
        <v>0.59954976734147236</v>
      </c>
      <c r="V162" s="42">
        <v>0.63697788085495644</v>
      </c>
      <c r="W162" s="42">
        <v>0.56335160235329529</v>
      </c>
      <c r="X162" s="42">
        <v>0.62890004674454969</v>
      </c>
      <c r="Y162" s="42">
        <v>0.50292270409131545</v>
      </c>
      <c r="Z162" s="42">
        <v>0.51386482991957649</v>
      </c>
      <c r="AA162" s="42"/>
      <c r="AB162" s="42">
        <v>0.96781433718616583</v>
      </c>
      <c r="AC162" s="42">
        <v>0.79420167230860206</v>
      </c>
      <c r="AD162" s="42">
        <v>0.48828040856735105</v>
      </c>
      <c r="AE162" s="42">
        <v>0.43677115588243731</v>
      </c>
      <c r="AF162" s="42">
        <v>0.44545508756200969</v>
      </c>
      <c r="AG162" s="42">
        <v>0.4151039324567582</v>
      </c>
      <c r="AH162" s="42">
        <v>0.48235901848165452</v>
      </c>
      <c r="AI162" s="42">
        <v>0.41944456401722263</v>
      </c>
      <c r="AJ162" s="42">
        <v>0.45176630201527668</v>
      </c>
      <c r="AK162" s="42">
        <v>0.41292881831538814</v>
      </c>
      <c r="AL162" s="42">
        <v>0.45918776054619831</v>
      </c>
      <c r="AM162" s="36">
        <v>0.45999671518356283</v>
      </c>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row>
    <row r="163" spans="1:131">
      <c r="A163" s="9" t="s">
        <v>1640</v>
      </c>
      <c r="B163" s="9"/>
      <c r="C163" s="42">
        <v>16.365081135408719</v>
      </c>
      <c r="D163" s="42">
        <v>0</v>
      </c>
      <c r="E163" s="42">
        <v>0</v>
      </c>
      <c r="F163" s="42">
        <v>0</v>
      </c>
      <c r="G163" s="42">
        <v>0</v>
      </c>
      <c r="H163" s="42">
        <v>25.605400243691083</v>
      </c>
      <c r="I163" s="42">
        <v>0</v>
      </c>
      <c r="J163" s="42">
        <v>-34.371710066390001</v>
      </c>
      <c r="K163" s="42">
        <v>-77.407564903665772</v>
      </c>
      <c r="L163" s="40">
        <v>9999</v>
      </c>
      <c r="M163" s="42">
        <v>0.16201862743870832</v>
      </c>
      <c r="N163" s="42">
        <v>9.907237014229936E-3</v>
      </c>
      <c r="O163" s="42">
        <v>2.0600590625643087</v>
      </c>
      <c r="P163" s="42">
        <v>1.7900572920215869</v>
      </c>
      <c r="Q163" s="42">
        <v>1.029017152922479</v>
      </c>
      <c r="R163" s="42">
        <v>0.5883772469787335</v>
      </c>
      <c r="S163" s="42">
        <v>0.60287332028154139</v>
      </c>
      <c r="T163" s="42">
        <v>0.61345606371055572</v>
      </c>
      <c r="U163" s="42">
        <v>0.59942918534424461</v>
      </c>
      <c r="V163" s="42">
        <v>0.63690278272372136</v>
      </c>
      <c r="W163" s="42">
        <v>0.563294114070511</v>
      </c>
      <c r="X163" s="42">
        <v>0.62887153342389013</v>
      </c>
      <c r="Y163" s="42">
        <v>0.50290164594816456</v>
      </c>
      <c r="Z163" s="42">
        <v>0.5138254919452292</v>
      </c>
      <c r="AA163" s="42"/>
      <c r="AB163" s="42">
        <v>0.968484306429504</v>
      </c>
      <c r="AC163" s="42">
        <v>0.79475471028403721</v>
      </c>
      <c r="AD163" s="42">
        <v>0.48855235178591555</v>
      </c>
      <c r="AE163" s="42">
        <v>0.43690674794708434</v>
      </c>
      <c r="AF163" s="42">
        <v>0.44558930678222142</v>
      </c>
      <c r="AG163" s="42">
        <v>0.4152255895031266</v>
      </c>
      <c r="AH163" s="42">
        <v>0.48239467889396442</v>
      </c>
      <c r="AI163" s="42">
        <v>0.41957945883876901</v>
      </c>
      <c r="AJ163" s="42">
        <v>0.45189761227415909</v>
      </c>
      <c r="AK163" s="42">
        <v>0.41310919117723133</v>
      </c>
      <c r="AL163" s="42">
        <v>0.45936045637521916</v>
      </c>
      <c r="AM163" s="36">
        <v>0.4601618331825188</v>
      </c>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row>
    <row r="164" spans="1:131">
      <c r="A164" s="9" t="s">
        <v>1641</v>
      </c>
      <c r="B164" s="9"/>
      <c r="C164" s="42">
        <v>16.359662309730922</v>
      </c>
      <c r="D164" s="42">
        <v>0</v>
      </c>
      <c r="E164" s="42">
        <v>0</v>
      </c>
      <c r="F164" s="42">
        <v>0</v>
      </c>
      <c r="G164" s="42">
        <v>0</v>
      </c>
      <c r="H164" s="42">
        <v>25.56258577940801</v>
      </c>
      <c r="I164" s="42">
        <v>0</v>
      </c>
      <c r="J164" s="42">
        <v>-34.355818009500574</v>
      </c>
      <c r="K164" s="42">
        <v>-77.253113419871809</v>
      </c>
      <c r="L164" s="40">
        <v>9999</v>
      </c>
      <c r="M164" s="42">
        <v>0.16199470665415522</v>
      </c>
      <c r="N164" s="42">
        <v>9.8993773379950703E-3</v>
      </c>
      <c r="O164" s="42">
        <v>2.0586098901860663</v>
      </c>
      <c r="P164" s="42">
        <v>1.7888089211438662</v>
      </c>
      <c r="Q164" s="42">
        <v>1.0286007718507246</v>
      </c>
      <c r="R164" s="42">
        <v>0.58840670343869783</v>
      </c>
      <c r="S164" s="42">
        <v>0.60287040276109127</v>
      </c>
      <c r="T164" s="42">
        <v>0.61348901652268306</v>
      </c>
      <c r="U164" s="42">
        <v>0.59954976734147236</v>
      </c>
      <c r="V164" s="42">
        <v>0.63697788085495644</v>
      </c>
      <c r="W164" s="42">
        <v>0.56335160235329529</v>
      </c>
      <c r="X164" s="42">
        <v>0.62890004674454969</v>
      </c>
      <c r="Y164" s="42">
        <v>0.50292270409131545</v>
      </c>
      <c r="Z164" s="42">
        <v>0.51386482991957649</v>
      </c>
      <c r="AA164" s="42"/>
      <c r="AB164" s="42">
        <v>0.96781433718616583</v>
      </c>
      <c r="AC164" s="42">
        <v>0.79420167230860206</v>
      </c>
      <c r="AD164" s="42">
        <v>0.48828040856735105</v>
      </c>
      <c r="AE164" s="42">
        <v>0.43677115588243731</v>
      </c>
      <c r="AF164" s="42">
        <v>0.44545508756200969</v>
      </c>
      <c r="AG164" s="42">
        <v>0.4151039324567582</v>
      </c>
      <c r="AH164" s="42">
        <v>0.48235901848165452</v>
      </c>
      <c r="AI164" s="42">
        <v>0.41944456401722263</v>
      </c>
      <c r="AJ164" s="42">
        <v>0.45176630201527668</v>
      </c>
      <c r="AK164" s="42">
        <v>0.41292881831538814</v>
      </c>
      <c r="AL164" s="42">
        <v>0.45918776054619831</v>
      </c>
      <c r="AM164" s="36">
        <v>0.45999671518356283</v>
      </c>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row>
    <row r="165" spans="1:131">
      <c r="A165" s="9" t="s">
        <v>1642</v>
      </c>
      <c r="B165" s="9"/>
      <c r="C165" s="42">
        <v>31.749218306330086</v>
      </c>
      <c r="D165" s="42">
        <v>54.906335711206673</v>
      </c>
      <c r="E165" s="42">
        <v>10.981267142241336</v>
      </c>
      <c r="F165" s="42">
        <v>65.887602853448016</v>
      </c>
      <c r="G165" s="42">
        <v>82.81508602091705</v>
      </c>
      <c r="H165" s="42">
        <v>139.86160968557135</v>
      </c>
      <c r="I165" s="42">
        <v>18179.200364159158</v>
      </c>
      <c r="J165" s="42">
        <v>80.375452162718759</v>
      </c>
      <c r="K165" s="42">
        <v>-94.474849641527626</v>
      </c>
      <c r="L165" s="40">
        <v>1.6888421712228343</v>
      </c>
      <c r="M165" s="42">
        <v>0.30664368222763794</v>
      </c>
      <c r="N165" s="42">
        <v>1.6266486882292062E-2</v>
      </c>
      <c r="O165" s="42">
        <v>3.5016869515497917</v>
      </c>
      <c r="P165" s="42">
        <v>3.0524760599943646</v>
      </c>
      <c r="Q165" s="42">
        <v>1.9495640554948743</v>
      </c>
      <c r="R165" s="42">
        <v>1.2832391761368578</v>
      </c>
      <c r="S165" s="42">
        <v>1.301044569346204</v>
      </c>
      <c r="T165" s="42">
        <v>1.3494591343985891</v>
      </c>
      <c r="U165" s="42">
        <v>1.3725667817754588</v>
      </c>
      <c r="V165" s="42">
        <v>1.4298934106133483</v>
      </c>
      <c r="W165" s="42">
        <v>1.2575116772417851</v>
      </c>
      <c r="X165" s="42">
        <v>1.3755211810437871</v>
      </c>
      <c r="Y165" s="42">
        <v>1.0986200302237816</v>
      </c>
      <c r="Z165" s="42">
        <v>1.1307624596601558</v>
      </c>
      <c r="AA165" s="42"/>
      <c r="AB165" s="42">
        <v>1.6481439965665836</v>
      </c>
      <c r="AC165" s="42">
        <v>1.3514897037524884</v>
      </c>
      <c r="AD165" s="42">
        <v>0.87541831021863514</v>
      </c>
      <c r="AE165" s="42">
        <v>0.8474788073620626</v>
      </c>
      <c r="AF165" s="42">
        <v>0.86850834486653794</v>
      </c>
      <c r="AG165" s="42">
        <v>0.8152758352478745</v>
      </c>
      <c r="AH165" s="42">
        <v>1.0073969404971916</v>
      </c>
      <c r="AI165" s="42">
        <v>0.82049227778064882</v>
      </c>
      <c r="AJ165" s="42">
        <v>0.88987783379899688</v>
      </c>
      <c r="AK165" s="42">
        <v>0.77499617630606032</v>
      </c>
      <c r="AL165" s="42">
        <v>0.87044707137840316</v>
      </c>
      <c r="AM165" s="36">
        <v>0.87734752107560576</v>
      </c>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row>
    <row r="166" spans="1:131">
      <c r="A166" s="9" t="s">
        <v>1643</v>
      </c>
      <c r="B166" s="9"/>
      <c r="C166" s="42">
        <v>31.45855370122467</v>
      </c>
      <c r="D166" s="42">
        <v>54.906335711206673</v>
      </c>
      <c r="E166" s="42">
        <v>10.981267142241336</v>
      </c>
      <c r="F166" s="42">
        <v>65.887602853448016</v>
      </c>
      <c r="G166" s="42">
        <v>82.81508602091705</v>
      </c>
      <c r="H166" s="42">
        <v>136.20722461528126</v>
      </c>
      <c r="I166" s="42">
        <v>18347.168991870574</v>
      </c>
      <c r="J166" s="42">
        <v>81.741478524014369</v>
      </c>
      <c r="K166" s="42">
        <v>-87.148332348686608</v>
      </c>
      <c r="L166" s="40">
        <v>1.6447151257064283</v>
      </c>
      <c r="M166" s="42">
        <v>0.3265233705340308</v>
      </c>
      <c r="N166" s="42">
        <v>1.5921079911198444E-2</v>
      </c>
      <c r="O166" s="42">
        <v>3.4367149821705034</v>
      </c>
      <c r="P166" s="42">
        <v>2.9964232980461158</v>
      </c>
      <c r="Q166" s="42">
        <v>1.9284892700517446</v>
      </c>
      <c r="R166" s="42">
        <v>1.2810861161574745</v>
      </c>
      <c r="S166" s="42">
        <v>1.2976180953751943</v>
      </c>
      <c r="T166" s="42">
        <v>1.3473031100463664</v>
      </c>
      <c r="U166" s="42">
        <v>1.3737286646235267</v>
      </c>
      <c r="V166" s="42">
        <v>1.4291693167171768</v>
      </c>
      <c r="W166" s="42">
        <v>1.2565400179134882</v>
      </c>
      <c r="X166" s="42">
        <v>1.3731134631059452</v>
      </c>
      <c r="Y166" s="42">
        <v>1.0966299423567938</v>
      </c>
      <c r="Z166" s="42">
        <v>1.1293867389951278</v>
      </c>
      <c r="AA166" s="42"/>
      <c r="AB166" s="42">
        <v>1.6180148827681655</v>
      </c>
      <c r="AC166" s="42">
        <v>1.3266456263187516</v>
      </c>
      <c r="AD166" s="42">
        <v>0.86266352391765577</v>
      </c>
      <c r="AE166" s="42">
        <v>0.84005115523035656</v>
      </c>
      <c r="AF166" s="42">
        <v>0.86108450467872455</v>
      </c>
      <c r="AG166" s="42">
        <v>0.80848647114355943</v>
      </c>
      <c r="AH166" s="42">
        <v>1.0034149668351826</v>
      </c>
      <c r="AI166" s="42">
        <v>0.81319165577077235</v>
      </c>
      <c r="AJ166" s="42">
        <v>0.88253033397781966</v>
      </c>
      <c r="AK166" s="42">
        <v>0.76604709044090846</v>
      </c>
      <c r="AL166" s="42">
        <v>0.86152193626326334</v>
      </c>
      <c r="AM166" s="36">
        <v>0.86869853832004962</v>
      </c>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row>
    <row r="167" spans="1:131">
      <c r="A167" s="9" t="s">
        <v>1644</v>
      </c>
      <c r="B167" s="9"/>
      <c r="C167" s="42">
        <v>31.430585206391111</v>
      </c>
      <c r="D167" s="42">
        <v>54.906335711206673</v>
      </c>
      <c r="E167" s="42">
        <v>10.981267142241336</v>
      </c>
      <c r="F167" s="42">
        <v>65.887602853448016</v>
      </c>
      <c r="G167" s="42">
        <v>82.81508602091705</v>
      </c>
      <c r="H167" s="42">
        <v>135.76286944850889</v>
      </c>
      <c r="I167" s="42">
        <v>18363.495213536189</v>
      </c>
      <c r="J167" s="42">
        <v>81.874271967604116</v>
      </c>
      <c r="K167" s="42">
        <v>-86.219141575020686</v>
      </c>
      <c r="L167" s="40">
        <v>1.6393494950209742</v>
      </c>
      <c r="M167" s="42">
        <v>0.32639946930714314</v>
      </c>
      <c r="N167" s="42">
        <v>1.58878338034051E-2</v>
      </c>
      <c r="O167" s="42">
        <v>3.4304615102273446</v>
      </c>
      <c r="P167" s="42">
        <v>2.9910283021455695</v>
      </c>
      <c r="Q167" s="42">
        <v>1.9264612320290428</v>
      </c>
      <c r="R167" s="42">
        <v>1.2808794411387199</v>
      </c>
      <c r="S167" s="42">
        <v>1.2972888274180658</v>
      </c>
      <c r="T167" s="42">
        <v>1.3470961751990971</v>
      </c>
      <c r="U167" s="42">
        <v>1.3738411717348933</v>
      </c>
      <c r="V167" s="42">
        <v>1.4291002764375971</v>
      </c>
      <c r="W167" s="42">
        <v>1.2564470632792268</v>
      </c>
      <c r="X167" s="42">
        <v>1.3728823114641737</v>
      </c>
      <c r="Y167" s="42">
        <v>1.0964388671069452</v>
      </c>
      <c r="Z167" s="42">
        <v>1.1292548285757638</v>
      </c>
      <c r="AA167" s="42"/>
      <c r="AB167" s="42">
        <v>1.6151150073664062</v>
      </c>
      <c r="AC167" s="42">
        <v>1.3242544223591068</v>
      </c>
      <c r="AD167" s="42">
        <v>0.86143598123312626</v>
      </c>
      <c r="AE167" s="42">
        <v>0.83933646807668316</v>
      </c>
      <c r="AF167" s="42">
        <v>0.86037019363403067</v>
      </c>
      <c r="AG167" s="42">
        <v>0.80783321626672966</v>
      </c>
      <c r="AH167" s="42">
        <v>1.0030320870984848</v>
      </c>
      <c r="AI167" s="42">
        <v>0.81248917982628921</v>
      </c>
      <c r="AJ167" s="42">
        <v>0.88182337922954457</v>
      </c>
      <c r="AK167" s="42">
        <v>0.76518588956650591</v>
      </c>
      <c r="AL167" s="42">
        <v>0.86066309172437105</v>
      </c>
      <c r="AM167" s="36">
        <v>0.86786628325339421</v>
      </c>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row>
    <row r="168" spans="1:131">
      <c r="A168" s="9" t="s">
        <v>1645</v>
      </c>
      <c r="B168" s="9"/>
      <c r="C168" s="42">
        <v>31.430585206391111</v>
      </c>
      <c r="D168" s="42">
        <v>54.906335711206673</v>
      </c>
      <c r="E168" s="42">
        <v>10.981267142241336</v>
      </c>
      <c r="F168" s="42">
        <v>65.887602853448016</v>
      </c>
      <c r="G168" s="42">
        <v>82.81508602091705</v>
      </c>
      <c r="H168" s="42">
        <v>135.76286944850889</v>
      </c>
      <c r="I168" s="42">
        <v>18363.495213536189</v>
      </c>
      <c r="J168" s="42">
        <v>81.874271967604116</v>
      </c>
      <c r="K168" s="42">
        <v>-86.219141575020686</v>
      </c>
      <c r="L168" s="40">
        <v>1.6393494950209742</v>
      </c>
      <c r="M168" s="42">
        <v>0.32639946930714314</v>
      </c>
      <c r="N168" s="42">
        <v>1.58878338034051E-2</v>
      </c>
      <c r="O168" s="42">
        <v>3.4304615102273446</v>
      </c>
      <c r="P168" s="42">
        <v>2.9910283021455695</v>
      </c>
      <c r="Q168" s="42">
        <v>1.9264612320290428</v>
      </c>
      <c r="R168" s="42">
        <v>1.2808794411387199</v>
      </c>
      <c r="S168" s="42">
        <v>1.2972888274180658</v>
      </c>
      <c r="T168" s="42">
        <v>1.3470961751990971</v>
      </c>
      <c r="U168" s="42">
        <v>1.3738411717348933</v>
      </c>
      <c r="V168" s="42">
        <v>1.4291002764375971</v>
      </c>
      <c r="W168" s="42">
        <v>1.2564470632792268</v>
      </c>
      <c r="X168" s="42">
        <v>1.3728823114641737</v>
      </c>
      <c r="Y168" s="42">
        <v>1.0964388671069452</v>
      </c>
      <c r="Z168" s="42">
        <v>1.1292548285757638</v>
      </c>
      <c r="AA168" s="42"/>
      <c r="AB168" s="42">
        <v>1.6151150073664062</v>
      </c>
      <c r="AC168" s="42">
        <v>1.3242544223591068</v>
      </c>
      <c r="AD168" s="42">
        <v>0.86143598123312626</v>
      </c>
      <c r="AE168" s="42">
        <v>0.83933646807668316</v>
      </c>
      <c r="AF168" s="42">
        <v>0.86037019363403067</v>
      </c>
      <c r="AG168" s="42">
        <v>0.80783321626672966</v>
      </c>
      <c r="AH168" s="42">
        <v>1.0030320870984848</v>
      </c>
      <c r="AI168" s="42">
        <v>0.81248917982628921</v>
      </c>
      <c r="AJ168" s="42">
        <v>0.88182337922954457</v>
      </c>
      <c r="AK168" s="42">
        <v>0.76518588956650591</v>
      </c>
      <c r="AL168" s="42">
        <v>0.86066309172437105</v>
      </c>
      <c r="AM168" s="36">
        <v>0.86786628325339421</v>
      </c>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row>
    <row r="169" spans="1:131">
      <c r="A169" s="9" t="s">
        <v>1646</v>
      </c>
      <c r="B169" s="9"/>
      <c r="C169" s="42">
        <v>53.638909577706116</v>
      </c>
      <c r="D169" s="42">
        <v>139.81935250031893</v>
      </c>
      <c r="E169" s="42">
        <v>27.963870500063788</v>
      </c>
      <c r="F169" s="42">
        <v>167.78322300038272</v>
      </c>
      <c r="G169" s="42">
        <v>210.88917252839857</v>
      </c>
      <c r="H169" s="42">
        <v>286.32501654224825</v>
      </c>
      <c r="I169" s="42">
        <v>27401.396580482244</v>
      </c>
      <c r="J169" s="42">
        <v>136.44602279067192</v>
      </c>
      <c r="K169" s="42">
        <v>-65.743456849320339</v>
      </c>
      <c r="L169" s="40">
        <v>1.357703731820046</v>
      </c>
      <c r="M169" s="42">
        <v>0.52208823186575859</v>
      </c>
      <c r="N169" s="42">
        <v>2.6971379118686991E-2</v>
      </c>
      <c r="O169" s="42">
        <v>5.8304335502900972</v>
      </c>
      <c r="P169" s="42">
        <v>5.0854379494908093</v>
      </c>
      <c r="Q169" s="42">
        <v>3.2863889299323001</v>
      </c>
      <c r="R169" s="42">
        <v>2.1913387899008927</v>
      </c>
      <c r="S169" s="42">
        <v>2.2224784769538051</v>
      </c>
      <c r="T169" s="42">
        <v>2.310031348121163</v>
      </c>
      <c r="U169" s="42">
        <v>2.3565382967323965</v>
      </c>
      <c r="V169" s="42">
        <v>2.4530011798723321</v>
      </c>
      <c r="W169" s="42">
        <v>2.1557149539710005</v>
      </c>
      <c r="X169" s="42">
        <v>2.3517734042919631</v>
      </c>
      <c r="Y169" s="42">
        <v>1.8780449596984787</v>
      </c>
      <c r="Z169" s="42">
        <v>1.9330313941040786</v>
      </c>
      <c r="AA169" s="42"/>
      <c r="AB169" s="42">
        <v>2.74254726859599</v>
      </c>
      <c r="AC169" s="42">
        <v>2.2491237517992979</v>
      </c>
      <c r="AD169" s="42">
        <v>1.4659736868482389</v>
      </c>
      <c r="AE169" s="42">
        <v>1.4294714735724559</v>
      </c>
      <c r="AF169" s="42">
        <v>1.4662717374729366</v>
      </c>
      <c r="AG169" s="42">
        <v>1.3788599176845415</v>
      </c>
      <c r="AH169" s="42">
        <v>1.7110657783150203</v>
      </c>
      <c r="AI169" s="42">
        <v>1.3887799390803002</v>
      </c>
      <c r="AJ169" s="42">
        <v>1.5061968003116013</v>
      </c>
      <c r="AK169" s="42">
        <v>1.3053826198113117</v>
      </c>
      <c r="AL169" s="42">
        <v>1.4641667728116774</v>
      </c>
      <c r="AM169" s="36">
        <v>1.4768565980434212</v>
      </c>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row>
    <row r="170" spans="1:131">
      <c r="A170" s="9" t="s">
        <v>1647</v>
      </c>
      <c r="B170" s="9"/>
      <c r="C170" s="42">
        <v>53.082689723506611</v>
      </c>
      <c r="D170" s="42">
        <v>139.81935250031893</v>
      </c>
      <c r="E170" s="42">
        <v>27.963870500063788</v>
      </c>
      <c r="F170" s="42">
        <v>167.78322300038272</v>
      </c>
      <c r="G170" s="42">
        <v>210.88917252839857</v>
      </c>
      <c r="H170" s="42">
        <v>278.09453572012194</v>
      </c>
      <c r="I170" s="42">
        <v>27688.518444318568</v>
      </c>
      <c r="J170" s="42">
        <v>138.59103093593242</v>
      </c>
      <c r="K170" s="42">
        <v>-55.418353719020054</v>
      </c>
      <c r="L170" s="40">
        <v>1.3186762145537529</v>
      </c>
      <c r="M170" s="42">
        <v>0.55750611684647966</v>
      </c>
      <c r="N170" s="42">
        <v>2.6302634511923328E-2</v>
      </c>
      <c r="O170" s="42">
        <v>5.7048009290563169</v>
      </c>
      <c r="P170" s="42">
        <v>4.9770620820143003</v>
      </c>
      <c r="Q170" s="42">
        <v>3.2459314556802914</v>
      </c>
      <c r="R170" s="42">
        <v>2.1875993517550825</v>
      </c>
      <c r="S170" s="42">
        <v>2.2162549888022469</v>
      </c>
      <c r="T170" s="42">
        <v>2.3063056646050577</v>
      </c>
      <c r="U170" s="42">
        <v>2.3593027893798868</v>
      </c>
      <c r="V170" s="42">
        <v>2.4521001698528004</v>
      </c>
      <c r="W170" s="42">
        <v>2.1542691194526364</v>
      </c>
      <c r="X170" s="42">
        <v>2.3475674592339093</v>
      </c>
      <c r="Y170" s="42">
        <v>1.874554829292356</v>
      </c>
      <c r="Z170" s="42">
        <v>1.9307542649005522</v>
      </c>
      <c r="AA170" s="42"/>
      <c r="AB170" s="42">
        <v>2.6842995080493344</v>
      </c>
      <c r="AC170" s="42">
        <v>2.2010901747293041</v>
      </c>
      <c r="AD170" s="42">
        <v>1.4413791096477107</v>
      </c>
      <c r="AE170" s="42">
        <v>1.4152735723325411</v>
      </c>
      <c r="AF170" s="42">
        <v>1.4520882515347799</v>
      </c>
      <c r="AG170" s="42">
        <v>1.3658945874477633</v>
      </c>
      <c r="AH170" s="42">
        <v>1.7036568228148041</v>
      </c>
      <c r="AI170" s="42">
        <v>1.3748159843059031</v>
      </c>
      <c r="AJ170" s="42">
        <v>1.492167527437406</v>
      </c>
      <c r="AK170" s="42">
        <v>1.2881834815354045</v>
      </c>
      <c r="AL170" s="42">
        <v>1.4470530178830796</v>
      </c>
      <c r="AM170" s="36">
        <v>1.4602845817631371</v>
      </c>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row>
    <row r="171" spans="1:131">
      <c r="A171" s="9" t="s">
        <v>1648</v>
      </c>
      <c r="B171" s="9"/>
      <c r="C171" s="42">
        <v>53.029340362257024</v>
      </c>
      <c r="D171" s="42">
        <v>139.81935250031893</v>
      </c>
      <c r="E171" s="42">
        <v>27.963870500063788</v>
      </c>
      <c r="F171" s="42">
        <v>167.78322300038272</v>
      </c>
      <c r="G171" s="42">
        <v>210.88917252839857</v>
      </c>
      <c r="H171" s="42">
        <v>277.14919413794377</v>
      </c>
      <c r="I171" s="42">
        <v>27716.374057133304</v>
      </c>
      <c r="J171" s="42">
        <v>138.79916067265927</v>
      </c>
      <c r="K171" s="42">
        <v>-54.200294301150457</v>
      </c>
      <c r="L171" s="40">
        <v>1.3141935681910011</v>
      </c>
      <c r="M171" s="42">
        <v>0.55726982260760904</v>
      </c>
      <c r="N171" s="42">
        <v>2.6238466144087595E-2</v>
      </c>
      <c r="O171" s="42">
        <v>5.6927465778617261</v>
      </c>
      <c r="P171" s="42">
        <v>4.9666635368841865</v>
      </c>
      <c r="Q171" s="42">
        <v>3.2420505762121823</v>
      </c>
      <c r="R171" s="42">
        <v>2.1872419748738947</v>
      </c>
      <c r="S171" s="42">
        <v>2.215659196535793</v>
      </c>
      <c r="T171" s="42">
        <v>2.3059496727269946</v>
      </c>
      <c r="U171" s="42">
        <v>2.3595697743761739</v>
      </c>
      <c r="V171" s="42">
        <v>2.452015390141296</v>
      </c>
      <c r="W171" s="42">
        <v>2.1541318428313199</v>
      </c>
      <c r="X171" s="42">
        <v>2.3471654081517594</v>
      </c>
      <c r="Y171" s="42">
        <v>1.8742211528663881</v>
      </c>
      <c r="Z171" s="42">
        <v>1.9305370588204658</v>
      </c>
      <c r="AA171" s="42"/>
      <c r="AB171" s="42">
        <v>2.6787107187520052</v>
      </c>
      <c r="AC171" s="42">
        <v>2.196481410914747</v>
      </c>
      <c r="AD171" s="42">
        <v>1.4390195091433664</v>
      </c>
      <c r="AE171" s="42">
        <v>1.4139118458539688</v>
      </c>
      <c r="AF171" s="42">
        <v>1.4507279317833262</v>
      </c>
      <c r="AG171" s="42">
        <v>1.3646511196604731</v>
      </c>
      <c r="AH171" s="42">
        <v>1.7029469130685011</v>
      </c>
      <c r="AI171" s="42">
        <v>1.3734766656775019</v>
      </c>
      <c r="AJ171" s="42">
        <v>1.4908220264036729</v>
      </c>
      <c r="AK171" s="42">
        <v>1.2865335900496975</v>
      </c>
      <c r="AL171" s="42">
        <v>1.4454114497043424</v>
      </c>
      <c r="AM171" s="36">
        <v>1.4586950189632339</v>
      </c>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row>
    <row r="172" spans="1:131">
      <c r="A172" s="9" t="s">
        <v>1649</v>
      </c>
      <c r="B172" s="9"/>
      <c r="C172" s="42">
        <v>53.029340362257024</v>
      </c>
      <c r="D172" s="42">
        <v>139.81935250031893</v>
      </c>
      <c r="E172" s="42">
        <v>27.963870500063788</v>
      </c>
      <c r="F172" s="42">
        <v>167.78322300038272</v>
      </c>
      <c r="G172" s="42">
        <v>210.88917252839857</v>
      </c>
      <c r="H172" s="42">
        <v>277.14919413794377</v>
      </c>
      <c r="I172" s="42">
        <v>27716.374057133304</v>
      </c>
      <c r="J172" s="42">
        <v>138.79916067265927</v>
      </c>
      <c r="K172" s="42">
        <v>-54.200294301150457</v>
      </c>
      <c r="L172" s="40">
        <v>1.3141935681910011</v>
      </c>
      <c r="M172" s="42">
        <v>0.55726982260760904</v>
      </c>
      <c r="N172" s="42">
        <v>2.6238466144087595E-2</v>
      </c>
      <c r="O172" s="42">
        <v>5.6927465778617261</v>
      </c>
      <c r="P172" s="42">
        <v>4.9666635368841865</v>
      </c>
      <c r="Q172" s="42">
        <v>3.2420505762121823</v>
      </c>
      <c r="R172" s="42">
        <v>2.1872419748738947</v>
      </c>
      <c r="S172" s="42">
        <v>2.215659196535793</v>
      </c>
      <c r="T172" s="42">
        <v>2.3059496727269946</v>
      </c>
      <c r="U172" s="42">
        <v>2.3595697743761739</v>
      </c>
      <c r="V172" s="42">
        <v>2.452015390141296</v>
      </c>
      <c r="W172" s="42">
        <v>2.1541318428313199</v>
      </c>
      <c r="X172" s="42">
        <v>2.3471654081517594</v>
      </c>
      <c r="Y172" s="42">
        <v>1.8742211528663881</v>
      </c>
      <c r="Z172" s="42">
        <v>1.9305370588204658</v>
      </c>
      <c r="AA172" s="42"/>
      <c r="AB172" s="42">
        <v>2.6787107187520052</v>
      </c>
      <c r="AC172" s="42">
        <v>2.196481410914747</v>
      </c>
      <c r="AD172" s="42">
        <v>1.4390195091433664</v>
      </c>
      <c r="AE172" s="42">
        <v>1.4139118458539688</v>
      </c>
      <c r="AF172" s="42">
        <v>1.4507279317833262</v>
      </c>
      <c r="AG172" s="42">
        <v>1.3646511196604731</v>
      </c>
      <c r="AH172" s="42">
        <v>1.7029469130685011</v>
      </c>
      <c r="AI172" s="42">
        <v>1.3734766656775019</v>
      </c>
      <c r="AJ172" s="42">
        <v>1.4908220264036729</v>
      </c>
      <c r="AK172" s="42">
        <v>1.2865335900496975</v>
      </c>
      <c r="AL172" s="42">
        <v>1.4454114497043424</v>
      </c>
      <c r="AM172" s="36">
        <v>1.4586950189632339</v>
      </c>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row>
    <row r="173" spans="1:131">
      <c r="A173" s="9"/>
      <c r="B173" s="9"/>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row>
  </sheetData>
  <mergeCells count="3">
    <mergeCell ref="I6:N6"/>
    <mergeCell ref="O6:P6"/>
    <mergeCell ref="R6:T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2:DC41"/>
  <sheetViews>
    <sheetView workbookViewId="0">
      <selection activeCell="A6" sqref="A6"/>
    </sheetView>
  </sheetViews>
  <sheetFormatPr defaultRowHeight="12.75"/>
  <cols>
    <col min="2" max="2" width="10" customWidth="1"/>
    <col min="3" max="3" width="48.140625" customWidth="1"/>
    <col min="4" max="4" width="14.42578125" customWidth="1"/>
    <col min="9" max="9" width="9.85546875" customWidth="1"/>
    <col min="17" max="17" width="9.85546875" customWidth="1"/>
  </cols>
  <sheetData>
    <row r="2" spans="1:107">
      <c r="A2" t="s">
        <v>58</v>
      </c>
      <c r="B2" t="s">
        <v>156</v>
      </c>
    </row>
    <row r="3" spans="1:107">
      <c r="A3" s="49" t="s">
        <v>162</v>
      </c>
      <c r="B3" s="49"/>
      <c r="E3">
        <v>4</v>
      </c>
      <c r="F3">
        <v>5</v>
      </c>
      <c r="G3">
        <v>6</v>
      </c>
      <c r="H3">
        <v>7</v>
      </c>
      <c r="I3">
        <v>8</v>
      </c>
      <c r="J3">
        <v>9</v>
      </c>
      <c r="K3">
        <v>10</v>
      </c>
      <c r="L3">
        <v>11</v>
      </c>
      <c r="M3">
        <v>12</v>
      </c>
      <c r="N3">
        <v>13</v>
      </c>
      <c r="O3">
        <v>14</v>
      </c>
      <c r="P3">
        <v>15</v>
      </c>
      <c r="Q3">
        <v>16</v>
      </c>
      <c r="R3">
        <v>17</v>
      </c>
    </row>
    <row r="4" spans="1:107" s="9" customFormat="1">
      <c r="C4" s="14" t="s">
        <v>3</v>
      </c>
      <c r="D4" s="15"/>
      <c r="E4" s="15"/>
      <c r="F4" s="15"/>
      <c r="G4" s="15"/>
      <c r="H4" s="15"/>
      <c r="I4" s="16"/>
      <c r="J4" s="17"/>
      <c r="K4" s="894" t="s">
        <v>4</v>
      </c>
      <c r="L4" s="895"/>
      <c r="M4" s="895"/>
      <c r="N4" s="895"/>
      <c r="O4" s="895"/>
      <c r="P4" s="896"/>
      <c r="Q4" s="897" t="s">
        <v>5</v>
      </c>
      <c r="R4" s="898"/>
      <c r="S4" s="18"/>
      <c r="T4" s="19"/>
      <c r="U4" s="19"/>
      <c r="V4" s="19"/>
      <c r="W4" s="19"/>
      <c r="X4" s="19"/>
      <c r="Y4" s="19"/>
      <c r="Z4" s="20"/>
      <c r="AA4" s="21"/>
      <c r="AB4" s="19"/>
      <c r="AC4" s="19"/>
      <c r="AD4" s="19"/>
      <c r="AE4" s="19"/>
      <c r="AF4" s="19"/>
      <c r="AG4" s="22"/>
      <c r="AH4" s="22"/>
      <c r="AI4" s="22"/>
      <c r="AJ4" s="22"/>
      <c r="AK4" s="22"/>
      <c r="AL4" s="22"/>
      <c r="AM4" s="22"/>
      <c r="AN4" s="22"/>
      <c r="AO4" s="22"/>
      <c r="AP4" s="22"/>
      <c r="AQ4" s="22"/>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row>
    <row r="5" spans="1:107" ht="38.25">
      <c r="A5" s="9" t="s">
        <v>52</v>
      </c>
      <c r="B5" s="9"/>
      <c r="C5" s="23" t="s">
        <v>6</v>
      </c>
      <c r="D5" s="23" t="s">
        <v>7</v>
      </c>
      <c r="E5" s="23" t="s">
        <v>8</v>
      </c>
      <c r="F5" s="23" t="s">
        <v>9</v>
      </c>
      <c r="G5" s="23" t="s">
        <v>10</v>
      </c>
      <c r="H5" s="23" t="s">
        <v>11</v>
      </c>
      <c r="I5" s="23" t="s">
        <v>12</v>
      </c>
      <c r="J5" s="23" t="s">
        <v>13</v>
      </c>
      <c r="K5" s="23" t="s">
        <v>14</v>
      </c>
      <c r="L5" s="23" t="s">
        <v>15</v>
      </c>
      <c r="M5" s="23" t="s">
        <v>16</v>
      </c>
      <c r="N5" s="23" t="s">
        <v>17</v>
      </c>
      <c r="O5" s="23" t="s">
        <v>18</v>
      </c>
      <c r="P5" s="23" t="s">
        <v>19</v>
      </c>
      <c r="Q5" s="24" t="s">
        <v>20</v>
      </c>
      <c r="R5" s="23" t="s">
        <v>12</v>
      </c>
    </row>
    <row r="6" spans="1:107" ht="25.5">
      <c r="A6" t="str">
        <f>Composite!B39</f>
        <v>Single Family</v>
      </c>
      <c r="B6" t="str">
        <f>A6&amp;C6&amp;D6</f>
        <v>Single FamilyCEE Tier 1 Clothes Washer - Any DHW, Any Dryer - 54% ENERGY STAR BaselineWasher Savings</v>
      </c>
      <c r="C6" s="27" t="str">
        <f>Composite!C39</f>
        <v>CEE Tier 1 Clothes Washer - Any DHW, Any Dryer - 54% ENERGY STAR Baseline</v>
      </c>
      <c r="D6" s="26" t="str">
        <f>Composite!D39</f>
        <v>Washer Savings</v>
      </c>
      <c r="E6" s="48">
        <f ca="1">Composite!E39</f>
        <v>12.805498538080862</v>
      </c>
      <c r="F6" s="48">
        <f>Composite!F39</f>
        <v>14</v>
      </c>
      <c r="G6" s="48">
        <f ca="1">Composite!G39</f>
        <v>126.26454884545808</v>
      </c>
      <c r="H6" s="48">
        <f>Composite!H39</f>
        <v>0</v>
      </c>
      <c r="I6" s="48" t="str">
        <f>Composite!I39</f>
        <v>ResWASH</v>
      </c>
      <c r="J6" s="48">
        <f ca="1">Composite!J39</f>
        <v>7.2359000960760937</v>
      </c>
      <c r="K6" s="48">
        <f>Composite!K39</f>
        <v>0</v>
      </c>
      <c r="L6" s="48">
        <f>Composite!L39</f>
        <v>0</v>
      </c>
      <c r="M6" s="48">
        <f>Composite!M39</f>
        <v>0</v>
      </c>
      <c r="N6" s="48">
        <f>Composite!N39</f>
        <v>0</v>
      </c>
      <c r="O6" s="48">
        <f>Composite!O39</f>
        <v>0</v>
      </c>
      <c r="P6" s="48">
        <f>Composite!P39</f>
        <v>0</v>
      </c>
      <c r="Q6" s="48">
        <f ca="1">Composite!Q39</f>
        <v>0.10598060677717332</v>
      </c>
      <c r="R6" s="48" t="str">
        <f>Composite!R39</f>
        <v>ResDRY</v>
      </c>
    </row>
    <row r="7" spans="1:107" ht="25.5">
      <c r="A7" t="str">
        <f>Composite!B40</f>
        <v>Single Family</v>
      </c>
      <c r="B7" t="str">
        <f t="shared" ref="B7:B41" si="0">A7&amp;C7&amp;D7</f>
        <v>Single FamilyCEE Tier 2 Clothes Washer - Any DHW, Any Dryer - 54% ENERGY STAR BaselineWasher Savings</v>
      </c>
      <c r="C7" s="27" t="str">
        <f>Composite!C40</f>
        <v>CEE Tier 2 Clothes Washer - Any DHW, Any Dryer - 54% ENERGY STAR Baseline</v>
      </c>
      <c r="D7" s="26" t="str">
        <f>Composite!D40</f>
        <v>Washer Savings</v>
      </c>
      <c r="E7" s="48">
        <f ca="1">Composite!E40</f>
        <v>7.3028563144274017</v>
      </c>
      <c r="F7" s="48">
        <f>Composite!F40</f>
        <v>14</v>
      </c>
      <c r="G7" s="48">
        <f ca="1">Composite!G40</f>
        <v>49.583434505727382</v>
      </c>
      <c r="H7" s="48">
        <f>Composite!H40</f>
        <v>0</v>
      </c>
      <c r="I7" s="48" t="str">
        <f>Composite!I40</f>
        <v>ResWASH</v>
      </c>
      <c r="J7" s="48">
        <f ca="1">Composite!J40</f>
        <v>3.3770996139226952</v>
      </c>
      <c r="K7" s="48">
        <f>Composite!K40</f>
        <v>0</v>
      </c>
      <c r="L7" s="48">
        <f>Composite!L40</f>
        <v>0</v>
      </c>
      <c r="M7" s="48">
        <f>Composite!M40</f>
        <v>0</v>
      </c>
      <c r="N7" s="48">
        <f>Composite!N40</f>
        <v>0</v>
      </c>
      <c r="O7" s="48">
        <f>Composite!O40</f>
        <v>0</v>
      </c>
      <c r="P7" s="48">
        <f>Composite!P40</f>
        <v>0</v>
      </c>
      <c r="Q7" s="48">
        <f ca="1">Composite!Q40</f>
        <v>4.2560361622744333E-2</v>
      </c>
      <c r="R7" s="48" t="str">
        <f>Composite!R40</f>
        <v>ResDRY</v>
      </c>
    </row>
    <row r="8" spans="1:107" ht="25.5">
      <c r="A8" t="str">
        <f>Composite!B41</f>
        <v>Single Family</v>
      </c>
      <c r="B8" t="str">
        <f t="shared" si="0"/>
        <v>Single FamilyCEE Tier 2 Clothes Washer - Any DHW, Any Dryer - 54% ENERGY STAR BaselineWasher Savings</v>
      </c>
      <c r="C8" s="27" t="str">
        <f>Composite!C41</f>
        <v>CEE Tier 2 Clothes Washer - Any DHW, Any Dryer - 54% ENERGY STAR Baseline</v>
      </c>
      <c r="D8" s="26" t="str">
        <f>Composite!D41</f>
        <v>Washer Savings</v>
      </c>
      <c r="E8" s="48">
        <f ca="1">Composite!E41</f>
        <v>0</v>
      </c>
      <c r="F8" s="48">
        <f>Composite!F41</f>
        <v>14</v>
      </c>
      <c r="G8" s="48">
        <f ca="1">Composite!G41</f>
        <v>0</v>
      </c>
      <c r="H8" s="48">
        <f>Composite!H41</f>
        <v>0</v>
      </c>
      <c r="I8" s="48" t="str">
        <f>Composite!I41</f>
        <v>ResWASH</v>
      </c>
      <c r="J8" s="48">
        <f ca="1">Composite!J41</f>
        <v>0</v>
      </c>
      <c r="K8" s="48">
        <f>Composite!K41</f>
        <v>0</v>
      </c>
      <c r="L8" s="48">
        <f>Composite!L41</f>
        <v>0</v>
      </c>
      <c r="M8" s="48">
        <f>Composite!M41</f>
        <v>0</v>
      </c>
      <c r="N8" s="48">
        <f>Composite!N41</f>
        <v>0</v>
      </c>
      <c r="O8" s="48">
        <f>Composite!O41</f>
        <v>0</v>
      </c>
      <c r="P8" s="48">
        <f>Composite!P41</f>
        <v>0</v>
      </c>
      <c r="Q8" s="48">
        <f ca="1">Composite!Q41</f>
        <v>0</v>
      </c>
      <c r="R8" s="48" t="str">
        <f>Composite!R41</f>
        <v>ResDRY</v>
      </c>
    </row>
    <row r="9" spans="1:107" ht="25.5">
      <c r="A9" t="str">
        <f>Composite!B42</f>
        <v>Single Family</v>
      </c>
      <c r="B9" t="str">
        <f t="shared" si="0"/>
        <v>Single FamilyCEE Tier 1 Clothes Washer - Any DHW, Any Dryer - 54% ENERGY STAR BaselineDryer Savings</v>
      </c>
      <c r="C9" s="27" t="str">
        <f>Composite!C42</f>
        <v>CEE Tier 1 Clothes Washer - Any DHW, Any Dryer - 54% ENERGY STAR Baseline</v>
      </c>
      <c r="D9" s="26" t="str">
        <f>Composite!D42</f>
        <v>Dryer Savings</v>
      </c>
      <c r="E9" s="48">
        <f ca="1">Composite!E42</f>
        <v>34.794737894235141</v>
      </c>
      <c r="F9" s="48">
        <f>Composite!F42</f>
        <v>14</v>
      </c>
      <c r="G9" s="48">
        <f>Composite!G42</f>
        <v>0</v>
      </c>
      <c r="H9" s="48">
        <f>Composite!H42</f>
        <v>0</v>
      </c>
      <c r="I9" s="48" t="str">
        <f>Composite!I42</f>
        <v>ResDRY</v>
      </c>
      <c r="J9" s="48">
        <f>Composite!J42</f>
        <v>0</v>
      </c>
      <c r="K9" s="48">
        <f>Composite!K42</f>
        <v>0</v>
      </c>
      <c r="L9" s="48">
        <f>Composite!L42</f>
        <v>0</v>
      </c>
      <c r="M9" s="48">
        <f>Composite!M42</f>
        <v>0</v>
      </c>
      <c r="N9" s="48">
        <f>Composite!N42</f>
        <v>0</v>
      </c>
      <c r="O9" s="48">
        <f>Composite!O42</f>
        <v>0</v>
      </c>
      <c r="P9" s="48">
        <f>Composite!P42</f>
        <v>0</v>
      </c>
      <c r="Q9" s="48">
        <f>Composite!Q42</f>
        <v>0</v>
      </c>
      <c r="R9" s="48">
        <f>Composite!R42</f>
        <v>0</v>
      </c>
    </row>
    <row r="10" spans="1:107" ht="25.5">
      <c r="A10" t="str">
        <f>Composite!B43</f>
        <v>Single Family</v>
      </c>
      <c r="B10" t="str">
        <f t="shared" si="0"/>
        <v>Single FamilyCEE Tier 2 Clothes Washer - Any DHW, Any Dryer - 54% ENERGY STAR BaselineDryer Savings</v>
      </c>
      <c r="C10" s="27" t="str">
        <f>Composite!C43</f>
        <v>CEE Tier 2 Clothes Washer - Any DHW, Any Dryer - 54% ENERGY STAR Baseline</v>
      </c>
      <c r="D10" s="26" t="str">
        <f>Composite!D43</f>
        <v>Dryer Savings</v>
      </c>
      <c r="E10" s="48">
        <f ca="1">Composite!E43</f>
        <v>21.15458935457243</v>
      </c>
      <c r="F10" s="48">
        <f>Composite!F43</f>
        <v>14</v>
      </c>
      <c r="G10" s="48">
        <f>Composite!G43</f>
        <v>0</v>
      </c>
      <c r="H10" s="48">
        <f>Composite!H43</f>
        <v>0</v>
      </c>
      <c r="I10" s="48" t="str">
        <f>Composite!I43</f>
        <v>ResDRY</v>
      </c>
      <c r="J10" s="48">
        <f>Composite!J43</f>
        <v>0</v>
      </c>
      <c r="K10" s="48">
        <f>Composite!K43</f>
        <v>0</v>
      </c>
      <c r="L10" s="48">
        <f>Composite!L43</f>
        <v>0</v>
      </c>
      <c r="M10" s="48">
        <f>Composite!M43</f>
        <v>0</v>
      </c>
      <c r="N10" s="48">
        <f>Composite!N43</f>
        <v>0</v>
      </c>
      <c r="O10" s="48">
        <f>Composite!O43</f>
        <v>0</v>
      </c>
      <c r="P10" s="48">
        <f>Composite!P43</f>
        <v>0</v>
      </c>
      <c r="Q10" s="48">
        <f>Composite!Q43</f>
        <v>0</v>
      </c>
      <c r="R10" s="48">
        <f>Composite!R43</f>
        <v>0</v>
      </c>
    </row>
    <row r="11" spans="1:107" ht="25.5">
      <c r="A11" t="str">
        <f>Composite!B44</f>
        <v>Single Family</v>
      </c>
      <c r="B11" t="str">
        <f t="shared" si="0"/>
        <v>Single FamilyCEE Tier 3 Clothes Washer - Any DHW, Any Dryer - 54% ENERGY STAR BaselineDryer Savings</v>
      </c>
      <c r="C11" s="27" t="str">
        <f>Composite!C44</f>
        <v>CEE Tier 3 Clothes Washer - Any DHW, Any Dryer - 54% ENERGY STAR Baseline</v>
      </c>
      <c r="D11" s="26" t="str">
        <f>Composite!D44</f>
        <v>Dryer Savings</v>
      </c>
      <c r="E11" s="48">
        <f ca="1">Composite!E44</f>
        <v>13.842437772863455</v>
      </c>
      <c r="F11" s="48">
        <f>Composite!F44</f>
        <v>14</v>
      </c>
      <c r="G11" s="48">
        <f>Composite!G44</f>
        <v>0</v>
      </c>
      <c r="H11" s="48">
        <f>Composite!H44</f>
        <v>0</v>
      </c>
      <c r="I11" s="48" t="str">
        <f>Composite!I44</f>
        <v>ResDRY</v>
      </c>
      <c r="J11" s="48">
        <f>Composite!J44</f>
        <v>0</v>
      </c>
      <c r="K11" s="48">
        <f>Composite!K44</f>
        <v>0</v>
      </c>
      <c r="L11" s="48">
        <f>Composite!L44</f>
        <v>0</v>
      </c>
      <c r="M11" s="48">
        <f>Composite!M44</f>
        <v>0</v>
      </c>
      <c r="N11" s="48">
        <f>Composite!N44</f>
        <v>0</v>
      </c>
      <c r="O11" s="48">
        <f>Composite!O44</f>
        <v>0</v>
      </c>
      <c r="P11" s="48">
        <f>Composite!P44</f>
        <v>0</v>
      </c>
      <c r="Q11" s="48">
        <f>Composite!Q44</f>
        <v>0</v>
      </c>
      <c r="R11" s="48">
        <f>Composite!R44</f>
        <v>0</v>
      </c>
    </row>
    <row r="12" spans="1:107" ht="25.5">
      <c r="A12" t="str">
        <f>Composite!B45</f>
        <v>Single Family</v>
      </c>
      <c r="B12" t="str">
        <f t="shared" si="0"/>
        <v>Single FamilyCEE Tier 1 Clothes Washer - Any DHW, Any Dryer - 54% ENERGY STAR BaselineWaste Water Energy</v>
      </c>
      <c r="C12" s="27" t="str">
        <f>Composite!C45</f>
        <v>CEE Tier 1 Clothes Washer - Any DHW, Any Dryer - 54% ENERGY STAR Baseline</v>
      </c>
      <c r="D12" s="26" t="str">
        <f>Composite!D45</f>
        <v>Waste Water Energy</v>
      </c>
      <c r="E12" s="48">
        <f ca="1">Composite!E45</f>
        <v>2.2689844676199051</v>
      </c>
      <c r="F12" s="48">
        <f>Composite!F45</f>
        <v>14</v>
      </c>
      <c r="G12" s="48">
        <f>Composite!G45</f>
        <v>0</v>
      </c>
      <c r="H12" s="48">
        <f>Composite!H45</f>
        <v>0</v>
      </c>
      <c r="I12" s="48" t="str">
        <f>Composite!I45</f>
        <v>FLAT</v>
      </c>
      <c r="J12" s="48">
        <f ca="1">Composite!J45</f>
        <v>8.5265191237314468</v>
      </c>
      <c r="K12" s="48">
        <f>Composite!K45</f>
        <v>0</v>
      </c>
      <c r="L12" s="48">
        <f>Composite!L45</f>
        <v>0</v>
      </c>
      <c r="M12" s="48">
        <f>Composite!M45</f>
        <v>0</v>
      </c>
      <c r="N12" s="48">
        <f>Composite!N45</f>
        <v>0</v>
      </c>
      <c r="O12" s="48">
        <f>Composite!O45</f>
        <v>0</v>
      </c>
      <c r="P12" s="48">
        <f>Composite!P45</f>
        <v>0</v>
      </c>
      <c r="Q12" s="48">
        <f>Composite!Q45</f>
        <v>0</v>
      </c>
      <c r="R12" s="48">
        <f>Composite!R45</f>
        <v>0</v>
      </c>
    </row>
    <row r="13" spans="1:107" ht="25.5">
      <c r="A13" t="str">
        <f>Composite!B46</f>
        <v>Single Family</v>
      </c>
      <c r="B13" t="str">
        <f t="shared" si="0"/>
        <v>Single FamilyCEE Tier 2 Clothes Washer - Any DHW, Any Dryer - 54% ENERGY STAR BaselineWaste Water Energy</v>
      </c>
      <c r="C13" s="27" t="str">
        <f>Composite!C46</f>
        <v>CEE Tier 2 Clothes Washer - Any DHW, Any Dryer - 54% ENERGY STAR Baseline</v>
      </c>
      <c r="D13" s="26" t="str">
        <f>Composite!D46</f>
        <v>Waste Water Energy</v>
      </c>
      <c r="E13" s="48">
        <f ca="1">Composite!E46</f>
        <v>1.0589679884816285</v>
      </c>
      <c r="F13" s="48">
        <f>Composite!F46</f>
        <v>14</v>
      </c>
      <c r="G13" s="48">
        <f>Composite!G46</f>
        <v>0</v>
      </c>
      <c r="H13" s="48">
        <f>Composite!H46</f>
        <v>0</v>
      </c>
      <c r="I13" s="48" t="str">
        <f>Composite!I46</f>
        <v>FLAT</v>
      </c>
      <c r="J13" s="48">
        <f ca="1">Composite!J46</f>
        <v>3.9794502492471899</v>
      </c>
      <c r="K13" s="48">
        <f>Composite!K46</f>
        <v>0</v>
      </c>
      <c r="L13" s="48">
        <f>Composite!L46</f>
        <v>0</v>
      </c>
      <c r="M13" s="48">
        <f>Composite!M46</f>
        <v>0</v>
      </c>
      <c r="N13" s="48">
        <f>Composite!N46</f>
        <v>0</v>
      </c>
      <c r="O13" s="48">
        <f>Composite!O46</f>
        <v>0</v>
      </c>
      <c r="P13" s="48">
        <f>Composite!P46</f>
        <v>0</v>
      </c>
      <c r="Q13" s="48">
        <f>Composite!Q46</f>
        <v>0</v>
      </c>
      <c r="R13" s="48">
        <f>Composite!R46</f>
        <v>0</v>
      </c>
    </row>
    <row r="14" spans="1:107" ht="25.5">
      <c r="A14" t="str">
        <f>Composite!B47</f>
        <v>Single Family</v>
      </c>
      <c r="B14" t="str">
        <f t="shared" si="0"/>
        <v>Single FamilyCEE Tier 3 Clothes Washer - Any DHW, Any Dryer - 54% ENERGY STAR BaselineWaste Water Energy</v>
      </c>
      <c r="C14" s="27" t="str">
        <f>Composite!C47</f>
        <v>CEE Tier 3 Clothes Washer - Any DHW, Any Dryer - 54% ENERGY STAR Baseline</v>
      </c>
      <c r="D14" s="26" t="str">
        <f>Composite!D47</f>
        <v>Waste Water Energy</v>
      </c>
      <c r="E14" s="48">
        <f ca="1">Composite!E47</f>
        <v>9.1465565223937784E-2</v>
      </c>
      <c r="F14" s="48">
        <f>Composite!F47</f>
        <v>14</v>
      </c>
      <c r="G14" s="48">
        <f>Composite!G47</f>
        <v>0</v>
      </c>
      <c r="H14" s="48">
        <f>Composite!H47</f>
        <v>0</v>
      </c>
      <c r="I14" s="48" t="str">
        <f>Composite!I47</f>
        <v>FLAT</v>
      </c>
      <c r="J14" s="48">
        <f ca="1">Composite!J47</f>
        <v>0.34371451289081634</v>
      </c>
      <c r="K14" s="48">
        <f>Composite!K47</f>
        <v>0</v>
      </c>
      <c r="L14" s="48">
        <f>Composite!L47</f>
        <v>0</v>
      </c>
      <c r="M14" s="48">
        <f>Composite!M47</f>
        <v>0</v>
      </c>
      <c r="N14" s="48">
        <f>Composite!N47</f>
        <v>0</v>
      </c>
      <c r="O14" s="48">
        <f>Composite!O47</f>
        <v>0</v>
      </c>
      <c r="P14" s="48">
        <f>Composite!P47</f>
        <v>0</v>
      </c>
      <c r="Q14" s="48">
        <f>Composite!Q47</f>
        <v>0</v>
      </c>
      <c r="R14" s="48">
        <f>Composite!R47</f>
        <v>0</v>
      </c>
    </row>
    <row r="15" spans="1:107" ht="25.5">
      <c r="A15" t="str">
        <f>Composite!B48&amp;" - Low Rise"</f>
        <v>Multifamily - Low Rise</v>
      </c>
      <c r="B15" t="str">
        <f t="shared" si="0"/>
        <v>Multifamily - Low RiseCEE Tier 1 Clothes Washer - Any DHW, Any Dryer - 54% ENERGY STAR BaselineWasher Savings</v>
      </c>
      <c r="C15" s="27" t="str">
        <f>Composite!C48</f>
        <v>CEE Tier 1 Clothes Washer - Any DHW, Any Dryer - 54% ENERGY STAR Baseline</v>
      </c>
      <c r="D15" s="26" t="str">
        <f>Composite!D48</f>
        <v>Washer Savings</v>
      </c>
      <c r="E15" s="48">
        <f ca="1">Composite!E48</f>
        <v>13.420513804370698</v>
      </c>
      <c r="F15" s="48">
        <f>Composite!F48</f>
        <v>14</v>
      </c>
      <c r="G15" s="48">
        <f ca="1">Composite!G48</f>
        <v>126.26454884545808</v>
      </c>
      <c r="H15" s="48">
        <f>Composite!H48</f>
        <v>0</v>
      </c>
      <c r="I15" s="48" t="str">
        <f>Composite!I48</f>
        <v>ResWASH</v>
      </c>
      <c r="J15" s="48">
        <f ca="1">Composite!J48</f>
        <v>6.5152515092717707</v>
      </c>
      <c r="K15" s="48">
        <f>Composite!K48</f>
        <v>0</v>
      </c>
      <c r="L15" s="48">
        <f>Composite!L48</f>
        <v>0</v>
      </c>
      <c r="M15" s="48">
        <f>Composite!M48</f>
        <v>0</v>
      </c>
      <c r="N15" s="48">
        <f>Composite!N48</f>
        <v>0</v>
      </c>
      <c r="O15" s="48">
        <f>Composite!O48</f>
        <v>0</v>
      </c>
      <c r="P15" s="48">
        <f>Composite!P48</f>
        <v>0</v>
      </c>
      <c r="Q15" s="48">
        <f ca="1">Composite!Q48</f>
        <v>0.38507341368346421</v>
      </c>
      <c r="R15" s="48" t="str">
        <f>Composite!R48</f>
        <v>ResDHW</v>
      </c>
    </row>
    <row r="16" spans="1:107" ht="25.5">
      <c r="A16" t="str">
        <f>Composite!B49&amp;" - Low Rise"</f>
        <v>Multifamily - Low Rise</v>
      </c>
      <c r="B16" t="str">
        <f t="shared" si="0"/>
        <v>Multifamily - Low RiseCEE Tier 2 Clothes Washer - Any DHW, Any Dryer - 54% ENERGY STAR BaselineWasher Savings</v>
      </c>
      <c r="C16" s="27" t="str">
        <f>Composite!C49</f>
        <v>CEE Tier 2 Clothes Washer - Any DHW, Any Dryer - 54% ENERGY STAR Baseline</v>
      </c>
      <c r="D16" s="26" t="str">
        <f>Composite!D49</f>
        <v>Washer Savings</v>
      </c>
      <c r="E16" s="48">
        <f ca="1">Composite!E49</f>
        <v>7.6161264854408284</v>
      </c>
      <c r="F16" s="48">
        <f>Composite!F49</f>
        <v>14</v>
      </c>
      <c r="G16" s="48">
        <f ca="1">Composite!G49</f>
        <v>49.583434505727382</v>
      </c>
      <c r="H16" s="48">
        <f>Composite!H49</f>
        <v>0</v>
      </c>
      <c r="I16" s="48" t="str">
        <f>Composite!I49</f>
        <v>ResWASH</v>
      </c>
      <c r="J16" s="48">
        <f ca="1">Composite!J49</f>
        <v>3.0407624572515246</v>
      </c>
      <c r="K16" s="48">
        <f>Composite!K49</f>
        <v>0</v>
      </c>
      <c r="L16" s="48">
        <f>Composite!L49</f>
        <v>0</v>
      </c>
      <c r="M16" s="48">
        <f>Composite!M49</f>
        <v>0</v>
      </c>
      <c r="N16" s="48">
        <f>Composite!N49</f>
        <v>0</v>
      </c>
      <c r="O16" s="48">
        <f>Composite!O49</f>
        <v>0</v>
      </c>
      <c r="P16" s="48">
        <f>Composite!P49</f>
        <v>0</v>
      </c>
      <c r="Q16" s="48">
        <f ca="1">Composite!Q49</f>
        <v>0.19401942602722239</v>
      </c>
      <c r="R16" s="48" t="str">
        <f>Composite!R49</f>
        <v>ResDHW</v>
      </c>
    </row>
    <row r="17" spans="1:18" ht="24.95" customHeight="1">
      <c r="A17" t="str">
        <f>Composite!B50&amp;" - Low Rise"</f>
        <v>Multifamily - Low Rise</v>
      </c>
      <c r="B17" t="str">
        <f t="shared" si="0"/>
        <v>Multifamily - Low RiseCEE Tier 3 Clothes Washer - Any DHW, Any Dryer - 54% ENERGY STAR BaselineWasher Savings</v>
      </c>
      <c r="C17" s="27" t="str">
        <f>Composite!C50</f>
        <v>CEE Tier 3 Clothes Washer - Any DHW, Any Dryer - 54% ENERGY STAR Baseline</v>
      </c>
      <c r="D17" s="26" t="str">
        <f>Composite!D50</f>
        <v>Washer Savings</v>
      </c>
      <c r="E17" s="48">
        <f ca="1">Composite!E50</f>
        <v>1.4130617083715187</v>
      </c>
      <c r="F17" s="48">
        <f>Composite!F50</f>
        <v>14</v>
      </c>
      <c r="G17" s="48">
        <f ca="1">Composite!G50</f>
        <v>0</v>
      </c>
      <c r="H17" s="48">
        <f>Composite!H50</f>
        <v>0</v>
      </c>
      <c r="I17" s="48" t="str">
        <f>Composite!I50</f>
        <v>ResWASH</v>
      </c>
      <c r="J17" s="48">
        <f ca="1">Composite!J50</f>
        <v>0.26263783220022319</v>
      </c>
      <c r="K17" s="48">
        <f>Composite!K50</f>
        <v>0</v>
      </c>
      <c r="L17" s="48">
        <f>Composite!L50</f>
        <v>0</v>
      </c>
      <c r="M17" s="48">
        <f>Composite!M50</f>
        <v>0</v>
      </c>
      <c r="N17" s="48">
        <f>Composite!N50</f>
        <v>0</v>
      </c>
      <c r="O17" s="48">
        <f>Composite!O50</f>
        <v>0</v>
      </c>
      <c r="P17" s="48">
        <f>Composite!P50</f>
        <v>0</v>
      </c>
      <c r="Q17" s="48">
        <f ca="1">Composite!Q50</f>
        <v>2.8130810286325469E-2</v>
      </c>
      <c r="R17" s="48" t="str">
        <f>Composite!R50</f>
        <v>ResDHW</v>
      </c>
    </row>
    <row r="18" spans="1:18" ht="24.95" customHeight="1">
      <c r="A18" t="str">
        <f>Composite!B51&amp;" - Low Rise"</f>
        <v>Multifamily - Low Rise</v>
      </c>
      <c r="B18" t="str">
        <f t="shared" si="0"/>
        <v>Multifamily - Low RiseCEE Tier 1 Clothes Washer - Any DHW, Any Dryer - 54% ENERGY STAR BaselineDryer Savings</v>
      </c>
      <c r="C18" s="27" t="str">
        <f>Composite!C51</f>
        <v>CEE Tier 1 Clothes Washer - Any DHW, Any Dryer - 54% ENERGY STAR Baseline</v>
      </c>
      <c r="D18" s="26" t="str">
        <f>Composite!D51</f>
        <v>Dryer Savings</v>
      </c>
      <c r="E18" s="48">
        <f ca="1">Composite!E51</f>
        <v>33.614929913688762</v>
      </c>
      <c r="F18" s="48">
        <f>Composite!F51</f>
        <v>14</v>
      </c>
      <c r="G18" s="48">
        <f>Composite!G51</f>
        <v>0</v>
      </c>
      <c r="H18" s="48">
        <f>Composite!H51</f>
        <v>0</v>
      </c>
      <c r="I18" s="48" t="str">
        <f>Composite!I51</f>
        <v>ResDRY</v>
      </c>
      <c r="J18" s="48">
        <f>Composite!J51</f>
        <v>0</v>
      </c>
      <c r="K18" s="48">
        <f>Composite!K51</f>
        <v>0</v>
      </c>
      <c r="L18" s="48">
        <f>Composite!L51</f>
        <v>0</v>
      </c>
      <c r="M18" s="48">
        <f>Composite!M51</f>
        <v>0</v>
      </c>
      <c r="N18" s="48">
        <f>Composite!N51</f>
        <v>0</v>
      </c>
      <c r="O18" s="48">
        <f>Composite!O51</f>
        <v>0</v>
      </c>
      <c r="P18" s="48">
        <f>Composite!P51</f>
        <v>0</v>
      </c>
      <c r="Q18" s="48">
        <f ca="1">Composite!Q51</f>
        <v>6.762899288993178E-2</v>
      </c>
      <c r="R18" s="48" t="str">
        <f>Composite!R51</f>
        <v>ResDRY</v>
      </c>
    </row>
    <row r="19" spans="1:18" ht="24.95" customHeight="1">
      <c r="A19" t="str">
        <f>Composite!B52&amp;" - Low Rise"</f>
        <v>Multifamily - Low Rise</v>
      </c>
      <c r="B19" t="str">
        <f t="shared" si="0"/>
        <v>Multifamily - Low RiseCEE Tier 2 Clothes Washer - Any DHW, Any Dryer - 54% ENERGY STAR BaselineDryer Savings</v>
      </c>
      <c r="C19" s="27" t="str">
        <f>Composite!C52</f>
        <v>CEE Tier 2 Clothes Washer - Any DHW, Any Dryer - 54% ENERGY STAR Baseline</v>
      </c>
      <c r="D19" s="26" t="str">
        <f>Composite!D52</f>
        <v>Dryer Savings</v>
      </c>
      <c r="E19" s="48">
        <f ca="1">Composite!E52</f>
        <v>20.546071491444344</v>
      </c>
      <c r="F19" s="48">
        <f>Composite!F52</f>
        <v>14</v>
      </c>
      <c r="G19" s="48">
        <f>Composite!G52</f>
        <v>0</v>
      </c>
      <c r="H19" s="48">
        <f>Composite!H52</f>
        <v>0</v>
      </c>
      <c r="I19" s="48" t="str">
        <f>Composite!I52</f>
        <v>ResDRY</v>
      </c>
      <c r="J19" s="48">
        <f>Composite!J52</f>
        <v>0</v>
      </c>
      <c r="K19" s="48">
        <f>Composite!K52</f>
        <v>0</v>
      </c>
      <c r="L19" s="48">
        <f>Composite!L52</f>
        <v>0</v>
      </c>
      <c r="M19" s="48">
        <f>Composite!M52</f>
        <v>0</v>
      </c>
      <c r="N19" s="48">
        <f>Composite!N52</f>
        <v>0</v>
      </c>
      <c r="O19" s="48">
        <f>Composite!O52</f>
        <v>0</v>
      </c>
      <c r="P19" s="48">
        <f>Composite!P52</f>
        <v>0</v>
      </c>
      <c r="Q19" s="48">
        <f ca="1">Composite!Q52</f>
        <v>4.1336100547544982E-2</v>
      </c>
      <c r="R19" s="48" t="str">
        <f>Composite!R52</f>
        <v>ResDRY</v>
      </c>
    </row>
    <row r="20" spans="1:18" ht="24.95" customHeight="1">
      <c r="A20" t="str">
        <f>Composite!B53&amp;" - Low Rise"</f>
        <v>Multifamily - Low Rise</v>
      </c>
      <c r="B20" t="str">
        <f t="shared" si="0"/>
        <v>Multifamily - Low RiseCEE Tier 3 Clothes Washer - Any DHW, Any Dryer - 54% ENERGY STAR BaselineDryer Savings</v>
      </c>
      <c r="C20" s="27" t="str">
        <f>Composite!C53</f>
        <v>CEE Tier 3 Clothes Washer - Any DHW, Any Dryer - 54% ENERGY STAR Baseline</v>
      </c>
      <c r="D20" s="26" t="str">
        <f>Composite!D53</f>
        <v>Dryer Savings</v>
      </c>
      <c r="E20" s="48">
        <f ca="1">Composite!E53</f>
        <v>13.697550748450809</v>
      </c>
      <c r="F20" s="48">
        <f>Composite!F53</f>
        <v>14</v>
      </c>
      <c r="G20" s="48">
        <f>Composite!G53</f>
        <v>0</v>
      </c>
      <c r="H20" s="48">
        <f>Composite!H53</f>
        <v>0</v>
      </c>
      <c r="I20" s="48" t="str">
        <f>Composite!I53</f>
        <v>ResDRY</v>
      </c>
      <c r="J20" s="48">
        <f>Composite!J53</f>
        <v>0</v>
      </c>
      <c r="K20" s="48">
        <f>Composite!K53</f>
        <v>0</v>
      </c>
      <c r="L20" s="48">
        <f>Composite!L53</f>
        <v>0</v>
      </c>
      <c r="M20" s="48">
        <f>Composite!M53</f>
        <v>0</v>
      </c>
      <c r="N20" s="48">
        <f>Composite!N53</f>
        <v>0</v>
      </c>
      <c r="O20" s="48">
        <f>Composite!O53</f>
        <v>0</v>
      </c>
      <c r="P20" s="48">
        <f>Composite!P53</f>
        <v>0</v>
      </c>
      <c r="Q20" s="48">
        <f ca="1">Composite!Q53</f>
        <v>2.7557741888946413E-2</v>
      </c>
      <c r="R20" s="48" t="str">
        <f>Composite!R53</f>
        <v>ResDRY</v>
      </c>
    </row>
    <row r="21" spans="1:18" ht="24.95" customHeight="1">
      <c r="A21" t="str">
        <f>Composite!B54&amp;" - Low Rise"</f>
        <v>Multifamily - Low Rise</v>
      </c>
      <c r="B21" t="str">
        <f t="shared" si="0"/>
        <v>Multifamily - Low RiseCEE Tier 1 Clothes Washer - Any DHW, Any Dryer - 54% ENERGY STAR BaselineWaste Water Energy</v>
      </c>
      <c r="C21" s="27" t="str">
        <f>Composite!C54</f>
        <v>CEE Tier 1 Clothes Washer - Any DHW, Any Dryer - 54% ENERGY STAR Baseline</v>
      </c>
      <c r="D21" s="26" t="str">
        <f>Composite!D54</f>
        <v>Waste Water Energy</v>
      </c>
      <c r="E21" s="48">
        <f ca="1">Composite!E54</f>
        <v>2.2689844676199051</v>
      </c>
      <c r="F21" s="48">
        <f>Composite!F54</f>
        <v>14</v>
      </c>
      <c r="G21" s="48">
        <f>Composite!G54</f>
        <v>0</v>
      </c>
      <c r="H21" s="48">
        <f>Composite!H54</f>
        <v>0</v>
      </c>
      <c r="I21" s="48" t="str">
        <f>Composite!I54</f>
        <v>FLAT</v>
      </c>
      <c r="J21" s="48">
        <f ca="1">Composite!J54</f>
        <v>8.5265191237314468</v>
      </c>
      <c r="K21" s="48">
        <f>Composite!K54</f>
        <v>0</v>
      </c>
      <c r="L21" s="48">
        <f>Composite!L54</f>
        <v>0</v>
      </c>
      <c r="M21" s="48">
        <f>Composite!M54</f>
        <v>0</v>
      </c>
      <c r="N21" s="48">
        <f>Composite!N54</f>
        <v>0</v>
      </c>
      <c r="O21" s="48">
        <f>Composite!O54</f>
        <v>0</v>
      </c>
      <c r="P21" s="48">
        <f>Composite!P54</f>
        <v>0</v>
      </c>
      <c r="Q21" s="48">
        <f>Composite!Q54</f>
        <v>0</v>
      </c>
      <c r="R21" s="48">
        <f>Composite!R54</f>
        <v>0</v>
      </c>
    </row>
    <row r="22" spans="1:18" ht="24.95" customHeight="1">
      <c r="A22" t="str">
        <f>Composite!B55&amp;" - Low Rise"</f>
        <v>Multifamily - Low Rise</v>
      </c>
      <c r="B22" t="str">
        <f t="shared" si="0"/>
        <v>Multifamily - Low RiseCEE Tier 2 Clothes Washer - Any DHW, Any Dryer - 54% ENERGY STAR BaselineWaste Water Energy</v>
      </c>
      <c r="C22" s="27" t="str">
        <f>Composite!C55</f>
        <v>CEE Tier 2 Clothes Washer - Any DHW, Any Dryer - 54% ENERGY STAR Baseline</v>
      </c>
      <c r="D22" s="26" t="str">
        <f>Composite!D55</f>
        <v>Waste Water Energy</v>
      </c>
      <c r="E22" s="48">
        <f ca="1">Composite!E55</f>
        <v>1.0589679884816285</v>
      </c>
      <c r="F22" s="48">
        <f>Composite!F55</f>
        <v>14</v>
      </c>
      <c r="G22" s="48">
        <f>Composite!G55</f>
        <v>0</v>
      </c>
      <c r="H22" s="48">
        <f>Composite!H55</f>
        <v>0</v>
      </c>
      <c r="I22" s="48" t="str">
        <f>Composite!I55</f>
        <v>FLAT</v>
      </c>
      <c r="J22" s="48">
        <f ca="1">Composite!J55</f>
        <v>3.9794502492471899</v>
      </c>
      <c r="K22" s="48">
        <f>Composite!K55</f>
        <v>0</v>
      </c>
      <c r="L22" s="48">
        <f>Composite!L55</f>
        <v>0</v>
      </c>
      <c r="M22" s="48">
        <f>Composite!M55</f>
        <v>0</v>
      </c>
      <c r="N22" s="48">
        <f>Composite!N55</f>
        <v>0</v>
      </c>
      <c r="O22" s="48">
        <f>Composite!O55</f>
        <v>0</v>
      </c>
      <c r="P22" s="48">
        <f>Composite!P55</f>
        <v>0</v>
      </c>
      <c r="Q22" s="48">
        <f>Composite!Q55</f>
        <v>0</v>
      </c>
      <c r="R22" s="48">
        <f>Composite!R55</f>
        <v>0</v>
      </c>
    </row>
    <row r="23" spans="1:18" ht="24.95" customHeight="1">
      <c r="A23" t="str">
        <f>Composite!B56&amp;" - Low Rise"</f>
        <v>Multifamily - Low Rise</v>
      </c>
      <c r="B23" t="str">
        <f t="shared" si="0"/>
        <v>Multifamily - Low RiseCEE Tier 3 Clothes Washer - Any DHW, Any Dryer - 54% ENERGY STAR BaselineWaste Water Energy</v>
      </c>
      <c r="C23" s="27" t="str">
        <f>Composite!C56</f>
        <v>CEE Tier 3 Clothes Washer - Any DHW, Any Dryer - 54% ENERGY STAR Baseline</v>
      </c>
      <c r="D23" s="26" t="str">
        <f>Composite!D56</f>
        <v>Waste Water Energy</v>
      </c>
      <c r="E23" s="48">
        <f ca="1">Composite!E56</f>
        <v>9.1465565223937784E-2</v>
      </c>
      <c r="F23" s="48">
        <f>Composite!F56</f>
        <v>14</v>
      </c>
      <c r="G23" s="48">
        <f>Composite!G56</f>
        <v>0</v>
      </c>
      <c r="H23" s="48">
        <f>Composite!H56</f>
        <v>0</v>
      </c>
      <c r="I23" s="48" t="str">
        <f>Composite!I56</f>
        <v>FLAT</v>
      </c>
      <c r="J23" s="48">
        <f ca="1">Composite!J56</f>
        <v>0.34371451289081634</v>
      </c>
      <c r="K23" s="48">
        <f>Composite!K56</f>
        <v>0</v>
      </c>
      <c r="L23" s="48">
        <f>Composite!L56</f>
        <v>0</v>
      </c>
      <c r="M23" s="48">
        <f>Composite!M56</f>
        <v>0</v>
      </c>
      <c r="N23" s="48">
        <f>Composite!N56</f>
        <v>0</v>
      </c>
      <c r="O23" s="48">
        <f>Composite!O56</f>
        <v>0</v>
      </c>
      <c r="P23" s="48">
        <f>Composite!P56</f>
        <v>0</v>
      </c>
      <c r="Q23" s="48">
        <f>Composite!Q56</f>
        <v>0</v>
      </c>
      <c r="R23" s="48">
        <f>Composite!R56</f>
        <v>0</v>
      </c>
    </row>
    <row r="24" spans="1:18" ht="24.95" customHeight="1">
      <c r="A24" t="str">
        <f>Composite!B57</f>
        <v>Manufactured</v>
      </c>
      <c r="B24" t="str">
        <f t="shared" si="0"/>
        <v>ManufacturedCEE Tier 1 Clothes Washer - Any DHW, Any Dryer - 54% ENERGY STAR BaselineWasher Savings</v>
      </c>
      <c r="C24" s="27" t="str">
        <f>Composite!C57</f>
        <v>CEE Tier 1 Clothes Washer - Any DHW, Any Dryer - 54% ENERGY STAR Baseline</v>
      </c>
      <c r="D24" s="26" t="str">
        <f>Composite!D57</f>
        <v>Washer Savings</v>
      </c>
      <c r="E24" s="48">
        <f ca="1">Composite!E57</f>
        <v>13.366643591022726</v>
      </c>
      <c r="F24" s="48">
        <f>Composite!F57</f>
        <v>14</v>
      </c>
      <c r="G24" s="48">
        <f ca="1">Composite!G57</f>
        <v>126.26454884545808</v>
      </c>
      <c r="H24" s="48">
        <f>Composite!H57</f>
        <v>0</v>
      </c>
      <c r="I24" s="48" t="str">
        <f>Composite!I57</f>
        <v>ResWASH</v>
      </c>
      <c r="J24" s="48">
        <f ca="1">Composite!J57</f>
        <v>6.5740799653374253</v>
      </c>
      <c r="K24" s="48">
        <f>Composite!K57</f>
        <v>0</v>
      </c>
      <c r="L24" s="48">
        <f>Composite!L57</f>
        <v>0</v>
      </c>
      <c r="M24" s="48">
        <f>Composite!M57</f>
        <v>0</v>
      </c>
      <c r="N24" s="48">
        <f>Composite!N57</f>
        <v>0</v>
      </c>
      <c r="O24" s="48">
        <f>Composite!O57</f>
        <v>0</v>
      </c>
      <c r="P24" s="48">
        <f>Composite!P57</f>
        <v>0</v>
      </c>
      <c r="Q24" s="48">
        <f ca="1">Composite!Q57</f>
        <v>0.38257658578402781</v>
      </c>
      <c r="R24" s="48" t="str">
        <f>Composite!R57</f>
        <v>ResDHW</v>
      </c>
    </row>
    <row r="25" spans="1:18" ht="24.95" customHeight="1">
      <c r="A25" t="str">
        <f>Composite!B58</f>
        <v>Manufactured</v>
      </c>
      <c r="B25" t="str">
        <f t="shared" si="0"/>
        <v>ManufacturedCEE Tier 2 Clothes Washer - Any DHW, Any Dryer - 54% ENERGY STAR BaselineWasher Savings</v>
      </c>
      <c r="C25" s="27" t="str">
        <f>Composite!C58</f>
        <v>CEE Tier 2 Clothes Washer - Any DHW, Any Dryer - 54% ENERGY STAR Baseline</v>
      </c>
      <c r="D25" s="26" t="str">
        <f>Composite!D58</f>
        <v>Washer Savings</v>
      </c>
      <c r="E25" s="48">
        <f ca="1">Composite!E58</f>
        <v>7.5886116435286617</v>
      </c>
      <c r="F25" s="48">
        <f>Composite!F58</f>
        <v>14</v>
      </c>
      <c r="G25" s="48">
        <f ca="1">Composite!G58</f>
        <v>49.583434505727382</v>
      </c>
      <c r="H25" s="48">
        <f>Composite!H58</f>
        <v>0</v>
      </c>
      <c r="I25" s="48" t="str">
        <f>Composite!I58</f>
        <v>ResWASH</v>
      </c>
      <c r="J25" s="48">
        <f ca="1">Composite!J58</f>
        <v>3.0682185516736631</v>
      </c>
      <c r="K25" s="48">
        <f>Composite!K58</f>
        <v>0</v>
      </c>
      <c r="L25" s="48">
        <f>Composite!L58</f>
        <v>0</v>
      </c>
      <c r="M25" s="48">
        <f>Composite!M58</f>
        <v>0</v>
      </c>
      <c r="N25" s="48">
        <f>Composite!N58</f>
        <v>0</v>
      </c>
      <c r="O25" s="48">
        <f>Composite!O58</f>
        <v>0</v>
      </c>
      <c r="P25" s="48">
        <f>Composite!P58</f>
        <v>0</v>
      </c>
      <c r="Q25" s="48">
        <f ca="1">Composite!Q58</f>
        <v>0.19271211500487778</v>
      </c>
      <c r="R25" s="48" t="str">
        <f>Composite!R58</f>
        <v>ResDHW</v>
      </c>
    </row>
    <row r="26" spans="1:18" ht="24.95" customHeight="1">
      <c r="A26" t="str">
        <f>Composite!B59</f>
        <v>Manufactured</v>
      </c>
      <c r="B26" t="str">
        <f t="shared" si="0"/>
        <v>ManufacturedCEE Tier 3 Clothes Washer - Any DHW, Any Dryer - 54% ENERGY STAR BaselineWasher Savings</v>
      </c>
      <c r="C26" s="27" t="str">
        <f>Composite!C59</f>
        <v>CEE Tier 3 Clothes Washer - Any DHW, Any Dryer - 54% ENERGY STAR Baseline</v>
      </c>
      <c r="D26" s="26" t="str">
        <f>Composite!D59</f>
        <v>Washer Savings</v>
      </c>
      <c r="E26" s="48">
        <f ca="1">Composite!E59</f>
        <v>1.4051165459187303</v>
      </c>
      <c r="F26" s="48">
        <f>Composite!F59</f>
        <v>14</v>
      </c>
      <c r="G26" s="48">
        <f ca="1">Composite!G59</f>
        <v>0</v>
      </c>
      <c r="H26" s="48">
        <f>Composite!H59</f>
        <v>0</v>
      </c>
      <c r="I26" s="48" t="str">
        <f>Composite!I59</f>
        <v>ResWASH</v>
      </c>
      <c r="J26" s="48">
        <f ca="1">Composite!J59</f>
        <v>0.26500927989503253</v>
      </c>
      <c r="K26" s="48">
        <f>Composite!K59</f>
        <v>0</v>
      </c>
      <c r="L26" s="48">
        <f>Composite!L59</f>
        <v>0</v>
      </c>
      <c r="M26" s="48">
        <f>Composite!M59</f>
        <v>0</v>
      </c>
      <c r="N26" s="48">
        <f>Composite!N59</f>
        <v>0</v>
      </c>
      <c r="O26" s="48">
        <f>Composite!O59</f>
        <v>0</v>
      </c>
      <c r="P26" s="48">
        <f>Composite!P59</f>
        <v>0</v>
      </c>
      <c r="Q26" s="48">
        <f ca="1">Composite!Q59</f>
        <v>2.7871567298051736E-2</v>
      </c>
      <c r="R26" s="48" t="str">
        <f>Composite!R59</f>
        <v>ResDHW</v>
      </c>
    </row>
    <row r="27" spans="1:18" ht="24.95" customHeight="1">
      <c r="A27" t="str">
        <f>Composite!B60</f>
        <v>Manufactured</v>
      </c>
      <c r="B27" t="str">
        <f t="shared" si="0"/>
        <v>ManufacturedCEE Tier 1 Clothes Washer - Any DHW, Any Dryer - 54% ENERGY STAR BaselineDryer Savings</v>
      </c>
      <c r="C27" s="27" t="str">
        <f>Composite!C60</f>
        <v>CEE Tier 1 Clothes Washer - Any DHW, Any Dryer - 54% ENERGY STAR Baseline</v>
      </c>
      <c r="D27" s="26" t="str">
        <f>Composite!D60</f>
        <v>Dryer Savings</v>
      </c>
      <c r="E27" s="48">
        <f ca="1">Composite!E60</f>
        <v>33.71823055068964</v>
      </c>
      <c r="F27" s="48">
        <f>Composite!F60</f>
        <v>14</v>
      </c>
      <c r="G27" s="48">
        <f>Composite!G60</f>
        <v>0</v>
      </c>
      <c r="H27" s="48">
        <f>Composite!H60</f>
        <v>0</v>
      </c>
      <c r="I27" s="48" t="str">
        <f>Composite!I60</f>
        <v>ResDRY</v>
      </c>
      <c r="J27" s="48">
        <f>Composite!J60</f>
        <v>0</v>
      </c>
      <c r="K27" s="48">
        <f>Composite!K60</f>
        <v>0</v>
      </c>
      <c r="L27" s="48">
        <f>Composite!L60</f>
        <v>0</v>
      </c>
      <c r="M27" s="48">
        <f>Composite!M60</f>
        <v>0</v>
      </c>
      <c r="N27" s="48">
        <f>Composite!N60</f>
        <v>0</v>
      </c>
      <c r="O27" s="48">
        <f>Composite!O60</f>
        <v>0</v>
      </c>
      <c r="P27" s="48">
        <f>Composite!P60</f>
        <v>0</v>
      </c>
      <c r="Q27" s="48">
        <f ca="1">Composite!Q60</f>
        <v>6.7836820723076105E-2</v>
      </c>
      <c r="R27" s="48" t="str">
        <f>Composite!R60</f>
        <v>ResDRY</v>
      </c>
    </row>
    <row r="28" spans="1:18" ht="24.95" customHeight="1">
      <c r="A28" t="str">
        <f>Composite!B61</f>
        <v>Manufactured</v>
      </c>
      <c r="B28" t="str">
        <f t="shared" si="0"/>
        <v>ManufacturedCEE Tier 2 Clothes Washer - Any DHW, Any Dryer - 54% ENERGY STAR BaselineDryer Savings</v>
      </c>
      <c r="C28" s="27" t="str">
        <f>Composite!C61</f>
        <v>CEE Tier 2 Clothes Washer - Any DHW, Any Dryer - 54% ENERGY STAR Baseline</v>
      </c>
      <c r="D28" s="26" t="str">
        <f>Composite!D61</f>
        <v>Dryer Savings</v>
      </c>
      <c r="E28" s="48">
        <f ca="1">Composite!E61</f>
        <v>20.599502097367505</v>
      </c>
      <c r="F28" s="48">
        <f>Composite!F61</f>
        <v>14</v>
      </c>
      <c r="G28" s="48">
        <f>Composite!G61</f>
        <v>0</v>
      </c>
      <c r="H28" s="48">
        <f>Composite!H61</f>
        <v>0</v>
      </c>
      <c r="I28" s="48" t="str">
        <f>Composite!I61</f>
        <v>ResDRY</v>
      </c>
      <c r="J28" s="48">
        <f>Composite!J61</f>
        <v>0</v>
      </c>
      <c r="K28" s="48">
        <f>Composite!K61</f>
        <v>0</v>
      </c>
      <c r="L28" s="48">
        <f>Composite!L61</f>
        <v>0</v>
      </c>
      <c r="M28" s="48">
        <f>Composite!M61</f>
        <v>0</v>
      </c>
      <c r="N28" s="48">
        <f>Composite!N61</f>
        <v>0</v>
      </c>
      <c r="O28" s="48">
        <f>Composite!O61</f>
        <v>0</v>
      </c>
      <c r="P28" s="48">
        <f>Composite!P61</f>
        <v>0</v>
      </c>
      <c r="Q28" s="48">
        <f ca="1">Composite!Q61</f>
        <v>4.1443596177533265E-2</v>
      </c>
      <c r="R28" s="48" t="str">
        <f>Composite!R61</f>
        <v>ResDRY</v>
      </c>
    </row>
    <row r="29" spans="1:18" ht="24.95" customHeight="1">
      <c r="A29" t="str">
        <f>Composite!B62</f>
        <v>Manufactured</v>
      </c>
      <c r="B29" t="str">
        <f t="shared" si="0"/>
        <v>ManufacturedCEE Tier 3 Clothes Washer - Any DHW, Any Dryer - 54% ENERGY STAR BaselineDryer Savings</v>
      </c>
      <c r="C29" s="27" t="str">
        <f>Composite!C62</f>
        <v>CEE Tier 3 Clothes Washer - Any DHW, Any Dryer - 54% ENERGY STAR Baseline</v>
      </c>
      <c r="D29" s="26" t="str">
        <f>Composite!D62</f>
        <v>Dryer Savings</v>
      </c>
      <c r="E29" s="48">
        <f ca="1">Composite!E62</f>
        <v>13.710510625507126</v>
      </c>
      <c r="F29" s="48">
        <f>Composite!F62</f>
        <v>14</v>
      </c>
      <c r="G29" s="48">
        <f>Composite!G62</f>
        <v>0</v>
      </c>
      <c r="H29" s="48">
        <f>Composite!H62</f>
        <v>0</v>
      </c>
      <c r="I29" s="48" t="str">
        <f>Composite!I62</f>
        <v>ResDRY</v>
      </c>
      <c r="J29" s="48">
        <f>Composite!J62</f>
        <v>0</v>
      </c>
      <c r="K29" s="48">
        <f>Composite!K62</f>
        <v>0</v>
      </c>
      <c r="L29" s="48">
        <f>Composite!L62</f>
        <v>0</v>
      </c>
      <c r="M29" s="48">
        <f>Composite!M62</f>
        <v>0</v>
      </c>
      <c r="N29" s="48">
        <f>Composite!N62</f>
        <v>0</v>
      </c>
      <c r="O29" s="48">
        <f>Composite!O62</f>
        <v>0</v>
      </c>
      <c r="P29" s="48">
        <f>Composite!P62</f>
        <v>0</v>
      </c>
      <c r="Q29" s="48">
        <f ca="1">Composite!Q62</f>
        <v>2.7583815524546598E-2</v>
      </c>
      <c r="R29" s="48" t="str">
        <f>Composite!R62</f>
        <v>ResDRY</v>
      </c>
    </row>
    <row r="30" spans="1:18" ht="24.95" customHeight="1">
      <c r="A30" t="str">
        <f>Composite!B63</f>
        <v>Manufactured</v>
      </c>
      <c r="B30" t="str">
        <f t="shared" si="0"/>
        <v>ManufacturedCEE Tier 1 Clothes Washer - Any DHW, Any Dryer - 54% ENERGY STAR BaselineWaste Water Energy</v>
      </c>
      <c r="C30" s="27" t="str">
        <f>Composite!C63</f>
        <v>CEE Tier 1 Clothes Washer - Any DHW, Any Dryer - 54% ENERGY STAR Baseline</v>
      </c>
      <c r="D30" s="26" t="str">
        <f>Composite!D63</f>
        <v>Waste Water Energy</v>
      </c>
      <c r="E30" s="48">
        <f ca="1">Composite!E63</f>
        <v>2.2689844676199051</v>
      </c>
      <c r="F30" s="48">
        <f>Composite!F63</f>
        <v>14</v>
      </c>
      <c r="G30" s="48">
        <f>Composite!G63</f>
        <v>0</v>
      </c>
      <c r="H30" s="48">
        <f>Composite!H63</f>
        <v>0</v>
      </c>
      <c r="I30" s="48" t="str">
        <f>Composite!I63</f>
        <v>FLAT</v>
      </c>
      <c r="J30" s="48">
        <f ca="1">Composite!J63</f>
        <v>8.5265191237314468</v>
      </c>
      <c r="K30" s="48">
        <f>Composite!K63</f>
        <v>0</v>
      </c>
      <c r="L30" s="48">
        <f>Composite!L63</f>
        <v>0</v>
      </c>
      <c r="M30" s="48">
        <f>Composite!M63</f>
        <v>0</v>
      </c>
      <c r="N30" s="48">
        <f>Composite!N63</f>
        <v>0</v>
      </c>
      <c r="O30" s="48">
        <f>Composite!O63</f>
        <v>0</v>
      </c>
      <c r="P30" s="48">
        <f>Composite!P63</f>
        <v>0</v>
      </c>
      <c r="Q30" s="48">
        <f>Composite!Q63</f>
        <v>0</v>
      </c>
      <c r="R30" s="48">
        <f>Composite!R63</f>
        <v>0</v>
      </c>
    </row>
    <row r="31" spans="1:18" ht="24.95" customHeight="1">
      <c r="A31" t="str">
        <f>Composite!B64</f>
        <v>Manufactured</v>
      </c>
      <c r="B31" t="str">
        <f t="shared" si="0"/>
        <v>ManufacturedCEE Tier 2 Clothes Washer - Any DHW, Any Dryer - 54% ENERGY STAR BaselineWaste Water Energy</v>
      </c>
      <c r="C31" s="27" t="str">
        <f>Composite!C64</f>
        <v>CEE Tier 2 Clothes Washer - Any DHW, Any Dryer - 54% ENERGY STAR Baseline</v>
      </c>
      <c r="D31" s="26" t="str">
        <f>Composite!D64</f>
        <v>Waste Water Energy</v>
      </c>
      <c r="E31" s="48">
        <f ca="1">Composite!E64</f>
        <v>1.0589679884816285</v>
      </c>
      <c r="F31" s="48">
        <f>Composite!F64</f>
        <v>14</v>
      </c>
      <c r="G31" s="48">
        <f>Composite!G64</f>
        <v>0</v>
      </c>
      <c r="H31" s="48">
        <f>Composite!H64</f>
        <v>0</v>
      </c>
      <c r="I31" s="48" t="str">
        <f>Composite!I64</f>
        <v>FLAT</v>
      </c>
      <c r="J31" s="48">
        <f ca="1">Composite!J64</f>
        <v>3.9794502492471899</v>
      </c>
      <c r="K31" s="48">
        <f>Composite!K64</f>
        <v>0</v>
      </c>
      <c r="L31" s="48">
        <f>Composite!L64</f>
        <v>0</v>
      </c>
      <c r="M31" s="48">
        <f>Composite!M64</f>
        <v>0</v>
      </c>
      <c r="N31" s="48">
        <f>Composite!N64</f>
        <v>0</v>
      </c>
      <c r="O31" s="48">
        <f>Composite!O64</f>
        <v>0</v>
      </c>
      <c r="P31" s="48">
        <f>Composite!P64</f>
        <v>0</v>
      </c>
      <c r="Q31" s="48">
        <f>Composite!Q64</f>
        <v>0</v>
      </c>
      <c r="R31" s="48">
        <f>Composite!R64</f>
        <v>0</v>
      </c>
    </row>
    <row r="32" spans="1:18" ht="24.95" customHeight="1">
      <c r="A32" t="str">
        <f>Composite!B65</f>
        <v>Manufactured</v>
      </c>
      <c r="B32" t="str">
        <f t="shared" si="0"/>
        <v>ManufacturedCEE Tier 3 Clothes Washer - Any DHW, Any Dryer - 54% ENERGY STAR BaselineWaste Water Energy</v>
      </c>
      <c r="C32" s="27" t="str">
        <f>Composite!C65</f>
        <v>CEE Tier 3 Clothes Washer - Any DHW, Any Dryer - 54% ENERGY STAR Baseline</v>
      </c>
      <c r="D32" s="26" t="str">
        <f>Composite!D65</f>
        <v>Waste Water Energy</v>
      </c>
      <c r="E32" s="48">
        <f ca="1">Composite!E65</f>
        <v>9.1465565223937784E-2</v>
      </c>
      <c r="F32" s="48">
        <f>Composite!F65</f>
        <v>14</v>
      </c>
      <c r="G32" s="48">
        <f>Composite!G65</f>
        <v>0</v>
      </c>
      <c r="H32" s="48">
        <f>Composite!H65</f>
        <v>0</v>
      </c>
      <c r="I32" s="48" t="str">
        <f>Composite!I65</f>
        <v>FLAT</v>
      </c>
      <c r="J32" s="48">
        <f ca="1">Composite!J65</f>
        <v>0.34371451289081634</v>
      </c>
      <c r="K32" s="48">
        <f>Composite!K65</f>
        <v>0</v>
      </c>
      <c r="L32" s="48">
        <f>Composite!L65</f>
        <v>0</v>
      </c>
      <c r="M32" s="48">
        <f>Composite!M65</f>
        <v>0</v>
      </c>
      <c r="N32" s="48">
        <f>Composite!N65</f>
        <v>0</v>
      </c>
      <c r="O32" s="48">
        <f>Composite!O65</f>
        <v>0</v>
      </c>
      <c r="P32" s="48">
        <f>Composite!P65</f>
        <v>0</v>
      </c>
      <c r="Q32" s="48">
        <f>Composite!Q65</f>
        <v>0</v>
      </c>
      <c r="R32" s="48">
        <f>Composite!R65</f>
        <v>0</v>
      </c>
    </row>
    <row r="33" spans="1:18" ht="24.95" customHeight="1">
      <c r="A33" t="str">
        <f>Composite!B48&amp;" - High Rise"</f>
        <v>Multifamily - High Rise</v>
      </c>
      <c r="B33" t="str">
        <f t="shared" si="0"/>
        <v>Multifamily - High RiseCEE Tier 1 Clothes Washer - Any DHW, Any Dryer - 54% ENERGY STAR BaselineWasher Savings</v>
      </c>
      <c r="C33" s="27" t="str">
        <f>Composite!C48</f>
        <v>CEE Tier 1 Clothes Washer - Any DHW, Any Dryer - 54% ENERGY STAR Baseline</v>
      </c>
      <c r="D33" s="26" t="str">
        <f>Composite!D48</f>
        <v>Washer Savings</v>
      </c>
      <c r="E33" s="48">
        <f ca="1">Composite!E48</f>
        <v>13.420513804370698</v>
      </c>
      <c r="F33" s="48">
        <f>Composite!F48</f>
        <v>14</v>
      </c>
      <c r="G33" s="48">
        <f ca="1">Composite!G48</f>
        <v>126.26454884545808</v>
      </c>
      <c r="H33" s="48">
        <f>Composite!H48</f>
        <v>0</v>
      </c>
      <c r="I33" s="48" t="str">
        <f>Composite!I48</f>
        <v>ResWASH</v>
      </c>
      <c r="J33" s="48">
        <f ca="1">Composite!J48</f>
        <v>6.5152515092717707</v>
      </c>
      <c r="K33" s="48">
        <f>Composite!K48</f>
        <v>0</v>
      </c>
      <c r="L33" s="48">
        <f>Composite!L48</f>
        <v>0</v>
      </c>
      <c r="M33" s="48">
        <f>Composite!M48</f>
        <v>0</v>
      </c>
      <c r="N33" s="48">
        <f>Composite!N48</f>
        <v>0</v>
      </c>
      <c r="O33" s="48">
        <f>Composite!O48</f>
        <v>0</v>
      </c>
      <c r="P33" s="48">
        <f>Composite!P48</f>
        <v>0</v>
      </c>
      <c r="Q33" s="48">
        <f ca="1">Composite!Q48</f>
        <v>0.38507341368346421</v>
      </c>
      <c r="R33" s="48" t="str">
        <f>Composite!R48</f>
        <v>ResDHW</v>
      </c>
    </row>
    <row r="34" spans="1:18" ht="24.95" customHeight="1">
      <c r="A34" t="str">
        <f>Composite!B49&amp;" - High Rise"</f>
        <v>Multifamily - High Rise</v>
      </c>
      <c r="B34" t="str">
        <f t="shared" si="0"/>
        <v>Multifamily - High RiseCEE Tier 2 Clothes Washer - Any DHW, Any Dryer - 54% ENERGY STAR BaselineWasher Savings</v>
      </c>
      <c r="C34" s="27" t="str">
        <f>Composite!C49</f>
        <v>CEE Tier 2 Clothes Washer - Any DHW, Any Dryer - 54% ENERGY STAR Baseline</v>
      </c>
      <c r="D34" s="26" t="str">
        <f>Composite!D49</f>
        <v>Washer Savings</v>
      </c>
      <c r="E34" s="48">
        <f ca="1">Composite!E49</f>
        <v>7.6161264854408284</v>
      </c>
      <c r="F34" s="48">
        <f>Composite!F49</f>
        <v>14</v>
      </c>
      <c r="G34" s="48">
        <f ca="1">Composite!G49</f>
        <v>49.583434505727382</v>
      </c>
      <c r="H34" s="48">
        <f>Composite!H49</f>
        <v>0</v>
      </c>
      <c r="I34" s="48" t="str">
        <f>Composite!I49</f>
        <v>ResWASH</v>
      </c>
      <c r="J34" s="48">
        <f ca="1">Composite!J49</f>
        <v>3.0407624572515246</v>
      </c>
      <c r="K34" s="48">
        <f>Composite!K49</f>
        <v>0</v>
      </c>
      <c r="L34" s="48">
        <f>Composite!L49</f>
        <v>0</v>
      </c>
      <c r="M34" s="48">
        <f>Composite!M49</f>
        <v>0</v>
      </c>
      <c r="N34" s="48">
        <f>Composite!N49</f>
        <v>0</v>
      </c>
      <c r="O34" s="48">
        <f>Composite!O49</f>
        <v>0</v>
      </c>
      <c r="P34" s="48">
        <f>Composite!P49</f>
        <v>0</v>
      </c>
      <c r="Q34" s="48">
        <f ca="1">Composite!Q49</f>
        <v>0.19401942602722239</v>
      </c>
      <c r="R34" s="48" t="str">
        <f>Composite!R49</f>
        <v>ResDHW</v>
      </c>
    </row>
    <row r="35" spans="1:18" ht="24.95" customHeight="1">
      <c r="A35" t="str">
        <f>Composite!B50&amp;" - High Rise"</f>
        <v>Multifamily - High Rise</v>
      </c>
      <c r="B35" t="str">
        <f t="shared" si="0"/>
        <v>Multifamily - High RiseCEE Tier 3 Clothes Washer - Any DHW, Any Dryer - 54% ENERGY STAR BaselineWasher Savings</v>
      </c>
      <c r="C35" s="27" t="str">
        <f>Composite!C50</f>
        <v>CEE Tier 3 Clothes Washer - Any DHW, Any Dryer - 54% ENERGY STAR Baseline</v>
      </c>
      <c r="D35" s="26" t="str">
        <f>Composite!D50</f>
        <v>Washer Savings</v>
      </c>
      <c r="E35" s="48">
        <f ca="1">Composite!E50</f>
        <v>1.4130617083715187</v>
      </c>
      <c r="F35" s="48">
        <f>Composite!F50</f>
        <v>14</v>
      </c>
      <c r="G35" s="48">
        <f ca="1">Composite!G50</f>
        <v>0</v>
      </c>
      <c r="H35" s="48">
        <f>Composite!H50</f>
        <v>0</v>
      </c>
      <c r="I35" s="48" t="str">
        <f>Composite!I50</f>
        <v>ResWASH</v>
      </c>
      <c r="J35" s="48">
        <f ca="1">Composite!J50</f>
        <v>0.26263783220022319</v>
      </c>
      <c r="K35" s="48">
        <f>Composite!K50</f>
        <v>0</v>
      </c>
      <c r="L35" s="48">
        <f>Composite!L50</f>
        <v>0</v>
      </c>
      <c r="M35" s="48">
        <f>Composite!M50</f>
        <v>0</v>
      </c>
      <c r="N35" s="48">
        <f>Composite!N50</f>
        <v>0</v>
      </c>
      <c r="O35" s="48">
        <f>Composite!O50</f>
        <v>0</v>
      </c>
      <c r="P35" s="48">
        <f>Composite!P50</f>
        <v>0</v>
      </c>
      <c r="Q35" s="48">
        <f ca="1">Composite!Q50</f>
        <v>2.8130810286325469E-2</v>
      </c>
      <c r="R35" s="48" t="str">
        <f>Composite!R50</f>
        <v>ResDHW</v>
      </c>
    </row>
    <row r="36" spans="1:18" ht="24.95" customHeight="1">
      <c r="A36" t="str">
        <f>Composite!B51&amp;" - High Rise"</f>
        <v>Multifamily - High Rise</v>
      </c>
      <c r="B36" t="str">
        <f t="shared" si="0"/>
        <v>Multifamily - High RiseCEE Tier 1 Clothes Washer - Any DHW, Any Dryer - 54% ENERGY STAR BaselineDryer Savings</v>
      </c>
      <c r="C36" s="27" t="str">
        <f>Composite!C51</f>
        <v>CEE Tier 1 Clothes Washer - Any DHW, Any Dryer - 54% ENERGY STAR Baseline</v>
      </c>
      <c r="D36" s="26" t="str">
        <f>Composite!D51</f>
        <v>Dryer Savings</v>
      </c>
      <c r="E36" s="48">
        <f ca="1">Composite!E51</f>
        <v>33.614929913688762</v>
      </c>
      <c r="F36" s="48">
        <f>Composite!F51</f>
        <v>14</v>
      </c>
      <c r="G36" s="48">
        <f>Composite!G51</f>
        <v>0</v>
      </c>
      <c r="H36" s="48">
        <f>Composite!H51</f>
        <v>0</v>
      </c>
      <c r="I36" s="48" t="str">
        <f>Composite!I51</f>
        <v>ResDRY</v>
      </c>
      <c r="J36" s="48">
        <f>Composite!J51</f>
        <v>0</v>
      </c>
      <c r="K36" s="48">
        <f>Composite!K51</f>
        <v>0</v>
      </c>
      <c r="L36" s="48">
        <f>Composite!L51</f>
        <v>0</v>
      </c>
      <c r="M36" s="48">
        <f>Composite!M51</f>
        <v>0</v>
      </c>
      <c r="N36" s="48">
        <f>Composite!N51</f>
        <v>0</v>
      </c>
      <c r="O36" s="48">
        <f>Composite!O51</f>
        <v>0</v>
      </c>
      <c r="P36" s="48">
        <f>Composite!P51</f>
        <v>0</v>
      </c>
      <c r="Q36" s="48">
        <f ca="1">Composite!Q51</f>
        <v>6.762899288993178E-2</v>
      </c>
      <c r="R36" s="48" t="str">
        <f>Composite!R51</f>
        <v>ResDRY</v>
      </c>
    </row>
    <row r="37" spans="1:18" ht="24.95" customHeight="1">
      <c r="A37" t="str">
        <f>Composite!B52&amp;" - High Rise"</f>
        <v>Multifamily - High Rise</v>
      </c>
      <c r="B37" t="str">
        <f t="shared" si="0"/>
        <v>Multifamily - High RiseCEE Tier 2 Clothes Washer - Any DHW, Any Dryer - 54% ENERGY STAR BaselineDryer Savings</v>
      </c>
      <c r="C37" s="27" t="str">
        <f>Composite!C52</f>
        <v>CEE Tier 2 Clothes Washer - Any DHW, Any Dryer - 54% ENERGY STAR Baseline</v>
      </c>
      <c r="D37" s="26" t="str">
        <f>Composite!D52</f>
        <v>Dryer Savings</v>
      </c>
      <c r="E37" s="48">
        <f ca="1">Composite!E52</f>
        <v>20.546071491444344</v>
      </c>
      <c r="F37" s="48">
        <f>Composite!F52</f>
        <v>14</v>
      </c>
      <c r="G37" s="48">
        <f>Composite!G52</f>
        <v>0</v>
      </c>
      <c r="H37" s="48">
        <f>Composite!H52</f>
        <v>0</v>
      </c>
      <c r="I37" s="48" t="str">
        <f>Composite!I52</f>
        <v>ResDRY</v>
      </c>
      <c r="J37" s="48">
        <f>Composite!J52</f>
        <v>0</v>
      </c>
      <c r="K37" s="48">
        <f>Composite!K52</f>
        <v>0</v>
      </c>
      <c r="L37" s="48">
        <f>Composite!L52</f>
        <v>0</v>
      </c>
      <c r="M37" s="48">
        <f>Composite!M52</f>
        <v>0</v>
      </c>
      <c r="N37" s="48">
        <f>Composite!N52</f>
        <v>0</v>
      </c>
      <c r="O37" s="48">
        <f>Composite!O52</f>
        <v>0</v>
      </c>
      <c r="P37" s="48">
        <f>Composite!P52</f>
        <v>0</v>
      </c>
      <c r="Q37" s="48">
        <f ca="1">Composite!Q52</f>
        <v>4.1336100547544982E-2</v>
      </c>
      <c r="R37" s="48" t="str">
        <f>Composite!R52</f>
        <v>ResDRY</v>
      </c>
    </row>
    <row r="38" spans="1:18" ht="24.95" customHeight="1">
      <c r="A38" t="str">
        <f>Composite!B53&amp;" - High Rise"</f>
        <v>Multifamily - High Rise</v>
      </c>
      <c r="B38" t="str">
        <f t="shared" si="0"/>
        <v>Multifamily - High RiseCEE Tier 3 Clothes Washer - Any DHW, Any Dryer - 54% ENERGY STAR BaselineDryer Savings</v>
      </c>
      <c r="C38" s="27" t="str">
        <f>Composite!C53</f>
        <v>CEE Tier 3 Clothes Washer - Any DHW, Any Dryer - 54% ENERGY STAR Baseline</v>
      </c>
      <c r="D38" s="26" t="str">
        <f>Composite!D53</f>
        <v>Dryer Savings</v>
      </c>
      <c r="E38" s="48">
        <f ca="1">Composite!E53</f>
        <v>13.697550748450809</v>
      </c>
      <c r="F38" s="48">
        <f>Composite!F53</f>
        <v>14</v>
      </c>
      <c r="G38" s="48">
        <f>Composite!G53</f>
        <v>0</v>
      </c>
      <c r="H38" s="48">
        <f>Composite!H53</f>
        <v>0</v>
      </c>
      <c r="I38" s="48" t="str">
        <f>Composite!I53</f>
        <v>ResDRY</v>
      </c>
      <c r="J38" s="48">
        <f>Composite!J53</f>
        <v>0</v>
      </c>
      <c r="K38" s="48">
        <f>Composite!K53</f>
        <v>0</v>
      </c>
      <c r="L38" s="48">
        <f>Composite!L53</f>
        <v>0</v>
      </c>
      <c r="M38" s="48">
        <f>Composite!M53</f>
        <v>0</v>
      </c>
      <c r="N38" s="48">
        <f>Composite!N53</f>
        <v>0</v>
      </c>
      <c r="O38" s="48">
        <f>Composite!O53</f>
        <v>0</v>
      </c>
      <c r="P38" s="48">
        <f>Composite!P53</f>
        <v>0</v>
      </c>
      <c r="Q38" s="48">
        <f ca="1">Composite!Q53</f>
        <v>2.7557741888946413E-2</v>
      </c>
      <c r="R38" s="48" t="str">
        <f>Composite!R53</f>
        <v>ResDRY</v>
      </c>
    </row>
    <row r="39" spans="1:18" ht="24.95" customHeight="1">
      <c r="A39" t="str">
        <f>Composite!B54&amp;" - High Rise"</f>
        <v>Multifamily - High Rise</v>
      </c>
      <c r="B39" t="str">
        <f t="shared" si="0"/>
        <v>Multifamily - High RiseCEE Tier 1 Clothes Washer - Any DHW, Any Dryer - 54% ENERGY STAR BaselineWaste Water Energy</v>
      </c>
      <c r="C39" s="27" t="str">
        <f>Composite!C54</f>
        <v>CEE Tier 1 Clothes Washer - Any DHW, Any Dryer - 54% ENERGY STAR Baseline</v>
      </c>
      <c r="D39" s="26" t="str">
        <f>Composite!D54</f>
        <v>Waste Water Energy</v>
      </c>
      <c r="E39" s="48">
        <f ca="1">Composite!E54</f>
        <v>2.2689844676199051</v>
      </c>
      <c r="F39" s="48">
        <f>Composite!F54</f>
        <v>14</v>
      </c>
      <c r="G39" s="48">
        <f>Composite!G54</f>
        <v>0</v>
      </c>
      <c r="H39" s="48">
        <f>Composite!H54</f>
        <v>0</v>
      </c>
      <c r="I39" s="48" t="str">
        <f>Composite!I54</f>
        <v>FLAT</v>
      </c>
      <c r="J39" s="48">
        <f ca="1">Composite!J54</f>
        <v>8.5265191237314468</v>
      </c>
      <c r="K39" s="48">
        <f>Composite!K54</f>
        <v>0</v>
      </c>
      <c r="L39" s="48">
        <f>Composite!L54</f>
        <v>0</v>
      </c>
      <c r="M39" s="48">
        <f>Composite!M54</f>
        <v>0</v>
      </c>
      <c r="N39" s="48">
        <f>Composite!N54</f>
        <v>0</v>
      </c>
      <c r="O39" s="48">
        <f>Composite!O54</f>
        <v>0</v>
      </c>
      <c r="P39" s="48">
        <f>Composite!P54</f>
        <v>0</v>
      </c>
      <c r="Q39" s="48">
        <f>Composite!Q54</f>
        <v>0</v>
      </c>
      <c r="R39" s="48">
        <f>Composite!R54</f>
        <v>0</v>
      </c>
    </row>
    <row r="40" spans="1:18" ht="24.95" customHeight="1">
      <c r="A40" t="str">
        <f>Composite!B55&amp;" - High Rise"</f>
        <v>Multifamily - High Rise</v>
      </c>
      <c r="B40" t="str">
        <f t="shared" si="0"/>
        <v>Multifamily - High RiseCEE Tier 2 Clothes Washer - Any DHW, Any Dryer - 54% ENERGY STAR BaselineWaste Water Energy</v>
      </c>
      <c r="C40" s="27" t="str">
        <f>Composite!C55</f>
        <v>CEE Tier 2 Clothes Washer - Any DHW, Any Dryer - 54% ENERGY STAR Baseline</v>
      </c>
      <c r="D40" s="26" t="str">
        <f>Composite!D55</f>
        <v>Waste Water Energy</v>
      </c>
      <c r="E40" s="48">
        <f ca="1">Composite!E55</f>
        <v>1.0589679884816285</v>
      </c>
      <c r="F40" s="48">
        <f>Composite!F55</f>
        <v>14</v>
      </c>
      <c r="G40" s="48">
        <f>Composite!G55</f>
        <v>0</v>
      </c>
      <c r="H40" s="48">
        <f>Composite!H55</f>
        <v>0</v>
      </c>
      <c r="I40" s="48" t="str">
        <f>Composite!I55</f>
        <v>FLAT</v>
      </c>
      <c r="J40" s="48">
        <f ca="1">Composite!J55</f>
        <v>3.9794502492471899</v>
      </c>
      <c r="K40" s="48">
        <f>Composite!K55</f>
        <v>0</v>
      </c>
      <c r="L40" s="48">
        <f>Composite!L55</f>
        <v>0</v>
      </c>
      <c r="M40" s="48">
        <f>Composite!M55</f>
        <v>0</v>
      </c>
      <c r="N40" s="48">
        <f>Composite!N55</f>
        <v>0</v>
      </c>
      <c r="O40" s="48">
        <f>Composite!O55</f>
        <v>0</v>
      </c>
      <c r="P40" s="48">
        <f>Composite!P55</f>
        <v>0</v>
      </c>
      <c r="Q40" s="48">
        <f>Composite!Q55</f>
        <v>0</v>
      </c>
      <c r="R40" s="48">
        <f>Composite!R55</f>
        <v>0</v>
      </c>
    </row>
    <row r="41" spans="1:18" ht="24.95" customHeight="1">
      <c r="A41" t="str">
        <f>Composite!B56&amp;" - High Rise"</f>
        <v>Multifamily - High Rise</v>
      </c>
      <c r="B41" t="str">
        <f t="shared" si="0"/>
        <v>Multifamily - High RiseCEE Tier 3 Clothes Washer - Any DHW, Any Dryer - 54% ENERGY STAR BaselineWaste Water Energy</v>
      </c>
      <c r="C41" s="27" t="str">
        <f>Composite!C56</f>
        <v>CEE Tier 3 Clothes Washer - Any DHW, Any Dryer - 54% ENERGY STAR Baseline</v>
      </c>
      <c r="D41" s="26" t="str">
        <f>Composite!D56</f>
        <v>Waste Water Energy</v>
      </c>
      <c r="E41" s="48">
        <f ca="1">Composite!E56</f>
        <v>9.1465565223937784E-2</v>
      </c>
      <c r="F41" s="48">
        <f>Composite!F56</f>
        <v>14</v>
      </c>
      <c r="G41" s="48">
        <f>Composite!G56</f>
        <v>0</v>
      </c>
      <c r="H41" s="48">
        <f>Composite!H56</f>
        <v>0</v>
      </c>
      <c r="I41" s="48" t="str">
        <f>Composite!I56</f>
        <v>FLAT</v>
      </c>
      <c r="J41" s="48">
        <f ca="1">Composite!J56</f>
        <v>0.34371451289081634</v>
      </c>
      <c r="K41" s="48">
        <f>Composite!K56</f>
        <v>0</v>
      </c>
      <c r="L41" s="48">
        <f>Composite!L56</f>
        <v>0</v>
      </c>
      <c r="M41" s="48">
        <f>Composite!M56</f>
        <v>0</v>
      </c>
      <c r="N41" s="48">
        <f>Composite!N56</f>
        <v>0</v>
      </c>
      <c r="O41" s="48">
        <f>Composite!O56</f>
        <v>0</v>
      </c>
      <c r="P41" s="48">
        <f>Composite!P56</f>
        <v>0</v>
      </c>
      <c r="Q41" s="48">
        <f>Composite!Q56</f>
        <v>0</v>
      </c>
      <c r="R41" s="48">
        <f>Composite!R56</f>
        <v>0</v>
      </c>
    </row>
  </sheetData>
  <mergeCells count="2">
    <mergeCell ref="K4:P4"/>
    <mergeCell ref="Q4:R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11</vt:i4>
      </vt:variant>
    </vt:vector>
  </HeadingPairs>
  <TitlesOfParts>
    <vt:vector size="37" baseType="lpstr">
      <vt:lpstr>7PSourceSummary</vt:lpstr>
      <vt:lpstr>forRPM</vt:lpstr>
      <vt:lpstr>SC-New</vt:lpstr>
      <vt:lpstr>SC-NR</vt:lpstr>
      <vt:lpstr>Common Units</vt:lpstr>
      <vt:lpstr>Accomplishments</vt:lpstr>
      <vt:lpstr>M_Input_Out</vt:lpstr>
      <vt:lpstr>M_Input</vt:lpstr>
      <vt:lpstr>Segmented</vt:lpstr>
      <vt:lpstr>Composite</vt:lpstr>
      <vt:lpstr>RawRTF</vt:lpstr>
      <vt:lpstr>Eff. Standards &amp; Certifications</vt:lpstr>
      <vt:lpstr>SFAssumptions</vt:lpstr>
      <vt:lpstr>MFAssumptions</vt:lpstr>
      <vt:lpstr>MHAssumptions</vt:lpstr>
      <vt:lpstr>SavingsData&amp;Analysis</vt:lpstr>
      <vt:lpstr>CostData&amp;Analysis</vt:lpstr>
      <vt:lpstr>Northwest Retail Cost Data</vt:lpstr>
      <vt:lpstr>SFBaselines and Measures</vt:lpstr>
      <vt:lpstr>MFBaselines and Measures</vt:lpstr>
      <vt:lpstr>MHBaselines and Measures</vt:lpstr>
      <vt:lpstr>SF Measure Development</vt:lpstr>
      <vt:lpstr>MF Measure Development</vt:lpstr>
      <vt:lpstr>MH Measure Development</vt:lpstr>
      <vt:lpstr>DOE EERE Data</vt:lpstr>
      <vt:lpstr>DOE Res Data</vt:lpstr>
      <vt:lpstr>Database</vt:lpstr>
      <vt:lpstr>Deflator</vt:lpstr>
      <vt:lpstr>int_FrontLoad_MEF</vt:lpstr>
      <vt:lpstr>int_FrontLoad_WF</vt:lpstr>
      <vt:lpstr>int_TopLoad_MEF</vt:lpstr>
      <vt:lpstr>int_TopLoad_WF</vt:lpstr>
      <vt:lpstr>MeasureOutput</vt:lpstr>
      <vt:lpstr>slope_FrontLoad_MEF</vt:lpstr>
      <vt:lpstr>slope_FrontLoad_WF</vt:lpstr>
      <vt:lpstr>slope_TopLoad_MEF</vt:lpstr>
      <vt:lpstr>slope_TopLoad_WF</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2014-08-11T21:52:53Z</dcterms:created>
  <dcterms:modified xsi:type="dcterms:W3CDTF">2015-03-12T22:59:27Z</dcterms:modified>
</cp:coreProperties>
</file>